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mc:AlternateContent xmlns:mc="http://schemas.openxmlformats.org/markup-compatibility/2006">
    <mc:Choice Requires="x15">
      <x15ac:absPath xmlns:x15ac="http://schemas.microsoft.com/office/spreadsheetml/2010/11/ac" url="C:\GOBERNACION QUINDIO 2021\PAGINA WEB\SGTO PDD I TRIMESTRE 2021\"/>
    </mc:Choice>
  </mc:AlternateContent>
  <bookViews>
    <workbookView xWindow="-120" yWindow="-120" windowWidth="20730" windowHeight="11160"/>
  </bookViews>
  <sheets>
    <sheet name="SGTO POAI -MARZO-2021" sheetId="1" r:id="rId1"/>
    <sheet name="RESUMEN POR UNIDAD" sheetId="5" r:id="rId2"/>
    <sheet name="UNIDADES + FUENTE" sheetId="6" r:id="rId3"/>
    <sheet name="PROGRAMAS" sheetId="9" r:id="rId4"/>
    <sheet name="EJE ESTRATEGICO" sheetId="8" r:id="rId5"/>
    <sheet name="PROYECTOS" sheetId="10" r:id="rId6"/>
  </sheets>
  <externalReferences>
    <externalReference r:id="rId7"/>
    <externalReference r:id="rId8"/>
  </externalReferences>
  <definedNames>
    <definedName name="_xlnm._FilterDatabase" localSheetId="1" hidden="1">'RESUMEN POR UNIDAD'!$F$1:$F$186</definedName>
    <definedName name="_xlnm._FilterDatabase" localSheetId="0" hidden="1">'SGTO POAI -MARZO-2021'!$A$359:$DB$359</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C91" i="1" l="1"/>
  <c r="BC90" i="1" s="1"/>
  <c r="BC89" i="1" s="1"/>
  <c r="BC88" i="1" s="1"/>
  <c r="BD437" i="1"/>
  <c r="BC50" i="1"/>
  <c r="BC22" i="1"/>
  <c r="BB16" i="1"/>
  <c r="BC16" i="1"/>
  <c r="BC47" i="1"/>
  <c r="BC46" i="1" s="1"/>
  <c r="BI437" i="1"/>
  <c r="BH437" i="1"/>
  <c r="BG437" i="1"/>
  <c r="BF437" i="1"/>
  <c r="BE437" i="1"/>
  <c r="BA437" i="1"/>
  <c r="AZ437" i="1"/>
  <c r="AY437" i="1"/>
  <c r="AX437" i="1"/>
  <c r="AW437" i="1"/>
  <c r="AV437" i="1"/>
  <c r="AU437" i="1"/>
  <c r="AT437" i="1"/>
  <c r="AS437" i="1"/>
  <c r="AR437" i="1"/>
  <c r="AQ437" i="1"/>
  <c r="AP437" i="1"/>
  <c r="AO437" i="1"/>
  <c r="AN437" i="1"/>
  <c r="AM437" i="1"/>
  <c r="AL437" i="1"/>
  <c r="AK437" i="1"/>
  <c r="AJ437" i="1"/>
  <c r="AI437" i="1"/>
  <c r="AH437" i="1"/>
  <c r="AG437" i="1"/>
  <c r="AF437" i="1"/>
  <c r="AE437" i="1"/>
  <c r="AD437" i="1"/>
  <c r="AC437" i="1"/>
  <c r="AB437" i="1"/>
  <c r="AA437" i="1"/>
  <c r="Z437" i="1"/>
  <c r="Y437" i="1"/>
  <c r="X437" i="1"/>
  <c r="W437" i="1"/>
  <c r="Y463" i="1"/>
  <c r="X464" i="1"/>
  <c r="X463" i="1" s="1"/>
  <c r="Y464" i="1"/>
  <c r="BK475" i="1"/>
  <c r="BK474" i="1" s="1"/>
  <c r="BK473" i="1" s="1"/>
  <c r="BL475" i="1"/>
  <c r="BL474" i="1" s="1"/>
  <c r="BL473" i="1" s="1"/>
  <c r="BK476" i="1"/>
  <c r="BL476" i="1"/>
  <c r="BE476" i="1"/>
  <c r="BE475" i="1" s="1"/>
  <c r="BE474" i="1" s="1"/>
  <c r="BE473" i="1" s="1"/>
  <c r="BF476" i="1"/>
  <c r="BF475" i="1" s="1"/>
  <c r="BF474" i="1" s="1"/>
  <c r="BF473" i="1" s="1"/>
  <c r="S162" i="6" l="1"/>
  <c r="S161" i="6" s="1"/>
  <c r="S163" i="6"/>
  <c r="T163" i="6"/>
  <c r="T162" i="6" s="1"/>
  <c r="T161" i="6" s="1"/>
  <c r="S166" i="6"/>
  <c r="T166" i="6"/>
  <c r="S165" i="6"/>
  <c r="T165" i="6"/>
  <c r="S164" i="6"/>
  <c r="T164" i="6"/>
  <c r="V164" i="6"/>
  <c r="H11" i="6"/>
  <c r="G11" i="6"/>
  <c r="R33" i="6" l="1"/>
  <c r="P39" i="6"/>
  <c r="Q39" i="6"/>
  <c r="Q35" i="6"/>
  <c r="P35" i="6"/>
  <c r="P33" i="6"/>
  <c r="Q33" i="6"/>
  <c r="L24" i="6"/>
  <c r="M26" i="6"/>
  <c r="N26" i="6"/>
  <c r="J26" i="6"/>
  <c r="K26" i="6"/>
  <c r="G26" i="6"/>
  <c r="H26" i="6"/>
  <c r="G18" i="6"/>
  <c r="H18" i="6"/>
  <c r="G19" i="6"/>
  <c r="H19" i="6"/>
  <c r="G10" i="6"/>
  <c r="H10" i="6"/>
  <c r="W452" i="1" l="1"/>
  <c r="W464" i="1"/>
  <c r="BN124" i="1"/>
  <c r="BN101" i="1"/>
  <c r="BN100" i="1" s="1"/>
  <c r="BK337" i="1" l="1"/>
  <c r="BL337" i="1"/>
  <c r="BK338" i="1"/>
  <c r="BL338" i="1"/>
  <c r="BK339" i="1"/>
  <c r="BL339" i="1"/>
  <c r="BK340" i="1"/>
  <c r="BL340" i="1"/>
  <c r="BK341" i="1"/>
  <c r="BL341" i="1"/>
  <c r="BK342" i="1"/>
  <c r="BL342" i="1"/>
  <c r="BK343" i="1"/>
  <c r="BL343" i="1"/>
  <c r="BK344" i="1"/>
  <c r="BL344" i="1"/>
  <c r="BK345" i="1"/>
  <c r="BL345" i="1"/>
  <c r="BK346" i="1"/>
  <c r="BL346" i="1"/>
  <c r="BK347" i="1"/>
  <c r="BL347" i="1"/>
  <c r="BK348" i="1"/>
  <c r="BL348" i="1"/>
  <c r="BK349" i="1"/>
  <c r="BL349" i="1"/>
  <c r="BK350" i="1"/>
  <c r="BL350" i="1"/>
  <c r="BK351" i="1"/>
  <c r="BL351" i="1"/>
  <c r="BK352" i="1"/>
  <c r="BL352" i="1"/>
  <c r="BK353" i="1"/>
  <c r="BL353" i="1"/>
  <c r="BK354" i="1"/>
  <c r="BL354" i="1"/>
  <c r="BK355" i="1"/>
  <c r="BL355" i="1"/>
  <c r="BK356" i="1"/>
  <c r="BL356" i="1"/>
  <c r="BK357" i="1"/>
  <c r="BL357" i="1"/>
  <c r="BK358" i="1"/>
  <c r="BL358" i="1"/>
  <c r="BK360" i="1"/>
  <c r="BL360" i="1"/>
  <c r="BK361" i="1"/>
  <c r="BL361" i="1"/>
  <c r="BK362" i="1"/>
  <c r="BL362" i="1"/>
  <c r="BK363" i="1"/>
  <c r="BL363" i="1"/>
  <c r="BK364" i="1"/>
  <c r="BL364" i="1"/>
  <c r="BK365" i="1"/>
  <c r="BL365" i="1"/>
  <c r="BK366" i="1"/>
  <c r="BL366" i="1"/>
  <c r="BK367" i="1"/>
  <c r="BL367" i="1"/>
  <c r="BK368" i="1"/>
  <c r="BL368" i="1"/>
  <c r="BK369" i="1"/>
  <c r="BL369" i="1"/>
  <c r="BK370" i="1"/>
  <c r="BL370" i="1"/>
  <c r="BK371" i="1"/>
  <c r="BL371" i="1"/>
  <c r="BK372" i="1"/>
  <c r="BL372" i="1"/>
  <c r="BK373" i="1"/>
  <c r="BL373" i="1"/>
  <c r="BK374" i="1"/>
  <c r="BL374" i="1"/>
  <c r="BK375" i="1"/>
  <c r="BL375" i="1"/>
  <c r="BK376" i="1"/>
  <c r="BL376" i="1"/>
  <c r="BK377" i="1"/>
  <c r="BL377" i="1"/>
  <c r="BK378" i="1"/>
  <c r="BL378" i="1"/>
  <c r="BK379" i="1"/>
  <c r="BL379" i="1"/>
  <c r="BK380" i="1"/>
  <c r="BL380" i="1"/>
  <c r="BK381" i="1"/>
  <c r="BL381" i="1"/>
  <c r="BK382" i="1"/>
  <c r="BL382" i="1"/>
  <c r="BK383" i="1"/>
  <c r="BL383" i="1"/>
  <c r="BK384" i="1"/>
  <c r="BL384" i="1"/>
  <c r="BK385" i="1"/>
  <c r="BL385" i="1"/>
  <c r="BK386" i="1"/>
  <c r="BL386" i="1"/>
  <c r="BK387" i="1"/>
  <c r="BL387" i="1"/>
  <c r="BK388" i="1"/>
  <c r="BL388" i="1"/>
  <c r="BK390" i="1"/>
  <c r="BK389" i="1" s="1"/>
  <c r="BL390" i="1"/>
  <c r="BL389" i="1" s="1"/>
  <c r="BK391" i="1"/>
  <c r="BL391" i="1"/>
  <c r="BK392" i="1"/>
  <c r="BL392" i="1"/>
  <c r="BK393" i="1"/>
  <c r="BL393" i="1"/>
  <c r="BK394" i="1"/>
  <c r="BL394" i="1"/>
  <c r="BK395" i="1"/>
  <c r="BL395" i="1"/>
  <c r="BK396" i="1"/>
  <c r="BL396" i="1"/>
  <c r="BK397" i="1"/>
  <c r="BL397" i="1"/>
  <c r="BK398" i="1"/>
  <c r="BL398" i="1"/>
  <c r="BK399" i="1"/>
  <c r="BL399" i="1"/>
  <c r="BL336" i="1" l="1"/>
  <c r="BK359" i="1"/>
  <c r="BK335" i="1" s="1"/>
  <c r="BK334" i="1" s="1"/>
  <c r="BK333" i="1" s="1"/>
  <c r="BK336" i="1"/>
  <c r="BL359" i="1"/>
  <c r="BL335" i="1" s="1"/>
  <c r="BL334" i="1" s="1"/>
  <c r="BL333" i="1" s="1"/>
  <c r="BK448" i="1" l="1"/>
  <c r="BL448" i="1"/>
  <c r="BL477" i="1" l="1"/>
  <c r="BL478" i="1"/>
  <c r="BL479" i="1"/>
  <c r="BL480" i="1"/>
  <c r="BK477" i="1"/>
  <c r="BK478" i="1"/>
  <c r="BK479" i="1"/>
  <c r="BK480" i="1"/>
  <c r="J94" i="6" l="1"/>
  <c r="J93" i="6" s="1"/>
  <c r="K94" i="6"/>
  <c r="K93" i="6" s="1"/>
  <c r="BB70" i="1" l="1"/>
  <c r="V132" i="6" l="1"/>
  <c r="W132" i="6"/>
  <c r="V135" i="6"/>
  <c r="V134" i="6" s="1"/>
  <c r="V133" i="6" s="1"/>
  <c r="W135" i="6"/>
  <c r="W134" i="6" s="1"/>
  <c r="W133" i="6" s="1"/>
  <c r="BB104" i="1" l="1"/>
  <c r="BB404" i="1" l="1"/>
  <c r="BC404" i="1"/>
  <c r="C209" i="6" l="1"/>
  <c r="C180" i="5"/>
  <c r="D143" i="10"/>
  <c r="F143" i="10"/>
  <c r="D155" i="10"/>
  <c r="F155" i="10"/>
  <c r="D156" i="10"/>
  <c r="F156" i="10"/>
  <c r="D163" i="10"/>
  <c r="D162" i="10" s="1"/>
  <c r="F163" i="10"/>
  <c r="F162" i="10" s="1"/>
  <c r="J199" i="6"/>
  <c r="K199" i="6"/>
  <c r="M165" i="6"/>
  <c r="N165" i="6"/>
  <c r="J165" i="6"/>
  <c r="K165" i="6"/>
  <c r="G144" i="6"/>
  <c r="G143" i="6" s="1"/>
  <c r="H144" i="6"/>
  <c r="H143" i="6" s="1"/>
  <c r="G147" i="6"/>
  <c r="H147" i="6"/>
  <c r="G151" i="6"/>
  <c r="G150" i="6" s="1"/>
  <c r="H151" i="6"/>
  <c r="G153" i="6"/>
  <c r="H153" i="6"/>
  <c r="G156" i="6"/>
  <c r="H156" i="6"/>
  <c r="G157" i="6"/>
  <c r="H157" i="6"/>
  <c r="U135" i="6"/>
  <c r="U134" i="6" s="1"/>
  <c r="U133" i="6" s="1"/>
  <c r="G132" i="6"/>
  <c r="H132" i="6"/>
  <c r="G135" i="6"/>
  <c r="G134" i="6" s="1"/>
  <c r="G133" i="6" s="1"/>
  <c r="H135" i="6"/>
  <c r="H134" i="6" s="1"/>
  <c r="H133" i="6" s="1"/>
  <c r="J132" i="6"/>
  <c r="K132" i="6"/>
  <c r="J135" i="6"/>
  <c r="J134" i="6" s="1"/>
  <c r="J133" i="6" s="1"/>
  <c r="K135" i="6"/>
  <c r="K134" i="6" s="1"/>
  <c r="K133" i="6" s="1"/>
  <c r="M132" i="6"/>
  <c r="N132" i="6"/>
  <c r="M135" i="6"/>
  <c r="M134" i="6" s="1"/>
  <c r="M133" i="6" s="1"/>
  <c r="N135" i="6"/>
  <c r="N134" i="6" s="1"/>
  <c r="N133" i="6" s="1"/>
  <c r="P132" i="6"/>
  <c r="Q132" i="6"/>
  <c r="P135" i="6"/>
  <c r="P134" i="6" s="1"/>
  <c r="P133" i="6" s="1"/>
  <c r="Q135" i="6"/>
  <c r="Q134" i="6" s="1"/>
  <c r="Q133" i="6" s="1"/>
  <c r="G85" i="6"/>
  <c r="H85" i="6"/>
  <c r="G61" i="6"/>
  <c r="H61" i="6"/>
  <c r="G62" i="6"/>
  <c r="H62" i="6"/>
  <c r="G64" i="6"/>
  <c r="H64" i="6"/>
  <c r="G66" i="6"/>
  <c r="H66" i="6"/>
  <c r="G67" i="6"/>
  <c r="H67" i="6"/>
  <c r="G72" i="6"/>
  <c r="H72" i="6"/>
  <c r="G74" i="6"/>
  <c r="H74" i="6"/>
  <c r="G77" i="6"/>
  <c r="H77" i="6"/>
  <c r="P37" i="6"/>
  <c r="P36" i="6" s="1"/>
  <c r="Q37" i="6"/>
  <c r="Q36" i="6" s="1"/>
  <c r="P41" i="6"/>
  <c r="P40" i="6" s="1"/>
  <c r="Q41" i="6"/>
  <c r="Q40" i="6" s="1"/>
  <c r="P49" i="6"/>
  <c r="Q49" i="6"/>
  <c r="M35" i="6"/>
  <c r="M34" i="6" s="1"/>
  <c r="N35" i="6"/>
  <c r="N34" i="6" s="1"/>
  <c r="M37" i="6"/>
  <c r="M36" i="6" s="1"/>
  <c r="N37" i="6"/>
  <c r="M39" i="6"/>
  <c r="M38" i="6" s="1"/>
  <c r="N39" i="6"/>
  <c r="N38" i="6" s="1"/>
  <c r="M41" i="6"/>
  <c r="M40" i="6" s="1"/>
  <c r="N41" i="6"/>
  <c r="N40" i="6" s="1"/>
  <c r="M46" i="6"/>
  <c r="M45" i="6" s="1"/>
  <c r="N46" i="6"/>
  <c r="N45" i="6" s="1"/>
  <c r="M53" i="6"/>
  <c r="N53" i="6"/>
  <c r="G35" i="6"/>
  <c r="G34" i="6" s="1"/>
  <c r="H35" i="6"/>
  <c r="H34" i="6" s="1"/>
  <c r="G39" i="6"/>
  <c r="G38" i="6" s="1"/>
  <c r="H39" i="6"/>
  <c r="H38" i="6" s="1"/>
  <c r="G46" i="6"/>
  <c r="G45" i="6" s="1"/>
  <c r="H46" i="6"/>
  <c r="H45" i="6" s="1"/>
  <c r="G52" i="6"/>
  <c r="H52" i="6"/>
  <c r="G53" i="6"/>
  <c r="H53" i="6"/>
  <c r="G182" i="5"/>
  <c r="J181" i="5" s="1"/>
  <c r="M180" i="5" s="1"/>
  <c r="H182" i="5"/>
  <c r="K181" i="5" s="1"/>
  <c r="N180" i="5" s="1"/>
  <c r="G172" i="5"/>
  <c r="E53" i="9" s="1"/>
  <c r="H172" i="5"/>
  <c r="G53" i="9" s="1"/>
  <c r="G73" i="6" l="1"/>
  <c r="G71" i="6"/>
  <c r="G63" i="6"/>
  <c r="H76" i="6"/>
  <c r="H75" i="6" s="1"/>
  <c r="G58" i="9"/>
  <c r="G155" i="10"/>
  <c r="E58" i="9"/>
  <c r="G162" i="10"/>
  <c r="G163" i="10"/>
  <c r="G155" i="6"/>
  <c r="G154" i="6" s="1"/>
  <c r="H150" i="6"/>
  <c r="H152" i="6"/>
  <c r="G152" i="6"/>
  <c r="G149" i="6" s="1"/>
  <c r="H155" i="6"/>
  <c r="H154" i="6" s="1"/>
  <c r="G76" i="6"/>
  <c r="G75" i="6" s="1"/>
  <c r="H63" i="6"/>
  <c r="G65" i="6"/>
  <c r="H71" i="6"/>
  <c r="H65" i="6"/>
  <c r="H73" i="6"/>
  <c r="G70" i="6"/>
  <c r="H51" i="6"/>
  <c r="H50" i="6" s="1"/>
  <c r="N36" i="6"/>
  <c r="G51" i="6"/>
  <c r="G50" i="6" s="1"/>
  <c r="H58" i="9" l="1"/>
  <c r="H149" i="6"/>
  <c r="H70" i="6"/>
  <c r="AO262" i="1" l="1"/>
  <c r="AU242" i="1"/>
  <c r="H211" i="6" l="1"/>
  <c r="H210" i="6" s="1"/>
  <c r="H209" i="6" s="1"/>
  <c r="H208" i="6" s="1"/>
  <c r="X460" i="1"/>
  <c r="X461" i="1"/>
  <c r="G202" i="6" s="1"/>
  <c r="G201" i="6" s="1"/>
  <c r="Y461" i="1"/>
  <c r="X457" i="1"/>
  <c r="Y457" i="1"/>
  <c r="H199" i="6" s="1"/>
  <c r="N199" i="6" s="1"/>
  <c r="X454" i="1"/>
  <c r="Y454" i="1"/>
  <c r="H198" i="6" s="1"/>
  <c r="H197" i="6" s="1"/>
  <c r="H196" i="6" s="1"/>
  <c r="BK465" i="1"/>
  <c r="BL465" i="1"/>
  <c r="BK466" i="1"/>
  <c r="BL466" i="1"/>
  <c r="BK467" i="1"/>
  <c r="BL467" i="1"/>
  <c r="BK468" i="1"/>
  <c r="BL468" i="1"/>
  <c r="BK469" i="1"/>
  <c r="BL469" i="1"/>
  <c r="BK470" i="1"/>
  <c r="BL470" i="1"/>
  <c r="BK471" i="1"/>
  <c r="BL471" i="1"/>
  <c r="BL464" i="1" s="1"/>
  <c r="BE464" i="1"/>
  <c r="BF464" i="1"/>
  <c r="K204" i="6" s="1"/>
  <c r="BE460" i="1"/>
  <c r="BE461" i="1"/>
  <c r="J202" i="6" s="1"/>
  <c r="BF461" i="1"/>
  <c r="BK462" i="1"/>
  <c r="D160" i="10" s="1"/>
  <c r="BL462" i="1"/>
  <c r="F160" i="10" s="1"/>
  <c r="BK458" i="1"/>
  <c r="D159" i="10" s="1"/>
  <c r="BL458" i="1"/>
  <c r="F159" i="10" s="1"/>
  <c r="BK455" i="1"/>
  <c r="BL455" i="1"/>
  <c r="BK443" i="1"/>
  <c r="BL443" i="1"/>
  <c r="BK444" i="1"/>
  <c r="BL444" i="1"/>
  <c r="BK445" i="1"/>
  <c r="BL445" i="1"/>
  <c r="BK446" i="1"/>
  <c r="BL446" i="1"/>
  <c r="BE454" i="1"/>
  <c r="BF454" i="1"/>
  <c r="K198" i="6" s="1"/>
  <c r="BB442" i="1"/>
  <c r="BC442" i="1"/>
  <c r="H190" i="6" s="1"/>
  <c r="BB447" i="1"/>
  <c r="G191" i="6" s="1"/>
  <c r="BC447" i="1"/>
  <c r="H191" i="6" s="1"/>
  <c r="BE447" i="1"/>
  <c r="J191" i="6" s="1"/>
  <c r="BF447" i="1"/>
  <c r="K191" i="6" s="1"/>
  <c r="BE442" i="1"/>
  <c r="J190" i="6" s="1"/>
  <c r="BF442" i="1"/>
  <c r="K190" i="6" s="1"/>
  <c r="BK447" i="1"/>
  <c r="G165" i="5" s="1"/>
  <c r="E55" i="9" s="1"/>
  <c r="BL447" i="1"/>
  <c r="H165" i="5" s="1"/>
  <c r="G55" i="9" s="1"/>
  <c r="BH447" i="1"/>
  <c r="BI447" i="1"/>
  <c r="BH442" i="1"/>
  <c r="M190" i="6" s="1"/>
  <c r="BI442" i="1"/>
  <c r="N190" i="6" s="1"/>
  <c r="N189" i="6" s="1"/>
  <c r="N188" i="6" s="1"/>
  <c r="N187" i="6" s="1"/>
  <c r="BB430" i="1"/>
  <c r="G181" i="6" s="1"/>
  <c r="G180" i="6" s="1"/>
  <c r="G179" i="6" s="1"/>
  <c r="BC430" i="1"/>
  <c r="BB426" i="1"/>
  <c r="G178" i="6" s="1"/>
  <c r="BC426" i="1"/>
  <c r="H178" i="6" s="1"/>
  <c r="BB422" i="1"/>
  <c r="BC422" i="1"/>
  <c r="H177" i="6" s="1"/>
  <c r="H176" i="6" s="1"/>
  <c r="H175" i="6" s="1"/>
  <c r="BB414" i="1"/>
  <c r="BC414" i="1"/>
  <c r="G173" i="6"/>
  <c r="H173" i="6"/>
  <c r="BK69" i="1"/>
  <c r="D28" i="10" s="1"/>
  <c r="BL69" i="1"/>
  <c r="F28" i="10" s="1"/>
  <c r="BK70" i="1"/>
  <c r="D29" i="10" s="1"/>
  <c r="BL70" i="1"/>
  <c r="F29" i="10" s="1"/>
  <c r="BJ69" i="1"/>
  <c r="BK112" i="1"/>
  <c r="D43" i="10" s="1"/>
  <c r="BL112" i="1"/>
  <c r="F43" i="10" s="1"/>
  <c r="BJ112" i="1"/>
  <c r="BK405" i="1"/>
  <c r="BL405" i="1"/>
  <c r="BK406" i="1"/>
  <c r="BL406" i="1"/>
  <c r="BK407" i="1"/>
  <c r="BL407" i="1"/>
  <c r="BK408" i="1"/>
  <c r="BL408" i="1"/>
  <c r="BK409" i="1"/>
  <c r="BL409" i="1"/>
  <c r="BK410" i="1"/>
  <c r="BL410" i="1"/>
  <c r="BK411" i="1"/>
  <c r="BL411" i="1"/>
  <c r="BK412" i="1"/>
  <c r="BL412" i="1"/>
  <c r="BK413" i="1"/>
  <c r="BL413" i="1"/>
  <c r="BL404" i="1" s="1"/>
  <c r="BK415" i="1"/>
  <c r="BL415" i="1"/>
  <c r="BK416" i="1"/>
  <c r="BL416" i="1"/>
  <c r="BK417" i="1"/>
  <c r="BL417" i="1"/>
  <c r="BK418" i="1"/>
  <c r="BL418" i="1"/>
  <c r="BK419" i="1"/>
  <c r="BL419" i="1"/>
  <c r="BK423" i="1"/>
  <c r="BL423" i="1"/>
  <c r="BK424" i="1"/>
  <c r="BL424" i="1"/>
  <c r="BK425" i="1"/>
  <c r="BL425" i="1"/>
  <c r="BK427" i="1"/>
  <c r="D150" i="10" s="1"/>
  <c r="BL427" i="1"/>
  <c r="F150" i="10" s="1"/>
  <c r="BK431" i="1"/>
  <c r="BL431" i="1"/>
  <c r="BK432" i="1"/>
  <c r="BL432" i="1"/>
  <c r="BK433" i="1"/>
  <c r="BL433" i="1"/>
  <c r="BK434" i="1"/>
  <c r="BL434" i="1"/>
  <c r="BK435" i="1"/>
  <c r="BL435" i="1"/>
  <c r="BK436" i="1"/>
  <c r="BL436" i="1"/>
  <c r="D142" i="10"/>
  <c r="F142" i="10"/>
  <c r="G142" i="10" s="1"/>
  <c r="D128" i="10"/>
  <c r="F130" i="10"/>
  <c r="D132" i="10"/>
  <c r="F132" i="10"/>
  <c r="F133" i="10"/>
  <c r="D135" i="10"/>
  <c r="F135" i="10"/>
  <c r="D136" i="10"/>
  <c r="F136" i="10"/>
  <c r="D137" i="10"/>
  <c r="F137" i="10"/>
  <c r="D138" i="10"/>
  <c r="F138" i="10"/>
  <c r="D139" i="10"/>
  <c r="F139" i="10"/>
  <c r="D140" i="10"/>
  <c r="F140" i="10"/>
  <c r="D141" i="10"/>
  <c r="F141" i="10"/>
  <c r="BH389" i="1"/>
  <c r="BI389" i="1"/>
  <c r="BB389" i="1"/>
  <c r="P166" i="6" s="1"/>
  <c r="BC389" i="1"/>
  <c r="Q166" i="6" s="1"/>
  <c r="AM389" i="1"/>
  <c r="M166" i="6" s="1"/>
  <c r="AN389" i="1"/>
  <c r="N166" i="6" s="1"/>
  <c r="AJ389" i="1"/>
  <c r="G166" i="6" s="1"/>
  <c r="AK389" i="1"/>
  <c r="H166" i="6" s="1"/>
  <c r="AG389" i="1"/>
  <c r="J166" i="6" s="1"/>
  <c r="AH389" i="1"/>
  <c r="K166" i="6" s="1"/>
  <c r="AJ359" i="1"/>
  <c r="G165" i="6" s="1"/>
  <c r="AK359" i="1"/>
  <c r="H165" i="6" s="1"/>
  <c r="BB359" i="1"/>
  <c r="P165" i="6" s="1"/>
  <c r="BC359" i="1"/>
  <c r="Q165" i="6" s="1"/>
  <c r="BH359" i="1"/>
  <c r="BI359" i="1"/>
  <c r="D123" i="10"/>
  <c r="F124" i="10"/>
  <c r="D125" i="10"/>
  <c r="F125" i="10"/>
  <c r="F127" i="10"/>
  <c r="BH336" i="1"/>
  <c r="BI336" i="1"/>
  <c r="BB336" i="1"/>
  <c r="P164" i="6" s="1"/>
  <c r="BC336" i="1"/>
  <c r="AM336" i="1"/>
  <c r="AN336" i="1"/>
  <c r="N164" i="6" s="1"/>
  <c r="N163" i="6" s="1"/>
  <c r="N162" i="6" s="1"/>
  <c r="N161" i="6" s="1"/>
  <c r="AJ336" i="1"/>
  <c r="AK336" i="1"/>
  <c r="AG336" i="1"/>
  <c r="AH336" i="1"/>
  <c r="BB328" i="1"/>
  <c r="BC328" i="1"/>
  <c r="BB322" i="1"/>
  <c r="J156" i="6" s="1"/>
  <c r="BC322" i="1"/>
  <c r="BB318" i="1"/>
  <c r="J153" i="6" s="1"/>
  <c r="BC318" i="1"/>
  <c r="BB315" i="1"/>
  <c r="J151" i="6" s="1"/>
  <c r="BC315" i="1"/>
  <c r="BB307" i="1"/>
  <c r="J148" i="6" s="1"/>
  <c r="BC307" i="1"/>
  <c r="K148" i="6" s="1"/>
  <c r="BB299" i="1"/>
  <c r="J147" i="6" s="1"/>
  <c r="M147" i="6" s="1"/>
  <c r="BC299" i="1"/>
  <c r="K147" i="6" s="1"/>
  <c r="N147" i="6" s="1"/>
  <c r="BK329" i="1"/>
  <c r="D119" i="10" s="1"/>
  <c r="BL329" i="1"/>
  <c r="F119" i="10" s="1"/>
  <c r="BK330" i="1"/>
  <c r="D120" i="10" s="1"/>
  <c r="BL330" i="1"/>
  <c r="F120" i="10" s="1"/>
  <c r="BK331" i="1"/>
  <c r="D113" i="10" s="1"/>
  <c r="BL331" i="1"/>
  <c r="F113" i="10" s="1"/>
  <c r="BK323" i="1"/>
  <c r="D118" i="10" s="1"/>
  <c r="BL323" i="1"/>
  <c r="F118" i="10" s="1"/>
  <c r="BK324" i="1"/>
  <c r="BL324" i="1"/>
  <c r="F111" i="10" s="1"/>
  <c r="BK325" i="1"/>
  <c r="D110" i="10" s="1"/>
  <c r="BL325" i="1"/>
  <c r="F110" i="10" s="1"/>
  <c r="BK326" i="1"/>
  <c r="D114" i="10" s="1"/>
  <c r="BL326" i="1"/>
  <c r="F114" i="10" s="1"/>
  <c r="BK327" i="1"/>
  <c r="D115" i="10" s="1"/>
  <c r="BL327" i="1"/>
  <c r="F115" i="10" s="1"/>
  <c r="BK319" i="1"/>
  <c r="D117" i="10" s="1"/>
  <c r="BL319" i="1"/>
  <c r="F117" i="10" s="1"/>
  <c r="BL322" i="1"/>
  <c r="BK316" i="1"/>
  <c r="D116" i="10" s="1"/>
  <c r="BL316" i="1"/>
  <c r="BK318" i="1"/>
  <c r="BL318" i="1"/>
  <c r="BK315" i="1"/>
  <c r="BK308" i="1"/>
  <c r="BL308" i="1"/>
  <c r="BK309" i="1"/>
  <c r="BL309" i="1"/>
  <c r="BK310" i="1"/>
  <c r="D109" i="10" s="1"/>
  <c r="BL310" i="1"/>
  <c r="F109" i="10" s="1"/>
  <c r="BK311" i="1"/>
  <c r="BL311" i="1"/>
  <c r="BK312" i="1"/>
  <c r="BL312" i="1"/>
  <c r="BK300" i="1"/>
  <c r="D102" i="10" s="1"/>
  <c r="BL300" i="1"/>
  <c r="F102" i="10" s="1"/>
  <c r="BK301" i="1"/>
  <c r="D103" i="10" s="1"/>
  <c r="BL301" i="1"/>
  <c r="F103" i="10" s="1"/>
  <c r="BK302" i="1"/>
  <c r="D104" i="10" s="1"/>
  <c r="BL302" i="1"/>
  <c r="F104" i="10" s="1"/>
  <c r="BK303" i="1"/>
  <c r="D105" i="10" s="1"/>
  <c r="BL303" i="1"/>
  <c r="F105" i="10" s="1"/>
  <c r="G105" i="10" s="1"/>
  <c r="BK304" i="1"/>
  <c r="BL304" i="1"/>
  <c r="BK305" i="1"/>
  <c r="BL305" i="1"/>
  <c r="BK306" i="1"/>
  <c r="D107" i="10" s="1"/>
  <c r="BL306" i="1"/>
  <c r="F107" i="10" s="1"/>
  <c r="X307" i="1"/>
  <c r="G148" i="6" s="1"/>
  <c r="Y307" i="1"/>
  <c r="H148" i="6" s="1"/>
  <c r="F106" i="10" l="1"/>
  <c r="F112" i="10"/>
  <c r="N148" i="6"/>
  <c r="BC314" i="1"/>
  <c r="K151" i="6"/>
  <c r="BC317" i="1"/>
  <c r="K153" i="6"/>
  <c r="AH335" i="1"/>
  <c r="AH334" i="1" s="1"/>
  <c r="AH333" i="1" s="1"/>
  <c r="K164" i="6"/>
  <c r="K163" i="6" s="1"/>
  <c r="K162" i="6" s="1"/>
  <c r="K161" i="6" s="1"/>
  <c r="BL426" i="1"/>
  <c r="H154" i="5" s="1"/>
  <c r="F149" i="10"/>
  <c r="BL422" i="1"/>
  <c r="F147" i="10"/>
  <c r="F146" i="10"/>
  <c r="G174" i="6"/>
  <c r="BB403" i="1"/>
  <c r="BB402" i="1" s="1"/>
  <c r="N198" i="6"/>
  <c r="N197" i="6" s="1"/>
  <c r="N196" i="6" s="1"/>
  <c r="K197" i="6"/>
  <c r="K196" i="6" s="1"/>
  <c r="BF453" i="1"/>
  <c r="BF452" i="1" s="1"/>
  <c r="BK454" i="1"/>
  <c r="D158" i="10"/>
  <c r="BK461" i="1"/>
  <c r="BF460" i="1"/>
  <c r="BF459" i="1" s="1"/>
  <c r="K202" i="6"/>
  <c r="BE463" i="1"/>
  <c r="J204" i="6"/>
  <c r="BL463" i="1"/>
  <c r="H177" i="5"/>
  <c r="F161" i="10"/>
  <c r="Y453" i="1"/>
  <c r="X456" i="1"/>
  <c r="G199" i="6"/>
  <c r="M199" i="6" s="1"/>
  <c r="Y460" i="1"/>
  <c r="H202" i="6"/>
  <c r="H201" i="6" s="1"/>
  <c r="G204" i="6"/>
  <c r="G203" i="6" s="1"/>
  <c r="G200" i="6" s="1"/>
  <c r="D106" i="10"/>
  <c r="D112" i="10"/>
  <c r="BL317" i="1"/>
  <c r="H133" i="5"/>
  <c r="BL315" i="1"/>
  <c r="F116" i="10"/>
  <c r="M148" i="6"/>
  <c r="AG335" i="1"/>
  <c r="AG334" i="1" s="1"/>
  <c r="AG333" i="1" s="1"/>
  <c r="J164" i="6"/>
  <c r="J163" i="6" s="1"/>
  <c r="J162" i="6" s="1"/>
  <c r="J161" i="6" s="1"/>
  <c r="G125" i="10"/>
  <c r="G139" i="10"/>
  <c r="G138" i="10"/>
  <c r="G136" i="10"/>
  <c r="G135" i="10"/>
  <c r="BK426" i="1"/>
  <c r="G154" i="5" s="1"/>
  <c r="F148" i="10"/>
  <c r="BL414" i="1"/>
  <c r="H150" i="5" s="1"/>
  <c r="G13" i="9" s="1"/>
  <c r="D146" i="10"/>
  <c r="BC403" i="1"/>
  <c r="BC402" i="1" s="1"/>
  <c r="H174" i="6"/>
  <c r="H172" i="6" s="1"/>
  <c r="H171" i="6" s="1"/>
  <c r="BI441" i="1"/>
  <c r="BI440" i="1" s="1"/>
  <c r="BI439" i="1" s="1"/>
  <c r="BI481" i="1" s="1"/>
  <c r="BE453" i="1"/>
  <c r="BE452" i="1" s="1"/>
  <c r="J198" i="6"/>
  <c r="F154" i="10"/>
  <c r="F153" i="10" s="1"/>
  <c r="BL454" i="1"/>
  <c r="F158" i="10"/>
  <c r="BL461" i="1"/>
  <c r="J201" i="6"/>
  <c r="M202" i="6"/>
  <c r="M201" i="6" s="1"/>
  <c r="K203" i="6"/>
  <c r="BF463" i="1"/>
  <c r="BK464" i="1"/>
  <c r="D161" i="10"/>
  <c r="X453" i="1"/>
  <c r="G198" i="6"/>
  <c r="Y456" i="1"/>
  <c r="H204" i="6"/>
  <c r="H203" i="6" s="1"/>
  <c r="H55" i="9"/>
  <c r="W166" i="6"/>
  <c r="F144" i="10"/>
  <c r="V166" i="6"/>
  <c r="D144" i="10"/>
  <c r="H144" i="5"/>
  <c r="G144" i="5"/>
  <c r="G141" i="10"/>
  <c r="W165" i="6"/>
  <c r="G140" i="10"/>
  <c r="G137" i="10"/>
  <c r="P163" i="6"/>
  <c r="P162" i="6" s="1"/>
  <c r="P161" i="6" s="1"/>
  <c r="V165" i="6"/>
  <c r="F134" i="10"/>
  <c r="D134" i="10"/>
  <c r="D133" i="10"/>
  <c r="G133" i="10" s="1"/>
  <c r="G132" i="10"/>
  <c r="G143" i="5"/>
  <c r="F131" i="10"/>
  <c r="D131" i="10"/>
  <c r="D130" i="10"/>
  <c r="F129" i="10"/>
  <c r="D129" i="10"/>
  <c r="H143" i="5"/>
  <c r="F128" i="10"/>
  <c r="G128" i="10" s="1"/>
  <c r="D127" i="10"/>
  <c r="AN335" i="1"/>
  <c r="AN334" i="1" s="1"/>
  <c r="AN333" i="1" s="1"/>
  <c r="AN483" i="1" s="1"/>
  <c r="AM335" i="1"/>
  <c r="AM334" i="1" s="1"/>
  <c r="AM333" i="1" s="1"/>
  <c r="AM483" i="1" s="1"/>
  <c r="M164" i="6"/>
  <c r="M163" i="6" s="1"/>
  <c r="M162" i="6" s="1"/>
  <c r="M161" i="6" s="1"/>
  <c r="G127" i="10"/>
  <c r="F126" i="10"/>
  <c r="D126" i="10"/>
  <c r="BC335" i="1"/>
  <c r="BC334" i="1" s="1"/>
  <c r="BC333" i="1" s="1"/>
  <c r="Q164" i="6"/>
  <c r="Q163" i="6" s="1"/>
  <c r="Q162" i="6" s="1"/>
  <c r="Q161" i="6" s="1"/>
  <c r="D124" i="10"/>
  <c r="G124" i="10" s="1"/>
  <c r="F123" i="10"/>
  <c r="G123" i="10"/>
  <c r="BI335" i="1"/>
  <c r="BI334" i="1" s="1"/>
  <c r="BI333" i="1" s="1"/>
  <c r="G142" i="5"/>
  <c r="D122" i="10"/>
  <c r="AK335" i="1"/>
  <c r="AK334" i="1" s="1"/>
  <c r="AK333" i="1" s="1"/>
  <c r="AK483" i="1" s="1"/>
  <c r="H164" i="6"/>
  <c r="H142" i="5"/>
  <c r="F122" i="10"/>
  <c r="AJ335" i="1"/>
  <c r="AJ334" i="1" s="1"/>
  <c r="AJ333" i="1" s="1"/>
  <c r="AJ483" i="1" s="1"/>
  <c r="G164" i="6"/>
  <c r="Q191" i="6"/>
  <c r="P191" i="6"/>
  <c r="K189" i="6"/>
  <c r="K188" i="6" s="1"/>
  <c r="K187" i="6" s="1"/>
  <c r="J189" i="6"/>
  <c r="J188" i="6" s="1"/>
  <c r="J187" i="6" s="1"/>
  <c r="BF441" i="1"/>
  <c r="BF440" i="1" s="1"/>
  <c r="BF439" i="1" s="1"/>
  <c r="Q190" i="6"/>
  <c r="H189" i="6"/>
  <c r="H188" i="6" s="1"/>
  <c r="H187" i="6" s="1"/>
  <c r="BL442" i="1"/>
  <c r="H164" i="5" s="1"/>
  <c r="BB441" i="1"/>
  <c r="BB440" i="1" s="1"/>
  <c r="BB439" i="1" s="1"/>
  <c r="BB481" i="1" s="1"/>
  <c r="G190" i="6"/>
  <c r="G189" i="6" s="1"/>
  <c r="G188" i="6" s="1"/>
  <c r="G187" i="6" s="1"/>
  <c r="BC441" i="1"/>
  <c r="BC440" i="1" s="1"/>
  <c r="BC439" i="1" s="1"/>
  <c r="BC481" i="1" s="1"/>
  <c r="D154" i="10"/>
  <c r="D153" i="10" s="1"/>
  <c r="M189" i="6"/>
  <c r="M188" i="6" s="1"/>
  <c r="M187" i="6" s="1"/>
  <c r="P190" i="6"/>
  <c r="P189" i="6" s="1"/>
  <c r="P188" i="6" s="1"/>
  <c r="P187" i="6" s="1"/>
  <c r="BK442" i="1"/>
  <c r="G164" i="5" s="1"/>
  <c r="G211" i="6"/>
  <c r="G210" i="6" s="1"/>
  <c r="G209" i="6" s="1"/>
  <c r="G208" i="6" s="1"/>
  <c r="G113" i="10"/>
  <c r="BL328" i="1"/>
  <c r="BK328" i="1"/>
  <c r="G120" i="10"/>
  <c r="G115" i="10"/>
  <c r="G114" i="10"/>
  <c r="G110" i="10"/>
  <c r="BC321" i="1"/>
  <c r="BC320" i="1" s="1"/>
  <c r="K156" i="6"/>
  <c r="G111" i="10"/>
  <c r="M156" i="6"/>
  <c r="BL321" i="1"/>
  <c r="H136" i="5"/>
  <c r="BK322" i="1"/>
  <c r="D111" i="10"/>
  <c r="BB321" i="1"/>
  <c r="BB320" i="1" s="1"/>
  <c r="BK317" i="1"/>
  <c r="G133" i="5"/>
  <c r="G117" i="10"/>
  <c r="BB317" i="1"/>
  <c r="J152" i="6"/>
  <c r="M153" i="6"/>
  <c r="M152" i="6" s="1"/>
  <c r="BK314" i="1"/>
  <c r="BK313" i="1" s="1"/>
  <c r="G131" i="5"/>
  <c r="J130" i="5" s="1"/>
  <c r="J150" i="6"/>
  <c r="J149" i="6" s="1"/>
  <c r="M151" i="6"/>
  <c r="M150" i="6" s="1"/>
  <c r="M149" i="6" s="1"/>
  <c r="BB314" i="1"/>
  <c r="G116" i="10"/>
  <c r="G109" i="10"/>
  <c r="BL307" i="1"/>
  <c r="H128" i="5" s="1"/>
  <c r="G19" i="9" s="1"/>
  <c r="F108" i="10"/>
  <c r="BK307" i="1"/>
  <c r="G128" i="5" s="1"/>
  <c r="E19" i="9" s="1"/>
  <c r="D108" i="10"/>
  <c r="BL299" i="1"/>
  <c r="H127" i="5" s="1"/>
  <c r="G104" i="10"/>
  <c r="G103" i="10"/>
  <c r="BK299" i="1"/>
  <c r="G127" i="5" s="1"/>
  <c r="G102" i="10"/>
  <c r="G29" i="10"/>
  <c r="G28" i="10"/>
  <c r="G43" i="10"/>
  <c r="F151" i="10"/>
  <c r="F145" i="10" s="1"/>
  <c r="BL430" i="1"/>
  <c r="D151" i="10"/>
  <c r="BC429" i="1"/>
  <c r="BC428" i="1" s="1"/>
  <c r="H181" i="6"/>
  <c r="H180" i="6" s="1"/>
  <c r="H179" i="6" s="1"/>
  <c r="BK430" i="1"/>
  <c r="BB429" i="1"/>
  <c r="BB428" i="1" s="1"/>
  <c r="D149" i="10"/>
  <c r="G149" i="10" s="1"/>
  <c r="BK422" i="1"/>
  <c r="BB421" i="1"/>
  <c r="BB420" i="1" s="1"/>
  <c r="G177" i="6"/>
  <c r="G176" i="6" s="1"/>
  <c r="G175" i="6" s="1"/>
  <c r="D148" i="10"/>
  <c r="G148" i="10" s="1"/>
  <c r="BK414" i="1"/>
  <c r="G150" i="5" s="1"/>
  <c r="E13" i="9" s="1"/>
  <c r="G172" i="6"/>
  <c r="G171" i="6" s="1"/>
  <c r="BL403" i="1"/>
  <c r="BL402" i="1" s="1"/>
  <c r="H149" i="5"/>
  <c r="D147" i="10"/>
  <c r="G147" i="10" s="1"/>
  <c r="G146" i="10"/>
  <c r="BK404" i="1"/>
  <c r="Y459" i="1"/>
  <c r="X459" i="1"/>
  <c r="X452" i="1"/>
  <c r="Y452" i="1"/>
  <c r="BE459" i="1"/>
  <c r="BE451" i="1" s="1"/>
  <c r="BF451" i="1"/>
  <c r="BE441" i="1"/>
  <c r="BE440" i="1" s="1"/>
  <c r="BE439" i="1" s="1"/>
  <c r="BH441" i="1"/>
  <c r="BH440" i="1" s="1"/>
  <c r="BH439" i="1" s="1"/>
  <c r="BH481" i="1" s="1"/>
  <c r="BC421" i="1"/>
  <c r="BC420" i="1" s="1"/>
  <c r="BH335" i="1"/>
  <c r="BH334" i="1" s="1"/>
  <c r="BH333" i="1" s="1"/>
  <c r="BB335" i="1"/>
  <c r="BB334" i="1" s="1"/>
  <c r="BB333" i="1" s="1"/>
  <c r="BB313" i="1"/>
  <c r="BC313" i="1"/>
  <c r="BK289" i="1"/>
  <c r="BL289" i="1"/>
  <c r="BK290" i="1"/>
  <c r="D95" i="10" s="1"/>
  <c r="BL290" i="1"/>
  <c r="F95" i="10" s="1"/>
  <c r="BK291" i="1"/>
  <c r="D96" i="10" s="1"/>
  <c r="BL291" i="1"/>
  <c r="F96" i="10" s="1"/>
  <c r="BK292" i="1"/>
  <c r="BL292" i="1"/>
  <c r="BK293" i="1"/>
  <c r="BL293" i="1"/>
  <c r="BK294" i="1"/>
  <c r="D98" i="10" s="1"/>
  <c r="BL294" i="1"/>
  <c r="F98" i="10" s="1"/>
  <c r="BK295" i="1"/>
  <c r="D99" i="10" s="1"/>
  <c r="BL295" i="1"/>
  <c r="F99" i="10" s="1"/>
  <c r="BK296" i="1"/>
  <c r="BL296" i="1"/>
  <c r="BK297" i="1"/>
  <c r="BL297" i="1"/>
  <c r="BK298" i="1"/>
  <c r="D101" i="10" s="1"/>
  <c r="BL298" i="1"/>
  <c r="F101" i="10" s="1"/>
  <c r="BK286" i="1"/>
  <c r="D94" i="10" s="1"/>
  <c r="BL286" i="1"/>
  <c r="F94" i="10" s="1"/>
  <c r="BB288" i="1"/>
  <c r="BC288" i="1"/>
  <c r="K146" i="6" s="1"/>
  <c r="X288" i="1"/>
  <c r="Y288" i="1"/>
  <c r="H146" i="6" s="1"/>
  <c r="H145" i="6" s="1"/>
  <c r="BB285" i="1"/>
  <c r="BC285" i="1"/>
  <c r="BK282" i="1"/>
  <c r="BL282" i="1"/>
  <c r="BK283" i="1"/>
  <c r="BL283" i="1"/>
  <c r="BL285" i="1"/>
  <c r="H200" i="6" l="1"/>
  <c r="H195" i="6" s="1"/>
  <c r="X451" i="1"/>
  <c r="X481" i="1" s="1"/>
  <c r="G151" i="10"/>
  <c r="G112" i="10"/>
  <c r="BK463" i="1"/>
  <c r="G177" i="5"/>
  <c r="BL460" i="1"/>
  <c r="BL459" i="1" s="1"/>
  <c r="H175" i="5"/>
  <c r="BL453" i="1"/>
  <c r="BL452" i="1" s="1"/>
  <c r="H170" i="5"/>
  <c r="K169" i="5" s="1"/>
  <c r="N168" i="5" s="1"/>
  <c r="J197" i="6"/>
  <c r="J196" i="6" s="1"/>
  <c r="M198" i="6"/>
  <c r="M197" i="6" s="1"/>
  <c r="M196" i="6" s="1"/>
  <c r="BL314" i="1"/>
  <c r="BL313" i="1" s="1"/>
  <c r="H131" i="5"/>
  <c r="K130" i="5" s="1"/>
  <c r="D157" i="10"/>
  <c r="BC284" i="1"/>
  <c r="K144" i="6"/>
  <c r="Y287" i="1"/>
  <c r="BL284" i="1"/>
  <c r="H124" i="5"/>
  <c r="K123" i="5" s="1"/>
  <c r="X287" i="1"/>
  <c r="G146" i="6"/>
  <c r="G145" i="6" s="1"/>
  <c r="F100" i="10"/>
  <c r="Y451" i="1"/>
  <c r="Y481" i="1" s="1"/>
  <c r="H170" i="6"/>
  <c r="G197" i="6"/>
  <c r="G196" i="6" s="1"/>
  <c r="G195" i="6" s="1"/>
  <c r="N204" i="6"/>
  <c r="N203" i="6" s="1"/>
  <c r="J200" i="6"/>
  <c r="F157" i="10"/>
  <c r="F164" i="10"/>
  <c r="BC401" i="1"/>
  <c r="K132" i="5"/>
  <c r="G32" i="9"/>
  <c r="K176" i="5"/>
  <c r="G59" i="9"/>
  <c r="J203" i="6"/>
  <c r="M204" i="6"/>
  <c r="M203" i="6" s="1"/>
  <c r="M200" i="6" s="1"/>
  <c r="M195" i="6" s="1"/>
  <c r="G213" i="6" s="1"/>
  <c r="N202" i="6"/>
  <c r="N201" i="6" s="1"/>
  <c r="N200" i="6" s="1"/>
  <c r="N195" i="6" s="1"/>
  <c r="K201" i="6"/>
  <c r="K200" i="6" s="1"/>
  <c r="K195" i="6" s="1"/>
  <c r="G175" i="5"/>
  <c r="BK460" i="1"/>
  <c r="BK459" i="1" s="1"/>
  <c r="BK451" i="1" s="1"/>
  <c r="BK453" i="1"/>
  <c r="BK452" i="1" s="1"/>
  <c r="G170" i="5"/>
  <c r="J169" i="5" s="1"/>
  <c r="M168" i="5" s="1"/>
  <c r="BB401" i="1"/>
  <c r="BL421" i="1"/>
  <c r="BL420" i="1" s="1"/>
  <c r="H153" i="5"/>
  <c r="K152" i="6"/>
  <c r="N153" i="6"/>
  <c r="N152" i="6" s="1"/>
  <c r="K150" i="6"/>
  <c r="K149" i="6" s="1"/>
  <c r="N151" i="6"/>
  <c r="N150" i="6" s="1"/>
  <c r="N149" i="6" s="1"/>
  <c r="G129" i="10"/>
  <c r="G144" i="10"/>
  <c r="J141" i="5"/>
  <c r="M140" i="5" s="1"/>
  <c r="G134" i="10"/>
  <c r="G131" i="10"/>
  <c r="G130" i="10"/>
  <c r="G126" i="10"/>
  <c r="E7" i="9"/>
  <c r="D121" i="10"/>
  <c r="V163" i="6"/>
  <c r="V162" i="6" s="1"/>
  <c r="V161" i="6" s="1"/>
  <c r="G163" i="6"/>
  <c r="G162" i="6" s="1"/>
  <c r="G161" i="6" s="1"/>
  <c r="G122" i="10"/>
  <c r="F121" i="10"/>
  <c r="H163" i="6"/>
  <c r="H162" i="6" s="1"/>
  <c r="H161" i="6" s="1"/>
  <c r="W164" i="6"/>
  <c r="W163" i="6" s="1"/>
  <c r="W162" i="6" s="1"/>
  <c r="W161" i="6" s="1"/>
  <c r="G7" i="9"/>
  <c r="K141" i="5"/>
  <c r="N140" i="5" s="1"/>
  <c r="Q189" i="6"/>
  <c r="Q188" i="6" s="1"/>
  <c r="Q187" i="6" s="1"/>
  <c r="BK441" i="1"/>
  <c r="BK440" i="1" s="1"/>
  <c r="BK439" i="1" s="1"/>
  <c r="BF481" i="1"/>
  <c r="BE481" i="1"/>
  <c r="G154" i="10"/>
  <c r="BL441" i="1"/>
  <c r="BL440" i="1" s="1"/>
  <c r="BL439" i="1" s="1"/>
  <c r="G54" i="9"/>
  <c r="G52" i="9" s="1"/>
  <c r="H184" i="5"/>
  <c r="K163" i="5"/>
  <c r="E54" i="9"/>
  <c r="J163" i="5"/>
  <c r="G184" i="5"/>
  <c r="G153" i="10"/>
  <c r="D164" i="10"/>
  <c r="K157" i="6"/>
  <c r="N157" i="6" s="1"/>
  <c r="H137" i="5"/>
  <c r="K135" i="5" s="1"/>
  <c r="N134" i="5" s="1"/>
  <c r="BL320" i="1"/>
  <c r="J157" i="6"/>
  <c r="G137" i="5"/>
  <c r="N156" i="6"/>
  <c r="N155" i="6" s="1"/>
  <c r="N154" i="6" s="1"/>
  <c r="K155" i="6"/>
  <c r="K154" i="6" s="1"/>
  <c r="BK321" i="1"/>
  <c r="BK320" i="1" s="1"/>
  <c r="G136" i="5"/>
  <c r="J135" i="5" s="1"/>
  <c r="M134" i="5" s="1"/>
  <c r="J132" i="5"/>
  <c r="E32" i="9"/>
  <c r="M129" i="5"/>
  <c r="G108" i="10"/>
  <c r="H19" i="9"/>
  <c r="G101" i="10"/>
  <c r="D100" i="10"/>
  <c r="G100" i="10"/>
  <c r="G99" i="10"/>
  <c r="G98" i="10"/>
  <c r="BC287" i="1"/>
  <c r="D97" i="10"/>
  <c r="BL288" i="1"/>
  <c r="H126" i="5" s="1"/>
  <c r="F97" i="10"/>
  <c r="G97" i="10" s="1"/>
  <c r="BK288" i="1"/>
  <c r="G126" i="5" s="1"/>
  <c r="G96" i="10"/>
  <c r="N146" i="6"/>
  <c r="N145" i="6" s="1"/>
  <c r="K145" i="6"/>
  <c r="BB287" i="1"/>
  <c r="J146" i="6"/>
  <c r="G95" i="10"/>
  <c r="BK285" i="1"/>
  <c r="G94" i="10"/>
  <c r="BB284" i="1"/>
  <c r="J144" i="6"/>
  <c r="D93" i="10"/>
  <c r="D92" i="10" s="1"/>
  <c r="BL281" i="1"/>
  <c r="F93" i="10"/>
  <c r="D145" i="10"/>
  <c r="G145" i="10" s="1"/>
  <c r="BL429" i="1"/>
  <c r="BL428" i="1" s="1"/>
  <c r="BL401" i="1" s="1"/>
  <c r="H157" i="5"/>
  <c r="G157" i="5"/>
  <c r="BK429" i="1"/>
  <c r="BK428" i="1" s="1"/>
  <c r="G170" i="6"/>
  <c r="G153" i="5"/>
  <c r="BK421" i="1"/>
  <c r="BK420" i="1" s="1"/>
  <c r="H13" i="9"/>
  <c r="G12" i="9"/>
  <c r="K148" i="5"/>
  <c r="N147" i="5" s="1"/>
  <c r="BK403" i="1"/>
  <c r="BK402" i="1" s="1"/>
  <c r="G149" i="5"/>
  <c r="BK281" i="1"/>
  <c r="BB281" i="1"/>
  <c r="BC281" i="1"/>
  <c r="X280" i="1"/>
  <c r="X279" i="1" s="1"/>
  <c r="X278" i="1" s="1"/>
  <c r="X281" i="1"/>
  <c r="G142" i="6" s="1"/>
  <c r="G141" i="6" s="1"/>
  <c r="G140" i="6" s="1"/>
  <c r="G139" i="6" s="1"/>
  <c r="Y281" i="1"/>
  <c r="BB271" i="1"/>
  <c r="S132" i="6" s="1"/>
  <c r="Y132" i="6" s="1"/>
  <c r="BC271" i="1"/>
  <c r="T132" i="6" s="1"/>
  <c r="Z132" i="6" s="1"/>
  <c r="BK252" i="1"/>
  <c r="BL252" i="1"/>
  <c r="BJ252" i="1"/>
  <c r="H213" i="6" l="1"/>
  <c r="Y280" i="1"/>
  <c r="Y279" i="1" s="1"/>
  <c r="Y278" i="1" s="1"/>
  <c r="H142" i="6"/>
  <c r="H141" i="6" s="1"/>
  <c r="H140" i="6" s="1"/>
  <c r="H139" i="6" s="1"/>
  <c r="K152" i="5"/>
  <c r="N151" i="5" s="1"/>
  <c r="G33" i="9"/>
  <c r="K143" i="6"/>
  <c r="N144" i="6"/>
  <c r="N143" i="6" s="1"/>
  <c r="N129" i="5"/>
  <c r="J195" i="6"/>
  <c r="BL451" i="1"/>
  <c r="BL481" i="1" s="1"/>
  <c r="J176" i="5"/>
  <c r="E59" i="9"/>
  <c r="BK481" i="1"/>
  <c r="J174" i="5"/>
  <c r="M173" i="5" s="1"/>
  <c r="E57" i="9"/>
  <c r="G57" i="9"/>
  <c r="K174" i="5"/>
  <c r="N173" i="5" s="1"/>
  <c r="H7" i="9"/>
  <c r="G121" i="10"/>
  <c r="K184" i="5"/>
  <c r="N162" i="5"/>
  <c r="N184" i="5" s="1"/>
  <c r="G16" i="8"/>
  <c r="G164" i="10"/>
  <c r="M162" i="5"/>
  <c r="M184" i="5" s="1"/>
  <c r="J184" i="5"/>
  <c r="H54" i="9"/>
  <c r="E52" i="9"/>
  <c r="M157" i="6"/>
  <c r="M155" i="6" s="1"/>
  <c r="M154" i="6" s="1"/>
  <c r="J155" i="6"/>
  <c r="J154" i="6" s="1"/>
  <c r="H32" i="9"/>
  <c r="BK287" i="1"/>
  <c r="BL287" i="1"/>
  <c r="J145" i="6"/>
  <c r="M146" i="6"/>
  <c r="M145" i="6" s="1"/>
  <c r="E17" i="9"/>
  <c r="J125" i="5"/>
  <c r="G17" i="9"/>
  <c r="K125" i="5"/>
  <c r="J143" i="6"/>
  <c r="M144" i="6"/>
  <c r="M143" i="6" s="1"/>
  <c r="BK284" i="1"/>
  <c r="G124" i="5"/>
  <c r="J123" i="5" s="1"/>
  <c r="G93" i="10"/>
  <c r="F92" i="10"/>
  <c r="G92" i="10" s="1"/>
  <c r="BL280" i="1"/>
  <c r="H122" i="5"/>
  <c r="BC280" i="1"/>
  <c r="BC279" i="1" s="1"/>
  <c r="BC278" i="1" s="1"/>
  <c r="K142" i="6"/>
  <c r="BK280" i="1"/>
  <c r="BK279" i="1" s="1"/>
  <c r="BK278" i="1" s="1"/>
  <c r="G122" i="5"/>
  <c r="BB280" i="1"/>
  <c r="BB279" i="1" s="1"/>
  <c r="BB278" i="1" s="1"/>
  <c r="J142" i="6"/>
  <c r="K156" i="5"/>
  <c r="N155" i="5" s="1"/>
  <c r="G46" i="9"/>
  <c r="J156" i="5"/>
  <c r="M155" i="5" s="1"/>
  <c r="E46" i="9"/>
  <c r="BK401" i="1"/>
  <c r="E33" i="9"/>
  <c r="J152" i="5"/>
  <c r="M151" i="5" s="1"/>
  <c r="E12" i="9"/>
  <c r="J148" i="5"/>
  <c r="M147" i="5" s="1"/>
  <c r="BK249" i="1"/>
  <c r="BL249" i="1"/>
  <c r="BJ249" i="1"/>
  <c r="AG236" i="1"/>
  <c r="AH236" i="1"/>
  <c r="AP236" i="1"/>
  <c r="AQ236" i="1"/>
  <c r="AS236" i="1"/>
  <c r="AT236" i="1"/>
  <c r="N131" i="6" s="1"/>
  <c r="N130" i="6" s="1"/>
  <c r="N129" i="6" s="1"/>
  <c r="N128" i="6" s="1"/>
  <c r="AV236" i="1"/>
  <c r="AW236" i="1"/>
  <c r="Q131" i="6" s="1"/>
  <c r="Q130" i="6" s="1"/>
  <c r="Q129" i="6" s="1"/>
  <c r="Q128" i="6" s="1"/>
  <c r="BB236" i="1"/>
  <c r="BC236" i="1"/>
  <c r="T131" i="6" s="1"/>
  <c r="T130" i="6" s="1"/>
  <c r="T129" i="6" s="1"/>
  <c r="BH236" i="1"/>
  <c r="BI236" i="1"/>
  <c r="W131" i="6" s="1"/>
  <c r="W130" i="6" s="1"/>
  <c r="W129" i="6" s="1"/>
  <c r="W128" i="6" s="1"/>
  <c r="BK276" i="1"/>
  <c r="BL276" i="1"/>
  <c r="BB274" i="1"/>
  <c r="BB273" i="1" s="1"/>
  <c r="BB275" i="1"/>
  <c r="S135" i="6" s="1"/>
  <c r="BC275" i="1"/>
  <c r="BK272" i="1"/>
  <c r="BL272" i="1"/>
  <c r="BK237" i="1"/>
  <c r="BL237" i="1"/>
  <c r="BK238" i="1"/>
  <c r="BL238" i="1"/>
  <c r="BK239" i="1"/>
  <c r="BL239" i="1"/>
  <c r="BK240" i="1"/>
  <c r="BL240" i="1"/>
  <c r="BK241" i="1"/>
  <c r="BL241" i="1"/>
  <c r="BK242" i="1"/>
  <c r="BL242" i="1"/>
  <c r="BK243" i="1"/>
  <c r="BL243" i="1"/>
  <c r="BK244" i="1"/>
  <c r="BL244" i="1"/>
  <c r="BK245" i="1"/>
  <c r="BL245" i="1"/>
  <c r="BK246" i="1"/>
  <c r="BL246" i="1"/>
  <c r="BK247" i="1"/>
  <c r="BL247" i="1"/>
  <c r="BK248" i="1"/>
  <c r="BL248" i="1"/>
  <c r="BK250" i="1"/>
  <c r="BL250" i="1"/>
  <c r="BK251" i="1"/>
  <c r="BL251" i="1"/>
  <c r="BK253" i="1"/>
  <c r="BL253" i="1"/>
  <c r="BK254" i="1"/>
  <c r="BL254" i="1"/>
  <c r="BK255" i="1"/>
  <c r="BL255" i="1"/>
  <c r="BK256" i="1"/>
  <c r="BL256" i="1"/>
  <c r="BK257" i="1"/>
  <c r="BL257" i="1"/>
  <c r="BK258" i="1"/>
  <c r="BL258" i="1"/>
  <c r="BK259" i="1"/>
  <c r="BL259" i="1"/>
  <c r="BK260" i="1"/>
  <c r="BL260" i="1"/>
  <c r="BK261" i="1"/>
  <c r="BL261" i="1"/>
  <c r="BK262" i="1"/>
  <c r="BL262" i="1"/>
  <c r="BK263" i="1"/>
  <c r="BL263" i="1"/>
  <c r="BK264" i="1"/>
  <c r="BL264" i="1"/>
  <c r="BK265" i="1"/>
  <c r="BL265" i="1"/>
  <c r="BK266" i="1"/>
  <c r="BL266" i="1"/>
  <c r="BK267" i="1"/>
  <c r="BL267" i="1"/>
  <c r="BK268" i="1"/>
  <c r="BL268" i="1"/>
  <c r="BK269" i="1"/>
  <c r="BL269" i="1"/>
  <c r="BK270" i="1"/>
  <c r="BL270" i="1"/>
  <c r="BK228" i="1"/>
  <c r="D79" i="10" s="1"/>
  <c r="BL228" i="1"/>
  <c r="F79" i="10" s="1"/>
  <c r="BK231" i="1"/>
  <c r="D81" i="10" s="1"/>
  <c r="BL231" i="1"/>
  <c r="BK229" i="1"/>
  <c r="D80" i="10" s="1"/>
  <c r="BL229" i="1"/>
  <c r="BK230" i="1"/>
  <c r="G108" i="5" s="1"/>
  <c r="BB230" i="1"/>
  <c r="G124" i="6" s="1"/>
  <c r="BC230" i="1"/>
  <c r="BB226" i="1"/>
  <c r="BB225" i="1" s="1"/>
  <c r="BB224" i="1" s="1"/>
  <c r="BB227" i="1"/>
  <c r="G123" i="6" s="1"/>
  <c r="BC227" i="1"/>
  <c r="H123" i="6" s="1"/>
  <c r="BK220" i="1"/>
  <c r="BL220" i="1"/>
  <c r="BK221" i="1"/>
  <c r="BL221" i="1"/>
  <c r="BK222" i="1"/>
  <c r="BL222" i="1"/>
  <c r="BJ222" i="1"/>
  <c r="BJ221" i="1"/>
  <c r="BJ220" i="1"/>
  <c r="BL219" i="1"/>
  <c r="H102" i="5" s="1"/>
  <c r="G41" i="9" s="1"/>
  <c r="BK216" i="1"/>
  <c r="BL216" i="1"/>
  <c r="BK217" i="1"/>
  <c r="BL217" i="1"/>
  <c r="BK218" i="1"/>
  <c r="BL218" i="1"/>
  <c r="BJ218" i="1"/>
  <c r="BJ217" i="1"/>
  <c r="BJ216" i="1"/>
  <c r="BK214" i="1"/>
  <c r="BL214" i="1"/>
  <c r="BJ214" i="1"/>
  <c r="BK207" i="1"/>
  <c r="BL207" i="1"/>
  <c r="BK208" i="1"/>
  <c r="BL208" i="1"/>
  <c r="BK209" i="1"/>
  <c r="BL209" i="1"/>
  <c r="BK210" i="1"/>
  <c r="BL210" i="1"/>
  <c r="BK211" i="1"/>
  <c r="D73" i="10" s="1"/>
  <c r="BL211" i="1"/>
  <c r="F73" i="10" s="1"/>
  <c r="G73" i="10" s="1"/>
  <c r="BK212" i="1"/>
  <c r="D74" i="10" s="1"/>
  <c r="BL212" i="1"/>
  <c r="F74" i="10" s="1"/>
  <c r="BJ212" i="1"/>
  <c r="BJ211" i="1"/>
  <c r="BB219" i="1"/>
  <c r="G116" i="6" s="1"/>
  <c r="BC219" i="1"/>
  <c r="H116" i="6" s="1"/>
  <c r="BB215" i="1"/>
  <c r="G115" i="6" s="1"/>
  <c r="BC215" i="1"/>
  <c r="H115" i="6" s="1"/>
  <c r="BB213" i="1"/>
  <c r="G114" i="6" s="1"/>
  <c r="BC213" i="1"/>
  <c r="H114" i="6" s="1"/>
  <c r="BC206" i="1"/>
  <c r="BB206" i="1"/>
  <c r="G113" i="6" s="1"/>
  <c r="BB203" i="1"/>
  <c r="G112" i="6" s="1"/>
  <c r="BC203" i="1"/>
  <c r="H112" i="6" s="1"/>
  <c r="BK204" i="1"/>
  <c r="BL204" i="1"/>
  <c r="BK205" i="1"/>
  <c r="BK203" i="1" s="1"/>
  <c r="G98" i="5" s="1"/>
  <c r="BL205" i="1"/>
  <c r="BJ205" i="1"/>
  <c r="BJ204" i="1"/>
  <c r="BK199" i="1"/>
  <c r="BL199" i="1"/>
  <c r="BK200" i="1"/>
  <c r="BL200" i="1"/>
  <c r="BJ200" i="1"/>
  <c r="BJ199" i="1"/>
  <c r="BK198" i="1"/>
  <c r="BB198" i="1"/>
  <c r="BC198" i="1"/>
  <c r="BB193" i="1"/>
  <c r="G107" i="6" s="1"/>
  <c r="BC193" i="1"/>
  <c r="H107" i="6" s="1"/>
  <c r="BK194" i="1"/>
  <c r="BL194" i="1"/>
  <c r="BK195" i="1"/>
  <c r="BL195" i="1"/>
  <c r="BK196" i="1"/>
  <c r="BL196" i="1"/>
  <c r="BJ196" i="1"/>
  <c r="BJ195" i="1"/>
  <c r="BJ194" i="1"/>
  <c r="BJ192" i="1"/>
  <c r="BB186" i="1"/>
  <c r="G104" i="6" s="1"/>
  <c r="BC186" i="1"/>
  <c r="H104" i="6" s="1"/>
  <c r="BB188" i="1"/>
  <c r="G105" i="6" s="1"/>
  <c r="BC188" i="1"/>
  <c r="H105" i="6" s="1"/>
  <c r="BB190" i="1"/>
  <c r="G106" i="6" s="1"/>
  <c r="BC190" i="1"/>
  <c r="H106" i="6" s="1"/>
  <c r="BK191" i="1"/>
  <c r="BL191" i="1"/>
  <c r="BK192" i="1"/>
  <c r="BL192" i="1"/>
  <c r="BJ191" i="1"/>
  <c r="BL190" i="1"/>
  <c r="H92" i="5" s="1"/>
  <c r="G28" i="9" s="1"/>
  <c r="BK189" i="1"/>
  <c r="D67" i="10" s="1"/>
  <c r="BL189" i="1"/>
  <c r="F67" i="10" s="1"/>
  <c r="BJ189" i="1"/>
  <c r="BK187" i="1"/>
  <c r="D66" i="10" s="1"/>
  <c r="BL187" i="1"/>
  <c r="F66" i="10" s="1"/>
  <c r="BJ187" i="1"/>
  <c r="BK184" i="1"/>
  <c r="BL184" i="1"/>
  <c r="BK185" i="1"/>
  <c r="BL185" i="1"/>
  <c r="BJ185" i="1"/>
  <c r="BJ184" i="1"/>
  <c r="BK183" i="1"/>
  <c r="G89" i="5" s="1"/>
  <c r="E25" i="9" s="1"/>
  <c r="BL183" i="1"/>
  <c r="H89" i="5" s="1"/>
  <c r="G25" i="9" s="1"/>
  <c r="BK182" i="1"/>
  <c r="D64" i="10" s="1"/>
  <c r="BL182" i="1"/>
  <c r="F64" i="10" s="1"/>
  <c r="BJ182" i="1"/>
  <c r="BB183" i="1"/>
  <c r="G103" i="6" s="1"/>
  <c r="BC183" i="1"/>
  <c r="H103" i="6" s="1"/>
  <c r="BB181" i="1"/>
  <c r="G102" i="6" s="1"/>
  <c r="BC181" i="1"/>
  <c r="H102" i="6" s="1"/>
  <c r="BK170" i="1"/>
  <c r="BL170" i="1"/>
  <c r="BK171" i="1"/>
  <c r="BL171" i="1"/>
  <c r="BK172" i="1"/>
  <c r="BL172" i="1"/>
  <c r="BK173" i="1"/>
  <c r="BL173" i="1"/>
  <c r="BK174" i="1"/>
  <c r="BL174" i="1"/>
  <c r="BK175" i="1"/>
  <c r="BL175" i="1"/>
  <c r="BK176" i="1"/>
  <c r="BL176" i="1"/>
  <c r="BK177" i="1"/>
  <c r="BL177" i="1"/>
  <c r="BK178" i="1"/>
  <c r="BL178" i="1"/>
  <c r="BK179" i="1"/>
  <c r="BL179" i="1"/>
  <c r="BK180" i="1"/>
  <c r="D63" i="10" s="1"/>
  <c r="BL180" i="1"/>
  <c r="F63" i="10" s="1"/>
  <c r="BJ180" i="1"/>
  <c r="BJ179" i="1"/>
  <c r="BJ178" i="1"/>
  <c r="BJ177" i="1"/>
  <c r="BJ176" i="1"/>
  <c r="BJ175" i="1"/>
  <c r="BJ174" i="1"/>
  <c r="BJ173" i="1"/>
  <c r="BJ172" i="1"/>
  <c r="BJ171" i="1"/>
  <c r="BJ170" i="1"/>
  <c r="BK161" i="1"/>
  <c r="BL161" i="1"/>
  <c r="BK162" i="1"/>
  <c r="BL162" i="1"/>
  <c r="BK163" i="1"/>
  <c r="BL163" i="1"/>
  <c r="BK164" i="1"/>
  <c r="BL164" i="1"/>
  <c r="BL160" i="1"/>
  <c r="BK151" i="1"/>
  <c r="BL151" i="1"/>
  <c r="BK152" i="1"/>
  <c r="BL152" i="1"/>
  <c r="BK153" i="1"/>
  <c r="BL153" i="1"/>
  <c r="BK154" i="1"/>
  <c r="BL154" i="1"/>
  <c r="F54" i="10" s="1"/>
  <c r="BK155" i="1"/>
  <c r="BL155" i="1"/>
  <c r="BK156" i="1"/>
  <c r="BL156" i="1"/>
  <c r="BK157" i="1"/>
  <c r="BL157" i="1"/>
  <c r="BK158" i="1"/>
  <c r="D56" i="10" s="1"/>
  <c r="BL158" i="1"/>
  <c r="F56" i="10" s="1"/>
  <c r="G56" i="10" s="1"/>
  <c r="BE150" i="1"/>
  <c r="BF150" i="1"/>
  <c r="BB150" i="1"/>
  <c r="BC150" i="1"/>
  <c r="H92" i="6" s="1"/>
  <c r="BB143" i="1"/>
  <c r="J85" i="6" s="1"/>
  <c r="BC143" i="1"/>
  <c r="K85" i="6" s="1"/>
  <c r="BE143" i="1"/>
  <c r="M85" i="6" s="1"/>
  <c r="BF143" i="1"/>
  <c r="N85" i="6" s="1"/>
  <c r="BK144" i="1"/>
  <c r="BL144" i="1"/>
  <c r="BK145" i="1"/>
  <c r="BL145" i="1"/>
  <c r="BC133" i="1"/>
  <c r="BC132" i="1" s="1"/>
  <c r="BC131" i="1" s="1"/>
  <c r="BL135" i="1"/>
  <c r="BK135" i="1"/>
  <c r="X134" i="1"/>
  <c r="Y134" i="1"/>
  <c r="BB134" i="1"/>
  <c r="J84" i="6" s="1"/>
  <c r="BC134" i="1"/>
  <c r="K84" i="6" s="1"/>
  <c r="K83" i="6" s="1"/>
  <c r="K82" i="6" s="1"/>
  <c r="K81" i="6" s="1"/>
  <c r="BE134" i="1"/>
  <c r="BF134" i="1"/>
  <c r="N84" i="6" s="1"/>
  <c r="N83" i="6" s="1"/>
  <c r="N82" i="6" s="1"/>
  <c r="N81" i="6" s="1"/>
  <c r="BK136" i="1"/>
  <c r="BL136" i="1"/>
  <c r="BK137" i="1"/>
  <c r="BL137" i="1"/>
  <c r="BK138" i="1"/>
  <c r="BL138" i="1"/>
  <c r="BK139" i="1"/>
  <c r="BL139" i="1"/>
  <c r="BL134" i="1" s="1"/>
  <c r="H74" i="5" s="1"/>
  <c r="BK140" i="1"/>
  <c r="BL140" i="1"/>
  <c r="BK141" i="1"/>
  <c r="BL141" i="1"/>
  <c r="BK142" i="1"/>
  <c r="D50" i="10" s="1"/>
  <c r="BL142" i="1"/>
  <c r="F50" i="10" s="1"/>
  <c r="BK125" i="1"/>
  <c r="D42" i="10" s="1"/>
  <c r="BL125" i="1"/>
  <c r="BK126" i="1"/>
  <c r="BL126" i="1"/>
  <c r="BK127" i="1"/>
  <c r="BL127" i="1"/>
  <c r="BK128" i="1"/>
  <c r="BL128" i="1"/>
  <c r="BK129" i="1"/>
  <c r="BL129" i="1"/>
  <c r="BK119" i="1"/>
  <c r="BL119" i="1"/>
  <c r="BK120" i="1"/>
  <c r="BL120" i="1"/>
  <c r="BK121" i="1"/>
  <c r="BL121" i="1"/>
  <c r="BK116" i="1"/>
  <c r="D44" i="10" s="1"/>
  <c r="BL116" i="1"/>
  <c r="F44" i="10" s="1"/>
  <c r="BK111" i="1"/>
  <c r="BL111" i="1"/>
  <c r="BL108" i="1"/>
  <c r="BK108" i="1"/>
  <c r="BK102" i="1"/>
  <c r="BL102" i="1"/>
  <c r="BK103" i="1"/>
  <c r="BL103" i="1"/>
  <c r="BK104" i="1"/>
  <c r="BL104" i="1"/>
  <c r="BK105" i="1"/>
  <c r="BL105" i="1"/>
  <c r="BK106" i="1"/>
  <c r="BL106" i="1"/>
  <c r="BK99" i="1"/>
  <c r="D38" i="10" s="1"/>
  <c r="BL99" i="1"/>
  <c r="F38" i="10" s="1"/>
  <c r="BK96" i="1"/>
  <c r="D37" i="10" s="1"/>
  <c r="BL96" i="1"/>
  <c r="F37" i="10" s="1"/>
  <c r="BK94" i="1"/>
  <c r="D36" i="10" s="1"/>
  <c r="BL94" i="1"/>
  <c r="F36" i="10" s="1"/>
  <c r="BK92" i="1"/>
  <c r="D35" i="10" s="1"/>
  <c r="BL92" i="1"/>
  <c r="BK86" i="1"/>
  <c r="D33" i="10" s="1"/>
  <c r="BL86" i="1"/>
  <c r="F33" i="10" s="1"/>
  <c r="BK84" i="1"/>
  <c r="D32" i="10" s="1"/>
  <c r="BL84" i="1"/>
  <c r="F32" i="10" s="1"/>
  <c r="BK75" i="1"/>
  <c r="BL75" i="1"/>
  <c r="BK76" i="1"/>
  <c r="BL76" i="1"/>
  <c r="BK77" i="1"/>
  <c r="BL77" i="1"/>
  <c r="BK78" i="1"/>
  <c r="BL78" i="1"/>
  <c r="BK79" i="1"/>
  <c r="BL79" i="1"/>
  <c r="BK80" i="1"/>
  <c r="BL80" i="1"/>
  <c r="BK73" i="1"/>
  <c r="D30" i="10" s="1"/>
  <c r="BL73" i="1"/>
  <c r="F30" i="10" s="1"/>
  <c r="BK64" i="1"/>
  <c r="BL64" i="1"/>
  <c r="BK65" i="1"/>
  <c r="BL65" i="1"/>
  <c r="BK66" i="1"/>
  <c r="D27" i="10" s="1"/>
  <c r="BL66" i="1"/>
  <c r="F27" i="10" s="1"/>
  <c r="BK60" i="1"/>
  <c r="D25" i="10" s="1"/>
  <c r="BL60" i="1"/>
  <c r="F25" i="10" s="1"/>
  <c r="BK57" i="1"/>
  <c r="D24" i="10" s="1"/>
  <c r="BL57" i="1"/>
  <c r="F24" i="10" s="1"/>
  <c r="BK54" i="1"/>
  <c r="D23" i="10" s="1"/>
  <c r="BL54" i="1"/>
  <c r="F23" i="10" s="1"/>
  <c r="BK51" i="1"/>
  <c r="D22" i="10" s="1"/>
  <c r="BL51" i="1"/>
  <c r="F22" i="10" s="1"/>
  <c r="BK48" i="1"/>
  <c r="D21" i="10" s="1"/>
  <c r="BL48" i="1"/>
  <c r="F21" i="10" s="1"/>
  <c r="BK41" i="1"/>
  <c r="D18" i="10" s="1"/>
  <c r="BL41" i="1"/>
  <c r="F18" i="10" s="1"/>
  <c r="BK42" i="1"/>
  <c r="D19" i="10" s="1"/>
  <c r="BL42" i="1"/>
  <c r="F19" i="10" s="1"/>
  <c r="BK26" i="1"/>
  <c r="D12" i="10" s="1"/>
  <c r="BL26" i="1"/>
  <c r="F12" i="10" s="1"/>
  <c r="BK27" i="1"/>
  <c r="D13" i="10" s="1"/>
  <c r="BL27" i="1"/>
  <c r="F13" i="10" s="1"/>
  <c r="BK28" i="1"/>
  <c r="D14" i="10" s="1"/>
  <c r="BL28" i="1"/>
  <c r="F14" i="10" s="1"/>
  <c r="BK29" i="1"/>
  <c r="BL29" i="1"/>
  <c r="BK30" i="1"/>
  <c r="BL30" i="1"/>
  <c r="BK31" i="1"/>
  <c r="BL31" i="1"/>
  <c r="BK32" i="1"/>
  <c r="BL32" i="1"/>
  <c r="BK33" i="1"/>
  <c r="BL33" i="1"/>
  <c r="BK34" i="1"/>
  <c r="BL34" i="1"/>
  <c r="BK35" i="1"/>
  <c r="D16" i="10" s="1"/>
  <c r="BL35" i="1"/>
  <c r="F16" i="10" s="1"/>
  <c r="BK23" i="1"/>
  <c r="BL23" i="1"/>
  <c r="BK24" i="1"/>
  <c r="D11" i="10" s="1"/>
  <c r="BL24" i="1"/>
  <c r="F11" i="10" s="1"/>
  <c r="BK17" i="1"/>
  <c r="BL17" i="1"/>
  <c r="BK13" i="1"/>
  <c r="BL13" i="1"/>
  <c r="F5" i="10" s="1"/>
  <c r="BK14" i="1"/>
  <c r="D6" i="10" s="1"/>
  <c r="BL14" i="1"/>
  <c r="F6" i="10" s="1"/>
  <c r="BK15" i="1"/>
  <c r="D7" i="10" s="1"/>
  <c r="BL15" i="1"/>
  <c r="F7" i="10" s="1"/>
  <c r="BL12" i="1"/>
  <c r="BB124" i="1"/>
  <c r="BC124" i="1"/>
  <c r="BL115" i="1"/>
  <c r="BB118" i="1"/>
  <c r="BC118" i="1"/>
  <c r="BB115" i="1"/>
  <c r="BC115" i="1"/>
  <c r="BB107" i="1"/>
  <c r="J67" i="6" s="1"/>
  <c r="M67" i="6" s="1"/>
  <c r="BC107" i="1"/>
  <c r="K67" i="6" s="1"/>
  <c r="N67" i="6" s="1"/>
  <c r="BB101" i="1"/>
  <c r="J66" i="6" s="1"/>
  <c r="BC101" i="1"/>
  <c r="BB98" i="1"/>
  <c r="BC98" i="1"/>
  <c r="BB95" i="1"/>
  <c r="J62" i="6" s="1"/>
  <c r="M62" i="6" s="1"/>
  <c r="BC95" i="1"/>
  <c r="K62" i="6" s="1"/>
  <c r="N62" i="6" s="1"/>
  <c r="BB93" i="1"/>
  <c r="J61" i="6" s="1"/>
  <c r="M61" i="6" s="1"/>
  <c r="BC93" i="1"/>
  <c r="K61" i="6" s="1"/>
  <c r="N61" i="6" s="1"/>
  <c r="BB40" i="1"/>
  <c r="BC40" i="1"/>
  <c r="BH40" i="1"/>
  <c r="BH39" i="1" s="1"/>
  <c r="BH38" i="1" s="1"/>
  <c r="BH37" i="1" s="1"/>
  <c r="BI40" i="1"/>
  <c r="BI39" i="1" s="1"/>
  <c r="BI38" i="1" s="1"/>
  <c r="BI37" i="1" s="1"/>
  <c r="BB25" i="1"/>
  <c r="BC25" i="1"/>
  <c r="BK186" i="1"/>
  <c r="G90" i="5" s="1"/>
  <c r="E26" i="9" s="1"/>
  <c r="BL186" i="1"/>
  <c r="H90" i="5" s="1"/>
  <c r="G26" i="9" s="1"/>
  <c r="BB169" i="1"/>
  <c r="G101" i="6" s="1"/>
  <c r="BC169" i="1"/>
  <c r="H101" i="6" s="1"/>
  <c r="H100" i="6" s="1"/>
  <c r="BB160" i="1"/>
  <c r="BC160" i="1"/>
  <c r="H94" i="6" s="1"/>
  <c r="BB110" i="1"/>
  <c r="J69" i="6" s="1"/>
  <c r="J68" i="6" s="1"/>
  <c r="BC110" i="1"/>
  <c r="K69" i="6" s="1"/>
  <c r="K68" i="6" s="1"/>
  <c r="AA110" i="1"/>
  <c r="AB110" i="1"/>
  <c r="H69" i="6" s="1"/>
  <c r="N69" i="6" s="1"/>
  <c r="N68" i="6" s="1"/>
  <c r="BC109" i="1" l="1"/>
  <c r="N94" i="6"/>
  <c r="H93" i="6"/>
  <c r="BC159" i="1"/>
  <c r="J25" i="6"/>
  <c r="J24" i="6" s="1"/>
  <c r="J23" i="6" s="1"/>
  <c r="BB39" i="1"/>
  <c r="BB38" i="1" s="1"/>
  <c r="BB37" i="1" s="1"/>
  <c r="BB97" i="1"/>
  <c r="J64" i="6"/>
  <c r="BB114" i="1"/>
  <c r="J72" i="6"/>
  <c r="BB117" i="1"/>
  <c r="J74" i="6"/>
  <c r="BC123" i="1"/>
  <c r="BC122" i="1" s="1"/>
  <c r="K77" i="6"/>
  <c r="D8" i="10"/>
  <c r="BK16" i="1"/>
  <c r="D10" i="10"/>
  <c r="BK22" i="1"/>
  <c r="D15" i="10"/>
  <c r="D17" i="10"/>
  <c r="D31" i="10"/>
  <c r="BL107" i="1"/>
  <c r="H59" i="5" s="1"/>
  <c r="G18" i="9" s="1"/>
  <c r="F40" i="10"/>
  <c r="BK118" i="1"/>
  <c r="F49" i="10"/>
  <c r="BF133" i="1"/>
  <c r="BF132" i="1" s="1"/>
  <c r="BF131" i="1" s="1"/>
  <c r="F51" i="10"/>
  <c r="Q85" i="6"/>
  <c r="H91" i="6"/>
  <c r="H90" i="6" s="1"/>
  <c r="H89" i="6" s="1"/>
  <c r="BC149" i="1"/>
  <c r="BE149" i="1"/>
  <c r="BE148" i="1" s="1"/>
  <c r="BE147" i="1" s="1"/>
  <c r="J92" i="6"/>
  <c r="J91" i="6" s="1"/>
  <c r="J90" i="6" s="1"/>
  <c r="J89" i="6" s="1"/>
  <c r="F55" i="10"/>
  <c r="F53" i="10"/>
  <c r="D57" i="10"/>
  <c r="BK160" i="1"/>
  <c r="F62" i="10"/>
  <c r="F61" i="10"/>
  <c r="F60" i="10"/>
  <c r="F59" i="10"/>
  <c r="BK188" i="1"/>
  <c r="G91" i="5" s="1"/>
  <c r="E27" i="9" s="1"/>
  <c r="D68" i="10"/>
  <c r="BB197" i="1"/>
  <c r="G109" i="6"/>
  <c r="G108" i="6" s="1"/>
  <c r="BL198" i="1"/>
  <c r="F70" i="10"/>
  <c r="BL203" i="1"/>
  <c r="H98" i="5" s="1"/>
  <c r="G37" i="9" s="1"/>
  <c r="F71" i="10"/>
  <c r="F72" i="10"/>
  <c r="F76" i="10"/>
  <c r="BL215" i="1"/>
  <c r="H101" i="5" s="1"/>
  <c r="F77" i="10"/>
  <c r="F89" i="10"/>
  <c r="F88" i="10"/>
  <c r="F87" i="10"/>
  <c r="F85" i="10"/>
  <c r="F84" i="10"/>
  <c r="F90" i="10"/>
  <c r="BL271" i="1"/>
  <c r="H114" i="5" s="1"/>
  <c r="G11" i="9" s="1"/>
  <c r="BC274" i="1"/>
  <c r="BC273" i="1" s="1"/>
  <c r="T135" i="6"/>
  <c r="D91" i="10"/>
  <c r="BK275" i="1"/>
  <c r="BH235" i="1"/>
  <c r="BH234" i="1" s="1"/>
  <c r="BH233" i="1" s="1"/>
  <c r="BH483" i="1" s="1"/>
  <c r="V131" i="6"/>
  <c r="V130" i="6" s="1"/>
  <c r="V129" i="6" s="1"/>
  <c r="V128" i="6" s="1"/>
  <c r="G56" i="9"/>
  <c r="E56" i="9"/>
  <c r="E60" i="9" s="1"/>
  <c r="BB109" i="1"/>
  <c r="BB159" i="1"/>
  <c r="G94" i="6"/>
  <c r="K25" i="6"/>
  <c r="K24" i="6" s="1"/>
  <c r="K23" i="6" s="1"/>
  <c r="BC39" i="1"/>
  <c r="BC38" i="1" s="1"/>
  <c r="BC37" i="1" s="1"/>
  <c r="BC97" i="1"/>
  <c r="K64" i="6"/>
  <c r="BC100" i="1"/>
  <c r="K66" i="6"/>
  <c r="BC114" i="1"/>
  <c r="K72" i="6"/>
  <c r="BC117" i="1"/>
  <c r="K74" i="6"/>
  <c r="BB123" i="1"/>
  <c r="BB122" i="1" s="1"/>
  <c r="J77" i="6"/>
  <c r="G6" i="10"/>
  <c r="F8" i="10"/>
  <c r="G8" i="10" s="1"/>
  <c r="BL16" i="1"/>
  <c r="G11" i="10"/>
  <c r="F10" i="10"/>
  <c r="F9" i="10" s="1"/>
  <c r="BL22" i="1"/>
  <c r="G16" i="10"/>
  <c r="F15" i="10"/>
  <c r="G15" i="10" s="1"/>
  <c r="G14" i="10"/>
  <c r="G13" i="10"/>
  <c r="G12" i="10"/>
  <c r="F17" i="10"/>
  <c r="G17" i="10" s="1"/>
  <c r="G19" i="10"/>
  <c r="G18" i="10"/>
  <c r="F26" i="10"/>
  <c r="F31" i="10"/>
  <c r="F35" i="10"/>
  <c r="K60" i="6"/>
  <c r="K59" i="6" s="1"/>
  <c r="G37" i="10"/>
  <c r="D49" i="10"/>
  <c r="D48" i="10"/>
  <c r="BE133" i="1"/>
  <c r="BE132" i="1" s="1"/>
  <c r="BE131" i="1" s="1"/>
  <c r="M84" i="6"/>
  <c r="M83" i="6" s="1"/>
  <c r="M82" i="6" s="1"/>
  <c r="M81" i="6" s="1"/>
  <c r="Y133" i="1"/>
  <c r="Y132" i="1" s="1"/>
  <c r="Y131" i="1" s="1"/>
  <c r="H84" i="6"/>
  <c r="F48" i="10"/>
  <c r="F47" i="10" s="1"/>
  <c r="BL143" i="1"/>
  <c r="P85" i="6"/>
  <c r="BB149" i="1"/>
  <c r="G92" i="6"/>
  <c r="BF149" i="1"/>
  <c r="BF148" i="1" s="1"/>
  <c r="BF147" i="1" s="1"/>
  <c r="BF483" i="1" s="1"/>
  <c r="K92" i="6"/>
  <c r="K91" i="6" s="1"/>
  <c r="K90" i="6" s="1"/>
  <c r="K89" i="6" s="1"/>
  <c r="BL150" i="1"/>
  <c r="D55" i="10"/>
  <c r="D53" i="10"/>
  <c r="G53" i="10" s="1"/>
  <c r="F57" i="10"/>
  <c r="D61" i="10"/>
  <c r="D59" i="10"/>
  <c r="G64" i="10"/>
  <c r="H25" i="9"/>
  <c r="F65" i="10"/>
  <c r="BL188" i="1"/>
  <c r="H91" i="5" s="1"/>
  <c r="G27" i="9" s="1"/>
  <c r="F68" i="10"/>
  <c r="F69" i="10"/>
  <c r="BC197" i="1"/>
  <c r="H109" i="6"/>
  <c r="H108" i="6" s="1"/>
  <c r="H99" i="6" s="1"/>
  <c r="BK197" i="1"/>
  <c r="G95" i="5"/>
  <c r="J94" i="5" s="1"/>
  <c r="D70" i="10"/>
  <c r="D71" i="10"/>
  <c r="D76" i="10"/>
  <c r="BK215" i="1"/>
  <c r="G101" i="5" s="1"/>
  <c r="BK219" i="1"/>
  <c r="G102" i="5" s="1"/>
  <c r="E41" i="9" s="1"/>
  <c r="D77" i="10"/>
  <c r="G122" i="6"/>
  <c r="G121" i="6" s="1"/>
  <c r="G120" i="6" s="1"/>
  <c r="D89" i="10"/>
  <c r="D88" i="10"/>
  <c r="D87" i="10"/>
  <c r="D85" i="10"/>
  <c r="D84" i="10"/>
  <c r="D90" i="10"/>
  <c r="BK271" i="1"/>
  <c r="G114" i="5" s="1"/>
  <c r="E11" i="9" s="1"/>
  <c r="S134" i="6"/>
  <c r="S133" i="6" s="1"/>
  <c r="Y135" i="6"/>
  <c r="Y134" i="6" s="1"/>
  <c r="Y133" i="6" s="1"/>
  <c r="F91" i="10"/>
  <c r="BL275" i="1"/>
  <c r="BI235" i="1"/>
  <c r="BI234" i="1" s="1"/>
  <c r="BI233" i="1" s="1"/>
  <c r="BI483" i="1" s="1"/>
  <c r="E16" i="8"/>
  <c r="H52" i="9"/>
  <c r="BK143" i="1"/>
  <c r="G75" i="5" s="1"/>
  <c r="E15" i="9" s="1"/>
  <c r="D51" i="10"/>
  <c r="G49" i="10"/>
  <c r="X133" i="1"/>
  <c r="X132" i="1" s="1"/>
  <c r="X131" i="1" s="1"/>
  <c r="G84" i="6"/>
  <c r="G83" i="6" s="1"/>
  <c r="G82" i="6" s="1"/>
  <c r="G81" i="6" s="1"/>
  <c r="J83" i="6"/>
  <c r="J82" i="6" s="1"/>
  <c r="J81" i="6" s="1"/>
  <c r="BK134" i="1"/>
  <c r="G74" i="5" s="1"/>
  <c r="J73" i="5" s="1"/>
  <c r="M72" i="5" s="1"/>
  <c r="G48" i="10"/>
  <c r="BB133" i="1"/>
  <c r="BB132" i="1" s="1"/>
  <c r="BB131" i="1" s="1"/>
  <c r="F86" i="10"/>
  <c r="BL227" i="1"/>
  <c r="H107" i="5" s="1"/>
  <c r="F80" i="10"/>
  <c r="G80" i="10" s="1"/>
  <c r="BC226" i="1"/>
  <c r="BC225" i="1" s="1"/>
  <c r="BC224" i="1" s="1"/>
  <c r="H124" i="6"/>
  <c r="H122" i="6"/>
  <c r="H121" i="6" s="1"/>
  <c r="H120" i="6" s="1"/>
  <c r="BL230" i="1"/>
  <c r="H108" i="5" s="1"/>
  <c r="F81" i="10"/>
  <c r="G81" i="10" s="1"/>
  <c r="BK227" i="1"/>
  <c r="G107" i="5" s="1"/>
  <c r="J106" i="5" s="1"/>
  <c r="M105" i="5" s="1"/>
  <c r="G79" i="10"/>
  <c r="D78" i="10"/>
  <c r="BL159" i="1"/>
  <c r="H82" i="5"/>
  <c r="BC148" i="1"/>
  <c r="BC147" i="1" s="1"/>
  <c r="BB148" i="1"/>
  <c r="BB147" i="1" s="1"/>
  <c r="BK159" i="1"/>
  <c r="G82" i="5"/>
  <c r="G57" i="10"/>
  <c r="F52" i="10"/>
  <c r="BL149" i="1"/>
  <c r="BL148" i="1" s="1"/>
  <c r="BL147" i="1" s="1"/>
  <c r="H80" i="5"/>
  <c r="D54" i="10"/>
  <c r="G54" i="10" s="1"/>
  <c r="BK150" i="1"/>
  <c r="BL279" i="1"/>
  <c r="BL278" i="1" s="1"/>
  <c r="H17" i="9"/>
  <c r="J121" i="5"/>
  <c r="M120" i="5" s="1"/>
  <c r="E8" i="9"/>
  <c r="J141" i="6"/>
  <c r="J140" i="6" s="1"/>
  <c r="J139" i="6" s="1"/>
  <c r="M142" i="6"/>
  <c r="M141" i="6" s="1"/>
  <c r="M140" i="6" s="1"/>
  <c r="M139" i="6" s="1"/>
  <c r="K141" i="6"/>
  <c r="K140" i="6" s="1"/>
  <c r="K139" i="6" s="1"/>
  <c r="N142" i="6"/>
  <c r="N141" i="6" s="1"/>
  <c r="N140" i="6" s="1"/>
  <c r="N139" i="6" s="1"/>
  <c r="K121" i="5"/>
  <c r="N120" i="5" s="1"/>
  <c r="G8" i="9"/>
  <c r="G32" i="10"/>
  <c r="G27" i="10"/>
  <c r="D26" i="10"/>
  <c r="G25" i="10"/>
  <c r="F20" i="10"/>
  <c r="G24" i="10"/>
  <c r="G23" i="10"/>
  <c r="G21" i="10"/>
  <c r="G22" i="10"/>
  <c r="BK213" i="1"/>
  <c r="G100" i="5" s="1"/>
  <c r="E39" i="9" s="1"/>
  <c r="D75" i="10"/>
  <c r="BL213" i="1"/>
  <c r="H100" i="5" s="1"/>
  <c r="G39" i="9" s="1"/>
  <c r="H39" i="9" s="1"/>
  <c r="F75" i="10"/>
  <c r="G75" i="10" s="1"/>
  <c r="G74" i="10"/>
  <c r="G111" i="6"/>
  <c r="G110" i="6" s="1"/>
  <c r="D72" i="10"/>
  <c r="BC202" i="1"/>
  <c r="BC201" i="1" s="1"/>
  <c r="H113" i="6"/>
  <c r="H111" i="6" s="1"/>
  <c r="H110" i="6" s="1"/>
  <c r="BK206" i="1"/>
  <c r="G99" i="5" s="1"/>
  <c r="E38" i="9" s="1"/>
  <c r="BL206" i="1"/>
  <c r="H99" i="5" s="1"/>
  <c r="G71" i="10"/>
  <c r="E37" i="9"/>
  <c r="BL193" i="1"/>
  <c r="H93" i="5" s="1"/>
  <c r="G29" i="9" s="1"/>
  <c r="BK193" i="1"/>
  <c r="G93" i="5" s="1"/>
  <c r="E29" i="9" s="1"/>
  <c r="D69" i="10"/>
  <c r="BK190" i="1"/>
  <c r="G92" i="5" s="1"/>
  <c r="E28" i="9" s="1"/>
  <c r="G68" i="10"/>
  <c r="D65" i="10"/>
  <c r="BK181" i="1"/>
  <c r="G88" i="5" s="1"/>
  <c r="E24" i="9" s="1"/>
  <c r="G100" i="6"/>
  <c r="G99" i="6" s="1"/>
  <c r="BL181" i="1"/>
  <c r="H88" i="5" s="1"/>
  <c r="G24" i="9" s="1"/>
  <c r="G63" i="10"/>
  <c r="D62" i="10"/>
  <c r="BL169" i="1"/>
  <c r="H87" i="5" s="1"/>
  <c r="K86" i="5" s="1"/>
  <c r="D60" i="10"/>
  <c r="G60" i="10"/>
  <c r="BK169" i="1"/>
  <c r="G87" i="5" s="1"/>
  <c r="G59" i="10"/>
  <c r="AS235" i="1"/>
  <c r="AS234" i="1" s="1"/>
  <c r="AS233" i="1" s="1"/>
  <c r="AS483" i="1" s="1"/>
  <c r="M131" i="6"/>
  <c r="M130" i="6" s="1"/>
  <c r="M129" i="6" s="1"/>
  <c r="M128" i="6" s="1"/>
  <c r="AT235" i="1"/>
  <c r="AT234" i="1" s="1"/>
  <c r="AT233" i="1" s="1"/>
  <c r="AT483" i="1" s="1"/>
  <c r="D86" i="10"/>
  <c r="G86" i="10" s="1"/>
  <c r="AH235" i="1"/>
  <c r="AH234" i="1" s="1"/>
  <c r="AH233" i="1" s="1"/>
  <c r="AH483" i="1" s="1"/>
  <c r="H131" i="6"/>
  <c r="H130" i="6" s="1"/>
  <c r="H129" i="6" s="1"/>
  <c r="H128" i="6" s="1"/>
  <c r="AG235" i="1"/>
  <c r="AG234" i="1" s="1"/>
  <c r="AG233" i="1" s="1"/>
  <c r="AG483" i="1" s="1"/>
  <c r="G131" i="6"/>
  <c r="G130" i="6" s="1"/>
  <c r="G129" i="6" s="1"/>
  <c r="G128" i="6" s="1"/>
  <c r="BC235" i="1"/>
  <c r="BC234" i="1" s="1"/>
  <c r="D83" i="10"/>
  <c r="AW235" i="1"/>
  <c r="AW234" i="1" s="1"/>
  <c r="AW233" i="1" s="1"/>
  <c r="AW483" i="1" s="1"/>
  <c r="AV235" i="1"/>
  <c r="AV234" i="1" s="1"/>
  <c r="AV233" i="1" s="1"/>
  <c r="AV483" i="1" s="1"/>
  <c r="P131" i="6"/>
  <c r="P130" i="6" s="1"/>
  <c r="P129" i="6" s="1"/>
  <c r="P128" i="6" s="1"/>
  <c r="F83" i="10"/>
  <c r="F82" i="10" s="1"/>
  <c r="BB235" i="1"/>
  <c r="BB234" i="1" s="1"/>
  <c r="BB233" i="1" s="1"/>
  <c r="S131" i="6"/>
  <c r="BL236" i="1"/>
  <c r="H113" i="5" s="1"/>
  <c r="K112" i="5" s="1"/>
  <c r="N111" i="5" s="1"/>
  <c r="AQ235" i="1"/>
  <c r="AQ234" i="1" s="1"/>
  <c r="AQ233" i="1" s="1"/>
  <c r="AQ483" i="1" s="1"/>
  <c r="K131" i="6"/>
  <c r="AP235" i="1"/>
  <c r="AP234" i="1" s="1"/>
  <c r="AP233" i="1" s="1"/>
  <c r="AP483" i="1" s="1"/>
  <c r="J131" i="6"/>
  <c r="BK236" i="1"/>
  <c r="G113" i="5" s="1"/>
  <c r="J112" i="5" s="1"/>
  <c r="M111" i="5" s="1"/>
  <c r="J65" i="6"/>
  <c r="M66" i="6"/>
  <c r="M65" i="6" s="1"/>
  <c r="F46" i="10"/>
  <c r="D46" i="10"/>
  <c r="BL124" i="1"/>
  <c r="F42" i="10"/>
  <c r="G42" i="10" s="1"/>
  <c r="BK124" i="1"/>
  <c r="BL118" i="1"/>
  <c r="BL117" i="1" s="1"/>
  <c r="BL113" i="1" s="1"/>
  <c r="F45" i="10"/>
  <c r="D45" i="10"/>
  <c r="BK117" i="1"/>
  <c r="G66" i="5"/>
  <c r="H66" i="5"/>
  <c r="BK115" i="1"/>
  <c r="G44" i="10"/>
  <c r="BL114" i="1"/>
  <c r="H64" i="5"/>
  <c r="AB109" i="1"/>
  <c r="F41" i="10"/>
  <c r="BL110" i="1"/>
  <c r="H68" i="6"/>
  <c r="AA109" i="1"/>
  <c r="G69" i="6"/>
  <c r="M69" i="6" s="1"/>
  <c r="M68" i="6" s="1"/>
  <c r="D41" i="10"/>
  <c r="BK110" i="1"/>
  <c r="BK107" i="1"/>
  <c r="G59" i="5" s="1"/>
  <c r="E18" i="9" s="1"/>
  <c r="D40" i="10"/>
  <c r="F39" i="10"/>
  <c r="D39" i="10"/>
  <c r="G38" i="10"/>
  <c r="G36" i="10"/>
  <c r="G35" i="10"/>
  <c r="H46" i="9"/>
  <c r="H33" i="9"/>
  <c r="H12" i="9"/>
  <c r="BK12" i="1"/>
  <c r="BK11" i="1" s="1"/>
  <c r="BK10" i="1" s="1"/>
  <c r="BK9" i="1" s="1"/>
  <c r="D5" i="10"/>
  <c r="G5" i="10" s="1"/>
  <c r="F4" i="10"/>
  <c r="BL40" i="1"/>
  <c r="BK40" i="1"/>
  <c r="BK25" i="1"/>
  <c r="BL25" i="1"/>
  <c r="BK226" i="1"/>
  <c r="BK225" i="1" s="1"/>
  <c r="BK224" i="1" s="1"/>
  <c r="BL226" i="1"/>
  <c r="BL225" i="1" s="1"/>
  <c r="BL224" i="1" s="1"/>
  <c r="BB202" i="1"/>
  <c r="BB201" i="1" s="1"/>
  <c r="BB113" i="1"/>
  <c r="BC113" i="1"/>
  <c r="BB100" i="1"/>
  <c r="BC168" i="1"/>
  <c r="BC167" i="1" s="1"/>
  <c r="BB168" i="1"/>
  <c r="BK101" i="1"/>
  <c r="G58" i="5" s="1"/>
  <c r="BL101" i="1"/>
  <c r="H58" i="5" s="1"/>
  <c r="BK98" i="1"/>
  <c r="G56" i="5" s="1"/>
  <c r="BL98" i="1"/>
  <c r="H56" i="5" s="1"/>
  <c r="BK95" i="1"/>
  <c r="G54" i="5" s="1"/>
  <c r="E6" i="9" s="1"/>
  <c r="BL95" i="1"/>
  <c r="H54" i="5" s="1"/>
  <c r="G6" i="9" s="1"/>
  <c r="AA91" i="1"/>
  <c r="AB91" i="1"/>
  <c r="H60" i="6" s="1"/>
  <c r="BB91" i="1"/>
  <c r="BK93" i="1"/>
  <c r="G53" i="5" s="1"/>
  <c r="E5" i="9" s="1"/>
  <c r="BL93" i="1"/>
  <c r="H53" i="5" s="1"/>
  <c r="G5" i="9" s="1"/>
  <c r="BK91" i="1"/>
  <c r="G52" i="5" s="1"/>
  <c r="BL91" i="1"/>
  <c r="H52" i="5" s="1"/>
  <c r="BK85" i="1"/>
  <c r="G47" i="5" s="1"/>
  <c r="BL85" i="1"/>
  <c r="H47" i="5" s="1"/>
  <c r="BB85" i="1"/>
  <c r="P53" i="6" s="1"/>
  <c r="S53" i="6" s="1"/>
  <c r="BC85" i="1"/>
  <c r="Q53" i="6" s="1"/>
  <c r="T53" i="6" s="1"/>
  <c r="AY82" i="1"/>
  <c r="AY81" i="1" s="1"/>
  <c r="AY83" i="1"/>
  <c r="AZ83" i="1"/>
  <c r="AZ82" i="1" s="1"/>
  <c r="AZ81" i="1" s="1"/>
  <c r="BB83" i="1"/>
  <c r="P52" i="6" s="1"/>
  <c r="BC83" i="1"/>
  <c r="BK83" i="1"/>
  <c r="G46" i="5" s="1"/>
  <c r="BL83" i="1"/>
  <c r="H46" i="5" s="1"/>
  <c r="K45" i="5" s="1"/>
  <c r="N44" i="5" s="1"/>
  <c r="BK74" i="1"/>
  <c r="G43" i="5" s="1"/>
  <c r="E43" i="9" s="1"/>
  <c r="BL74" i="1"/>
  <c r="H43" i="5" s="1"/>
  <c r="BK72" i="1"/>
  <c r="G42" i="5" s="1"/>
  <c r="BL72" i="1"/>
  <c r="H42" i="5" s="1"/>
  <c r="G42" i="9" s="1"/>
  <c r="BB72" i="1"/>
  <c r="BC72" i="1"/>
  <c r="AY74" i="1"/>
  <c r="M49" i="6" s="1"/>
  <c r="AZ74" i="1"/>
  <c r="N49" i="6" s="1"/>
  <c r="AY72" i="1"/>
  <c r="M48" i="6" s="1"/>
  <c r="M47" i="6" s="1"/>
  <c r="AZ72" i="1"/>
  <c r="X74" i="1"/>
  <c r="G49" i="6" s="1"/>
  <c r="S49" i="6" s="1"/>
  <c r="Y74" i="1"/>
  <c r="X71" i="1"/>
  <c r="X72" i="1"/>
  <c r="G48" i="6" s="1"/>
  <c r="Y72" i="1"/>
  <c r="H48" i="6" s="1"/>
  <c r="AD68" i="1"/>
  <c r="AE68" i="1"/>
  <c r="BB68" i="1"/>
  <c r="P46" i="6" s="1"/>
  <c r="BC68" i="1"/>
  <c r="Q46" i="6" s="1"/>
  <c r="BK68" i="1"/>
  <c r="BL68" i="1"/>
  <c r="BK63" i="1"/>
  <c r="BL63" i="1"/>
  <c r="BB63" i="1"/>
  <c r="P44" i="6" s="1"/>
  <c r="BC63" i="1"/>
  <c r="AY63" i="1"/>
  <c r="AZ63" i="1"/>
  <c r="AD62" i="1"/>
  <c r="AD63" i="1"/>
  <c r="AE63" i="1"/>
  <c r="AE62" i="1" s="1"/>
  <c r="X63" i="1"/>
  <c r="Y63" i="1"/>
  <c r="H44" i="6" s="1"/>
  <c r="H43" i="6" s="1"/>
  <c r="X59" i="1"/>
  <c r="Y59" i="1"/>
  <c r="H41" i="6" s="1"/>
  <c r="BB56" i="1"/>
  <c r="BC56" i="1"/>
  <c r="BK59" i="1"/>
  <c r="BL59" i="1"/>
  <c r="BK56" i="1"/>
  <c r="BL56" i="1"/>
  <c r="BK53" i="1"/>
  <c r="BL53" i="1"/>
  <c r="H31" i="5" s="1"/>
  <c r="K30" i="5" s="1"/>
  <c r="X53" i="1"/>
  <c r="G37" i="6" s="1"/>
  <c r="Y53" i="1"/>
  <c r="BB50" i="1"/>
  <c r="BK50" i="1"/>
  <c r="BL50" i="1"/>
  <c r="BK47" i="1"/>
  <c r="BL47" i="1"/>
  <c r="BB47" i="1"/>
  <c r="Q32" i="6"/>
  <c r="AY47" i="1"/>
  <c r="AZ47" i="1"/>
  <c r="AD47" i="1"/>
  <c r="AD46" i="1" s="1"/>
  <c r="AD45" i="1" s="1"/>
  <c r="AE47" i="1"/>
  <c r="AE46" i="1" s="1"/>
  <c r="AE45" i="1" s="1"/>
  <c r="X47" i="1"/>
  <c r="Y47" i="1"/>
  <c r="BB22" i="1"/>
  <c r="BB12" i="1"/>
  <c r="BC12" i="1"/>
  <c r="G17" i="5"/>
  <c r="H17" i="5"/>
  <c r="G39" i="10" l="1"/>
  <c r="D52" i="10"/>
  <c r="G65" i="10"/>
  <c r="G72" i="10"/>
  <c r="G61" i="10"/>
  <c r="BK21" i="1"/>
  <c r="BK20" i="1" s="1"/>
  <c r="BK19" i="1" s="1"/>
  <c r="K76" i="6"/>
  <c r="K75" i="6" s="1"/>
  <c r="N77" i="6"/>
  <c r="N76" i="6" s="1"/>
  <c r="N75" i="6" s="1"/>
  <c r="J73" i="6"/>
  <c r="M74" i="6"/>
  <c r="M73" i="6" s="1"/>
  <c r="J71" i="6"/>
  <c r="J70" i="6" s="1"/>
  <c r="M72" i="6"/>
  <c r="M71" i="6" s="1"/>
  <c r="M70" i="6" s="1"/>
  <c r="J63" i="6"/>
  <c r="M64" i="6"/>
  <c r="M63" i="6" s="1"/>
  <c r="G25" i="6"/>
  <c r="G24" i="6" s="1"/>
  <c r="G23" i="6" s="1"/>
  <c r="M25" i="6"/>
  <c r="M24" i="6" s="1"/>
  <c r="M23" i="6" s="1"/>
  <c r="BB21" i="1"/>
  <c r="BB20" i="1" s="1"/>
  <c r="BB19" i="1" s="1"/>
  <c r="G17" i="6"/>
  <c r="G16" i="6" s="1"/>
  <c r="G15" i="6" s="1"/>
  <c r="X46" i="1"/>
  <c r="G33" i="6"/>
  <c r="G32" i="6" s="1"/>
  <c r="AZ46" i="1"/>
  <c r="AZ45" i="1" s="1"/>
  <c r="N33" i="6"/>
  <c r="N32" i="6" s="1"/>
  <c r="N31" i="6" s="1"/>
  <c r="BL55" i="1"/>
  <c r="H33" i="5"/>
  <c r="Q38" i="6"/>
  <c r="T39" i="6"/>
  <c r="T38" i="6" s="1"/>
  <c r="BC55" i="1"/>
  <c r="X62" i="1"/>
  <c r="G44" i="6"/>
  <c r="G43" i="6" s="1"/>
  <c r="M44" i="6"/>
  <c r="M43" i="6" s="1"/>
  <c r="M52" i="6"/>
  <c r="M51" i="6" s="1"/>
  <c r="M50" i="6" s="1"/>
  <c r="T48" i="6"/>
  <c r="T47" i="6" s="1"/>
  <c r="M42" i="6"/>
  <c r="BC71" i="1"/>
  <c r="Q48" i="6"/>
  <c r="Q47" i="6" s="1"/>
  <c r="K41" i="5"/>
  <c r="G43" i="9"/>
  <c r="BC82" i="1"/>
  <c r="BC81" i="1" s="1"/>
  <c r="Q52" i="6"/>
  <c r="Q51" i="6" s="1"/>
  <c r="Q50" i="6" s="1"/>
  <c r="N60" i="6"/>
  <c r="N59" i="6" s="1"/>
  <c r="H59" i="6"/>
  <c r="H58" i="6" s="1"/>
  <c r="H57" i="6" s="1"/>
  <c r="AB90" i="1"/>
  <c r="AB89" i="1" s="1"/>
  <c r="AB88" i="1" s="1"/>
  <c r="AB483" i="1" s="1"/>
  <c r="BK39" i="1"/>
  <c r="BK38" i="1" s="1"/>
  <c r="BK37" i="1" s="1"/>
  <c r="G22" i="5"/>
  <c r="J21" i="5" s="1"/>
  <c r="M20" i="5" s="1"/>
  <c r="N85" i="5"/>
  <c r="Q84" i="5" s="1"/>
  <c r="H98" i="6"/>
  <c r="G91" i="6"/>
  <c r="G90" i="6" s="1"/>
  <c r="G89" i="6" s="1"/>
  <c r="M92" i="6"/>
  <c r="M91" i="6" s="1"/>
  <c r="H11" i="5"/>
  <c r="J76" i="6"/>
  <c r="J75" i="6" s="1"/>
  <c r="M77" i="6"/>
  <c r="M76" i="6" s="1"/>
  <c r="M75" i="6" s="1"/>
  <c r="K73" i="6"/>
  <c r="N74" i="6"/>
  <c r="N73" i="6" s="1"/>
  <c r="K71" i="6"/>
  <c r="K70" i="6" s="1"/>
  <c r="N72" i="6"/>
  <c r="N71" i="6" s="1"/>
  <c r="N70" i="6" s="1"/>
  <c r="E17" i="8"/>
  <c r="E18" i="8" s="1"/>
  <c r="G17" i="8"/>
  <c r="G18" i="8" s="1"/>
  <c r="H56" i="9"/>
  <c r="G60" i="9"/>
  <c r="G85" i="10"/>
  <c r="BL197" i="1"/>
  <c r="H95" i="5"/>
  <c r="K94" i="5" s="1"/>
  <c r="H9" i="6"/>
  <c r="H8" i="6" s="1"/>
  <c r="H7" i="6" s="1"/>
  <c r="H16" i="5"/>
  <c r="H17" i="6"/>
  <c r="H16" i="6" s="1"/>
  <c r="H15" i="6" s="1"/>
  <c r="Y46" i="1"/>
  <c r="Y45" i="1" s="1"/>
  <c r="H33" i="6"/>
  <c r="AY46" i="1"/>
  <c r="AY45" i="1" s="1"/>
  <c r="M33" i="6"/>
  <c r="M32" i="6" s="1"/>
  <c r="M31" i="6" s="1"/>
  <c r="BL46" i="1"/>
  <c r="H27" i="5"/>
  <c r="K26" i="5" s="1"/>
  <c r="BL49" i="1"/>
  <c r="H29" i="5"/>
  <c r="BC49" i="1"/>
  <c r="BC45" i="1" s="1"/>
  <c r="BC44" i="1" s="1"/>
  <c r="Y52" i="1"/>
  <c r="H37" i="6"/>
  <c r="BL52" i="1"/>
  <c r="Y62" i="1"/>
  <c r="AZ62" i="1"/>
  <c r="N44" i="6"/>
  <c r="N43" i="6" s="1"/>
  <c r="N52" i="6"/>
  <c r="AY62" i="1"/>
  <c r="G47" i="6"/>
  <c r="G42" i="6" s="1"/>
  <c r="Y71" i="1"/>
  <c r="H49" i="6"/>
  <c r="T49" i="6" s="1"/>
  <c r="AZ71" i="1"/>
  <c r="N48" i="6"/>
  <c r="N47" i="6" s="1"/>
  <c r="N42" i="6" s="1"/>
  <c r="AY71" i="1"/>
  <c r="AY61" i="1" s="1"/>
  <c r="BB71" i="1"/>
  <c r="P48" i="6"/>
  <c r="P47" i="6" s="1"/>
  <c r="J41" i="5"/>
  <c r="E42" i="9"/>
  <c r="J45" i="5"/>
  <c r="M44" i="5" s="1"/>
  <c r="BB90" i="1"/>
  <c r="J60" i="6"/>
  <c r="J59" i="6" s="1"/>
  <c r="J58" i="6" s="1"/>
  <c r="J57" i="6" s="1"/>
  <c r="AA90" i="1"/>
  <c r="AA89" i="1" s="1"/>
  <c r="AA88" i="1" s="1"/>
  <c r="AA483" i="1" s="1"/>
  <c r="G60" i="6"/>
  <c r="H6" i="9"/>
  <c r="BB167" i="1"/>
  <c r="BB166" i="1" s="1"/>
  <c r="BK202" i="1"/>
  <c r="BK201" i="1" s="1"/>
  <c r="BL39" i="1"/>
  <c r="BL38" i="1" s="1"/>
  <c r="BL37" i="1" s="1"/>
  <c r="H22" i="5"/>
  <c r="K21" i="5" s="1"/>
  <c r="N20" i="5" s="1"/>
  <c r="Z131" i="6"/>
  <c r="Z130" i="6" s="1"/>
  <c r="Z129" i="6" s="1"/>
  <c r="Z128" i="6" s="1"/>
  <c r="BC233" i="1"/>
  <c r="G98" i="6"/>
  <c r="D20" i="10"/>
  <c r="K106" i="5"/>
  <c r="N105" i="5" s="1"/>
  <c r="Q104" i="5" s="1"/>
  <c r="D47" i="10"/>
  <c r="BL274" i="1"/>
  <c r="BL273" i="1" s="1"/>
  <c r="H117" i="5"/>
  <c r="BL133" i="1"/>
  <c r="BL132" i="1" s="1"/>
  <c r="BL131" i="1" s="1"/>
  <c r="H75" i="5"/>
  <c r="Q84" i="6"/>
  <c r="H83" i="6"/>
  <c r="H82" i="6" s="1"/>
  <c r="H81" i="6" s="1"/>
  <c r="BL21" i="1"/>
  <c r="BL20" i="1" s="1"/>
  <c r="BL19" i="1" s="1"/>
  <c r="K65" i="6"/>
  <c r="N66" i="6"/>
  <c r="N65" i="6" s="1"/>
  <c r="K63" i="6"/>
  <c r="K58" i="6" s="1"/>
  <c r="K57" i="6" s="1"/>
  <c r="N64" i="6"/>
  <c r="N63" i="6" s="1"/>
  <c r="N25" i="6"/>
  <c r="N24" i="6" s="1"/>
  <c r="N23" i="6" s="1"/>
  <c r="H25" i="6"/>
  <c r="H24" i="6" s="1"/>
  <c r="H23" i="6" s="1"/>
  <c r="G93" i="6"/>
  <c r="M94" i="6"/>
  <c r="G117" i="5"/>
  <c r="BK274" i="1"/>
  <c r="BK273" i="1" s="1"/>
  <c r="T134" i="6"/>
  <c r="T133" i="6" s="1"/>
  <c r="T128" i="6" s="1"/>
  <c r="Z135" i="6"/>
  <c r="Z134" i="6" s="1"/>
  <c r="Z133" i="6" s="1"/>
  <c r="G55" i="10"/>
  <c r="BE483" i="1"/>
  <c r="N92" i="6"/>
  <c r="N91" i="6" s="1"/>
  <c r="Q83" i="6"/>
  <c r="Q82" i="6" s="1"/>
  <c r="Q81" i="6" s="1"/>
  <c r="D9" i="10"/>
  <c r="G9" i="10" s="1"/>
  <c r="G11" i="5"/>
  <c r="BL11" i="1"/>
  <c r="BL10" i="1" s="1"/>
  <c r="BL9" i="1" s="1"/>
  <c r="H8" i="9"/>
  <c r="H60" i="9"/>
  <c r="H16" i="8"/>
  <c r="G51" i="10"/>
  <c r="P84" i="6"/>
  <c r="P83" i="6" s="1"/>
  <c r="P82" i="6" s="1"/>
  <c r="P81" i="6" s="1"/>
  <c r="BK133" i="1"/>
  <c r="BK132" i="1" s="1"/>
  <c r="BK131" i="1" s="1"/>
  <c r="G47" i="10"/>
  <c r="F78" i="10"/>
  <c r="G78" i="10" s="1"/>
  <c r="K81" i="5"/>
  <c r="G31" i="9"/>
  <c r="J81" i="5"/>
  <c r="E31" i="9"/>
  <c r="K79" i="5"/>
  <c r="N78" i="5" s="1"/>
  <c r="G30" i="9"/>
  <c r="BK149" i="1"/>
  <c r="BK148" i="1" s="1"/>
  <c r="BK147" i="1" s="1"/>
  <c r="G80" i="5"/>
  <c r="G52" i="10"/>
  <c r="H24" i="9"/>
  <c r="S52" i="6"/>
  <c r="S51" i="6" s="1"/>
  <c r="S50" i="6" s="1"/>
  <c r="P51" i="6"/>
  <c r="P50" i="6" s="1"/>
  <c r="BB82" i="1"/>
  <c r="BB81" i="1" s="1"/>
  <c r="AD67" i="1"/>
  <c r="J46" i="6"/>
  <c r="J45" i="6" s="1"/>
  <c r="J42" i="6" s="1"/>
  <c r="J30" i="6" s="1"/>
  <c r="AE67" i="1"/>
  <c r="K46" i="6"/>
  <c r="K45" i="6" s="1"/>
  <c r="K42" i="6" s="1"/>
  <c r="K30" i="6" s="1"/>
  <c r="Q45" i="6"/>
  <c r="T46" i="6"/>
  <c r="T45" i="6" s="1"/>
  <c r="BL67" i="1"/>
  <c r="H40" i="5"/>
  <c r="K39" i="5" s="1"/>
  <c r="BC67" i="1"/>
  <c r="P45" i="6"/>
  <c r="BB67" i="1"/>
  <c r="BK67" i="1"/>
  <c r="G40" i="5"/>
  <c r="J39" i="5" s="1"/>
  <c r="G26" i="10"/>
  <c r="BC62" i="1"/>
  <c r="BC61" i="1" s="1"/>
  <c r="Q44" i="6"/>
  <c r="BB62" i="1"/>
  <c r="BK62" i="1"/>
  <c r="G38" i="5"/>
  <c r="P43" i="6"/>
  <c r="S44" i="6"/>
  <c r="S43" i="6" s="1"/>
  <c r="BL62" i="1"/>
  <c r="H38" i="5"/>
  <c r="Y58" i="1"/>
  <c r="X58" i="1"/>
  <c r="G41" i="6"/>
  <c r="BL58" i="1"/>
  <c r="BL45" i="1" s="1"/>
  <c r="H35" i="5"/>
  <c r="BK58" i="1"/>
  <c r="G35" i="5"/>
  <c r="H40" i="6"/>
  <c r="T41" i="6"/>
  <c r="T40" i="6" s="1"/>
  <c r="BK55" i="1"/>
  <c r="G33" i="5"/>
  <c r="BB55" i="1"/>
  <c r="P38" i="6"/>
  <c r="S39" i="6"/>
  <c r="S38" i="6" s="1"/>
  <c r="BK52" i="1"/>
  <c r="G31" i="5"/>
  <c r="J30" i="5" s="1"/>
  <c r="G36" i="6"/>
  <c r="S37" i="6"/>
  <c r="S36" i="6" s="1"/>
  <c r="X52" i="1"/>
  <c r="BK46" i="1"/>
  <c r="G27" i="5"/>
  <c r="J26" i="5" s="1"/>
  <c r="BB46" i="1"/>
  <c r="BB49" i="1"/>
  <c r="BK49" i="1"/>
  <c r="G29" i="5"/>
  <c r="G20" i="10"/>
  <c r="S130" i="6"/>
  <c r="S129" i="6" s="1"/>
  <c r="S128" i="6" s="1"/>
  <c r="Y131" i="6"/>
  <c r="Y130" i="6" s="1"/>
  <c r="Y129" i="6" s="1"/>
  <c r="Y128" i="6" s="1"/>
  <c r="F58" i="10"/>
  <c r="BC166" i="1"/>
  <c r="BL202" i="1"/>
  <c r="BL201" i="1" s="1"/>
  <c r="J97" i="5"/>
  <c r="M96" i="5" s="1"/>
  <c r="G38" i="9"/>
  <c r="H38" i="9" s="1"/>
  <c r="K97" i="5"/>
  <c r="N96" i="5" s="1"/>
  <c r="H37" i="9"/>
  <c r="G69" i="10"/>
  <c r="H29" i="9"/>
  <c r="H28" i="9"/>
  <c r="G23" i="9"/>
  <c r="BL168" i="1"/>
  <c r="BL167" i="1" s="1"/>
  <c r="D58" i="10"/>
  <c r="G62" i="10"/>
  <c r="BK168" i="1"/>
  <c r="BK167" i="1" s="1"/>
  <c r="BK166" i="1" s="1"/>
  <c r="E23" i="9"/>
  <c r="J86" i="5"/>
  <c r="M85" i="5" s="1"/>
  <c r="P84" i="5" s="1"/>
  <c r="D82" i="10"/>
  <c r="G82" i="10" s="1"/>
  <c r="BK235" i="1"/>
  <c r="BK234" i="1" s="1"/>
  <c r="G83" i="10"/>
  <c r="BL235" i="1"/>
  <c r="BL234" i="1" s="1"/>
  <c r="K130" i="6"/>
  <c r="K129" i="6" s="1"/>
  <c r="K128" i="6" s="1"/>
  <c r="J130" i="6"/>
  <c r="J129" i="6" s="1"/>
  <c r="J128" i="6" s="1"/>
  <c r="G46" i="10"/>
  <c r="BK123" i="1"/>
  <c r="BK122" i="1" s="1"/>
  <c r="G69" i="5"/>
  <c r="BL123" i="1"/>
  <c r="BL122" i="1" s="1"/>
  <c r="H69" i="5"/>
  <c r="F34" i="10"/>
  <c r="F152" i="10" s="1"/>
  <c r="D34" i="10"/>
  <c r="G45" i="10"/>
  <c r="K65" i="5"/>
  <c r="G44" i="9"/>
  <c r="J65" i="5"/>
  <c r="E44" i="9"/>
  <c r="K63" i="5"/>
  <c r="N62" i="5" s="1"/>
  <c r="G40" i="9"/>
  <c r="BK114" i="1"/>
  <c r="BK113" i="1" s="1"/>
  <c r="G64" i="5"/>
  <c r="H61" i="5"/>
  <c r="BL109" i="1"/>
  <c r="BK109" i="1"/>
  <c r="G61" i="5"/>
  <c r="G41" i="10"/>
  <c r="G68" i="6"/>
  <c r="G40" i="10"/>
  <c r="H18" i="9"/>
  <c r="BL100" i="1"/>
  <c r="K57" i="5"/>
  <c r="G16" i="9"/>
  <c r="BK100" i="1"/>
  <c r="J57" i="5"/>
  <c r="E16" i="9"/>
  <c r="K55" i="5"/>
  <c r="G10" i="9"/>
  <c r="J55" i="5"/>
  <c r="E10" i="9"/>
  <c r="BL97" i="1"/>
  <c r="BK97" i="1"/>
  <c r="H5" i="9"/>
  <c r="G4" i="9"/>
  <c r="K51" i="5"/>
  <c r="BL90" i="1"/>
  <c r="E4" i="9"/>
  <c r="J51" i="5"/>
  <c r="D4" i="10"/>
  <c r="H10" i="5"/>
  <c r="G48" i="9" s="1"/>
  <c r="BB11" i="1"/>
  <c r="BB10" i="1" s="1"/>
  <c r="BB9" i="1" s="1"/>
  <c r="BC11" i="1"/>
  <c r="BC10" i="1" s="1"/>
  <c r="BC9" i="1" s="1"/>
  <c r="BC437" i="1" s="1"/>
  <c r="G16" i="5"/>
  <c r="J15" i="5" s="1"/>
  <c r="M14" i="5" s="1"/>
  <c r="P13" i="5" s="1"/>
  <c r="BK82" i="1"/>
  <c r="BK81" i="1" s="1"/>
  <c r="BB89" i="1"/>
  <c r="BB88" i="1" s="1"/>
  <c r="K15" i="5"/>
  <c r="N14" i="5" s="1"/>
  <c r="Q13" i="5" s="1"/>
  <c r="BK90" i="1"/>
  <c r="BL82" i="1"/>
  <c r="BL81" i="1" s="1"/>
  <c r="BL71" i="1"/>
  <c r="BK71" i="1"/>
  <c r="BK61" i="1" s="1"/>
  <c r="AZ61" i="1"/>
  <c r="X61" i="1"/>
  <c r="Y61" i="1"/>
  <c r="AD61" i="1"/>
  <c r="AE61" i="1"/>
  <c r="AE44" i="1" s="1"/>
  <c r="AE483" i="1" s="1"/>
  <c r="AZ44" i="1"/>
  <c r="AZ483" i="1" s="1"/>
  <c r="AD44" i="1"/>
  <c r="AD483" i="1" s="1"/>
  <c r="X45" i="1"/>
  <c r="X44" i="1" s="1"/>
  <c r="X483" i="1" s="1"/>
  <c r="BC21" i="1"/>
  <c r="BC20" i="1" s="1"/>
  <c r="BC19" i="1" s="1"/>
  <c r="G10" i="5"/>
  <c r="E48" i="9" s="1"/>
  <c r="Q179" i="5"/>
  <c r="P179" i="5"/>
  <c r="Q167" i="5"/>
  <c r="P167" i="5"/>
  <c r="Q161" i="5"/>
  <c r="P161" i="5"/>
  <c r="Q146" i="5"/>
  <c r="P146" i="5"/>
  <c r="Q139" i="5"/>
  <c r="P139" i="5"/>
  <c r="Q119" i="5"/>
  <c r="P119" i="5"/>
  <c r="P104" i="5"/>
  <c r="Q77" i="5"/>
  <c r="P71" i="5"/>
  <c r="Q19" i="5"/>
  <c r="P19" i="5"/>
  <c r="BB437" i="1" l="1"/>
  <c r="H18" i="8"/>
  <c r="H17" i="8"/>
  <c r="AY44" i="1"/>
  <c r="AY483" i="1" s="1"/>
  <c r="G15" i="9"/>
  <c r="H15" i="9" s="1"/>
  <c r="K73" i="5"/>
  <c r="N72" i="5" s="1"/>
  <c r="Q71" i="5" s="1"/>
  <c r="M60" i="6"/>
  <c r="M59" i="6" s="1"/>
  <c r="M58" i="6" s="1"/>
  <c r="M57" i="6" s="1"/>
  <c r="G59" i="6"/>
  <c r="G58" i="6" s="1"/>
  <c r="G57" i="6" s="1"/>
  <c r="T52" i="6"/>
  <c r="T51" i="6" s="1"/>
  <c r="T50" i="6" s="1"/>
  <c r="N51" i="6"/>
  <c r="N50" i="6" s="1"/>
  <c r="G9" i="6"/>
  <c r="G8" i="6" s="1"/>
  <c r="G7" i="6" s="1"/>
  <c r="BL89" i="1"/>
  <c r="BL88" i="1" s="1"/>
  <c r="BL233" i="1"/>
  <c r="BK233" i="1"/>
  <c r="S46" i="6"/>
  <c r="S45" i="6" s="1"/>
  <c r="J116" i="5"/>
  <c r="M115" i="5" s="1"/>
  <c r="P110" i="5" s="1"/>
  <c r="E34" i="9"/>
  <c r="K116" i="5"/>
  <c r="N115" i="5" s="1"/>
  <c r="Q110" i="5" s="1"/>
  <c r="G34" i="9"/>
  <c r="S48" i="6"/>
  <c r="S47" i="6" s="1"/>
  <c r="H36" i="6"/>
  <c r="H31" i="6" s="1"/>
  <c r="H30" i="6" s="1"/>
  <c r="T37" i="6"/>
  <c r="T36" i="6" s="1"/>
  <c r="Q34" i="6"/>
  <c r="Q31" i="6" s="1"/>
  <c r="T35" i="6"/>
  <c r="T34" i="6" s="1"/>
  <c r="K28" i="5"/>
  <c r="G9" i="9"/>
  <c r="M30" i="6"/>
  <c r="H32" i="6"/>
  <c r="T33" i="6"/>
  <c r="T32" i="6" s="1"/>
  <c r="N58" i="6"/>
  <c r="N57" i="6" s="1"/>
  <c r="H47" i="6"/>
  <c r="H42" i="6" s="1"/>
  <c r="K32" i="5"/>
  <c r="G14" i="9"/>
  <c r="N30" i="6"/>
  <c r="P42" i="6"/>
  <c r="H31" i="9"/>
  <c r="J79" i="5"/>
  <c r="M78" i="5" s="1"/>
  <c r="P77" i="5" s="1"/>
  <c r="E30" i="9"/>
  <c r="E22" i="9" s="1"/>
  <c r="S42" i="6"/>
  <c r="BB61" i="1"/>
  <c r="K37" i="5"/>
  <c r="N36" i="5" s="1"/>
  <c r="G36" i="9"/>
  <c r="BL61" i="1"/>
  <c r="J37" i="5"/>
  <c r="M36" i="5" s="1"/>
  <c r="E36" i="9"/>
  <c r="H159" i="5"/>
  <c r="H186" i="5" s="1"/>
  <c r="Q43" i="6"/>
  <c r="Q42" i="6" s="1"/>
  <c r="Q30" i="6" s="1"/>
  <c r="T44" i="6"/>
  <c r="T43" i="6" s="1"/>
  <c r="T42" i="6" s="1"/>
  <c r="J34" i="5"/>
  <c r="E20" i="9"/>
  <c r="G40" i="6"/>
  <c r="G31" i="6" s="1"/>
  <c r="G30" i="6" s="1"/>
  <c r="S41" i="6"/>
  <c r="S40" i="6" s="1"/>
  <c r="K34" i="5"/>
  <c r="N25" i="5" s="1"/>
  <c r="G20" i="9"/>
  <c r="H20" i="9" s="1"/>
  <c r="J32" i="5"/>
  <c r="E14" i="9"/>
  <c r="BB45" i="1"/>
  <c r="BK45" i="1"/>
  <c r="BK44" i="1" s="1"/>
  <c r="P32" i="6"/>
  <c r="S33" i="6"/>
  <c r="S32" i="6" s="1"/>
  <c r="P34" i="6"/>
  <c r="S35" i="6"/>
  <c r="S34" i="6" s="1"/>
  <c r="J28" i="5"/>
  <c r="M25" i="5" s="1"/>
  <c r="E9" i="9"/>
  <c r="BL166" i="1"/>
  <c r="G58" i="10"/>
  <c r="H23" i="9"/>
  <c r="H10" i="9"/>
  <c r="K68" i="5"/>
  <c r="N67" i="5" s="1"/>
  <c r="G47" i="9"/>
  <c r="G45" i="9" s="1"/>
  <c r="J68" i="5"/>
  <c r="M67" i="5" s="1"/>
  <c r="E47" i="9"/>
  <c r="G34" i="10"/>
  <c r="H44" i="9"/>
  <c r="J63" i="5"/>
  <c r="M62" i="5" s="1"/>
  <c r="E40" i="9"/>
  <c r="H40" i="9" s="1"/>
  <c r="G35" i="9"/>
  <c r="K60" i="5"/>
  <c r="G21" i="9"/>
  <c r="J60" i="5"/>
  <c r="M50" i="5" s="1"/>
  <c r="E21" i="9"/>
  <c r="BK89" i="1"/>
  <c r="BK88" i="1" s="1"/>
  <c r="N50" i="5"/>
  <c r="Q49" i="5" s="1"/>
  <c r="H16" i="9"/>
  <c r="H4" i="9"/>
  <c r="K9" i="5"/>
  <c r="D152" i="10"/>
  <c r="G152" i="10" s="1"/>
  <c r="G4" i="10"/>
  <c r="H48" i="9"/>
  <c r="BC483" i="1"/>
  <c r="F165" i="10"/>
  <c r="J9" i="5"/>
  <c r="G159" i="5"/>
  <c r="G186" i="5" s="1"/>
  <c r="N8" i="5"/>
  <c r="Q184" i="5"/>
  <c r="BL44" i="1"/>
  <c r="Y44" i="1"/>
  <c r="Y483" i="1" s="1"/>
  <c r="P184" i="5"/>
  <c r="W141" i="1"/>
  <c r="BA141" i="1"/>
  <c r="T31" i="6" l="1"/>
  <c r="T30" i="6" s="1"/>
  <c r="G3" i="9"/>
  <c r="G3" i="8" s="1"/>
  <c r="G32" i="8" s="1"/>
  <c r="G22" i="9"/>
  <c r="G4" i="8" s="1"/>
  <c r="G33" i="8" s="1"/>
  <c r="H30" i="9"/>
  <c r="P24" i="5"/>
  <c r="BB44" i="1"/>
  <c r="BB483" i="1" s="1"/>
  <c r="BL437" i="1"/>
  <c r="BL483" i="1" s="1"/>
  <c r="Q24" i="5"/>
  <c r="K159" i="5"/>
  <c r="K186" i="5" s="1"/>
  <c r="H36" i="9"/>
  <c r="H14" i="9"/>
  <c r="BK437" i="1"/>
  <c r="BK483" i="1" s="1"/>
  <c r="P31" i="6"/>
  <c r="P30" i="6" s="1"/>
  <c r="S31" i="6"/>
  <c r="S30" i="6" s="1"/>
  <c r="H9" i="9"/>
  <c r="E3" i="9"/>
  <c r="E3" i="8" s="1"/>
  <c r="E4" i="8"/>
  <c r="H47" i="9"/>
  <c r="E45" i="9"/>
  <c r="E6" i="8" s="1"/>
  <c r="P49" i="5"/>
  <c r="E35" i="9"/>
  <c r="G5" i="8"/>
  <c r="H21" i="9"/>
  <c r="D165" i="10"/>
  <c r="G49" i="9"/>
  <c r="G6" i="8"/>
  <c r="Q7" i="5"/>
  <c r="N159" i="5"/>
  <c r="N186" i="5" s="1"/>
  <c r="M8" i="5"/>
  <c r="J159" i="5"/>
  <c r="J186" i="5" s="1"/>
  <c r="BA140" i="1"/>
  <c r="W140" i="1"/>
  <c r="H22" i="9" l="1"/>
  <c r="Q159" i="5"/>
  <c r="Q186" i="5" s="1"/>
  <c r="E33" i="8"/>
  <c r="H33" i="8" s="1"/>
  <c r="H4" i="8"/>
  <c r="H45" i="9"/>
  <c r="G34" i="8"/>
  <c r="E5" i="8"/>
  <c r="E34" i="8" s="1"/>
  <c r="E49" i="9"/>
  <c r="E62" i="9" s="1"/>
  <c r="H35" i="9"/>
  <c r="H3" i="8"/>
  <c r="E32" i="8"/>
  <c r="H32" i="8" s="1"/>
  <c r="G62" i="9"/>
  <c r="E35" i="8"/>
  <c r="G35" i="8"/>
  <c r="H6" i="8"/>
  <c r="G7" i="8"/>
  <c r="G165" i="10"/>
  <c r="P7" i="5"/>
  <c r="P159" i="5" s="1"/>
  <c r="P186" i="5" s="1"/>
  <c r="M159" i="5"/>
  <c r="M186" i="5" s="1"/>
  <c r="AI347" i="1"/>
  <c r="W142" i="1"/>
  <c r="AI388" i="1"/>
  <c r="BA136" i="1"/>
  <c r="W136" i="1"/>
  <c r="BA135" i="1"/>
  <c r="BJ135" i="1" s="1"/>
  <c r="BA138" i="1"/>
  <c r="BA262" i="1"/>
  <c r="BA259" i="1"/>
  <c r="BJ253" i="1"/>
  <c r="BD158" i="1"/>
  <c r="BD448" i="1"/>
  <c r="BD445" i="1"/>
  <c r="BD444" i="1"/>
  <c r="BD443" i="1"/>
  <c r="BA387" i="1"/>
  <c r="BA383" i="1"/>
  <c r="BA347" i="1"/>
  <c r="AO264" i="1"/>
  <c r="AF262" i="1"/>
  <c r="AO251" i="1"/>
  <c r="AO240" i="1"/>
  <c r="AO237" i="1"/>
  <c r="BA157" i="1"/>
  <c r="Z111" i="1"/>
  <c r="BA70" i="1"/>
  <c r="BJ70" i="1" s="1"/>
  <c r="BA48" i="1"/>
  <c r="BA42" i="1"/>
  <c r="BA41" i="1"/>
  <c r="H49" i="9" l="1"/>
  <c r="E7" i="8"/>
  <c r="H7" i="8" s="1"/>
  <c r="H34" i="8"/>
  <c r="H5" i="8"/>
  <c r="E36" i="8"/>
  <c r="H62" i="9"/>
  <c r="H35" i="8"/>
  <c r="G36" i="8"/>
  <c r="A120" i="10"/>
  <c r="A119" i="10"/>
  <c r="H36" i="8" l="1"/>
  <c r="C8" i="5"/>
  <c r="AL357" i="1" l="1"/>
  <c r="AL356" i="1"/>
  <c r="AL355" i="1"/>
  <c r="AL391" i="1" l="1"/>
  <c r="AF393" i="1" l="1"/>
  <c r="AF386" i="1" l="1"/>
  <c r="AF373" i="1"/>
  <c r="AF347" i="1"/>
  <c r="BA32" i="1" l="1"/>
  <c r="BA33" i="1"/>
  <c r="E191" i="6" l="1"/>
  <c r="E190" i="6"/>
  <c r="C140" i="6"/>
  <c r="E46" i="6"/>
  <c r="D46" i="6"/>
  <c r="D45" i="6"/>
  <c r="C45" i="6"/>
  <c r="E54" i="5"/>
  <c r="C6" i="9" s="1"/>
  <c r="D54" i="5"/>
  <c r="E182" i="5"/>
  <c r="C58" i="9" s="1"/>
  <c r="D182" i="5"/>
  <c r="B58" i="9" s="1"/>
  <c r="D181" i="5"/>
  <c r="C181" i="5"/>
  <c r="B180" i="5"/>
  <c r="E177" i="5"/>
  <c r="C59" i="9" s="1"/>
  <c r="D177" i="5"/>
  <c r="B59" i="9" s="1"/>
  <c r="D176" i="5"/>
  <c r="C176" i="5"/>
  <c r="E175" i="5"/>
  <c r="C57" i="9" s="1"/>
  <c r="D175" i="5"/>
  <c r="B57" i="9" s="1"/>
  <c r="D174" i="5"/>
  <c r="C174" i="5"/>
  <c r="C173" i="5"/>
  <c r="B173" i="5"/>
  <c r="E172" i="5"/>
  <c r="C53" i="9" s="1"/>
  <c r="D172" i="5"/>
  <c r="B53" i="9" s="1"/>
  <c r="D171" i="5"/>
  <c r="C171" i="5"/>
  <c r="E170" i="5"/>
  <c r="C54" i="9" s="1"/>
  <c r="D170" i="5"/>
  <c r="B54" i="9" s="1"/>
  <c r="D169" i="5"/>
  <c r="C169" i="5"/>
  <c r="C168" i="5"/>
  <c r="E211" i="6"/>
  <c r="D211" i="6"/>
  <c r="D210" i="6"/>
  <c r="C210" i="6"/>
  <c r="B209" i="6"/>
  <c r="E204" i="6"/>
  <c r="D204" i="6"/>
  <c r="D203" i="6"/>
  <c r="C203" i="6"/>
  <c r="E202" i="6"/>
  <c r="D202" i="6"/>
  <c r="D201" i="6"/>
  <c r="C201" i="6"/>
  <c r="C200" i="6"/>
  <c r="B200" i="6"/>
  <c r="E199" i="6"/>
  <c r="D199" i="6"/>
  <c r="E198" i="6"/>
  <c r="D198" i="6"/>
  <c r="D197" i="6"/>
  <c r="C197" i="6"/>
  <c r="C196" i="6"/>
  <c r="B196" i="6"/>
  <c r="B168" i="5" l="1"/>
  <c r="D191" i="6"/>
  <c r="D190" i="6"/>
  <c r="D189" i="6"/>
  <c r="C189" i="6"/>
  <c r="C188" i="6"/>
  <c r="B188" i="6"/>
  <c r="E165" i="5"/>
  <c r="C55" i="9" s="1"/>
  <c r="D165" i="5"/>
  <c r="B55" i="9" s="1"/>
  <c r="E164" i="5"/>
  <c r="D164" i="5"/>
  <c r="D163" i="5"/>
  <c r="C163" i="5"/>
  <c r="C162" i="5"/>
  <c r="B162" i="5"/>
  <c r="E181" i="6"/>
  <c r="D181" i="6"/>
  <c r="D180" i="6"/>
  <c r="C180" i="6"/>
  <c r="C179" i="6"/>
  <c r="B179" i="6"/>
  <c r="E178" i="6"/>
  <c r="D178" i="6"/>
  <c r="E177" i="6"/>
  <c r="D177" i="6"/>
  <c r="D176" i="6"/>
  <c r="C176" i="6"/>
  <c r="C175" i="6"/>
  <c r="B175" i="6"/>
  <c r="E174" i="6"/>
  <c r="D174" i="6"/>
  <c r="E173" i="6"/>
  <c r="D173" i="6"/>
  <c r="D172" i="6"/>
  <c r="C172" i="6"/>
  <c r="E157" i="5"/>
  <c r="C46" i="9" s="1"/>
  <c r="D157" i="5"/>
  <c r="D156" i="5"/>
  <c r="C156" i="5"/>
  <c r="C155" i="5"/>
  <c r="B155" i="5"/>
  <c r="E154" i="5"/>
  <c r="C34" i="9" s="1"/>
  <c r="E153" i="5"/>
  <c r="C33" i="9" s="1"/>
  <c r="D154" i="5"/>
  <c r="D153" i="5"/>
  <c r="D152" i="5"/>
  <c r="C152" i="5"/>
  <c r="C151" i="5"/>
  <c r="B151" i="5"/>
  <c r="E150" i="5"/>
  <c r="C13" i="9" s="1"/>
  <c r="E149" i="5"/>
  <c r="C12" i="9" s="1"/>
  <c r="D150" i="5"/>
  <c r="D149" i="5"/>
  <c r="D148" i="5"/>
  <c r="C148" i="5"/>
  <c r="C147" i="5"/>
  <c r="B147" i="5"/>
  <c r="C171" i="6"/>
  <c r="B171" i="6"/>
  <c r="E166" i="6"/>
  <c r="E165" i="6"/>
  <c r="E164" i="6"/>
  <c r="C7" i="9" s="1"/>
  <c r="D166" i="6"/>
  <c r="D165" i="6"/>
  <c r="D164" i="6"/>
  <c r="D163" i="6"/>
  <c r="C163" i="6"/>
  <c r="C162" i="6"/>
  <c r="B162" i="6"/>
  <c r="E144" i="5"/>
  <c r="E143" i="5"/>
  <c r="E142" i="5"/>
  <c r="D144" i="5"/>
  <c r="D143" i="5"/>
  <c r="D142" i="5"/>
  <c r="D141" i="5"/>
  <c r="C141" i="5"/>
  <c r="C140" i="5"/>
  <c r="B140" i="5"/>
  <c r="E137" i="5"/>
  <c r="E136" i="5"/>
  <c r="D137" i="5"/>
  <c r="D136" i="5"/>
  <c r="D135" i="5"/>
  <c r="C135" i="5"/>
  <c r="C134" i="5"/>
  <c r="B134" i="5"/>
  <c r="E133" i="5"/>
  <c r="C32" i="9" s="1"/>
  <c r="D133" i="5"/>
  <c r="D132" i="5"/>
  <c r="C132" i="5"/>
  <c r="E131" i="5"/>
  <c r="D131" i="5"/>
  <c r="D130" i="5"/>
  <c r="C130" i="5"/>
  <c r="C129" i="5"/>
  <c r="B129" i="5"/>
  <c r="E157" i="6"/>
  <c r="E156" i="6"/>
  <c r="D157" i="6"/>
  <c r="D156" i="6"/>
  <c r="D155" i="6"/>
  <c r="C155" i="6"/>
  <c r="C154" i="6"/>
  <c r="C45" i="9" s="1"/>
  <c r="C6" i="8" s="1"/>
  <c r="B154" i="6"/>
  <c r="E153" i="6"/>
  <c r="D153" i="6"/>
  <c r="D152" i="6"/>
  <c r="C152" i="6"/>
  <c r="E151" i="6"/>
  <c r="D151" i="6"/>
  <c r="D150" i="6"/>
  <c r="C150" i="6"/>
  <c r="C149" i="6"/>
  <c r="B149" i="6"/>
  <c r="E148" i="6"/>
  <c r="E147" i="6"/>
  <c r="E146" i="6"/>
  <c r="D148" i="6"/>
  <c r="D147" i="6"/>
  <c r="D146" i="6"/>
  <c r="D145" i="6"/>
  <c r="C145" i="6"/>
  <c r="E144" i="6"/>
  <c r="D144" i="6"/>
  <c r="D143" i="6"/>
  <c r="C143" i="6"/>
  <c r="E142" i="6"/>
  <c r="D142" i="6"/>
  <c r="D141" i="6"/>
  <c r="C141" i="6"/>
  <c r="B140" i="6"/>
  <c r="E128" i="5"/>
  <c r="C19" i="9" s="1"/>
  <c r="E127" i="5"/>
  <c r="C18" i="9" s="1"/>
  <c r="E126" i="5"/>
  <c r="C17" i="9" s="1"/>
  <c r="D128" i="5"/>
  <c r="D127" i="5"/>
  <c r="D126" i="5"/>
  <c r="D125" i="5"/>
  <c r="C125" i="5"/>
  <c r="E124" i="5"/>
  <c r="D124" i="5"/>
  <c r="D123" i="5"/>
  <c r="C123" i="5"/>
  <c r="E122" i="5"/>
  <c r="C8" i="9" s="1"/>
  <c r="D122" i="5"/>
  <c r="D121" i="5"/>
  <c r="C121" i="5"/>
  <c r="C120" i="5"/>
  <c r="B120" i="5"/>
  <c r="E135" i="6"/>
  <c r="D135" i="6"/>
  <c r="D134" i="6"/>
  <c r="C134" i="6"/>
  <c r="C133" i="6"/>
  <c r="B133" i="6"/>
  <c r="E117" i="5"/>
  <c r="D117" i="5"/>
  <c r="D116" i="5"/>
  <c r="C116" i="5"/>
  <c r="C115" i="5"/>
  <c r="B115" i="5"/>
  <c r="E114" i="5"/>
  <c r="C11" i="9" s="1"/>
  <c r="E113" i="5"/>
  <c r="D114" i="5"/>
  <c r="D113" i="5"/>
  <c r="D112" i="5"/>
  <c r="C112" i="5"/>
  <c r="C111" i="5"/>
  <c r="B111" i="5"/>
  <c r="E132" i="6"/>
  <c r="E131" i="6"/>
  <c r="D132" i="6"/>
  <c r="D131" i="6"/>
  <c r="D130" i="6"/>
  <c r="C130" i="6"/>
  <c r="C129" i="6"/>
  <c r="B129" i="6"/>
  <c r="E108" i="5"/>
  <c r="E107" i="5"/>
  <c r="D108" i="5"/>
  <c r="D107" i="5"/>
  <c r="D106" i="5"/>
  <c r="C106" i="5"/>
  <c r="C105" i="5"/>
  <c r="B105" i="5"/>
  <c r="E124" i="6"/>
  <c r="D124" i="6"/>
  <c r="E123" i="6"/>
  <c r="D123" i="6"/>
  <c r="D122" i="6"/>
  <c r="C122" i="6"/>
  <c r="C121" i="6"/>
  <c r="B121" i="6"/>
  <c r="E116" i="6"/>
  <c r="E115" i="6"/>
  <c r="E114" i="6"/>
  <c r="E113" i="6"/>
  <c r="E112" i="6"/>
  <c r="D116" i="6"/>
  <c r="D115" i="6"/>
  <c r="D114" i="6"/>
  <c r="D113" i="6"/>
  <c r="D112" i="6"/>
  <c r="D111" i="6"/>
  <c r="C111" i="6"/>
  <c r="C110" i="6"/>
  <c r="B110" i="6"/>
  <c r="E102" i="5"/>
  <c r="C41" i="9" s="1"/>
  <c r="E101" i="5"/>
  <c r="C40" i="9" s="1"/>
  <c r="E100" i="5"/>
  <c r="C39" i="9" s="1"/>
  <c r="E99" i="5"/>
  <c r="C38" i="9" s="1"/>
  <c r="E98" i="5"/>
  <c r="C37" i="9" s="1"/>
  <c r="D102" i="5"/>
  <c r="D101" i="5"/>
  <c r="D100" i="5"/>
  <c r="D99" i="5"/>
  <c r="D98" i="5"/>
  <c r="D97" i="5"/>
  <c r="C97" i="5"/>
  <c r="C96" i="5"/>
  <c r="B96" i="5"/>
  <c r="E95" i="5"/>
  <c r="D95" i="5"/>
  <c r="D94" i="5"/>
  <c r="C94" i="5"/>
  <c r="E109" i="6"/>
  <c r="D109" i="6"/>
  <c r="D108" i="6"/>
  <c r="C108" i="6"/>
  <c r="E107" i="6"/>
  <c r="E106" i="6"/>
  <c r="E105" i="6"/>
  <c r="E104" i="6"/>
  <c r="E103" i="6"/>
  <c r="E102" i="6"/>
  <c r="E101" i="6"/>
  <c r="D107" i="6"/>
  <c r="D106" i="6"/>
  <c r="D105" i="6"/>
  <c r="D104" i="6"/>
  <c r="D103" i="6"/>
  <c r="D102" i="6"/>
  <c r="D101" i="6"/>
  <c r="D100" i="6"/>
  <c r="C100" i="6"/>
  <c r="C99" i="6"/>
  <c r="B99" i="6"/>
  <c r="E93" i="5"/>
  <c r="C29" i="9" s="1"/>
  <c r="E92" i="5"/>
  <c r="C28" i="9" s="1"/>
  <c r="E91" i="5"/>
  <c r="C27" i="9" s="1"/>
  <c r="E90" i="5"/>
  <c r="C26" i="9" s="1"/>
  <c r="E89" i="5"/>
  <c r="C25" i="9" s="1"/>
  <c r="E88" i="5"/>
  <c r="C24" i="9" s="1"/>
  <c r="E87" i="5"/>
  <c r="C23" i="9" s="1"/>
  <c r="D93" i="5"/>
  <c r="D92" i="5"/>
  <c r="D91" i="5"/>
  <c r="D90" i="5"/>
  <c r="D89" i="5"/>
  <c r="D88" i="5"/>
  <c r="D87" i="5"/>
  <c r="D86" i="5"/>
  <c r="C85" i="5"/>
  <c r="B85" i="5"/>
  <c r="E94" i="6"/>
  <c r="D94" i="6"/>
  <c r="D93" i="6"/>
  <c r="C93" i="6"/>
  <c r="E92" i="6"/>
  <c r="D92" i="6"/>
  <c r="D91" i="6"/>
  <c r="C91" i="6"/>
  <c r="C90" i="6"/>
  <c r="B90" i="6"/>
  <c r="E82" i="5"/>
  <c r="C31" i="9" s="1"/>
  <c r="D82" i="5"/>
  <c r="D81" i="5"/>
  <c r="C81" i="5"/>
  <c r="E80" i="5"/>
  <c r="C30" i="9" s="1"/>
  <c r="D80" i="5"/>
  <c r="D79" i="5"/>
  <c r="C79" i="5"/>
  <c r="C78" i="5"/>
  <c r="B78" i="5"/>
  <c r="D75" i="5"/>
  <c r="E75" i="5"/>
  <c r="C15" i="9" s="1"/>
  <c r="E74" i="5"/>
  <c r="D74" i="5"/>
  <c r="D73" i="5"/>
  <c r="C73" i="5"/>
  <c r="C72" i="5"/>
  <c r="B72" i="5"/>
  <c r="E85" i="6"/>
  <c r="D85" i="6"/>
  <c r="E84" i="6"/>
  <c r="D84" i="6"/>
  <c r="D83" i="6"/>
  <c r="C83" i="6"/>
  <c r="C82" i="6"/>
  <c r="B82" i="6"/>
  <c r="E77" i="6"/>
  <c r="D77" i="6"/>
  <c r="D76" i="6"/>
  <c r="C76" i="6"/>
  <c r="C75" i="6"/>
  <c r="B75" i="6"/>
  <c r="E69" i="5"/>
  <c r="D69" i="5"/>
  <c r="D68" i="5"/>
  <c r="C68" i="5"/>
  <c r="C67" i="5"/>
  <c r="B67" i="5"/>
  <c r="E66" i="5"/>
  <c r="C44" i="9" s="1"/>
  <c r="D66" i="5"/>
  <c r="D65" i="5"/>
  <c r="C65" i="5"/>
  <c r="E74" i="6"/>
  <c r="D74" i="6"/>
  <c r="D73" i="6"/>
  <c r="C73" i="6"/>
  <c r="E72" i="6"/>
  <c r="D72" i="6"/>
  <c r="D71" i="6"/>
  <c r="C71" i="6"/>
  <c r="C70" i="6"/>
  <c r="B70" i="6"/>
  <c r="E64" i="5"/>
  <c r="D64" i="5"/>
  <c r="D63" i="5"/>
  <c r="C63" i="5"/>
  <c r="C62" i="5"/>
  <c r="B62" i="5"/>
  <c r="E61" i="5"/>
  <c r="C21" i="9" s="1"/>
  <c r="D61" i="5"/>
  <c r="D60" i="5"/>
  <c r="C60" i="5"/>
  <c r="E69" i="6"/>
  <c r="D69" i="6"/>
  <c r="D68" i="6"/>
  <c r="C68" i="6"/>
  <c r="E67" i="6"/>
  <c r="D67" i="6"/>
  <c r="E66" i="6"/>
  <c r="D66" i="6"/>
  <c r="D65" i="6"/>
  <c r="C65" i="6"/>
  <c r="E59" i="5"/>
  <c r="D59" i="5"/>
  <c r="E58" i="5"/>
  <c r="C16" i="9" s="1"/>
  <c r="D58" i="5"/>
  <c r="D57" i="5"/>
  <c r="C57" i="5"/>
  <c r="E56" i="5"/>
  <c r="D56" i="5"/>
  <c r="D55" i="5"/>
  <c r="C55" i="5"/>
  <c r="E64" i="6"/>
  <c r="D64" i="6"/>
  <c r="D63" i="6"/>
  <c r="C63" i="6"/>
  <c r="E62" i="6"/>
  <c r="D62" i="6"/>
  <c r="E61" i="6"/>
  <c r="E60" i="6"/>
  <c r="D61" i="6"/>
  <c r="D60" i="6"/>
  <c r="D59" i="6"/>
  <c r="C59" i="6"/>
  <c r="C58" i="6"/>
  <c r="B58" i="6"/>
  <c r="E53" i="5"/>
  <c r="C5" i="9" s="1"/>
  <c r="E52" i="5"/>
  <c r="D53" i="5"/>
  <c r="D52" i="5"/>
  <c r="D51" i="5"/>
  <c r="C51" i="5"/>
  <c r="C50" i="5"/>
  <c r="B50" i="5"/>
  <c r="E47" i="5"/>
  <c r="D47" i="5"/>
  <c r="E53" i="6"/>
  <c r="D53" i="6"/>
  <c r="E52" i="6"/>
  <c r="D52" i="6"/>
  <c r="D51" i="6"/>
  <c r="C51" i="6"/>
  <c r="C50" i="6"/>
  <c r="B50" i="6"/>
  <c r="E46" i="5"/>
  <c r="D46" i="5"/>
  <c r="D45" i="5"/>
  <c r="C45" i="5"/>
  <c r="C44" i="5"/>
  <c r="B44" i="5"/>
  <c r="E43" i="5"/>
  <c r="C43" i="9" s="1"/>
  <c r="D43" i="5"/>
  <c r="E42" i="5"/>
  <c r="C42" i="9" s="1"/>
  <c r="D42" i="5"/>
  <c r="D41" i="5"/>
  <c r="C41" i="5"/>
  <c r="E49" i="6"/>
  <c r="D49" i="6"/>
  <c r="E48" i="6"/>
  <c r="D48" i="6"/>
  <c r="D47" i="6"/>
  <c r="C47" i="6"/>
  <c r="E40" i="5"/>
  <c r="D40" i="5"/>
  <c r="D39" i="5"/>
  <c r="C39" i="5"/>
  <c r="E38" i="5"/>
  <c r="C36" i="9" s="1"/>
  <c r="D38" i="5"/>
  <c r="D37" i="5"/>
  <c r="C37" i="5"/>
  <c r="C36" i="5"/>
  <c r="B36" i="5"/>
  <c r="E44" i="6"/>
  <c r="D44" i="6"/>
  <c r="D43" i="6"/>
  <c r="C43" i="6"/>
  <c r="C42" i="6"/>
  <c r="B42" i="6"/>
  <c r="E41" i="6"/>
  <c r="D41" i="6"/>
  <c r="D40" i="6"/>
  <c r="C40" i="6"/>
  <c r="E35" i="5"/>
  <c r="C20" i="9" s="1"/>
  <c r="D35" i="5"/>
  <c r="D34" i="5"/>
  <c r="C34" i="5"/>
  <c r="E33" i="5"/>
  <c r="C14" i="9" s="1"/>
  <c r="D33" i="5"/>
  <c r="D32" i="5"/>
  <c r="C32" i="5"/>
  <c r="E39" i="6"/>
  <c r="D39" i="6"/>
  <c r="D38" i="6"/>
  <c r="C38" i="6"/>
  <c r="E37" i="6"/>
  <c r="D37" i="6"/>
  <c r="D36" i="6"/>
  <c r="C36" i="6"/>
  <c r="E31" i="5"/>
  <c r="C10" i="9" s="1"/>
  <c r="D31" i="5"/>
  <c r="D30" i="5"/>
  <c r="C30" i="5"/>
  <c r="E29" i="5"/>
  <c r="C9" i="9" s="1"/>
  <c r="D29" i="5"/>
  <c r="D28" i="5"/>
  <c r="C28" i="5"/>
  <c r="E35" i="6"/>
  <c r="D35" i="6"/>
  <c r="D34" i="6"/>
  <c r="C34" i="6"/>
  <c r="E33" i="6"/>
  <c r="D33" i="6"/>
  <c r="D32" i="6"/>
  <c r="C32" i="6"/>
  <c r="C31" i="6"/>
  <c r="B31" i="6"/>
  <c r="E27" i="5"/>
  <c r="C4" i="9" s="1"/>
  <c r="D27" i="5"/>
  <c r="D26" i="5"/>
  <c r="C26" i="5"/>
  <c r="C25" i="5"/>
  <c r="B25" i="5"/>
  <c r="E22" i="5"/>
  <c r="D22" i="5"/>
  <c r="D21" i="5"/>
  <c r="C21" i="5"/>
  <c r="C20" i="5"/>
  <c r="B20" i="5"/>
  <c r="E26" i="6"/>
  <c r="D26" i="6"/>
  <c r="D25" i="6"/>
  <c r="C25" i="6"/>
  <c r="C24" i="6"/>
  <c r="B24" i="6"/>
  <c r="E19" i="6"/>
  <c r="D19" i="6"/>
  <c r="E18" i="6"/>
  <c r="D18" i="6"/>
  <c r="D17" i="6"/>
  <c r="C17" i="6"/>
  <c r="C16" i="6"/>
  <c r="B16" i="6"/>
  <c r="D11" i="6"/>
  <c r="E11" i="6"/>
  <c r="E10" i="6"/>
  <c r="D10" i="6"/>
  <c r="D9" i="6"/>
  <c r="C9" i="6"/>
  <c r="E17" i="5"/>
  <c r="D17" i="5"/>
  <c r="E16" i="5"/>
  <c r="D16" i="5"/>
  <c r="D15" i="5"/>
  <c r="C15" i="5"/>
  <c r="C14" i="5"/>
  <c r="B14" i="5"/>
  <c r="D11" i="5"/>
  <c r="E10" i="5"/>
  <c r="C48" i="9" s="1"/>
  <c r="D10" i="5"/>
  <c r="C8" i="6"/>
  <c r="B8" i="6"/>
  <c r="E11" i="5"/>
  <c r="C47" i="9" s="1"/>
  <c r="D9" i="5"/>
  <c r="C9" i="5"/>
  <c r="B8" i="5"/>
  <c r="C35" i="9" l="1"/>
  <c r="C5" i="8"/>
  <c r="C3" i="9"/>
  <c r="C3" i="8"/>
  <c r="C22" i="9"/>
  <c r="C4" i="8"/>
  <c r="B45" i="9"/>
  <c r="B6" i="8"/>
  <c r="B35" i="9"/>
  <c r="B5" i="8"/>
  <c r="B22" i="9"/>
  <c r="B4" i="8"/>
  <c r="B3" i="9"/>
  <c r="B3" i="8"/>
  <c r="BJ138" i="1"/>
  <c r="BA324" i="1" l="1"/>
  <c r="BA330" i="1" l="1"/>
  <c r="BJ330" i="1" l="1"/>
  <c r="C120" i="10" s="1"/>
  <c r="E120" i="10" s="1"/>
  <c r="BJ325" i="1"/>
  <c r="C110" i="10" s="1"/>
  <c r="E110" i="10" s="1"/>
  <c r="BJ324" i="1"/>
  <c r="C111" i="10" s="1"/>
  <c r="E111" i="10" s="1"/>
  <c r="BJ293" i="1"/>
  <c r="F157" i="6" l="1"/>
  <c r="BA281" i="1"/>
  <c r="BD328" i="1" l="1"/>
  <c r="AI328" i="1"/>
  <c r="AL328" i="1"/>
  <c r="AO328" i="1"/>
  <c r="AR328" i="1"/>
  <c r="AU328" i="1"/>
  <c r="AX328" i="1"/>
  <c r="BG328" i="1"/>
  <c r="BM328" i="1"/>
  <c r="AF328" i="1"/>
  <c r="BA308" i="1"/>
  <c r="BJ331" i="1"/>
  <c r="C113" i="10" s="1"/>
  <c r="E113" i="10" s="1"/>
  <c r="BA328" i="1" l="1"/>
  <c r="BJ329" i="1" l="1"/>
  <c r="BN328" i="1"/>
  <c r="AC328" i="1"/>
  <c r="Z328" i="1"/>
  <c r="W328" i="1"/>
  <c r="BJ292" i="1"/>
  <c r="C97" i="10" s="1"/>
  <c r="E97" i="10" s="1"/>
  <c r="BJ328" i="1" l="1"/>
  <c r="F137" i="5" s="1"/>
  <c r="C119" i="10"/>
  <c r="E119" i="10" s="1"/>
  <c r="AO246" i="1"/>
  <c r="BJ237" i="1"/>
  <c r="BA238" i="1"/>
  <c r="BJ238" i="1" s="1"/>
  <c r="I157" i="6" l="1"/>
  <c r="L157" i="6" s="1"/>
  <c r="BA272" i="1"/>
  <c r="BM279" i="1" l="1"/>
  <c r="BN279" i="1"/>
  <c r="BD322" i="1"/>
  <c r="BG322" i="1"/>
  <c r="BM322" i="1"/>
  <c r="BN322" i="1"/>
  <c r="BA322" i="1"/>
  <c r="BJ327" i="1"/>
  <c r="C115" i="10" s="1"/>
  <c r="E115" i="10" s="1"/>
  <c r="BJ326" i="1"/>
  <c r="C114" i="10" s="1"/>
  <c r="E114" i="10" s="1"/>
  <c r="BD124" i="1"/>
  <c r="BG124" i="1"/>
  <c r="BM124" i="1"/>
  <c r="BA124" i="1"/>
  <c r="BJ125" i="1"/>
  <c r="C42" i="10" s="1"/>
  <c r="E42" i="10" s="1"/>
  <c r="BJ239" i="1" l="1"/>
  <c r="BJ240" i="1"/>
  <c r="BJ241" i="1"/>
  <c r="BJ250" i="1"/>
  <c r="BJ251" i="1"/>
  <c r="BA154" i="1" l="1"/>
  <c r="BG476" i="1" l="1"/>
  <c r="BG475" i="1" s="1"/>
  <c r="BG474" i="1" s="1"/>
  <c r="BG473" i="1" s="1"/>
  <c r="BD476" i="1"/>
  <c r="BD475" i="1" s="1"/>
  <c r="BD474" i="1" s="1"/>
  <c r="BD473" i="1" s="1"/>
  <c r="BA476" i="1"/>
  <c r="BA475" i="1" s="1"/>
  <c r="BA474" i="1" s="1"/>
  <c r="BA473" i="1" s="1"/>
  <c r="AX476" i="1"/>
  <c r="AX475" i="1" s="1"/>
  <c r="AX474" i="1" s="1"/>
  <c r="AX473" i="1" s="1"/>
  <c r="AU476" i="1"/>
  <c r="AU475" i="1" s="1"/>
  <c r="AU474" i="1" s="1"/>
  <c r="AU473" i="1" s="1"/>
  <c r="AR476" i="1"/>
  <c r="AR475" i="1" s="1"/>
  <c r="AR474" i="1" s="1"/>
  <c r="AR473" i="1" s="1"/>
  <c r="AO476" i="1"/>
  <c r="AO475" i="1" s="1"/>
  <c r="AO474" i="1" s="1"/>
  <c r="AO473" i="1" s="1"/>
  <c r="AL476" i="1"/>
  <c r="AL475" i="1" s="1"/>
  <c r="AL474" i="1" s="1"/>
  <c r="AL473" i="1" s="1"/>
  <c r="AI476" i="1"/>
  <c r="AI475" i="1" s="1"/>
  <c r="AI474" i="1" s="1"/>
  <c r="AI473" i="1" s="1"/>
  <c r="AF476" i="1"/>
  <c r="AF475" i="1" s="1"/>
  <c r="AF474" i="1" s="1"/>
  <c r="AF473" i="1" s="1"/>
  <c r="AC476" i="1"/>
  <c r="AC475" i="1" s="1"/>
  <c r="AC474" i="1" s="1"/>
  <c r="AC473" i="1" s="1"/>
  <c r="Z476" i="1"/>
  <c r="Z475" i="1" s="1"/>
  <c r="Z474" i="1" s="1"/>
  <c r="Z473" i="1" s="1"/>
  <c r="W476" i="1"/>
  <c r="W475" i="1" s="1"/>
  <c r="W474" i="1" s="1"/>
  <c r="W473" i="1" s="1"/>
  <c r="Z464" i="1"/>
  <c r="Z463" i="1" s="1"/>
  <c r="AC464" i="1"/>
  <c r="AC463" i="1" s="1"/>
  <c r="AF464" i="1"/>
  <c r="AF463" i="1" s="1"/>
  <c r="AI464" i="1"/>
  <c r="AI463" i="1" s="1"/>
  <c r="AL464" i="1"/>
  <c r="AL463" i="1" s="1"/>
  <c r="AO464" i="1"/>
  <c r="AO463" i="1" s="1"/>
  <c r="AR464" i="1"/>
  <c r="AR463" i="1" s="1"/>
  <c r="AU464" i="1"/>
  <c r="AU463" i="1" s="1"/>
  <c r="AX464" i="1"/>
  <c r="AX463" i="1" s="1"/>
  <c r="BA464" i="1"/>
  <c r="BA463" i="1" s="1"/>
  <c r="BD464" i="1"/>
  <c r="BD463" i="1" s="1"/>
  <c r="BG464" i="1"/>
  <c r="BG463" i="1" s="1"/>
  <c r="Z461" i="1"/>
  <c r="Z460" i="1" s="1"/>
  <c r="AC461" i="1"/>
  <c r="AC460" i="1" s="1"/>
  <c r="AF461" i="1"/>
  <c r="AF460" i="1" s="1"/>
  <c r="AI461" i="1"/>
  <c r="AI460" i="1" s="1"/>
  <c r="AL461" i="1"/>
  <c r="AL460" i="1" s="1"/>
  <c r="AO461" i="1"/>
  <c r="AO460" i="1" s="1"/>
  <c r="AR461" i="1"/>
  <c r="AR460" i="1" s="1"/>
  <c r="AU461" i="1"/>
  <c r="AU460" i="1" s="1"/>
  <c r="AX461" i="1"/>
  <c r="AX460" i="1" s="1"/>
  <c r="BA461" i="1"/>
  <c r="BA460" i="1" s="1"/>
  <c r="BD461" i="1"/>
  <c r="BD460" i="1" s="1"/>
  <c r="BG461" i="1"/>
  <c r="BG460" i="1" s="1"/>
  <c r="W463" i="1"/>
  <c r="Z457" i="1"/>
  <c r="Z456" i="1" s="1"/>
  <c r="AC457" i="1"/>
  <c r="AC456" i="1" s="1"/>
  <c r="AF457" i="1"/>
  <c r="AF456" i="1" s="1"/>
  <c r="AI457" i="1"/>
  <c r="AI456" i="1" s="1"/>
  <c r="AL457" i="1"/>
  <c r="AL456" i="1" s="1"/>
  <c r="AO457" i="1"/>
  <c r="AO456" i="1" s="1"/>
  <c r="AR457" i="1"/>
  <c r="AR456" i="1" s="1"/>
  <c r="AU457" i="1"/>
  <c r="AU456" i="1" s="1"/>
  <c r="AX457" i="1"/>
  <c r="AX456" i="1" s="1"/>
  <c r="BA457" i="1"/>
  <c r="BA456" i="1" s="1"/>
  <c r="BD457" i="1"/>
  <c r="BD456" i="1" s="1"/>
  <c r="BG457" i="1"/>
  <c r="BG456" i="1" s="1"/>
  <c r="Z454" i="1"/>
  <c r="Z453" i="1" s="1"/>
  <c r="AC454" i="1"/>
  <c r="AC453" i="1" s="1"/>
  <c r="AF454" i="1"/>
  <c r="AF453" i="1" s="1"/>
  <c r="AI454" i="1"/>
  <c r="AI453" i="1" s="1"/>
  <c r="AL454" i="1"/>
  <c r="AL453" i="1" s="1"/>
  <c r="AO454" i="1"/>
  <c r="AO453" i="1" s="1"/>
  <c r="AR454" i="1"/>
  <c r="AR453" i="1" s="1"/>
  <c r="AU454" i="1"/>
  <c r="AU453" i="1" s="1"/>
  <c r="AX454" i="1"/>
  <c r="AX453" i="1" s="1"/>
  <c r="BA454" i="1"/>
  <c r="BA453" i="1" s="1"/>
  <c r="BD454" i="1"/>
  <c r="BD453" i="1" s="1"/>
  <c r="BG454" i="1"/>
  <c r="BG453" i="1" s="1"/>
  <c r="W457" i="1"/>
  <c r="W456" i="1" s="1"/>
  <c r="W454" i="1"/>
  <c r="W453" i="1" s="1"/>
  <c r="Z447" i="1"/>
  <c r="AC447" i="1"/>
  <c r="AF447" i="1"/>
  <c r="AI447" i="1"/>
  <c r="AL447" i="1"/>
  <c r="AO447" i="1"/>
  <c r="AR447" i="1"/>
  <c r="AU447" i="1"/>
  <c r="AX447" i="1"/>
  <c r="BA447" i="1"/>
  <c r="BD447" i="1"/>
  <c r="BG447" i="1"/>
  <c r="W447" i="1"/>
  <c r="Z442" i="1"/>
  <c r="AC442" i="1"/>
  <c r="AF442" i="1"/>
  <c r="AI442" i="1"/>
  <c r="AL442" i="1"/>
  <c r="AO442" i="1"/>
  <c r="AR442" i="1"/>
  <c r="AU442" i="1"/>
  <c r="AX442" i="1"/>
  <c r="BG442" i="1"/>
  <c r="L190" i="6" s="1"/>
  <c r="L189" i="6" s="1"/>
  <c r="L188" i="6" s="1"/>
  <c r="L187" i="6" s="1"/>
  <c r="W442" i="1"/>
  <c r="BG404" i="1"/>
  <c r="BD404" i="1"/>
  <c r="BA404" i="1"/>
  <c r="AX404" i="1"/>
  <c r="AU404" i="1"/>
  <c r="AR404" i="1"/>
  <c r="AO404" i="1"/>
  <c r="AL404" i="1"/>
  <c r="AI404" i="1"/>
  <c r="AF404" i="1"/>
  <c r="AC404" i="1"/>
  <c r="Z404" i="1"/>
  <c r="W404" i="1"/>
  <c r="Z115" i="1"/>
  <c r="Z114" i="1" s="1"/>
  <c r="AC115" i="1"/>
  <c r="AC114" i="1" s="1"/>
  <c r="AF115" i="1"/>
  <c r="AF114" i="1" s="1"/>
  <c r="AI115" i="1"/>
  <c r="AI114" i="1" s="1"/>
  <c r="AL115" i="1"/>
  <c r="AL114" i="1" s="1"/>
  <c r="AO115" i="1"/>
  <c r="AO114" i="1" s="1"/>
  <c r="AR115" i="1"/>
  <c r="AR114" i="1" s="1"/>
  <c r="AU115" i="1"/>
  <c r="AU114" i="1" s="1"/>
  <c r="AX115" i="1"/>
  <c r="AX114" i="1" s="1"/>
  <c r="BA115" i="1"/>
  <c r="BA114" i="1" s="1"/>
  <c r="BD115" i="1"/>
  <c r="BD114" i="1" s="1"/>
  <c r="BG115" i="1"/>
  <c r="BG114" i="1" s="1"/>
  <c r="BA47" i="1"/>
  <c r="BA46" i="1" s="1"/>
  <c r="BG430" i="1"/>
  <c r="BG429" i="1" s="1"/>
  <c r="BG428" i="1" s="1"/>
  <c r="BD430" i="1"/>
  <c r="BD429" i="1" s="1"/>
  <c r="BD428" i="1" s="1"/>
  <c r="BA430" i="1"/>
  <c r="BA429" i="1" s="1"/>
  <c r="BA428" i="1" s="1"/>
  <c r="AX430" i="1"/>
  <c r="AX429" i="1" s="1"/>
  <c r="AX428" i="1" s="1"/>
  <c r="AU430" i="1"/>
  <c r="AU429" i="1" s="1"/>
  <c r="AU428" i="1" s="1"/>
  <c r="AR430" i="1"/>
  <c r="AR429" i="1" s="1"/>
  <c r="AR428" i="1" s="1"/>
  <c r="AO430" i="1"/>
  <c r="AO429" i="1" s="1"/>
  <c r="AO428" i="1" s="1"/>
  <c r="AL430" i="1"/>
  <c r="AL429" i="1" s="1"/>
  <c r="AL428" i="1" s="1"/>
  <c r="AI430" i="1"/>
  <c r="AI429" i="1" s="1"/>
  <c r="AI428" i="1" s="1"/>
  <c r="AF430" i="1"/>
  <c r="AF429" i="1" s="1"/>
  <c r="AF428" i="1" s="1"/>
  <c r="AC430" i="1"/>
  <c r="AC429" i="1" s="1"/>
  <c r="AC428" i="1" s="1"/>
  <c r="Z430" i="1"/>
  <c r="Z429" i="1" s="1"/>
  <c r="Z428" i="1" s="1"/>
  <c r="W430" i="1"/>
  <c r="W429" i="1" s="1"/>
  <c r="W428" i="1" s="1"/>
  <c r="Z426" i="1"/>
  <c r="AC426" i="1"/>
  <c r="AF426" i="1"/>
  <c r="AI426" i="1"/>
  <c r="AL426" i="1"/>
  <c r="AO426" i="1"/>
  <c r="AR426" i="1"/>
  <c r="AU426" i="1"/>
  <c r="AX426" i="1"/>
  <c r="BA426" i="1"/>
  <c r="BD426" i="1"/>
  <c r="BG426" i="1"/>
  <c r="W426" i="1"/>
  <c r="Z414" i="1"/>
  <c r="AC414" i="1"/>
  <c r="AF414" i="1"/>
  <c r="AI414" i="1"/>
  <c r="AL414" i="1"/>
  <c r="AO414" i="1"/>
  <c r="AR414" i="1"/>
  <c r="AU414" i="1"/>
  <c r="AX414" i="1"/>
  <c r="BA414" i="1"/>
  <c r="BD414" i="1"/>
  <c r="BG414" i="1"/>
  <c r="W414" i="1"/>
  <c r="Z422" i="1"/>
  <c r="AC422" i="1"/>
  <c r="AF422" i="1"/>
  <c r="AI422" i="1"/>
  <c r="AL422" i="1"/>
  <c r="AO422" i="1"/>
  <c r="AR422" i="1"/>
  <c r="AU422" i="1"/>
  <c r="AX422" i="1"/>
  <c r="BA422" i="1"/>
  <c r="BD422" i="1"/>
  <c r="BG422" i="1"/>
  <c r="W422" i="1"/>
  <c r="Z336" i="1"/>
  <c r="AC336" i="1"/>
  <c r="AF336" i="1"/>
  <c r="I164" i="6" s="1"/>
  <c r="AL336" i="1"/>
  <c r="AO336" i="1"/>
  <c r="AR336" i="1"/>
  <c r="AU336" i="1"/>
  <c r="AX336" i="1"/>
  <c r="BD336" i="1"/>
  <c r="Z288" i="1"/>
  <c r="AC288" i="1"/>
  <c r="AF288" i="1"/>
  <c r="AI288" i="1"/>
  <c r="AL288" i="1"/>
  <c r="AO288" i="1"/>
  <c r="AR288" i="1"/>
  <c r="AU288" i="1"/>
  <c r="AX288" i="1"/>
  <c r="BA288" i="1"/>
  <c r="I146" i="6" s="1"/>
  <c r="BD288" i="1"/>
  <c r="BG288" i="1"/>
  <c r="BJ298" i="1"/>
  <c r="C101" i="10" s="1"/>
  <c r="E101" i="10" s="1"/>
  <c r="BJ297" i="1"/>
  <c r="BJ296" i="1"/>
  <c r="C100" i="10" s="1"/>
  <c r="E100" i="10" s="1"/>
  <c r="BJ295" i="1"/>
  <c r="C99" i="10" s="1"/>
  <c r="E99" i="10" s="1"/>
  <c r="BJ294" i="1"/>
  <c r="C98" i="10" s="1"/>
  <c r="E98" i="10" s="1"/>
  <c r="BJ291" i="1"/>
  <c r="C96" i="10" s="1"/>
  <c r="E96" i="10" s="1"/>
  <c r="BJ290" i="1"/>
  <c r="BJ289" i="1"/>
  <c r="BJ283" i="1"/>
  <c r="BJ282" i="1"/>
  <c r="BJ286" i="1"/>
  <c r="BG281" i="1"/>
  <c r="BD281" i="1"/>
  <c r="BD280" i="1" s="1"/>
  <c r="BA280" i="1"/>
  <c r="AX281" i="1"/>
  <c r="AX280" i="1" s="1"/>
  <c r="AU281" i="1"/>
  <c r="AU280" i="1" s="1"/>
  <c r="AR281" i="1"/>
  <c r="AR280" i="1" s="1"/>
  <c r="AO281" i="1"/>
  <c r="AO280" i="1" s="1"/>
  <c r="AL281" i="1"/>
  <c r="AL280" i="1" s="1"/>
  <c r="AI281" i="1"/>
  <c r="AI280" i="1" s="1"/>
  <c r="AF281" i="1"/>
  <c r="AF280" i="1" s="1"/>
  <c r="AC281" i="1"/>
  <c r="AC280" i="1" s="1"/>
  <c r="Z281" i="1"/>
  <c r="Z280" i="1" s="1"/>
  <c r="BG280" i="1"/>
  <c r="W299" i="1"/>
  <c r="W288" i="1"/>
  <c r="F146" i="6" s="1"/>
  <c r="L146" i="6" s="1"/>
  <c r="W281" i="1"/>
  <c r="W280" i="1" s="1"/>
  <c r="BA285" i="1"/>
  <c r="BA284" i="1" s="1"/>
  <c r="Z315" i="1"/>
  <c r="Z314" i="1" s="1"/>
  <c r="AC315" i="1"/>
  <c r="AC314" i="1" s="1"/>
  <c r="AF315" i="1"/>
  <c r="AF314" i="1" s="1"/>
  <c r="AI315" i="1"/>
  <c r="AI314" i="1" s="1"/>
  <c r="AL315" i="1"/>
  <c r="AL314" i="1" s="1"/>
  <c r="AO315" i="1"/>
  <c r="AO314" i="1" s="1"/>
  <c r="AR315" i="1"/>
  <c r="AR314" i="1" s="1"/>
  <c r="AU315" i="1"/>
  <c r="AU314" i="1" s="1"/>
  <c r="AX315" i="1"/>
  <c r="AX314" i="1" s="1"/>
  <c r="BA315" i="1"/>
  <c r="BA314" i="1" s="1"/>
  <c r="BD315" i="1"/>
  <c r="BD314" i="1" s="1"/>
  <c r="BG315" i="1"/>
  <c r="BG314" i="1" s="1"/>
  <c r="Z318" i="1"/>
  <c r="Z317" i="1" s="1"/>
  <c r="AC318" i="1"/>
  <c r="AC317" i="1" s="1"/>
  <c r="AF318" i="1"/>
  <c r="AF317" i="1" s="1"/>
  <c r="AI318" i="1"/>
  <c r="AI317" i="1" s="1"/>
  <c r="AL318" i="1"/>
  <c r="AL317" i="1" s="1"/>
  <c r="AO318" i="1"/>
  <c r="AO317" i="1" s="1"/>
  <c r="AR318" i="1"/>
  <c r="AR317" i="1" s="1"/>
  <c r="AU318" i="1"/>
  <c r="AU317" i="1" s="1"/>
  <c r="AX318" i="1"/>
  <c r="AX317" i="1" s="1"/>
  <c r="BA318" i="1"/>
  <c r="BA317" i="1" s="1"/>
  <c r="BD318" i="1"/>
  <c r="BD317" i="1" s="1"/>
  <c r="BG318" i="1"/>
  <c r="BG317" i="1" s="1"/>
  <c r="Z322" i="1"/>
  <c r="Z321" i="1" s="1"/>
  <c r="Z320" i="1" s="1"/>
  <c r="AC322" i="1"/>
  <c r="AC321" i="1" s="1"/>
  <c r="AC320" i="1" s="1"/>
  <c r="AF322" i="1"/>
  <c r="AF321" i="1" s="1"/>
  <c r="AF320" i="1" s="1"/>
  <c r="AI322" i="1"/>
  <c r="AI321" i="1" s="1"/>
  <c r="AI320" i="1" s="1"/>
  <c r="AL322" i="1"/>
  <c r="AL321" i="1" s="1"/>
  <c r="AL320" i="1" s="1"/>
  <c r="AO322" i="1"/>
  <c r="AO321" i="1" s="1"/>
  <c r="AO320" i="1" s="1"/>
  <c r="AR322" i="1"/>
  <c r="AR321" i="1" s="1"/>
  <c r="AR320" i="1" s="1"/>
  <c r="AU322" i="1"/>
  <c r="AU321" i="1" s="1"/>
  <c r="AU320" i="1" s="1"/>
  <c r="AX322" i="1"/>
  <c r="AX321" i="1" s="1"/>
  <c r="AX320" i="1" s="1"/>
  <c r="BA321" i="1"/>
  <c r="BA320" i="1" s="1"/>
  <c r="BD321" i="1"/>
  <c r="BD320" i="1" s="1"/>
  <c r="BG321" i="1"/>
  <c r="BG320" i="1" s="1"/>
  <c r="Z285" i="1"/>
  <c r="Z284" i="1" s="1"/>
  <c r="AC285" i="1"/>
  <c r="AC284" i="1" s="1"/>
  <c r="AF285" i="1"/>
  <c r="AF284" i="1" s="1"/>
  <c r="AI285" i="1"/>
  <c r="AI284" i="1" s="1"/>
  <c r="AL285" i="1"/>
  <c r="AL284" i="1" s="1"/>
  <c r="AO285" i="1"/>
  <c r="AO284" i="1" s="1"/>
  <c r="AR285" i="1"/>
  <c r="AR284" i="1" s="1"/>
  <c r="AU285" i="1"/>
  <c r="AU284" i="1" s="1"/>
  <c r="AX285" i="1"/>
  <c r="AX284" i="1" s="1"/>
  <c r="BD285" i="1"/>
  <c r="BD284" i="1" s="1"/>
  <c r="BG285" i="1"/>
  <c r="BG284" i="1" s="1"/>
  <c r="W285" i="1"/>
  <c r="W284" i="1" s="1"/>
  <c r="Z236" i="1"/>
  <c r="AC236" i="1"/>
  <c r="AF236" i="1"/>
  <c r="AI236" i="1"/>
  <c r="AL236" i="1"/>
  <c r="AR236" i="1"/>
  <c r="AU236" i="1"/>
  <c r="AX236" i="1"/>
  <c r="BD236" i="1"/>
  <c r="BG236" i="1"/>
  <c r="U131" i="6" s="1"/>
  <c r="Z271" i="1"/>
  <c r="AC271" i="1"/>
  <c r="AF271" i="1"/>
  <c r="AI271" i="1"/>
  <c r="AL271" i="1"/>
  <c r="AO271" i="1"/>
  <c r="AR271" i="1"/>
  <c r="AU271" i="1"/>
  <c r="AX271" i="1"/>
  <c r="BD271" i="1"/>
  <c r="BG271" i="1"/>
  <c r="U132" i="6" s="1"/>
  <c r="Z275" i="1"/>
  <c r="Z274" i="1" s="1"/>
  <c r="Z273" i="1" s="1"/>
  <c r="AC275" i="1"/>
  <c r="AC274" i="1" s="1"/>
  <c r="AC273" i="1" s="1"/>
  <c r="AF275" i="1"/>
  <c r="AF274" i="1" s="1"/>
  <c r="AF273" i="1" s="1"/>
  <c r="AI275" i="1"/>
  <c r="AI274" i="1" s="1"/>
  <c r="AI273" i="1" s="1"/>
  <c r="AL275" i="1"/>
  <c r="AL274" i="1" s="1"/>
  <c r="AL273" i="1" s="1"/>
  <c r="AO275" i="1"/>
  <c r="AO274" i="1" s="1"/>
  <c r="AO273" i="1" s="1"/>
  <c r="AR275" i="1"/>
  <c r="AR274" i="1" s="1"/>
  <c r="AR273" i="1" s="1"/>
  <c r="AU275" i="1"/>
  <c r="AU274" i="1" s="1"/>
  <c r="AU273" i="1" s="1"/>
  <c r="AX275" i="1"/>
  <c r="AX274" i="1" s="1"/>
  <c r="AX273" i="1" s="1"/>
  <c r="BA275" i="1"/>
  <c r="BA274" i="1" s="1"/>
  <c r="BA273" i="1" s="1"/>
  <c r="BD275" i="1"/>
  <c r="BD274" i="1" s="1"/>
  <c r="BD273" i="1" s="1"/>
  <c r="BG275" i="1"/>
  <c r="BG274" i="1" s="1"/>
  <c r="BG273" i="1" s="1"/>
  <c r="W275" i="1"/>
  <c r="W274" i="1" s="1"/>
  <c r="W273" i="1" s="1"/>
  <c r="W271" i="1"/>
  <c r="W236" i="1"/>
  <c r="Z230" i="1"/>
  <c r="AC230" i="1"/>
  <c r="AF230" i="1"/>
  <c r="AI230" i="1"/>
  <c r="AL230" i="1"/>
  <c r="AO230" i="1"/>
  <c r="AR230" i="1"/>
  <c r="AU230" i="1"/>
  <c r="AX230" i="1"/>
  <c r="BA230" i="1"/>
  <c r="BD230" i="1"/>
  <c r="BG230" i="1"/>
  <c r="Z227" i="1"/>
  <c r="AC227" i="1"/>
  <c r="AC226" i="1" s="1"/>
  <c r="AC225" i="1" s="1"/>
  <c r="AC224" i="1" s="1"/>
  <c r="AF227" i="1"/>
  <c r="AI227" i="1"/>
  <c r="AL227" i="1"/>
  <c r="AL226" i="1" s="1"/>
  <c r="AL225" i="1" s="1"/>
  <c r="AL224" i="1" s="1"/>
  <c r="AO227" i="1"/>
  <c r="AO226" i="1" s="1"/>
  <c r="AO225" i="1" s="1"/>
  <c r="AO224" i="1" s="1"/>
  <c r="AR227" i="1"/>
  <c r="AU227" i="1"/>
  <c r="AU226" i="1" s="1"/>
  <c r="AU225" i="1" s="1"/>
  <c r="AU224" i="1" s="1"/>
  <c r="AX227" i="1"/>
  <c r="BA227" i="1"/>
  <c r="BA226" i="1" s="1"/>
  <c r="BA225" i="1" s="1"/>
  <c r="BA224" i="1" s="1"/>
  <c r="BD227" i="1"/>
  <c r="BG227" i="1"/>
  <c r="BG226" i="1" s="1"/>
  <c r="BG225" i="1" s="1"/>
  <c r="BG224" i="1" s="1"/>
  <c r="W230" i="1"/>
  <c r="W227" i="1"/>
  <c r="Z203" i="1"/>
  <c r="AC203" i="1"/>
  <c r="AF203" i="1"/>
  <c r="AI203" i="1"/>
  <c r="AL203" i="1"/>
  <c r="AO203" i="1"/>
  <c r="AR203" i="1"/>
  <c r="AU203" i="1"/>
  <c r="AX203" i="1"/>
  <c r="BA203" i="1"/>
  <c r="BD203" i="1"/>
  <c r="BG203" i="1"/>
  <c r="W203" i="1"/>
  <c r="Z198" i="1"/>
  <c r="Z197" i="1" s="1"/>
  <c r="AC198" i="1"/>
  <c r="AC197" i="1" s="1"/>
  <c r="AF198" i="1"/>
  <c r="AF197" i="1" s="1"/>
  <c r="AI198" i="1"/>
  <c r="AI197" i="1" s="1"/>
  <c r="AL198" i="1"/>
  <c r="AL197" i="1" s="1"/>
  <c r="AO198" i="1"/>
  <c r="AO197" i="1" s="1"/>
  <c r="AR198" i="1"/>
  <c r="AR197" i="1" s="1"/>
  <c r="AU198" i="1"/>
  <c r="AU197" i="1" s="1"/>
  <c r="AX198" i="1"/>
  <c r="AX197" i="1" s="1"/>
  <c r="BA198" i="1"/>
  <c r="BA197" i="1" s="1"/>
  <c r="BD198" i="1"/>
  <c r="BD197" i="1" s="1"/>
  <c r="BG198" i="1"/>
  <c r="BG197" i="1" s="1"/>
  <c r="W198" i="1"/>
  <c r="W197" i="1" s="1"/>
  <c r="W193" i="1"/>
  <c r="Z169" i="1"/>
  <c r="AC169" i="1"/>
  <c r="AF169" i="1"/>
  <c r="AI169" i="1"/>
  <c r="AL169" i="1"/>
  <c r="AO169" i="1"/>
  <c r="AR169" i="1"/>
  <c r="AU169" i="1"/>
  <c r="AX169" i="1"/>
  <c r="BA169" i="1"/>
  <c r="BD169" i="1"/>
  <c r="BG169" i="1"/>
  <c r="W169" i="1"/>
  <c r="Z219" i="1"/>
  <c r="AC219" i="1"/>
  <c r="AF219" i="1"/>
  <c r="AI219" i="1"/>
  <c r="AL219" i="1"/>
  <c r="AO219" i="1"/>
  <c r="AR219" i="1"/>
  <c r="AU219" i="1"/>
  <c r="AX219" i="1"/>
  <c r="BA219" i="1"/>
  <c r="BD219" i="1"/>
  <c r="BG219" i="1"/>
  <c r="W219" i="1"/>
  <c r="W215" i="1"/>
  <c r="Z206" i="1"/>
  <c r="AC206" i="1"/>
  <c r="AF206" i="1"/>
  <c r="AI206" i="1"/>
  <c r="AL206" i="1"/>
  <c r="AO206" i="1"/>
  <c r="AR206" i="1"/>
  <c r="AU206" i="1"/>
  <c r="AX206" i="1"/>
  <c r="BD206" i="1"/>
  <c r="BG206" i="1"/>
  <c r="W206" i="1"/>
  <c r="W186" i="1"/>
  <c r="W183" i="1"/>
  <c r="W181" i="1"/>
  <c r="W188" i="1"/>
  <c r="W190" i="1"/>
  <c r="Z150" i="1"/>
  <c r="Z149" i="1" s="1"/>
  <c r="AC150" i="1"/>
  <c r="AC149" i="1" s="1"/>
  <c r="AF150" i="1"/>
  <c r="AF149" i="1" s="1"/>
  <c r="AI150" i="1"/>
  <c r="AI149" i="1" s="1"/>
  <c r="AL150" i="1"/>
  <c r="AL149" i="1" s="1"/>
  <c r="AO150" i="1"/>
  <c r="AO149" i="1" s="1"/>
  <c r="AR150" i="1"/>
  <c r="AR149" i="1" s="1"/>
  <c r="AU150" i="1"/>
  <c r="AU149" i="1" s="1"/>
  <c r="AX150" i="1"/>
  <c r="AX149" i="1" s="1"/>
  <c r="BA150" i="1"/>
  <c r="BG150" i="1"/>
  <c r="BG149" i="1" s="1"/>
  <c r="W150" i="1"/>
  <c r="W149" i="1" s="1"/>
  <c r="Z160" i="1"/>
  <c r="Z159" i="1" s="1"/>
  <c r="AC160" i="1"/>
  <c r="AC159" i="1" s="1"/>
  <c r="AF160" i="1"/>
  <c r="AF159" i="1" s="1"/>
  <c r="AI160" i="1"/>
  <c r="AI159" i="1" s="1"/>
  <c r="AL160" i="1"/>
  <c r="AL159" i="1" s="1"/>
  <c r="AO160" i="1"/>
  <c r="AO159" i="1" s="1"/>
  <c r="AR160" i="1"/>
  <c r="AR159" i="1" s="1"/>
  <c r="AU160" i="1"/>
  <c r="AU159" i="1" s="1"/>
  <c r="AX160" i="1"/>
  <c r="AX159" i="1" s="1"/>
  <c r="BA160" i="1"/>
  <c r="BD160" i="1"/>
  <c r="BG160" i="1"/>
  <c r="BG159" i="1" s="1"/>
  <c r="W160" i="1"/>
  <c r="W159" i="1" s="1"/>
  <c r="Z134" i="1"/>
  <c r="AC134" i="1"/>
  <c r="AF134" i="1"/>
  <c r="AI134" i="1"/>
  <c r="AL134" i="1"/>
  <c r="AO134" i="1"/>
  <c r="AR134" i="1"/>
  <c r="AU134" i="1"/>
  <c r="AX134" i="1"/>
  <c r="BA134" i="1"/>
  <c r="BD134" i="1"/>
  <c r="BG134" i="1"/>
  <c r="Z101" i="1"/>
  <c r="AC101" i="1"/>
  <c r="AF101" i="1"/>
  <c r="AI101" i="1"/>
  <c r="AL101" i="1"/>
  <c r="AO101" i="1"/>
  <c r="AR101" i="1"/>
  <c r="AU101" i="1"/>
  <c r="AX101" i="1"/>
  <c r="BA101" i="1"/>
  <c r="BD101" i="1"/>
  <c r="BG101" i="1"/>
  <c r="BM101" i="1"/>
  <c r="BM100" i="1" s="1"/>
  <c r="Z124" i="1"/>
  <c r="Z123" i="1" s="1"/>
  <c r="Z122" i="1" s="1"/>
  <c r="AC124" i="1"/>
  <c r="AC123" i="1" s="1"/>
  <c r="AC122" i="1" s="1"/>
  <c r="AF124" i="1"/>
  <c r="AF123" i="1" s="1"/>
  <c r="AF122" i="1" s="1"/>
  <c r="AI124" i="1"/>
  <c r="AI123" i="1" s="1"/>
  <c r="AI122" i="1" s="1"/>
  <c r="AL124" i="1"/>
  <c r="AL123" i="1" s="1"/>
  <c r="AL122" i="1" s="1"/>
  <c r="AO124" i="1"/>
  <c r="AO123" i="1" s="1"/>
  <c r="AO122" i="1" s="1"/>
  <c r="AR124" i="1"/>
  <c r="AR123" i="1" s="1"/>
  <c r="AR122" i="1" s="1"/>
  <c r="AU124" i="1"/>
  <c r="AU123" i="1" s="1"/>
  <c r="AU122" i="1" s="1"/>
  <c r="AX124" i="1"/>
  <c r="AX123" i="1" s="1"/>
  <c r="AX122" i="1" s="1"/>
  <c r="BA123" i="1"/>
  <c r="BA122" i="1" s="1"/>
  <c r="BD123" i="1"/>
  <c r="BD122" i="1" s="1"/>
  <c r="BG123" i="1"/>
  <c r="BG122" i="1" s="1"/>
  <c r="W124" i="1"/>
  <c r="W123" i="1" s="1"/>
  <c r="W122" i="1" s="1"/>
  <c r="W118" i="1"/>
  <c r="W117" i="1" s="1"/>
  <c r="AC118" i="1"/>
  <c r="AC117" i="1" s="1"/>
  <c r="AF118" i="1"/>
  <c r="AF117" i="1" s="1"/>
  <c r="AI118" i="1"/>
  <c r="AI117" i="1" s="1"/>
  <c r="AL118" i="1"/>
  <c r="AL117" i="1" s="1"/>
  <c r="AO118" i="1"/>
  <c r="AO117" i="1" s="1"/>
  <c r="AR118" i="1"/>
  <c r="AR117" i="1" s="1"/>
  <c r="AU118" i="1"/>
  <c r="AU117" i="1" s="1"/>
  <c r="AX118" i="1"/>
  <c r="AX117" i="1" s="1"/>
  <c r="BA118" i="1"/>
  <c r="BA117" i="1" s="1"/>
  <c r="BD118" i="1"/>
  <c r="BD117" i="1" s="1"/>
  <c r="BG118" i="1"/>
  <c r="BG117" i="1" s="1"/>
  <c r="Z118" i="1"/>
  <c r="Z117" i="1" s="1"/>
  <c r="AC91" i="1"/>
  <c r="AF91" i="1"/>
  <c r="AI91" i="1"/>
  <c r="AL91" i="1"/>
  <c r="AO91" i="1"/>
  <c r="AR91" i="1"/>
  <c r="AU91" i="1"/>
  <c r="AX91" i="1"/>
  <c r="BA91" i="1"/>
  <c r="BG91" i="1"/>
  <c r="AC110" i="1"/>
  <c r="AC109" i="1" s="1"/>
  <c r="AF110" i="1"/>
  <c r="AF109" i="1" s="1"/>
  <c r="AI110" i="1"/>
  <c r="AI109" i="1" s="1"/>
  <c r="AL110" i="1"/>
  <c r="AL109" i="1" s="1"/>
  <c r="AO110" i="1"/>
  <c r="AO109" i="1" s="1"/>
  <c r="AR110" i="1"/>
  <c r="AR109" i="1" s="1"/>
  <c r="AU110" i="1"/>
  <c r="AU109" i="1" s="1"/>
  <c r="AX110" i="1"/>
  <c r="AX109" i="1" s="1"/>
  <c r="BA110" i="1"/>
  <c r="BA109" i="1" s="1"/>
  <c r="BD110" i="1"/>
  <c r="BD109" i="1" s="1"/>
  <c r="BG110" i="1"/>
  <c r="BG109" i="1" s="1"/>
  <c r="W110" i="1"/>
  <c r="W109" i="1" s="1"/>
  <c r="Z107" i="1"/>
  <c r="AC107" i="1"/>
  <c r="AF107" i="1"/>
  <c r="AI107" i="1"/>
  <c r="AL107" i="1"/>
  <c r="AO107" i="1"/>
  <c r="AR107" i="1"/>
  <c r="AU107" i="1"/>
  <c r="AX107" i="1"/>
  <c r="BA107" i="1"/>
  <c r="BD107" i="1"/>
  <c r="BG107" i="1"/>
  <c r="W107" i="1"/>
  <c r="W101" i="1"/>
  <c r="Z98" i="1"/>
  <c r="Z97" i="1" s="1"/>
  <c r="AC98" i="1"/>
  <c r="AC97" i="1" s="1"/>
  <c r="AF98" i="1"/>
  <c r="AF97" i="1" s="1"/>
  <c r="AI98" i="1"/>
  <c r="AI97" i="1" s="1"/>
  <c r="AL98" i="1"/>
  <c r="AL97" i="1" s="1"/>
  <c r="AO98" i="1"/>
  <c r="AO97" i="1" s="1"/>
  <c r="AR98" i="1"/>
  <c r="AR97" i="1" s="1"/>
  <c r="AU98" i="1"/>
  <c r="AU97" i="1" s="1"/>
  <c r="AX98" i="1"/>
  <c r="AX97" i="1" s="1"/>
  <c r="BA98" i="1"/>
  <c r="BA97" i="1" s="1"/>
  <c r="BD98" i="1"/>
  <c r="BD97" i="1" s="1"/>
  <c r="BG98" i="1"/>
  <c r="BG97" i="1" s="1"/>
  <c r="W98" i="1"/>
  <c r="W97" i="1" s="1"/>
  <c r="Z95" i="1"/>
  <c r="AC95" i="1"/>
  <c r="AF95" i="1"/>
  <c r="AI95" i="1"/>
  <c r="AL95" i="1"/>
  <c r="AO95" i="1"/>
  <c r="AR95" i="1"/>
  <c r="AU95" i="1"/>
  <c r="AX95" i="1"/>
  <c r="BA95" i="1"/>
  <c r="BD95" i="1"/>
  <c r="BG95" i="1"/>
  <c r="W95" i="1"/>
  <c r="Z93" i="1"/>
  <c r="AC93" i="1"/>
  <c r="AF93" i="1"/>
  <c r="AI93" i="1"/>
  <c r="AL93" i="1"/>
  <c r="AO93" i="1"/>
  <c r="AR93" i="1"/>
  <c r="AU93" i="1"/>
  <c r="AX93" i="1"/>
  <c r="BA93" i="1"/>
  <c r="BD93" i="1"/>
  <c r="BG93" i="1"/>
  <c r="W93" i="1"/>
  <c r="Z91" i="1"/>
  <c r="W91" i="1"/>
  <c r="Z83" i="1"/>
  <c r="AC83" i="1"/>
  <c r="AF83" i="1"/>
  <c r="AI83" i="1"/>
  <c r="AL83" i="1"/>
  <c r="AO83" i="1"/>
  <c r="AR83" i="1"/>
  <c r="AU83" i="1"/>
  <c r="AX83" i="1"/>
  <c r="BA83" i="1"/>
  <c r="BD83" i="1"/>
  <c r="BG83" i="1"/>
  <c r="Z63" i="1"/>
  <c r="Z62" i="1" s="1"/>
  <c r="AC63" i="1"/>
  <c r="AC62" i="1" s="1"/>
  <c r="AF63" i="1"/>
  <c r="AF62" i="1" s="1"/>
  <c r="AI63" i="1"/>
  <c r="AI62" i="1" s="1"/>
  <c r="AL63" i="1"/>
  <c r="AL62" i="1" s="1"/>
  <c r="AO63" i="1"/>
  <c r="AO62" i="1" s="1"/>
  <c r="AR63" i="1"/>
  <c r="AR62" i="1" s="1"/>
  <c r="AU63" i="1"/>
  <c r="AU62" i="1" s="1"/>
  <c r="AX63" i="1"/>
  <c r="AX62" i="1" s="1"/>
  <c r="BA63" i="1"/>
  <c r="BA62" i="1" s="1"/>
  <c r="BD63" i="1"/>
  <c r="BD62" i="1" s="1"/>
  <c r="BG63" i="1"/>
  <c r="BG62" i="1" s="1"/>
  <c r="Z68" i="1"/>
  <c r="Z67" i="1" s="1"/>
  <c r="AC68" i="1"/>
  <c r="AF68" i="1"/>
  <c r="AF67" i="1" s="1"/>
  <c r="AI68" i="1"/>
  <c r="AI67" i="1" s="1"/>
  <c r="AL68" i="1"/>
  <c r="AL67" i="1" s="1"/>
  <c r="AO68" i="1"/>
  <c r="AO67" i="1" s="1"/>
  <c r="AR68" i="1"/>
  <c r="AR67" i="1" s="1"/>
  <c r="AU68" i="1"/>
  <c r="AU67" i="1" s="1"/>
  <c r="AX68" i="1"/>
  <c r="AX67" i="1" s="1"/>
  <c r="BA68" i="1"/>
  <c r="BA67" i="1" s="1"/>
  <c r="BD68" i="1"/>
  <c r="BD67" i="1" s="1"/>
  <c r="BG68" i="1"/>
  <c r="BG67" i="1" s="1"/>
  <c r="Z72" i="1"/>
  <c r="AC72" i="1"/>
  <c r="AF72" i="1"/>
  <c r="AI72" i="1"/>
  <c r="AL72" i="1"/>
  <c r="AO72" i="1"/>
  <c r="AR72" i="1"/>
  <c r="AU72" i="1"/>
  <c r="AX72" i="1"/>
  <c r="BA72" i="1"/>
  <c r="BD72" i="1"/>
  <c r="BG72" i="1"/>
  <c r="Z74" i="1"/>
  <c r="AC74" i="1"/>
  <c r="AF74" i="1"/>
  <c r="AI74" i="1"/>
  <c r="AL74" i="1"/>
  <c r="AO74" i="1"/>
  <c r="AR74" i="1"/>
  <c r="AU74" i="1"/>
  <c r="AX74" i="1"/>
  <c r="BA74" i="1"/>
  <c r="BD74" i="1"/>
  <c r="BG74" i="1"/>
  <c r="W68" i="1"/>
  <c r="W67" i="1" s="1"/>
  <c r="W63" i="1"/>
  <c r="W62" i="1" s="1"/>
  <c r="W74" i="1"/>
  <c r="Z47" i="1"/>
  <c r="Z46" i="1" s="1"/>
  <c r="AC47" i="1"/>
  <c r="AC46" i="1" s="1"/>
  <c r="AF47" i="1"/>
  <c r="AF46" i="1" s="1"/>
  <c r="AI47" i="1"/>
  <c r="AI46" i="1" s="1"/>
  <c r="AL47" i="1"/>
  <c r="AL46" i="1" s="1"/>
  <c r="AO47" i="1"/>
  <c r="AO46" i="1" s="1"/>
  <c r="AR47" i="1"/>
  <c r="AR46" i="1" s="1"/>
  <c r="AU47" i="1"/>
  <c r="AU46" i="1" s="1"/>
  <c r="AX47" i="1"/>
  <c r="AX46" i="1" s="1"/>
  <c r="BD47" i="1"/>
  <c r="BD46" i="1" s="1"/>
  <c r="BG47" i="1"/>
  <c r="BG46" i="1" s="1"/>
  <c r="Z40" i="1"/>
  <c r="Z39" i="1" s="1"/>
  <c r="Z38" i="1" s="1"/>
  <c r="Z37" i="1" s="1"/>
  <c r="AC40" i="1"/>
  <c r="AC39" i="1" s="1"/>
  <c r="AC38" i="1" s="1"/>
  <c r="AC37" i="1" s="1"/>
  <c r="AF40" i="1"/>
  <c r="AF39" i="1" s="1"/>
  <c r="AF38" i="1" s="1"/>
  <c r="AF37" i="1" s="1"/>
  <c r="AI40" i="1"/>
  <c r="AI39" i="1" s="1"/>
  <c r="AI38" i="1" s="1"/>
  <c r="AI37" i="1" s="1"/>
  <c r="AL40" i="1"/>
  <c r="AL39" i="1" s="1"/>
  <c r="AL38" i="1" s="1"/>
  <c r="AL37" i="1" s="1"/>
  <c r="AO40" i="1"/>
  <c r="AO39" i="1" s="1"/>
  <c r="AO38" i="1" s="1"/>
  <c r="AO37" i="1" s="1"/>
  <c r="AR40" i="1"/>
  <c r="AR39" i="1" s="1"/>
  <c r="AR38" i="1" s="1"/>
  <c r="AR37" i="1" s="1"/>
  <c r="AU40" i="1"/>
  <c r="AU39" i="1" s="1"/>
  <c r="AU38" i="1" s="1"/>
  <c r="AU37" i="1" s="1"/>
  <c r="AX40" i="1"/>
  <c r="AX39" i="1" s="1"/>
  <c r="AX38" i="1" s="1"/>
  <c r="AX37" i="1" s="1"/>
  <c r="BD40" i="1"/>
  <c r="BD39" i="1" s="1"/>
  <c r="BD38" i="1" s="1"/>
  <c r="BD37" i="1" s="1"/>
  <c r="BG40" i="1"/>
  <c r="BG39" i="1" s="1"/>
  <c r="BG38" i="1" s="1"/>
  <c r="BG37" i="1" s="1"/>
  <c r="W40" i="1"/>
  <c r="W39" i="1" s="1"/>
  <c r="W38" i="1" s="1"/>
  <c r="W37" i="1" s="1"/>
  <c r="Z25" i="1"/>
  <c r="AC25" i="1"/>
  <c r="AF25" i="1"/>
  <c r="AI25" i="1"/>
  <c r="AL25" i="1"/>
  <c r="AO25" i="1"/>
  <c r="AR25" i="1"/>
  <c r="AU25" i="1"/>
  <c r="AX25" i="1"/>
  <c r="BD25" i="1"/>
  <c r="BG25" i="1"/>
  <c r="BM25" i="1"/>
  <c r="BN25" i="1"/>
  <c r="W25" i="1"/>
  <c r="Z22" i="1"/>
  <c r="AC22" i="1"/>
  <c r="AF22" i="1"/>
  <c r="AI22" i="1"/>
  <c r="AL22" i="1"/>
  <c r="AO22" i="1"/>
  <c r="AR22" i="1"/>
  <c r="AU22" i="1"/>
  <c r="AX22" i="1"/>
  <c r="BA22" i="1"/>
  <c r="BD22" i="1"/>
  <c r="BG22" i="1"/>
  <c r="BM22" i="1"/>
  <c r="BN22" i="1"/>
  <c r="W22" i="1"/>
  <c r="Z12" i="1"/>
  <c r="AC12" i="1"/>
  <c r="AF12" i="1"/>
  <c r="AI12" i="1"/>
  <c r="AL12" i="1"/>
  <c r="AO12" i="1"/>
  <c r="AR12" i="1"/>
  <c r="AU12" i="1"/>
  <c r="AX12" i="1"/>
  <c r="BA12" i="1"/>
  <c r="BD12" i="1"/>
  <c r="BG12" i="1"/>
  <c r="W12" i="1"/>
  <c r="BA159" i="1" l="1"/>
  <c r="F94" i="6"/>
  <c r="BA149" i="1"/>
  <c r="F92" i="6"/>
  <c r="AC67" i="1"/>
  <c r="I46" i="6"/>
  <c r="I45" i="6" s="1"/>
  <c r="I42" i="6" s="1"/>
  <c r="I30" i="6" s="1"/>
  <c r="BD159" i="1"/>
  <c r="I94" i="6"/>
  <c r="I93" i="6" s="1"/>
  <c r="U130" i="6"/>
  <c r="U129" i="6" s="1"/>
  <c r="U128" i="6" s="1"/>
  <c r="BJ285" i="1"/>
  <c r="BJ284" i="1" s="1"/>
  <c r="C94" i="10"/>
  <c r="E94" i="10" s="1"/>
  <c r="C93" i="10"/>
  <c r="E93" i="10" s="1"/>
  <c r="C95" i="10"/>
  <c r="E95" i="10" s="1"/>
  <c r="BG21" i="1"/>
  <c r="BG20" i="1" s="1"/>
  <c r="BG19" i="1" s="1"/>
  <c r="BA403" i="1"/>
  <c r="BA402" i="1" s="1"/>
  <c r="AC403" i="1"/>
  <c r="AC402" i="1" s="1"/>
  <c r="W421" i="1"/>
  <c r="W420" i="1" s="1"/>
  <c r="AL421" i="1"/>
  <c r="AL420" i="1" s="1"/>
  <c r="Z421" i="1"/>
  <c r="Z420" i="1" s="1"/>
  <c r="W100" i="1"/>
  <c r="BG421" i="1"/>
  <c r="BG420" i="1" s="1"/>
  <c r="AU421" i="1"/>
  <c r="AU420" i="1" s="1"/>
  <c r="AU100" i="1"/>
  <c r="BJ288" i="1"/>
  <c r="AI100" i="1"/>
  <c r="BD21" i="1"/>
  <c r="BD20" i="1" s="1"/>
  <c r="BD19" i="1" s="1"/>
  <c r="BD100" i="1"/>
  <c r="BA313" i="1"/>
  <c r="AO313" i="1"/>
  <c r="AC313" i="1"/>
  <c r="AI235" i="1"/>
  <c r="AI234" i="1" s="1"/>
  <c r="AI233" i="1" s="1"/>
  <c r="BA421" i="1"/>
  <c r="BA420" i="1" s="1"/>
  <c r="AO421" i="1"/>
  <c r="AO420" i="1" s="1"/>
  <c r="BG403" i="1"/>
  <c r="BG402" i="1" s="1"/>
  <c r="BG441" i="1"/>
  <c r="BG440" i="1" s="1"/>
  <c r="BG439" i="1" s="1"/>
  <c r="BG100" i="1"/>
  <c r="W168" i="1"/>
  <c r="AX441" i="1"/>
  <c r="AX440" i="1" s="1"/>
  <c r="AX439" i="1" s="1"/>
  <c r="Z441" i="1"/>
  <c r="Z440" i="1" s="1"/>
  <c r="Z439" i="1" s="1"/>
  <c r="AX21" i="1"/>
  <c r="AX20" i="1" s="1"/>
  <c r="AX19" i="1" s="1"/>
  <c r="BA100" i="1"/>
  <c r="AO100" i="1"/>
  <c r="AC100" i="1"/>
  <c r="W226" i="1"/>
  <c r="W225" i="1" s="1"/>
  <c r="AX226" i="1"/>
  <c r="AX225" i="1" s="1"/>
  <c r="AX224" i="1" s="1"/>
  <c r="AU235" i="1"/>
  <c r="AU234" i="1" s="1"/>
  <c r="AU233" i="1" s="1"/>
  <c r="BG235" i="1"/>
  <c r="BG234" i="1" s="1"/>
  <c r="BG233" i="1" s="1"/>
  <c r="AU113" i="1"/>
  <c r="W403" i="1"/>
  <c r="W402" i="1" s="1"/>
  <c r="AI403" i="1"/>
  <c r="AI402" i="1" s="1"/>
  <c r="AU403" i="1"/>
  <c r="AU402" i="1" s="1"/>
  <c r="AU441" i="1"/>
  <c r="AU440" i="1" s="1"/>
  <c r="AU439" i="1" s="1"/>
  <c r="AI441" i="1"/>
  <c r="AI440" i="1" s="1"/>
  <c r="AI439" i="1" s="1"/>
  <c r="AU21" i="1"/>
  <c r="AU20" i="1" s="1"/>
  <c r="AU19" i="1" s="1"/>
  <c r="AI21" i="1"/>
  <c r="AI20" i="1" s="1"/>
  <c r="AI19" i="1" s="1"/>
  <c r="AX100" i="1"/>
  <c r="AL100" i="1"/>
  <c r="Z100" i="1"/>
  <c r="W235" i="1"/>
  <c r="W234" i="1" s="1"/>
  <c r="BD235" i="1"/>
  <c r="BD234" i="1" s="1"/>
  <c r="BD233" i="1" s="1"/>
  <c r="BJ281" i="1"/>
  <c r="BJ280" i="1" s="1"/>
  <c r="AL441" i="1"/>
  <c r="AL440" i="1" s="1"/>
  <c r="AL439" i="1" s="1"/>
  <c r="AU90" i="1"/>
  <c r="BA113" i="1"/>
  <c r="AO113" i="1"/>
  <c r="AC113" i="1"/>
  <c r="AO403" i="1"/>
  <c r="AO402" i="1" s="1"/>
  <c r="AR71" i="1"/>
  <c r="AR61" i="1" s="1"/>
  <c r="AR100" i="1"/>
  <c r="AF100" i="1"/>
  <c r="AI113" i="1"/>
  <c r="BG113" i="1"/>
  <c r="Z71" i="1"/>
  <c r="Z61" i="1" s="1"/>
  <c r="BG90" i="1"/>
  <c r="W148" i="1"/>
  <c r="W147" i="1" s="1"/>
  <c r="Z226" i="1"/>
  <c r="Z225" i="1" s="1"/>
  <c r="Z224" i="1" s="1"/>
  <c r="AC235" i="1"/>
  <c r="AC234" i="1" s="1"/>
  <c r="AC233" i="1" s="1"/>
  <c r="AX313" i="1"/>
  <c r="AL21" i="1"/>
  <c r="AL20" i="1" s="1"/>
  <c r="AL19" i="1" s="1"/>
  <c r="Z235" i="1"/>
  <c r="Z234" i="1" s="1"/>
  <c r="Z233" i="1" s="1"/>
  <c r="AU313" i="1"/>
  <c r="AL113" i="1"/>
  <c r="AF403" i="1"/>
  <c r="AF402" i="1" s="1"/>
  <c r="BD71" i="1"/>
  <c r="BD61" i="1" s="1"/>
  <c r="BA90" i="1"/>
  <c r="AR313" i="1"/>
  <c r="W90" i="1"/>
  <c r="AX90" i="1"/>
  <c r="AX421" i="1"/>
  <c r="AX420" i="1" s="1"/>
  <c r="AF113" i="1"/>
  <c r="AL403" i="1"/>
  <c r="AL402" i="1" s="1"/>
  <c r="AR90" i="1"/>
  <c r="AR89" i="1" s="1"/>
  <c r="AX235" i="1"/>
  <c r="AX234" i="1" s="1"/>
  <c r="AX233" i="1" s="1"/>
  <c r="AI313" i="1"/>
  <c r="Z113" i="1"/>
  <c r="AR403" i="1"/>
  <c r="AR402" i="1" s="1"/>
  <c r="W441" i="1"/>
  <c r="W440" i="1" s="1"/>
  <c r="Z90" i="1"/>
  <c r="AO90" i="1"/>
  <c r="AI226" i="1"/>
  <c r="AI225" i="1" s="1"/>
  <c r="AI224" i="1" s="1"/>
  <c r="AF313" i="1"/>
  <c r="AC421" i="1"/>
  <c r="AC420" i="1" s="1"/>
  <c r="AC401" i="1" s="1"/>
  <c r="AR235" i="1"/>
  <c r="AR234" i="1" s="1"/>
  <c r="AR233" i="1" s="1"/>
  <c r="BD113" i="1"/>
  <c r="AX403" i="1"/>
  <c r="AX402" i="1" s="1"/>
  <c r="AL313" i="1"/>
  <c r="AL71" i="1"/>
  <c r="AL61" i="1" s="1"/>
  <c r="AI90" i="1"/>
  <c r="Z313" i="1"/>
  <c r="AI421" i="1"/>
  <c r="AI420" i="1" s="1"/>
  <c r="AF90" i="1"/>
  <c r="AL235" i="1"/>
  <c r="AL234" i="1" s="1"/>
  <c r="AL233" i="1" s="1"/>
  <c r="BG313" i="1"/>
  <c r="AX113" i="1"/>
  <c r="BD403" i="1"/>
  <c r="BD402" i="1" s="1"/>
  <c r="AF71" i="1"/>
  <c r="AF61" i="1" s="1"/>
  <c r="AC90" i="1"/>
  <c r="AC89" i="1" s="1"/>
  <c r="BD313" i="1"/>
  <c r="AX71" i="1"/>
  <c r="AX61" i="1" s="1"/>
  <c r="AL90" i="1"/>
  <c r="AF235" i="1"/>
  <c r="AF234" i="1" s="1"/>
  <c r="AF233" i="1" s="1"/>
  <c r="AR113" i="1"/>
  <c r="Z403" i="1"/>
  <c r="Z402" i="1" s="1"/>
  <c r="AC459" i="1"/>
  <c r="BD459" i="1"/>
  <c r="AR459" i="1"/>
  <c r="AF459" i="1"/>
  <c r="AO459" i="1"/>
  <c r="AX459" i="1"/>
  <c r="AL459" i="1"/>
  <c r="Z459" i="1"/>
  <c r="BG459" i="1"/>
  <c r="AU459" i="1"/>
  <c r="AI459" i="1"/>
  <c r="BA459" i="1"/>
  <c r="AO452" i="1"/>
  <c r="AX452" i="1"/>
  <c r="BD452" i="1"/>
  <c r="AF452" i="1"/>
  <c r="AF451" i="1" s="1"/>
  <c r="BA452" i="1"/>
  <c r="Z452" i="1"/>
  <c r="AR452" i="1"/>
  <c r="AC452" i="1"/>
  <c r="BG452" i="1"/>
  <c r="BG451" i="1" s="1"/>
  <c r="AU452" i="1"/>
  <c r="AU451" i="1" s="1"/>
  <c r="AI452" i="1"/>
  <c r="AI451" i="1" s="1"/>
  <c r="AL452" i="1"/>
  <c r="AO441" i="1"/>
  <c r="AO440" i="1" s="1"/>
  <c r="AO439" i="1" s="1"/>
  <c r="AC441" i="1"/>
  <c r="AC440" i="1" s="1"/>
  <c r="AC439" i="1" s="1"/>
  <c r="AR441" i="1"/>
  <c r="AR440" i="1" s="1"/>
  <c r="AR439" i="1" s="1"/>
  <c r="AF441" i="1"/>
  <c r="AF440" i="1" s="1"/>
  <c r="AF439" i="1" s="1"/>
  <c r="BD421" i="1"/>
  <c r="BD420" i="1" s="1"/>
  <c r="AR421" i="1"/>
  <c r="AR420" i="1" s="1"/>
  <c r="AF421" i="1"/>
  <c r="AF420" i="1" s="1"/>
  <c r="BD226" i="1"/>
  <c r="BD225" i="1" s="1"/>
  <c r="BD224" i="1" s="1"/>
  <c r="AR226" i="1"/>
  <c r="AR225" i="1" s="1"/>
  <c r="AR224" i="1" s="1"/>
  <c r="AF226" i="1"/>
  <c r="AF225" i="1" s="1"/>
  <c r="AF224" i="1" s="1"/>
  <c r="BG148" i="1"/>
  <c r="BG147" i="1" s="1"/>
  <c r="AU148" i="1"/>
  <c r="AU147" i="1" s="1"/>
  <c r="AI148" i="1"/>
  <c r="AI147" i="1" s="1"/>
  <c r="BA148" i="1"/>
  <c r="BA147" i="1" s="1"/>
  <c r="AO148" i="1"/>
  <c r="AO147" i="1" s="1"/>
  <c r="AC148" i="1"/>
  <c r="AC147" i="1" s="1"/>
  <c r="AX148" i="1"/>
  <c r="AX147" i="1" s="1"/>
  <c r="AL148" i="1"/>
  <c r="AL147" i="1" s="1"/>
  <c r="Z148" i="1"/>
  <c r="Z147" i="1" s="1"/>
  <c r="AR148" i="1"/>
  <c r="AR147" i="1" s="1"/>
  <c r="AF148" i="1"/>
  <c r="AF147" i="1" s="1"/>
  <c r="W21" i="1"/>
  <c r="W20" i="1" s="1"/>
  <c r="BN21" i="1"/>
  <c r="AR21" i="1"/>
  <c r="AR20" i="1" s="1"/>
  <c r="AR19" i="1" s="1"/>
  <c r="AF21" i="1"/>
  <c r="AF20" i="1" s="1"/>
  <c r="AF19" i="1" s="1"/>
  <c r="BA71" i="1"/>
  <c r="BA61" i="1" s="1"/>
  <c r="AO71" i="1"/>
  <c r="AO61" i="1" s="1"/>
  <c r="AC71" i="1"/>
  <c r="AC61" i="1" s="1"/>
  <c r="Z21" i="1"/>
  <c r="Z20" i="1" s="1"/>
  <c r="Z19" i="1" s="1"/>
  <c r="BG71" i="1"/>
  <c r="BG61" i="1" s="1"/>
  <c r="AU71" i="1"/>
  <c r="AU61" i="1" s="1"/>
  <c r="AI71" i="1"/>
  <c r="AI61" i="1" s="1"/>
  <c r="BM21" i="1"/>
  <c r="BM20" i="1" s="1"/>
  <c r="BM19" i="1" s="1"/>
  <c r="AO21" i="1"/>
  <c r="AO20" i="1" s="1"/>
  <c r="AO19" i="1" s="1"/>
  <c r="AC21" i="1"/>
  <c r="AC20" i="1" s="1"/>
  <c r="AC19" i="1" s="1"/>
  <c r="F91" i="6" l="1"/>
  <c r="L94" i="6"/>
  <c r="F93" i="6"/>
  <c r="Z401" i="1"/>
  <c r="AI401" i="1"/>
  <c r="BG401" i="1"/>
  <c r="BD401" i="1"/>
  <c r="AL401" i="1"/>
  <c r="AO89" i="1"/>
  <c r="AI89" i="1"/>
  <c r="AU89" i="1"/>
  <c r="AX451" i="1"/>
  <c r="BA401" i="1"/>
  <c r="AO451" i="1"/>
  <c r="AL89" i="1"/>
  <c r="BA89" i="1"/>
  <c r="AO401" i="1"/>
  <c r="W89" i="1"/>
  <c r="AL451" i="1"/>
  <c r="AX89" i="1"/>
  <c r="AU401" i="1"/>
  <c r="AC451" i="1"/>
  <c r="AF89" i="1"/>
  <c r="BG89" i="1"/>
  <c r="Z451" i="1"/>
  <c r="AF401" i="1"/>
  <c r="AR401" i="1"/>
  <c r="BN20" i="1"/>
  <c r="BN19" i="1" s="1"/>
  <c r="BA451" i="1"/>
  <c r="AX401" i="1"/>
  <c r="AR451" i="1"/>
  <c r="BD451" i="1"/>
  <c r="W167" i="1"/>
  <c r="C66" i="10"/>
  <c r="E66" i="10" s="1"/>
  <c r="F90" i="6" l="1"/>
  <c r="F89" i="6" s="1"/>
  <c r="BA445" i="1"/>
  <c r="BA442" i="1" s="1"/>
  <c r="BA441" i="1" s="1"/>
  <c r="BA440" i="1" s="1"/>
  <c r="BA439" i="1" s="1"/>
  <c r="F64" i="6" l="1"/>
  <c r="F62" i="6"/>
  <c r="F61" i="6"/>
  <c r="F60" i="6"/>
  <c r="F63" i="6" l="1"/>
  <c r="F59" i="6"/>
  <c r="AI336" i="1"/>
  <c r="BA208" i="1"/>
  <c r="BJ208" i="1" s="1"/>
  <c r="BA210" i="1"/>
  <c r="BJ210" i="1" s="1"/>
  <c r="BA209" i="1"/>
  <c r="BJ209" i="1" s="1"/>
  <c r="BA207" i="1"/>
  <c r="BJ207" i="1" s="1"/>
  <c r="BA206" i="1" l="1"/>
  <c r="BA40" i="1" l="1"/>
  <c r="BA271" i="1"/>
  <c r="BA28" i="1"/>
  <c r="I191" i="6"/>
  <c r="F191" i="6"/>
  <c r="F174" i="6"/>
  <c r="F173" i="6"/>
  <c r="BG389" i="1"/>
  <c r="R166" i="6" s="1"/>
  <c r="BA389" i="1"/>
  <c r="O166" i="6" s="1"/>
  <c r="AL389" i="1"/>
  <c r="L166" i="6" s="1"/>
  <c r="AI389" i="1"/>
  <c r="F166" i="6" s="1"/>
  <c r="BJ316" i="1"/>
  <c r="I142" i="6"/>
  <c r="I141" i="6" s="1"/>
  <c r="O131" i="6"/>
  <c r="L131" i="6"/>
  <c r="BA188" i="1"/>
  <c r="F105" i="6" s="1"/>
  <c r="F101" i="6"/>
  <c r="I84" i="6"/>
  <c r="W56" i="1"/>
  <c r="BA143" i="1"/>
  <c r="BD143" i="1"/>
  <c r="I69" i="6"/>
  <c r="I68" i="6" s="1"/>
  <c r="BJ126" i="1"/>
  <c r="BJ129" i="1"/>
  <c r="BJ128" i="1"/>
  <c r="BJ127" i="1"/>
  <c r="BJ121" i="1"/>
  <c r="BJ120" i="1"/>
  <c r="BJ119" i="1"/>
  <c r="BJ116" i="1"/>
  <c r="C44" i="10" s="1"/>
  <c r="E44" i="10" s="1"/>
  <c r="C43" i="10"/>
  <c r="E43" i="10" s="1"/>
  <c r="C29" i="10"/>
  <c r="E29" i="10" s="1"/>
  <c r="BJ23" i="1"/>
  <c r="C10" i="10" s="1"/>
  <c r="E10" i="10" s="1"/>
  <c r="BJ17" i="1"/>
  <c r="BJ15" i="1"/>
  <c r="C7" i="10" s="1"/>
  <c r="E7" i="10" s="1"/>
  <c r="BJ14" i="1"/>
  <c r="C6" i="10" s="1"/>
  <c r="E6" i="10" s="1"/>
  <c r="BJ13" i="1"/>
  <c r="C5" i="10" s="1"/>
  <c r="E5" i="10" s="1"/>
  <c r="C45" i="10" l="1"/>
  <c r="E45" i="10" s="1"/>
  <c r="BA39" i="1"/>
  <c r="BA38" i="1" s="1"/>
  <c r="BA37" i="1" s="1"/>
  <c r="F26" i="6"/>
  <c r="O191" i="6"/>
  <c r="BJ315" i="1"/>
  <c r="BJ314" i="1" s="1"/>
  <c r="C116" i="10"/>
  <c r="E116" i="10" s="1"/>
  <c r="C46" i="10"/>
  <c r="E46" i="10" s="1"/>
  <c r="BJ16" i="1"/>
  <c r="C8" i="10"/>
  <c r="BJ124" i="1"/>
  <c r="BJ123" i="1" s="1"/>
  <c r="BJ122" i="1" s="1"/>
  <c r="BJ12" i="1"/>
  <c r="BJ118" i="1"/>
  <c r="BJ117" i="1" s="1"/>
  <c r="BJ115" i="1"/>
  <c r="BJ114" i="1" s="1"/>
  <c r="BA236" i="1"/>
  <c r="BA235" i="1" s="1"/>
  <c r="BA234" i="1" s="1"/>
  <c r="BA233" i="1" s="1"/>
  <c r="L85" i="6"/>
  <c r="BD133" i="1"/>
  <c r="BD132" i="1" s="1"/>
  <c r="BD131" i="1" s="1"/>
  <c r="I85" i="6"/>
  <c r="I83" i="6" s="1"/>
  <c r="I82" i="6" s="1"/>
  <c r="I81" i="6" s="1"/>
  <c r="BA133" i="1"/>
  <c r="BA132" i="1" s="1"/>
  <c r="BA131" i="1" s="1"/>
  <c r="F172" i="6"/>
  <c r="F171" i="6" s="1"/>
  <c r="F39" i="6"/>
  <c r="W55" i="1"/>
  <c r="F190" i="6"/>
  <c r="BJ11" i="1" l="1"/>
  <c r="C4" i="10"/>
  <c r="E4" i="10" s="1"/>
  <c r="E8" i="10"/>
  <c r="F38" i="6"/>
  <c r="F189" i="6"/>
  <c r="F188" i="6" s="1"/>
  <c r="F187" i="6" s="1"/>
  <c r="F66" i="5"/>
  <c r="BJ113" i="1"/>
  <c r="F69" i="5"/>
  <c r="I68" i="5" s="1"/>
  <c r="L67" i="5" s="1"/>
  <c r="AO236" i="1"/>
  <c r="AO235" i="1" s="1"/>
  <c r="AO234" i="1" s="1"/>
  <c r="AO233" i="1" s="1"/>
  <c r="R131" i="6"/>
  <c r="F64" i="5"/>
  <c r="I63" i="5" s="1"/>
  <c r="BJ10" i="1"/>
  <c r="BJ9" i="1" s="1"/>
  <c r="L84" i="6"/>
  <c r="L83" i="6" s="1"/>
  <c r="L82" i="6" s="1"/>
  <c r="L81" i="6" s="1"/>
  <c r="BG143" i="1"/>
  <c r="BG133" i="1" s="1"/>
  <c r="BG132" i="1" s="1"/>
  <c r="BG131" i="1" s="1"/>
  <c r="BM150" i="1"/>
  <c r="W60" i="1"/>
  <c r="I65" i="5" l="1"/>
  <c r="L62" i="5" s="1"/>
  <c r="D44" i="9"/>
  <c r="F44" i="9" s="1"/>
  <c r="I131" i="6"/>
  <c r="BJ469" i="1"/>
  <c r="BJ470" i="1"/>
  <c r="BJ471" i="1"/>
  <c r="I204" i="6"/>
  <c r="I199" i="6"/>
  <c r="I198" i="6"/>
  <c r="F204" i="6"/>
  <c r="F203" i="6" s="1"/>
  <c r="I203" i="6" l="1"/>
  <c r="L204" i="6"/>
  <c r="I197" i="6"/>
  <c r="I196" i="6" s="1"/>
  <c r="L203" i="6"/>
  <c r="W134" i="1" l="1"/>
  <c r="F84" i="6" l="1"/>
  <c r="O84" i="6" s="1"/>
  <c r="BM206" i="1"/>
  <c r="BN206" i="1"/>
  <c r="BJ139" i="1"/>
  <c r="BJ68" i="1" l="1"/>
  <c r="BJ67" i="1" s="1"/>
  <c r="C28" i="10"/>
  <c r="E28" i="10" s="1"/>
  <c r="BJ397" i="1"/>
  <c r="BJ398" i="1"/>
  <c r="BJ399" i="1"/>
  <c r="BJ263" i="1" l="1"/>
  <c r="BJ264" i="1"/>
  <c r="BJ265" i="1"/>
  <c r="BJ266" i="1"/>
  <c r="BJ267" i="1"/>
  <c r="BJ268" i="1"/>
  <c r="BJ269" i="1"/>
  <c r="BJ270" i="1"/>
  <c r="BM430" i="1"/>
  <c r="BN430" i="1"/>
  <c r="BJ432" i="1"/>
  <c r="BJ433" i="1"/>
  <c r="BJ434" i="1"/>
  <c r="BJ435" i="1"/>
  <c r="BJ436" i="1"/>
  <c r="BM414" i="1"/>
  <c r="BN414" i="1"/>
  <c r="BJ416" i="1"/>
  <c r="BJ417" i="1"/>
  <c r="BJ418" i="1"/>
  <c r="BJ419" i="1"/>
  <c r="BM404" i="1"/>
  <c r="BN404" i="1"/>
  <c r="BJ406" i="1"/>
  <c r="BJ407" i="1"/>
  <c r="BJ408" i="1"/>
  <c r="BJ409" i="1"/>
  <c r="BJ410" i="1"/>
  <c r="BJ411" i="1"/>
  <c r="BJ412" i="1"/>
  <c r="BJ413" i="1"/>
  <c r="C88" i="10" l="1"/>
  <c r="E88" i="10" s="1"/>
  <c r="C147" i="10"/>
  <c r="E147" i="10" s="1"/>
  <c r="C89" i="10"/>
  <c r="E89" i="10" s="1"/>
  <c r="C87" i="10"/>
  <c r="E87" i="10" s="1"/>
  <c r="BA30" i="1"/>
  <c r="BA31" i="1"/>
  <c r="BA34" i="1"/>
  <c r="BA29" i="1"/>
  <c r="BA26" i="1"/>
  <c r="BA25" i="1" l="1"/>
  <c r="BA21" i="1" s="1"/>
  <c r="BA20" i="1" s="1"/>
  <c r="BA19" i="1" s="1"/>
  <c r="O49" i="6"/>
  <c r="BM74" i="1"/>
  <c r="BM61" i="1" s="1"/>
  <c r="BN74" i="1"/>
  <c r="BJ80" i="1"/>
  <c r="BJ396" i="1" l="1"/>
  <c r="BG341" i="1" l="1"/>
  <c r="BG336" i="1" s="1"/>
  <c r="Z110" i="1"/>
  <c r="Z109" i="1" s="1"/>
  <c r="Z89" i="1" s="1"/>
  <c r="Z88" i="1" s="1"/>
  <c r="BD442" i="1" l="1"/>
  <c r="BD441" i="1" s="1"/>
  <c r="BD440" i="1" s="1"/>
  <c r="BD439" i="1" s="1"/>
  <c r="L49" i="6"/>
  <c r="BJ145" i="1"/>
  <c r="I190" i="6" l="1"/>
  <c r="O190" i="6" l="1"/>
  <c r="I189" i="6"/>
  <c r="I188" i="6" s="1"/>
  <c r="I187" i="6" s="1"/>
  <c r="W312" i="1"/>
  <c r="W307" i="1" l="1"/>
  <c r="W287" i="1" s="1"/>
  <c r="W279" i="1" s="1"/>
  <c r="O189" i="6"/>
  <c r="O188" i="6" s="1"/>
  <c r="O187" i="6" s="1"/>
  <c r="BJ248" i="1"/>
  <c r="BJ246" i="1"/>
  <c r="BJ245" i="1"/>
  <c r="BJ256" i="1"/>
  <c r="BJ257" i="1"/>
  <c r="BJ258" i="1"/>
  <c r="BJ254" i="1"/>
  <c r="BJ255" i="1"/>
  <c r="BJ276" i="1"/>
  <c r="BJ260" i="1"/>
  <c r="BJ261" i="1"/>
  <c r="BJ262" i="1"/>
  <c r="BJ275" i="1" l="1"/>
  <c r="BJ274" i="1" s="1"/>
  <c r="BJ273" i="1" s="1"/>
  <c r="C91" i="10"/>
  <c r="E91" i="10" s="1"/>
  <c r="BD150" i="1"/>
  <c r="F148" i="6"/>
  <c r="O135" i="6"/>
  <c r="O134" i="6" s="1"/>
  <c r="O133" i="6" s="1"/>
  <c r="L135" i="6"/>
  <c r="L134" i="6" s="1"/>
  <c r="L133" i="6" s="1"/>
  <c r="F135" i="6"/>
  <c r="R135" i="6"/>
  <c r="R134" i="6" s="1"/>
  <c r="R133" i="6" s="1"/>
  <c r="I135" i="6"/>
  <c r="I134" i="6" s="1"/>
  <c r="I133" i="6" s="1"/>
  <c r="BD149" i="1" l="1"/>
  <c r="BD148" i="1" s="1"/>
  <c r="BD147" i="1" s="1"/>
  <c r="I92" i="6"/>
  <c r="F134" i="6"/>
  <c r="F133" i="6" s="1"/>
  <c r="X135" i="6"/>
  <c r="X134" i="6" s="1"/>
  <c r="X133" i="6" s="1"/>
  <c r="F117" i="5"/>
  <c r="I116" i="5" s="1"/>
  <c r="L115" i="5" s="1"/>
  <c r="F177" i="6"/>
  <c r="F178" i="6"/>
  <c r="I91" i="6" l="1"/>
  <c r="I90" i="6" s="1"/>
  <c r="I89" i="6" s="1"/>
  <c r="L92" i="6"/>
  <c r="F176" i="6"/>
  <c r="F175" i="6" s="1"/>
  <c r="F181" i="6"/>
  <c r="F180" i="6" s="1"/>
  <c r="F179" i="6" s="1"/>
  <c r="BA299" i="1"/>
  <c r="BA307" i="1"/>
  <c r="I148" i="6" s="1"/>
  <c r="L148" i="6" s="1"/>
  <c r="I156" i="6"/>
  <c r="F116" i="6"/>
  <c r="BA215" i="1"/>
  <c r="F115" i="6" s="1"/>
  <c r="BA213" i="1"/>
  <c r="F113" i="6"/>
  <c r="F112" i="6"/>
  <c r="BA193" i="1"/>
  <c r="F107" i="6" s="1"/>
  <c r="BA183" i="1"/>
  <c r="F103" i="6" s="1"/>
  <c r="I155" i="6" l="1"/>
  <c r="I154" i="6" s="1"/>
  <c r="F114" i="6"/>
  <c r="F111" i="6" s="1"/>
  <c r="F110" i="6" s="1"/>
  <c r="BA202" i="1"/>
  <c r="BA201" i="1" s="1"/>
  <c r="I147" i="6"/>
  <c r="I145" i="6" s="1"/>
  <c r="BA287" i="1"/>
  <c r="F170" i="6"/>
  <c r="F17" i="5"/>
  <c r="F19" i="6"/>
  <c r="F16" i="5"/>
  <c r="F18" i="6"/>
  <c r="BJ259" i="1"/>
  <c r="BM236" i="1" l="1"/>
  <c r="BM234" i="1" s="1"/>
  <c r="C86" i="10"/>
  <c r="E86" i="10" s="1"/>
  <c r="BA279" i="1"/>
  <c r="BA278" i="1" s="1"/>
  <c r="I15" i="5"/>
  <c r="L14" i="5" s="1"/>
  <c r="O13" i="5" s="1"/>
  <c r="F17" i="6"/>
  <c r="BJ247" i="1"/>
  <c r="C84" i="10" s="1"/>
  <c r="E84" i="10" s="1"/>
  <c r="C85" i="10"/>
  <c r="E85" i="10" s="1"/>
  <c r="C76" i="10"/>
  <c r="E76" i="10" s="1"/>
  <c r="F16" i="6" l="1"/>
  <c r="F15" i="6" s="1"/>
  <c r="BJ137" i="1"/>
  <c r="BJ24" i="1"/>
  <c r="BJ480" i="1"/>
  <c r="BJ479" i="1"/>
  <c r="BJ478" i="1"/>
  <c r="BJ477" i="1"/>
  <c r="BJ468" i="1"/>
  <c r="BJ467" i="1"/>
  <c r="BJ466" i="1"/>
  <c r="BJ465" i="1"/>
  <c r="BJ462" i="1"/>
  <c r="I202" i="6"/>
  <c r="W461" i="1"/>
  <c r="W460" i="1" s="1"/>
  <c r="W459" i="1" s="1"/>
  <c r="F199" i="6"/>
  <c r="L199" i="6" s="1"/>
  <c r="BJ455" i="1"/>
  <c r="BJ449" i="1"/>
  <c r="C156" i="10" s="1"/>
  <c r="E156" i="10" s="1"/>
  <c r="BJ448" i="1"/>
  <c r="C155" i="10" s="1"/>
  <c r="E155" i="10" s="1"/>
  <c r="BJ446" i="1"/>
  <c r="BJ445" i="1"/>
  <c r="BJ444" i="1"/>
  <c r="BJ443" i="1"/>
  <c r="BJ431" i="1"/>
  <c r="C151" i="10" s="1"/>
  <c r="E151" i="10" s="1"/>
  <c r="BJ427" i="1"/>
  <c r="C150" i="10" s="1"/>
  <c r="E150" i="10" s="1"/>
  <c r="BJ425" i="1"/>
  <c r="BJ424" i="1"/>
  <c r="BJ423" i="1"/>
  <c r="BJ415" i="1"/>
  <c r="C148" i="10" s="1"/>
  <c r="E148" i="10" s="1"/>
  <c r="BJ405" i="1"/>
  <c r="C146" i="10" s="1"/>
  <c r="E146" i="10" s="1"/>
  <c r="BJ393" i="1"/>
  <c r="BJ392" i="1"/>
  <c r="BJ390" i="1"/>
  <c r="BD389" i="1"/>
  <c r="AX389" i="1"/>
  <c r="AU389" i="1"/>
  <c r="AR389" i="1"/>
  <c r="AO389" i="1"/>
  <c r="AF389" i="1"/>
  <c r="I166" i="6" s="1"/>
  <c r="U166" i="6" s="1"/>
  <c r="AC389" i="1"/>
  <c r="Z389" i="1"/>
  <c r="W389" i="1"/>
  <c r="BJ387" i="1"/>
  <c r="C140" i="10" s="1"/>
  <c r="E140" i="10" s="1"/>
  <c r="BJ386" i="1"/>
  <c r="C139" i="10" s="1"/>
  <c r="E139" i="10" s="1"/>
  <c r="BJ385" i="1"/>
  <c r="C138" i="10" s="1"/>
  <c r="E138" i="10" s="1"/>
  <c r="BJ384" i="1"/>
  <c r="C137" i="10" s="1"/>
  <c r="E137" i="10" s="1"/>
  <c r="BJ383" i="1"/>
  <c r="C136" i="10" s="1"/>
  <c r="E136" i="10" s="1"/>
  <c r="BJ382" i="1"/>
  <c r="BJ381" i="1"/>
  <c r="BJ380" i="1"/>
  <c r="BA378" i="1"/>
  <c r="BJ377" i="1"/>
  <c r="BJ376" i="1"/>
  <c r="BJ375" i="1"/>
  <c r="BJ374" i="1"/>
  <c r="BJ373" i="1"/>
  <c r="BJ372" i="1"/>
  <c r="BJ371" i="1"/>
  <c r="BJ370" i="1"/>
  <c r="BJ369" i="1"/>
  <c r="BJ368" i="1"/>
  <c r="BJ367" i="1"/>
  <c r="BJ366" i="1"/>
  <c r="BJ365" i="1"/>
  <c r="BJ364" i="1"/>
  <c r="BJ363" i="1"/>
  <c r="BJ362" i="1"/>
  <c r="BJ361" i="1"/>
  <c r="BJ360" i="1"/>
  <c r="BD359" i="1"/>
  <c r="BD335" i="1" s="1"/>
  <c r="BD334" i="1" s="1"/>
  <c r="BD333" i="1" s="1"/>
  <c r="AX359" i="1"/>
  <c r="AX335" i="1" s="1"/>
  <c r="AX334" i="1" s="1"/>
  <c r="AX333" i="1" s="1"/>
  <c r="AU359" i="1"/>
  <c r="AU335" i="1" s="1"/>
  <c r="AU334" i="1" s="1"/>
  <c r="AU333" i="1" s="1"/>
  <c r="AR359" i="1"/>
  <c r="AO359" i="1"/>
  <c r="AO335" i="1" s="1"/>
  <c r="AO334" i="1" s="1"/>
  <c r="AO333" i="1" s="1"/>
  <c r="AL359" i="1"/>
  <c r="AF359" i="1"/>
  <c r="I165" i="6" s="1"/>
  <c r="AC359" i="1"/>
  <c r="Z359" i="1"/>
  <c r="W359" i="1"/>
  <c r="BJ358" i="1"/>
  <c r="BJ357" i="1"/>
  <c r="BJ356" i="1"/>
  <c r="BJ355" i="1"/>
  <c r="BJ354" i="1"/>
  <c r="BJ353" i="1"/>
  <c r="BJ352" i="1"/>
  <c r="BJ351" i="1"/>
  <c r="BJ350" i="1"/>
  <c r="C125" i="10" s="1"/>
  <c r="E125" i="10" s="1"/>
  <c r="F164" i="6"/>
  <c r="BJ349" i="1"/>
  <c r="BJ348" i="1"/>
  <c r="BJ347" i="1"/>
  <c r="BJ346" i="1"/>
  <c r="BJ345" i="1"/>
  <c r="BJ344" i="1"/>
  <c r="BJ343" i="1"/>
  <c r="BJ342" i="1"/>
  <c r="BJ341" i="1"/>
  <c r="BJ340" i="1"/>
  <c r="BJ339" i="1"/>
  <c r="BA337" i="1"/>
  <c r="BJ337" i="1" s="1"/>
  <c r="R164" i="6"/>
  <c r="W336" i="1"/>
  <c r="BJ323" i="1"/>
  <c r="C118" i="10" s="1"/>
  <c r="E118" i="10" s="1"/>
  <c r="W322" i="1"/>
  <c r="W321" i="1" s="1"/>
  <c r="W320" i="1" s="1"/>
  <c r="BJ319" i="1"/>
  <c r="C117" i="10" s="1"/>
  <c r="E117" i="10" s="1"/>
  <c r="I153" i="6"/>
  <c r="I152" i="6" s="1"/>
  <c r="W318" i="1"/>
  <c r="I151" i="6"/>
  <c r="I150" i="6" s="1"/>
  <c r="W315" i="1"/>
  <c r="BJ312" i="1"/>
  <c r="BJ311" i="1"/>
  <c r="BJ310" i="1"/>
  <c r="C109" i="10" s="1"/>
  <c r="E109" i="10" s="1"/>
  <c r="BJ309" i="1"/>
  <c r="BJ308" i="1"/>
  <c r="BG307" i="1"/>
  <c r="BD307" i="1"/>
  <c r="AX307" i="1"/>
  <c r="AU307" i="1"/>
  <c r="AR307" i="1"/>
  <c r="AO307" i="1"/>
  <c r="AL307" i="1"/>
  <c r="AI307" i="1"/>
  <c r="AF307" i="1"/>
  <c r="AC307" i="1"/>
  <c r="Z307" i="1"/>
  <c r="BJ306" i="1"/>
  <c r="C107" i="10" s="1"/>
  <c r="E107" i="10" s="1"/>
  <c r="BJ305" i="1"/>
  <c r="BJ304" i="1"/>
  <c r="BJ303" i="1"/>
  <c r="C105" i="10" s="1"/>
  <c r="E105" i="10" s="1"/>
  <c r="BJ302" i="1"/>
  <c r="C104" i="10" s="1"/>
  <c r="E104" i="10" s="1"/>
  <c r="BJ301" i="1"/>
  <c r="C103" i="10" s="1"/>
  <c r="E103" i="10" s="1"/>
  <c r="BJ300" i="1"/>
  <c r="C102" i="10" s="1"/>
  <c r="E102" i="10" s="1"/>
  <c r="BG299" i="1"/>
  <c r="BD299" i="1"/>
  <c r="AX299" i="1"/>
  <c r="AU299" i="1"/>
  <c r="AR299" i="1"/>
  <c r="AO299" i="1"/>
  <c r="AL299" i="1"/>
  <c r="AI299" i="1"/>
  <c r="AF299" i="1"/>
  <c r="AC299" i="1"/>
  <c r="Z299" i="1"/>
  <c r="F147" i="6"/>
  <c r="L147" i="6" s="1"/>
  <c r="I144" i="6"/>
  <c r="I143" i="6" s="1"/>
  <c r="I140" i="6" s="1"/>
  <c r="F144" i="6"/>
  <c r="BJ272" i="1"/>
  <c r="O132" i="6"/>
  <c r="BJ244" i="1"/>
  <c r="F131" i="6"/>
  <c r="X131" i="6" s="1"/>
  <c r="BJ231" i="1"/>
  <c r="C81" i="10" s="1"/>
  <c r="E81" i="10" s="1"/>
  <c r="F124" i="6"/>
  <c r="BJ229" i="1"/>
  <c r="C80" i="10" s="1"/>
  <c r="E80" i="10" s="1"/>
  <c r="BJ228" i="1"/>
  <c r="C79" i="10" s="1"/>
  <c r="E79" i="10" s="1"/>
  <c r="F123" i="6"/>
  <c r="C77" i="10"/>
  <c r="E77" i="10" s="1"/>
  <c r="BJ215" i="1"/>
  <c r="F101" i="5" s="1"/>
  <c r="BG215" i="1"/>
  <c r="BD215" i="1"/>
  <c r="AX215" i="1"/>
  <c r="AU215" i="1"/>
  <c r="AR215" i="1"/>
  <c r="AO215" i="1"/>
  <c r="AL215" i="1"/>
  <c r="AI215" i="1"/>
  <c r="AF215" i="1"/>
  <c r="AC215" i="1"/>
  <c r="Z215" i="1"/>
  <c r="BG213" i="1"/>
  <c r="BD213" i="1"/>
  <c r="AX213" i="1"/>
  <c r="AU213" i="1"/>
  <c r="AU202" i="1" s="1"/>
  <c r="AU201" i="1" s="1"/>
  <c r="AR213" i="1"/>
  <c r="AR202" i="1" s="1"/>
  <c r="AR201" i="1" s="1"/>
  <c r="AO213" i="1"/>
  <c r="AO202" i="1" s="1"/>
  <c r="AO201" i="1" s="1"/>
  <c r="AL213" i="1"/>
  <c r="AL202" i="1" s="1"/>
  <c r="AL201" i="1" s="1"/>
  <c r="AI213" i="1"/>
  <c r="AF213" i="1"/>
  <c r="AC213" i="1"/>
  <c r="AC202" i="1" s="1"/>
  <c r="AC201" i="1" s="1"/>
  <c r="Z213" i="1"/>
  <c r="Z202" i="1" s="1"/>
  <c r="Z201" i="1" s="1"/>
  <c r="W213" i="1"/>
  <c r="W202" i="1" s="1"/>
  <c r="W201" i="1" s="1"/>
  <c r="W166" i="1" s="1"/>
  <c r="C74" i="10"/>
  <c r="E74" i="10" s="1"/>
  <c r="C73" i="10"/>
  <c r="E73" i="10" s="1"/>
  <c r="C71" i="10"/>
  <c r="E71" i="10" s="1"/>
  <c r="F109" i="6"/>
  <c r="F108" i="6" s="1"/>
  <c r="BG193" i="1"/>
  <c r="BD193" i="1"/>
  <c r="AX193" i="1"/>
  <c r="AU193" i="1"/>
  <c r="AR193" i="1"/>
  <c r="AO193" i="1"/>
  <c r="AL193" i="1"/>
  <c r="AI193" i="1"/>
  <c r="AF193" i="1"/>
  <c r="AC193" i="1"/>
  <c r="Z193" i="1"/>
  <c r="BG190" i="1"/>
  <c r="BD190" i="1"/>
  <c r="BA190" i="1"/>
  <c r="F106" i="6" s="1"/>
  <c r="AX190" i="1"/>
  <c r="AU190" i="1"/>
  <c r="AR190" i="1"/>
  <c r="AO190" i="1"/>
  <c r="AL190" i="1"/>
  <c r="AI190" i="1"/>
  <c r="AF190" i="1"/>
  <c r="AC190" i="1"/>
  <c r="Z190" i="1"/>
  <c r="BG188" i="1"/>
  <c r="BD188" i="1"/>
  <c r="AX188" i="1"/>
  <c r="AU188" i="1"/>
  <c r="AR188" i="1"/>
  <c r="AO188" i="1"/>
  <c r="AL188" i="1"/>
  <c r="AI188" i="1"/>
  <c r="AF188" i="1"/>
  <c r="AC188" i="1"/>
  <c r="Z188" i="1"/>
  <c r="BJ186" i="1"/>
  <c r="F90" i="5" s="1"/>
  <c r="D26" i="9" s="1"/>
  <c r="F26" i="9" s="1"/>
  <c r="BG186" i="1"/>
  <c r="BD186" i="1"/>
  <c r="BA186" i="1"/>
  <c r="F104" i="6" s="1"/>
  <c r="AX186" i="1"/>
  <c r="AU186" i="1"/>
  <c r="AR186" i="1"/>
  <c r="AO186" i="1"/>
  <c r="AL186" i="1"/>
  <c r="AI186" i="1"/>
  <c r="AF186" i="1"/>
  <c r="AC186" i="1"/>
  <c r="Z186" i="1"/>
  <c r="BG183" i="1"/>
  <c r="BD183" i="1"/>
  <c r="AX183" i="1"/>
  <c r="AU183" i="1"/>
  <c r="AR183" i="1"/>
  <c r="AO183" i="1"/>
  <c r="AL183" i="1"/>
  <c r="AI183" i="1"/>
  <c r="AF183" i="1"/>
  <c r="AC183" i="1"/>
  <c r="Z183" i="1"/>
  <c r="BG181" i="1"/>
  <c r="BD181" i="1"/>
  <c r="BA181" i="1"/>
  <c r="AX181" i="1"/>
  <c r="AU181" i="1"/>
  <c r="AR181" i="1"/>
  <c r="AO181" i="1"/>
  <c r="AL181" i="1"/>
  <c r="AI181" i="1"/>
  <c r="AF181" i="1"/>
  <c r="AC181" i="1"/>
  <c r="Z181" i="1"/>
  <c r="C63" i="10"/>
  <c r="E63" i="10" s="1"/>
  <c r="BJ164" i="1"/>
  <c r="BJ163" i="1"/>
  <c r="BJ162" i="1"/>
  <c r="BJ156" i="1"/>
  <c r="BJ157" i="1"/>
  <c r="BJ155" i="1"/>
  <c r="BJ154" i="1"/>
  <c r="BJ153" i="1"/>
  <c r="BJ152" i="1"/>
  <c r="BJ151" i="1"/>
  <c r="BJ144" i="1"/>
  <c r="AX143" i="1"/>
  <c r="AX133" i="1" s="1"/>
  <c r="AX132" i="1" s="1"/>
  <c r="AX131" i="1" s="1"/>
  <c r="AU143" i="1"/>
  <c r="AU133" i="1" s="1"/>
  <c r="AU132" i="1" s="1"/>
  <c r="AU131" i="1" s="1"/>
  <c r="AR143" i="1"/>
  <c r="AR133" i="1" s="1"/>
  <c r="AR132" i="1" s="1"/>
  <c r="AR131" i="1" s="1"/>
  <c r="AO143" i="1"/>
  <c r="AO133" i="1" s="1"/>
  <c r="AO132" i="1" s="1"/>
  <c r="AO131" i="1" s="1"/>
  <c r="AL143" i="1"/>
  <c r="AL133" i="1" s="1"/>
  <c r="AL132" i="1" s="1"/>
  <c r="AL131" i="1" s="1"/>
  <c r="AI143" i="1"/>
  <c r="AI133" i="1" s="1"/>
  <c r="AI132" i="1" s="1"/>
  <c r="AI131" i="1" s="1"/>
  <c r="AF143" i="1"/>
  <c r="AF133" i="1" s="1"/>
  <c r="AF132" i="1" s="1"/>
  <c r="AF131" i="1" s="1"/>
  <c r="AC143" i="1"/>
  <c r="AC133" i="1" s="1"/>
  <c r="AC132" i="1" s="1"/>
  <c r="AC131" i="1" s="1"/>
  <c r="Z143" i="1"/>
  <c r="Z133" i="1" s="1"/>
  <c r="Z132" i="1" s="1"/>
  <c r="Z131" i="1" s="1"/>
  <c r="W143" i="1"/>
  <c r="W133" i="1" s="1"/>
  <c r="W132" i="1" s="1"/>
  <c r="W131" i="1" s="1"/>
  <c r="BJ142" i="1"/>
  <c r="C50" i="10" s="1"/>
  <c r="E50" i="10" s="1"/>
  <c r="BJ140" i="1"/>
  <c r="BJ136" i="1"/>
  <c r="C48" i="10" s="1"/>
  <c r="E48" i="10" s="1"/>
  <c r="I74" i="6"/>
  <c r="I73" i="6" s="1"/>
  <c r="F74" i="6"/>
  <c r="I72" i="6"/>
  <c r="I71" i="6" s="1"/>
  <c r="F72" i="6"/>
  <c r="W115" i="1"/>
  <c r="W114" i="1" s="1"/>
  <c r="W113" i="1" s="1"/>
  <c r="BJ111" i="1"/>
  <c r="F69" i="6"/>
  <c r="L69" i="6" s="1"/>
  <c r="BJ108" i="1"/>
  <c r="C40" i="10" s="1"/>
  <c r="E40" i="10" s="1"/>
  <c r="I67" i="6"/>
  <c r="F67" i="6"/>
  <c r="BJ106" i="1"/>
  <c r="BJ105" i="1"/>
  <c r="BJ104" i="1"/>
  <c r="BJ103" i="1"/>
  <c r="BJ102" i="1"/>
  <c r="I66" i="6"/>
  <c r="F66" i="6"/>
  <c r="BJ99" i="1"/>
  <c r="C38" i="10" s="1"/>
  <c r="E38" i="10" s="1"/>
  <c r="I64" i="6"/>
  <c r="L64" i="6" s="1"/>
  <c r="BJ96" i="1"/>
  <c r="C37" i="10" s="1"/>
  <c r="E37" i="10" s="1"/>
  <c r="I61" i="6"/>
  <c r="L61" i="6" s="1"/>
  <c r="BJ92" i="1"/>
  <c r="I60" i="6"/>
  <c r="L60" i="6" s="1"/>
  <c r="BJ86" i="1"/>
  <c r="BG85" i="1"/>
  <c r="BG82" i="1" s="1"/>
  <c r="BG81" i="1" s="1"/>
  <c r="BD85" i="1"/>
  <c r="BD82" i="1" s="1"/>
  <c r="BD81" i="1" s="1"/>
  <c r="BA85" i="1"/>
  <c r="AX85" i="1"/>
  <c r="AU85" i="1"/>
  <c r="AU82" i="1" s="1"/>
  <c r="AU81" i="1" s="1"/>
  <c r="AR85" i="1"/>
  <c r="AR82" i="1" s="1"/>
  <c r="AR81" i="1" s="1"/>
  <c r="AO85" i="1"/>
  <c r="AO82" i="1" s="1"/>
  <c r="AO81" i="1" s="1"/>
  <c r="AL85" i="1"/>
  <c r="AL82" i="1" s="1"/>
  <c r="AL81" i="1" s="1"/>
  <c r="AI85" i="1"/>
  <c r="AI82" i="1" s="1"/>
  <c r="AI81" i="1" s="1"/>
  <c r="AF85" i="1"/>
  <c r="AF82" i="1" s="1"/>
  <c r="AF81" i="1" s="1"/>
  <c r="AC85" i="1"/>
  <c r="AC82" i="1" s="1"/>
  <c r="AC81" i="1" s="1"/>
  <c r="Z85" i="1"/>
  <c r="Z82" i="1" s="1"/>
  <c r="Z81" i="1" s="1"/>
  <c r="W85" i="1"/>
  <c r="F53" i="6" s="1"/>
  <c r="BJ84" i="1"/>
  <c r="C32" i="10" s="1"/>
  <c r="E32" i="10" s="1"/>
  <c r="O52" i="6"/>
  <c r="W83" i="1"/>
  <c r="BJ79" i="1"/>
  <c r="BJ78" i="1"/>
  <c r="BJ77" i="1"/>
  <c r="BJ76" i="1"/>
  <c r="BJ75" i="1"/>
  <c r="F49" i="6"/>
  <c r="R49" i="6" s="1"/>
  <c r="BJ73" i="1"/>
  <c r="C30" i="10" s="1"/>
  <c r="E30" i="10" s="1"/>
  <c r="O48" i="6"/>
  <c r="O47" i="6" s="1"/>
  <c r="L48" i="6"/>
  <c r="L47" i="6" s="1"/>
  <c r="W72" i="1"/>
  <c r="L46" i="6"/>
  <c r="L45" i="6" s="1"/>
  <c r="F46" i="6"/>
  <c r="BJ66" i="1"/>
  <c r="C27" i="10" s="1"/>
  <c r="E27" i="10" s="1"/>
  <c r="BJ65" i="1"/>
  <c r="BJ60" i="1"/>
  <c r="BG59" i="1"/>
  <c r="BG58" i="1" s="1"/>
  <c r="BD59" i="1"/>
  <c r="BD58" i="1" s="1"/>
  <c r="BA59" i="1"/>
  <c r="AX59" i="1"/>
  <c r="AU59" i="1"/>
  <c r="AU58" i="1" s="1"/>
  <c r="AR59" i="1"/>
  <c r="AR58" i="1" s="1"/>
  <c r="AO59" i="1"/>
  <c r="AO58" i="1" s="1"/>
  <c r="AL59" i="1"/>
  <c r="AL58" i="1" s="1"/>
  <c r="AI59" i="1"/>
  <c r="AI58" i="1" s="1"/>
  <c r="AF59" i="1"/>
  <c r="AF58" i="1" s="1"/>
  <c r="AC59" i="1"/>
  <c r="AC58" i="1" s="1"/>
  <c r="Z59" i="1"/>
  <c r="Z58" i="1" s="1"/>
  <c r="W59" i="1"/>
  <c r="BJ57" i="1"/>
  <c r="BJ54" i="1"/>
  <c r="BG53" i="1"/>
  <c r="BG52" i="1" s="1"/>
  <c r="BD53" i="1"/>
  <c r="BD52" i="1" s="1"/>
  <c r="BA53" i="1"/>
  <c r="AX53" i="1"/>
  <c r="AU53" i="1"/>
  <c r="AU52" i="1" s="1"/>
  <c r="AR53" i="1"/>
  <c r="AR52" i="1" s="1"/>
  <c r="AO53" i="1"/>
  <c r="AO52" i="1" s="1"/>
  <c r="AL53" i="1"/>
  <c r="AL52" i="1" s="1"/>
  <c r="AI53" i="1"/>
  <c r="AI52" i="1" s="1"/>
  <c r="AF53" i="1"/>
  <c r="AF52" i="1" s="1"/>
  <c r="AC53" i="1"/>
  <c r="AC52" i="1" s="1"/>
  <c r="Z53" i="1"/>
  <c r="Z52" i="1" s="1"/>
  <c r="W53" i="1"/>
  <c r="BJ51" i="1"/>
  <c r="BG50" i="1"/>
  <c r="BG49" i="1" s="1"/>
  <c r="BD50" i="1"/>
  <c r="BD49" i="1" s="1"/>
  <c r="BA50" i="1"/>
  <c r="AX50" i="1"/>
  <c r="AU50" i="1"/>
  <c r="AU49" i="1" s="1"/>
  <c r="AR50" i="1"/>
  <c r="AR49" i="1" s="1"/>
  <c r="AO50" i="1"/>
  <c r="AO49" i="1" s="1"/>
  <c r="AL50" i="1"/>
  <c r="AL49" i="1" s="1"/>
  <c r="AI50" i="1"/>
  <c r="AI49" i="1" s="1"/>
  <c r="AF50" i="1"/>
  <c r="AF49" i="1" s="1"/>
  <c r="AC50" i="1"/>
  <c r="AC49" i="1" s="1"/>
  <c r="Z50" i="1"/>
  <c r="Z49" i="1" s="1"/>
  <c r="W50" i="1"/>
  <c r="BJ48" i="1"/>
  <c r="O33" i="6"/>
  <c r="O32" i="6" s="1"/>
  <c r="L33" i="6"/>
  <c r="L32" i="6" s="1"/>
  <c r="W47" i="1"/>
  <c r="W46" i="1" s="1"/>
  <c r="BJ42" i="1"/>
  <c r="C19" i="10" s="1"/>
  <c r="E19" i="10" s="1"/>
  <c r="BJ41" i="1"/>
  <c r="C18" i="10" s="1"/>
  <c r="E18" i="10" s="1"/>
  <c r="I26" i="6"/>
  <c r="L26" i="6" s="1"/>
  <c r="F25" i="6"/>
  <c r="F24" i="6" s="1"/>
  <c r="BJ35" i="1"/>
  <c r="C16" i="10" s="1"/>
  <c r="E16" i="10" s="1"/>
  <c r="BJ34" i="1"/>
  <c r="BJ33" i="1"/>
  <c r="BJ32" i="1"/>
  <c r="BJ31" i="1"/>
  <c r="BJ30" i="1"/>
  <c r="BJ29" i="1"/>
  <c r="BJ28" i="1"/>
  <c r="C14" i="10" s="1"/>
  <c r="E14" i="10" s="1"/>
  <c r="BJ27" i="1"/>
  <c r="C13" i="10" s="1"/>
  <c r="E13" i="10" s="1"/>
  <c r="BJ26" i="1"/>
  <c r="C12" i="10" s="1"/>
  <c r="E12" i="10" s="1"/>
  <c r="BA16" i="1"/>
  <c r="BA11" i="1" s="1"/>
  <c r="BA10" i="1" s="1"/>
  <c r="BA9" i="1" s="1"/>
  <c r="BG16" i="1"/>
  <c r="BG11" i="1" s="1"/>
  <c r="BG10" i="1" s="1"/>
  <c r="BG9" i="1" s="1"/>
  <c r="BD16" i="1"/>
  <c r="BD11" i="1" s="1"/>
  <c r="BD10" i="1" s="1"/>
  <c r="BD9" i="1" s="1"/>
  <c r="AX16" i="1"/>
  <c r="AX11" i="1" s="1"/>
  <c r="AX10" i="1" s="1"/>
  <c r="AX9" i="1" s="1"/>
  <c r="AU16" i="1"/>
  <c r="AU11" i="1" s="1"/>
  <c r="AU10" i="1" s="1"/>
  <c r="AU9" i="1" s="1"/>
  <c r="AR16" i="1"/>
  <c r="AR11" i="1" s="1"/>
  <c r="AR10" i="1" s="1"/>
  <c r="AR9" i="1" s="1"/>
  <c r="AO16" i="1"/>
  <c r="AO11" i="1" s="1"/>
  <c r="AO10" i="1" s="1"/>
  <c r="AO9" i="1" s="1"/>
  <c r="AL16" i="1"/>
  <c r="AL11" i="1" s="1"/>
  <c r="AL10" i="1" s="1"/>
  <c r="AL9" i="1" s="1"/>
  <c r="AI16" i="1"/>
  <c r="AI11" i="1" s="1"/>
  <c r="AI10" i="1" s="1"/>
  <c r="AI9" i="1" s="1"/>
  <c r="AF16" i="1"/>
  <c r="AF11" i="1" s="1"/>
  <c r="AF10" i="1" s="1"/>
  <c r="AF9" i="1" s="1"/>
  <c r="AC16" i="1"/>
  <c r="AC11" i="1" s="1"/>
  <c r="AC10" i="1" s="1"/>
  <c r="AC9" i="1" s="1"/>
  <c r="Z16" i="1"/>
  <c r="Z11" i="1" s="1"/>
  <c r="Z10" i="1" s="1"/>
  <c r="Z9" i="1" s="1"/>
  <c r="W16" i="1"/>
  <c r="W11" i="1" s="1"/>
  <c r="W10" i="1" s="1"/>
  <c r="AX202" i="1" l="1"/>
  <c r="AX201" i="1" s="1"/>
  <c r="BG202" i="1"/>
  <c r="BG201" i="1" s="1"/>
  <c r="I201" i="6"/>
  <c r="I200" i="6" s="1"/>
  <c r="I195" i="6" s="1"/>
  <c r="F143" i="6"/>
  <c r="L144" i="6"/>
  <c r="L143" i="6" s="1"/>
  <c r="N93" i="6"/>
  <c r="N90" i="6" s="1"/>
  <c r="N89" i="6" s="1"/>
  <c r="H183" i="6" s="1"/>
  <c r="H215" i="6" s="1"/>
  <c r="M93" i="6"/>
  <c r="M90" i="6" s="1"/>
  <c r="M89" i="6" s="1"/>
  <c r="G183" i="6" s="1"/>
  <c r="G215" i="6" s="1"/>
  <c r="L66" i="6"/>
  <c r="L67" i="6"/>
  <c r="F71" i="6"/>
  <c r="L72" i="6"/>
  <c r="L71" i="6" s="1"/>
  <c r="F73" i="6"/>
  <c r="L74" i="6"/>
  <c r="L73" i="6" s="1"/>
  <c r="F45" i="6"/>
  <c r="BD202" i="1"/>
  <c r="BD201" i="1" s="1"/>
  <c r="C17" i="10"/>
  <c r="E17" i="10" s="1"/>
  <c r="C31" i="10"/>
  <c r="E31" i="10" s="1"/>
  <c r="C39" i="10"/>
  <c r="E39" i="10" s="1"/>
  <c r="C59" i="10"/>
  <c r="E59" i="10" s="1"/>
  <c r="C61" i="10"/>
  <c r="E61" i="10" s="1"/>
  <c r="C62" i="10"/>
  <c r="E62" i="10" s="1"/>
  <c r="C68" i="10"/>
  <c r="E68" i="10" s="1"/>
  <c r="C112" i="10"/>
  <c r="E112" i="10" s="1"/>
  <c r="C123" i="10"/>
  <c r="E123" i="10" s="1"/>
  <c r="C124" i="10"/>
  <c r="E124" i="10" s="1"/>
  <c r="C130" i="10"/>
  <c r="E130" i="10" s="1"/>
  <c r="C131" i="10"/>
  <c r="E131" i="10" s="1"/>
  <c r="C149" i="10"/>
  <c r="C161" i="10"/>
  <c r="E161" i="10" s="1"/>
  <c r="C163" i="10"/>
  <c r="BJ143" i="1"/>
  <c r="F75" i="5" s="1"/>
  <c r="D15" i="9" s="1"/>
  <c r="F15" i="9" s="1"/>
  <c r="C51" i="10"/>
  <c r="E51" i="10" s="1"/>
  <c r="BJ213" i="1"/>
  <c r="F100" i="5" s="1"/>
  <c r="D39" i="9" s="1"/>
  <c r="F39" i="9" s="1"/>
  <c r="C75" i="10"/>
  <c r="E75" i="10" s="1"/>
  <c r="BJ271" i="1"/>
  <c r="F114" i="5" s="1"/>
  <c r="D11" i="9" s="1"/>
  <c r="F11" i="9" s="1"/>
  <c r="C90" i="10"/>
  <c r="E90" i="10" s="1"/>
  <c r="BJ22" i="1"/>
  <c r="C11" i="10"/>
  <c r="E11" i="10" s="1"/>
  <c r="BJ56" i="1"/>
  <c r="C24" i="10"/>
  <c r="E24" i="10" s="1"/>
  <c r="BJ59" i="1"/>
  <c r="F35" i="5" s="1"/>
  <c r="C25" i="10"/>
  <c r="E25" i="10" s="1"/>
  <c r="C15" i="10"/>
  <c r="E15" i="10" s="1"/>
  <c r="BJ47" i="1"/>
  <c r="BJ46" i="1" s="1"/>
  <c r="C21" i="10"/>
  <c r="E21" i="10" s="1"/>
  <c r="BJ50" i="1"/>
  <c r="F29" i="5" s="1"/>
  <c r="C22" i="10"/>
  <c r="E22" i="10" s="1"/>
  <c r="BJ53" i="1"/>
  <c r="F31" i="5" s="1"/>
  <c r="C23" i="10"/>
  <c r="E23" i="10" s="1"/>
  <c r="BJ85" i="1"/>
  <c r="F47" i="5" s="1"/>
  <c r="C33" i="10"/>
  <c r="E33" i="10" s="1"/>
  <c r="BJ91" i="1"/>
  <c r="F52" i="5" s="1"/>
  <c r="C35" i="10"/>
  <c r="E35" i="10" s="1"/>
  <c r="BJ110" i="1"/>
  <c r="BJ109" i="1" s="1"/>
  <c r="C41" i="10"/>
  <c r="E41" i="10" s="1"/>
  <c r="C53" i="10"/>
  <c r="E53" i="10" s="1"/>
  <c r="C54" i="10"/>
  <c r="E54" i="10" s="1"/>
  <c r="C55" i="10"/>
  <c r="E55" i="10" s="1"/>
  <c r="C60" i="10"/>
  <c r="E60" i="10" s="1"/>
  <c r="BJ181" i="1"/>
  <c r="F88" i="5" s="1"/>
  <c r="C64" i="10"/>
  <c r="E64" i="10" s="1"/>
  <c r="C65" i="10"/>
  <c r="E65" i="10" s="1"/>
  <c r="BJ188" i="1"/>
  <c r="F91" i="5" s="1"/>
  <c r="D27" i="9" s="1"/>
  <c r="F27" i="9" s="1"/>
  <c r="C67" i="10"/>
  <c r="E67" i="10" s="1"/>
  <c r="C69" i="10"/>
  <c r="E69" i="10" s="1"/>
  <c r="C70" i="10"/>
  <c r="E70" i="10" s="1"/>
  <c r="C78" i="10"/>
  <c r="E78" i="10" s="1"/>
  <c r="C106" i="10"/>
  <c r="E106" i="10" s="1"/>
  <c r="C108" i="10"/>
  <c r="E108" i="10" s="1"/>
  <c r="C126" i="10"/>
  <c r="E126" i="10" s="1"/>
  <c r="C127" i="10"/>
  <c r="E127" i="10" s="1"/>
  <c r="C128" i="10"/>
  <c r="E128" i="10" s="1"/>
  <c r="C129" i="10"/>
  <c r="E129" i="10" s="1"/>
  <c r="C132" i="10"/>
  <c r="E132" i="10" s="1"/>
  <c r="C135" i="10"/>
  <c r="E135" i="10" s="1"/>
  <c r="C154" i="10"/>
  <c r="BJ454" i="1"/>
  <c r="BJ453" i="1" s="1"/>
  <c r="C158" i="10"/>
  <c r="E158" i="10" s="1"/>
  <c r="BJ461" i="1"/>
  <c r="BJ460" i="1" s="1"/>
  <c r="C160" i="10"/>
  <c r="E160" i="10" s="1"/>
  <c r="I163" i="6"/>
  <c r="I162" i="6" s="1"/>
  <c r="I161" i="6" s="1"/>
  <c r="BJ307" i="1"/>
  <c r="F128" i="5" s="1"/>
  <c r="D19" i="9" s="1"/>
  <c r="F19" i="9" s="1"/>
  <c r="AR335" i="1"/>
  <c r="AR334" i="1" s="1"/>
  <c r="AR333" i="1" s="1"/>
  <c r="BJ322" i="1"/>
  <c r="BJ321" i="1" s="1"/>
  <c r="BJ320" i="1" s="1"/>
  <c r="AF335" i="1"/>
  <c r="AF334" i="1" s="1"/>
  <c r="AF333" i="1" s="1"/>
  <c r="BJ422" i="1"/>
  <c r="F153" i="5" s="1"/>
  <c r="D33" i="9" s="1"/>
  <c r="F33" i="9" s="1"/>
  <c r="Z287" i="1"/>
  <c r="AX287" i="1"/>
  <c r="AC287" i="1"/>
  <c r="BD287" i="1"/>
  <c r="Z335" i="1"/>
  <c r="Z334" i="1" s="1"/>
  <c r="Z333" i="1" s="1"/>
  <c r="AR168" i="1"/>
  <c r="AR167" i="1" s="1"/>
  <c r="AR166" i="1" s="1"/>
  <c r="BJ227" i="1"/>
  <c r="BG287" i="1"/>
  <c r="AU168" i="1"/>
  <c r="AU167" i="1" s="1"/>
  <c r="AU166" i="1" s="1"/>
  <c r="BG168" i="1"/>
  <c r="BG167" i="1" s="1"/>
  <c r="BG166" i="1" s="1"/>
  <c r="BA336" i="1"/>
  <c r="O164" i="6" s="1"/>
  <c r="AC335" i="1"/>
  <c r="AC334" i="1" s="1"/>
  <c r="AC333" i="1" s="1"/>
  <c r="BJ101" i="1"/>
  <c r="F58" i="5" s="1"/>
  <c r="D16" i="9" s="1"/>
  <c r="F16" i="9" s="1"/>
  <c r="AO168" i="1"/>
  <c r="AO167" i="1" s="1"/>
  <c r="AO166" i="1" s="1"/>
  <c r="W335" i="1"/>
  <c r="W334" i="1" s="1"/>
  <c r="W333" i="1" s="1"/>
  <c r="BJ442" i="1"/>
  <c r="F164" i="5" s="1"/>
  <c r="BJ447" i="1"/>
  <c r="F165" i="5" s="1"/>
  <c r="D55" i="9" s="1"/>
  <c r="F55" i="9" s="1"/>
  <c r="L35" i="6"/>
  <c r="L34" i="6" s="1"/>
  <c r="AX49" i="1"/>
  <c r="AX168" i="1"/>
  <c r="AX167" i="1" s="1"/>
  <c r="AX166" i="1" s="1"/>
  <c r="BJ198" i="1"/>
  <c r="BJ197" i="1" s="1"/>
  <c r="BJ318" i="1"/>
  <c r="BJ317" i="1" s="1"/>
  <c r="BJ313" i="1" s="1"/>
  <c r="F102" i="6"/>
  <c r="F100" i="6" s="1"/>
  <c r="BA168" i="1"/>
  <c r="BA167" i="1" s="1"/>
  <c r="BA166" i="1" s="1"/>
  <c r="BJ230" i="1"/>
  <c r="F108" i="5" s="1"/>
  <c r="L37" i="6"/>
  <c r="L36" i="6" s="1"/>
  <c r="AX52" i="1"/>
  <c r="BD168" i="1"/>
  <c r="BD167" i="1" s="1"/>
  <c r="BD166" i="1" s="1"/>
  <c r="BJ203" i="1"/>
  <c r="BJ404" i="1"/>
  <c r="O35" i="6"/>
  <c r="O34" i="6" s="1"/>
  <c r="BA49" i="1"/>
  <c r="O37" i="6"/>
  <c r="O36" i="6" s="1"/>
  <c r="BA52" i="1"/>
  <c r="AF287" i="1"/>
  <c r="BJ414" i="1"/>
  <c r="F150" i="5" s="1"/>
  <c r="D13" i="9" s="1"/>
  <c r="F13" i="9" s="1"/>
  <c r="Z168" i="1"/>
  <c r="Z167" i="1" s="1"/>
  <c r="Z166" i="1" s="1"/>
  <c r="AI287" i="1"/>
  <c r="L41" i="6"/>
  <c r="L40" i="6" s="1"/>
  <c r="AX58" i="1"/>
  <c r="AX56" i="1" s="1"/>
  <c r="AX55" i="1" s="1"/>
  <c r="BJ169" i="1"/>
  <c r="F87" i="5" s="1"/>
  <c r="D23" i="9" s="1"/>
  <c r="F23" i="9" s="1"/>
  <c r="AC168" i="1"/>
  <c r="AC167" i="1" s="1"/>
  <c r="AC166" i="1" s="1"/>
  <c r="AL287" i="1"/>
  <c r="L165" i="6"/>
  <c r="AL335" i="1"/>
  <c r="AL334" i="1" s="1"/>
  <c r="AL333" i="1" s="1"/>
  <c r="BJ98" i="1"/>
  <c r="BJ97" i="1" s="1"/>
  <c r="AI202" i="1"/>
  <c r="AI201" i="1" s="1"/>
  <c r="O41" i="6"/>
  <c r="O40" i="6" s="1"/>
  <c r="BA58" i="1"/>
  <c r="AF168" i="1"/>
  <c r="AF167" i="1" s="1"/>
  <c r="AO287" i="1"/>
  <c r="F151" i="6"/>
  <c r="W314" i="1"/>
  <c r="F33" i="5"/>
  <c r="BJ55" i="1"/>
  <c r="AI168" i="1"/>
  <c r="AI167" i="1" s="1"/>
  <c r="AR287" i="1"/>
  <c r="BJ426" i="1"/>
  <c r="AF202" i="1"/>
  <c r="AF201" i="1" s="1"/>
  <c r="BJ95" i="1"/>
  <c r="F54" i="5" s="1"/>
  <c r="D6" i="9" s="1"/>
  <c r="F6" i="9" s="1"/>
  <c r="BJ107" i="1"/>
  <c r="F59" i="5" s="1"/>
  <c r="AL168" i="1"/>
  <c r="AL167" i="1" s="1"/>
  <c r="AL166" i="1" s="1"/>
  <c r="AU287" i="1"/>
  <c r="F153" i="6"/>
  <c r="W317" i="1"/>
  <c r="BJ430" i="1"/>
  <c r="BJ429" i="1" s="1"/>
  <c r="BJ428" i="1" s="1"/>
  <c r="BJ464" i="1"/>
  <c r="BJ463" i="1" s="1"/>
  <c r="BJ459" i="1" s="1"/>
  <c r="BJ219" i="1"/>
  <c r="F102" i="5" s="1"/>
  <c r="D41" i="9" s="1"/>
  <c r="F41" i="9" s="1"/>
  <c r="I70" i="6"/>
  <c r="I149" i="6"/>
  <c r="I139" i="6" s="1"/>
  <c r="O130" i="6"/>
  <c r="O129" i="6" s="1"/>
  <c r="O128" i="6" s="1"/>
  <c r="L145" i="6"/>
  <c r="F145" i="6"/>
  <c r="F122" i="6"/>
  <c r="F65" i="6"/>
  <c r="I65" i="6"/>
  <c r="I25" i="6"/>
  <c r="I24" i="6" s="1"/>
  <c r="I23" i="6" s="1"/>
  <c r="L63" i="6"/>
  <c r="I63" i="6"/>
  <c r="L68" i="6"/>
  <c r="F68" i="6"/>
  <c r="F41" i="6"/>
  <c r="W58" i="1"/>
  <c r="L53" i="6"/>
  <c r="AX82" i="1"/>
  <c r="AX81" i="1" s="1"/>
  <c r="F35" i="6"/>
  <c r="W49" i="1"/>
  <c r="BJ74" i="1"/>
  <c r="F43" i="5" s="1"/>
  <c r="D43" i="9" s="1"/>
  <c r="F43" i="9" s="1"/>
  <c r="F52" i="6"/>
  <c r="W82" i="1"/>
  <c r="W81" i="1" s="1"/>
  <c r="BJ25" i="1"/>
  <c r="BJ40" i="1"/>
  <c r="BJ39" i="1" s="1"/>
  <c r="F37" i="6"/>
  <c r="W52" i="1"/>
  <c r="BJ72" i="1"/>
  <c r="O53" i="6"/>
  <c r="O51" i="6" s="1"/>
  <c r="O50" i="6" s="1"/>
  <c r="BA82" i="1"/>
  <c r="BA81" i="1" s="1"/>
  <c r="F48" i="6"/>
  <c r="R48" i="6" s="1"/>
  <c r="W71" i="1"/>
  <c r="W61" i="1" s="1"/>
  <c r="BJ83" i="1"/>
  <c r="F11" i="5"/>
  <c r="F11" i="6"/>
  <c r="L52" i="6"/>
  <c r="L44" i="6"/>
  <c r="L43" i="6" s="1"/>
  <c r="L42" i="6" s="1"/>
  <c r="L93" i="6"/>
  <c r="F202" i="6"/>
  <c r="F201" i="6" s="1"/>
  <c r="F200" i="6" s="1"/>
  <c r="F10" i="5"/>
  <c r="F10" i="6"/>
  <c r="F33" i="6"/>
  <c r="F85" i="6"/>
  <c r="I132" i="6"/>
  <c r="F126" i="5"/>
  <c r="D17" i="9" s="1"/>
  <c r="F17" i="9" s="1"/>
  <c r="F156" i="6"/>
  <c r="F23" i="6"/>
  <c r="F142" i="6"/>
  <c r="F44" i="6"/>
  <c r="F77" i="6"/>
  <c r="F132" i="6"/>
  <c r="L132" i="6"/>
  <c r="BJ299" i="1"/>
  <c r="F211" i="6"/>
  <c r="F131" i="5"/>
  <c r="I130" i="5" s="1"/>
  <c r="BJ378" i="1"/>
  <c r="C133" i="10" s="1"/>
  <c r="E133" i="10" s="1"/>
  <c r="BA359" i="1"/>
  <c r="O165" i="6" s="1"/>
  <c r="W439" i="1"/>
  <c r="AC88" i="1"/>
  <c r="BA88" i="1"/>
  <c r="AR88" i="1"/>
  <c r="BJ243" i="1"/>
  <c r="W19" i="1"/>
  <c r="W88" i="1"/>
  <c r="AU88" i="1"/>
  <c r="BJ394" i="1"/>
  <c r="C143" i="10" s="1"/>
  <c r="E143" i="10" s="1"/>
  <c r="BJ183" i="1"/>
  <c r="F89" i="5" s="1"/>
  <c r="D25" i="9" s="1"/>
  <c r="F25" i="9" s="1"/>
  <c r="BJ193" i="1"/>
  <c r="F93" i="5" s="1"/>
  <c r="D29" i="9" s="1"/>
  <c r="F29" i="9" s="1"/>
  <c r="W224" i="1"/>
  <c r="AX481" i="1"/>
  <c r="BJ190" i="1"/>
  <c r="F92" i="5" s="1"/>
  <c r="D28" i="9" s="1"/>
  <c r="F28" i="9" s="1"/>
  <c r="AO88" i="1"/>
  <c r="BJ338" i="1"/>
  <c r="AF56" i="1"/>
  <c r="AF55" i="1" s="1"/>
  <c r="AF45" i="1" s="1"/>
  <c r="AF44" i="1" s="1"/>
  <c r="BD56" i="1"/>
  <c r="BD55" i="1" s="1"/>
  <c r="BD45" i="1" s="1"/>
  <c r="BD44" i="1" s="1"/>
  <c r="AI359" i="1"/>
  <c r="AL56" i="1"/>
  <c r="AL55" i="1" s="1"/>
  <c r="AL45" i="1" s="1"/>
  <c r="AL44" i="1" s="1"/>
  <c r="AO56" i="1"/>
  <c r="AO55" i="1" s="1"/>
  <c r="AO45" i="1" s="1"/>
  <c r="AO44" i="1" s="1"/>
  <c r="BA56" i="1"/>
  <c r="BA55" i="1" s="1"/>
  <c r="O44" i="6"/>
  <c r="O43" i="6" s="1"/>
  <c r="BJ476" i="1"/>
  <c r="BJ94" i="1"/>
  <c r="BJ242" i="1"/>
  <c r="C83" i="10" s="1"/>
  <c r="E83" i="10" s="1"/>
  <c r="AI88" i="1"/>
  <c r="BG88" i="1"/>
  <c r="F124" i="5"/>
  <c r="I123" i="5" s="1"/>
  <c r="BJ458" i="1"/>
  <c r="C159" i="10" s="1"/>
  <c r="E159" i="10" s="1"/>
  <c r="AL88" i="1"/>
  <c r="AI56" i="1"/>
  <c r="AI55" i="1" s="1"/>
  <c r="AI45" i="1" s="1"/>
  <c r="AI44" i="1" s="1"/>
  <c r="BG56" i="1"/>
  <c r="BG55" i="1" s="1"/>
  <c r="BG45" i="1" s="1"/>
  <c r="BG44" i="1" s="1"/>
  <c r="AF88" i="1"/>
  <c r="BJ158" i="1"/>
  <c r="C56" i="10" s="1"/>
  <c r="E56" i="10" s="1"/>
  <c r="BJ161" i="1"/>
  <c r="C57" i="10" s="1"/>
  <c r="E57" i="10" s="1"/>
  <c r="W233" i="1"/>
  <c r="BJ388" i="1"/>
  <c r="C141" i="10" s="1"/>
  <c r="E141" i="10" s="1"/>
  <c r="BJ64" i="1"/>
  <c r="W9" i="1"/>
  <c r="AR56" i="1"/>
  <c r="AR55" i="1" s="1"/>
  <c r="AR45" i="1" s="1"/>
  <c r="AR44" i="1" s="1"/>
  <c r="AU56" i="1"/>
  <c r="AU55" i="1" s="1"/>
  <c r="AU45" i="1" s="1"/>
  <c r="AU44" i="1" s="1"/>
  <c r="AC56" i="1"/>
  <c r="AC55" i="1" s="1"/>
  <c r="AC45" i="1" s="1"/>
  <c r="AC44" i="1" s="1"/>
  <c r="BG359" i="1"/>
  <c r="BG335" i="1" s="1"/>
  <c r="BG334" i="1" s="1"/>
  <c r="BG333" i="1" s="1"/>
  <c r="BJ391" i="1"/>
  <c r="C142" i="10" s="1"/>
  <c r="E142" i="10" s="1"/>
  <c r="BG481" i="1"/>
  <c r="Z56" i="1"/>
  <c r="Z55" i="1" s="1"/>
  <c r="Z45" i="1" s="1"/>
  <c r="Z44" i="1" s="1"/>
  <c r="BJ141" i="1"/>
  <c r="BJ134" i="1" s="1"/>
  <c r="BJ133" i="1" s="1"/>
  <c r="AX88" i="1"/>
  <c r="BJ379" i="1"/>
  <c r="C134" i="10" s="1"/>
  <c r="E134" i="10" s="1"/>
  <c r="BJ395" i="1"/>
  <c r="C144" i="10" s="1"/>
  <c r="E144" i="10" s="1"/>
  <c r="O46" i="6"/>
  <c r="R46" i="6" s="1"/>
  <c r="C72" i="10"/>
  <c r="E72" i="10" s="1"/>
  <c r="L164" i="6"/>
  <c r="U164" i="6" s="1"/>
  <c r="C122" i="10"/>
  <c r="E122" i="10" s="1"/>
  <c r="L202" i="6" l="1"/>
  <c r="C153" i="10"/>
  <c r="E153" i="10" s="1"/>
  <c r="E154" i="10"/>
  <c r="C162" i="10"/>
  <c r="E162" i="10" s="1"/>
  <c r="E163" i="10"/>
  <c r="C145" i="10"/>
  <c r="E145" i="10" s="1"/>
  <c r="E149" i="10"/>
  <c r="F155" i="6"/>
  <c r="F154" i="6" s="1"/>
  <c r="L156" i="6"/>
  <c r="F141" i="6"/>
  <c r="F140" i="6" s="1"/>
  <c r="L142" i="6"/>
  <c r="L141" i="6" s="1"/>
  <c r="L140" i="6" s="1"/>
  <c r="F152" i="6"/>
  <c r="L153" i="6"/>
  <c r="F150" i="6"/>
  <c r="F149" i="6" s="1"/>
  <c r="L151" i="6"/>
  <c r="L150" i="6" s="1"/>
  <c r="F70" i="6"/>
  <c r="F130" i="6"/>
  <c r="F129" i="6" s="1"/>
  <c r="F128" i="6" s="1"/>
  <c r="F83" i="6"/>
  <c r="F82" i="6" s="1"/>
  <c r="F81" i="6" s="1"/>
  <c r="O85" i="6"/>
  <c r="O83" i="6" s="1"/>
  <c r="R41" i="6"/>
  <c r="F76" i="6"/>
  <c r="F75" i="6" s="1"/>
  <c r="R35" i="6"/>
  <c r="R34" i="6" s="1"/>
  <c r="R37" i="6"/>
  <c r="R36" i="6" s="1"/>
  <c r="R52" i="6"/>
  <c r="R53" i="6"/>
  <c r="R44" i="6"/>
  <c r="R43" i="6" s="1"/>
  <c r="F51" i="6"/>
  <c r="F50" i="6" s="1"/>
  <c r="F32" i="6"/>
  <c r="R32" i="6"/>
  <c r="F43" i="6"/>
  <c r="F40" i="6"/>
  <c r="F27" i="5"/>
  <c r="I26" i="5" s="1"/>
  <c r="BJ52" i="1"/>
  <c r="BJ82" i="1"/>
  <c r="BJ81" i="1" s="1"/>
  <c r="BJ421" i="1"/>
  <c r="BJ420" i="1" s="1"/>
  <c r="F175" i="5"/>
  <c r="I174" i="5" s="1"/>
  <c r="C82" i="10"/>
  <c r="E82" i="10" s="1"/>
  <c r="BJ21" i="1"/>
  <c r="BJ20" i="1" s="1"/>
  <c r="BJ19" i="1" s="1"/>
  <c r="BJ58" i="1"/>
  <c r="F170" i="5"/>
  <c r="D54" i="9" s="1"/>
  <c r="F54" i="9" s="1"/>
  <c r="F61" i="5"/>
  <c r="I60" i="5" s="1"/>
  <c r="BJ49" i="1"/>
  <c r="C92" i="10"/>
  <c r="E92" i="10" s="1"/>
  <c r="C58" i="10"/>
  <c r="E58" i="10" s="1"/>
  <c r="BJ63" i="1"/>
  <c r="BJ62" i="1" s="1"/>
  <c r="C26" i="10"/>
  <c r="C157" i="10"/>
  <c r="C52" i="10"/>
  <c r="E52" i="10" s="1"/>
  <c r="C121" i="10"/>
  <c r="E121" i="10" s="1"/>
  <c r="BJ93" i="1"/>
  <c r="BJ90" i="1" s="1"/>
  <c r="C36" i="10"/>
  <c r="C9" i="10"/>
  <c r="E9" i="10" s="1"/>
  <c r="C49" i="10"/>
  <c r="I28" i="5"/>
  <c r="I34" i="5"/>
  <c r="D20" i="9"/>
  <c r="F20" i="9" s="1"/>
  <c r="I32" i="5"/>
  <c r="I30" i="5"/>
  <c r="D24" i="9"/>
  <c r="F24" i="9" s="1"/>
  <c r="F136" i="5"/>
  <c r="I135" i="5" s="1"/>
  <c r="L134" i="5" s="1"/>
  <c r="BG279" i="1"/>
  <c r="BG278" i="1" s="1"/>
  <c r="BD279" i="1"/>
  <c r="BD278" i="1" s="1"/>
  <c r="AR279" i="1"/>
  <c r="AR278" i="1" s="1"/>
  <c r="AC279" i="1"/>
  <c r="AC278" i="1" s="1"/>
  <c r="AI279" i="1"/>
  <c r="AI278" i="1" s="1"/>
  <c r="AX279" i="1"/>
  <c r="AX278" i="1" s="1"/>
  <c r="Z279" i="1"/>
  <c r="Z278" i="1" s="1"/>
  <c r="AL279" i="1"/>
  <c r="AL278" i="1" s="1"/>
  <c r="AF279" i="1"/>
  <c r="AF278" i="1" s="1"/>
  <c r="AU279" i="1"/>
  <c r="AU278" i="1" s="1"/>
  <c r="AO279" i="1"/>
  <c r="AO278" i="1" s="1"/>
  <c r="F95" i="5"/>
  <c r="I94" i="5" s="1"/>
  <c r="BJ336" i="1"/>
  <c r="F142" i="5" s="1"/>
  <c r="D7" i="9" s="1"/>
  <c r="F7" i="9" s="1"/>
  <c r="F56" i="5"/>
  <c r="I55" i="5" s="1"/>
  <c r="I86" i="5"/>
  <c r="I9" i="5"/>
  <c r="L8" i="5" s="1"/>
  <c r="O7" i="5" s="1"/>
  <c r="L51" i="6"/>
  <c r="L50" i="6" s="1"/>
  <c r="BJ403" i="1"/>
  <c r="BJ402" i="1" s="1"/>
  <c r="W45" i="1"/>
  <c r="W44" i="1" s="1"/>
  <c r="BJ441" i="1"/>
  <c r="BJ440" i="1" s="1"/>
  <c r="BJ439" i="1" s="1"/>
  <c r="F46" i="5"/>
  <c r="I45" i="5" s="1"/>
  <c r="L44" i="5" s="1"/>
  <c r="AI166" i="1"/>
  <c r="L70" i="6"/>
  <c r="W313" i="1"/>
  <c r="W278" i="1" s="1"/>
  <c r="BJ132" i="1"/>
  <c r="BJ131" i="1" s="1"/>
  <c r="BJ38" i="1"/>
  <c r="BJ37" i="1" s="1"/>
  <c r="BJ168" i="1"/>
  <c r="BJ167" i="1" s="1"/>
  <c r="BJ226" i="1"/>
  <c r="BJ225" i="1" s="1"/>
  <c r="BJ224" i="1" s="1"/>
  <c r="F154" i="5"/>
  <c r="BJ100" i="1"/>
  <c r="L152" i="6"/>
  <c r="BJ475" i="1"/>
  <c r="BJ474" i="1" s="1"/>
  <c r="BJ473" i="1" s="1"/>
  <c r="I163" i="5"/>
  <c r="F149" i="5"/>
  <c r="BJ236" i="1"/>
  <c r="BJ235" i="1" s="1"/>
  <c r="F127" i="5"/>
  <c r="I125" i="5" s="1"/>
  <c r="BJ287" i="1"/>
  <c r="F98" i="5"/>
  <c r="D37" i="9" s="1"/>
  <c r="F37" i="9" s="1"/>
  <c r="F133" i="5"/>
  <c r="I57" i="5"/>
  <c r="BA335" i="1"/>
  <c r="BA334" i="1" s="1"/>
  <c r="BA333" i="1" s="1"/>
  <c r="F99" i="6"/>
  <c r="F98" i="6" s="1"/>
  <c r="BA45" i="1"/>
  <c r="BA44" i="1" s="1"/>
  <c r="BJ457" i="1"/>
  <c r="BJ456" i="1" s="1"/>
  <c r="BJ452" i="1" s="1"/>
  <c r="BJ451" i="1" s="1"/>
  <c r="F210" i="6"/>
  <c r="F209" i="6" s="1"/>
  <c r="F208" i="6" s="1"/>
  <c r="F165" i="6"/>
  <c r="AI335" i="1"/>
  <c r="AI334" i="1" s="1"/>
  <c r="AI333" i="1" s="1"/>
  <c r="BJ71" i="1"/>
  <c r="F121" i="6"/>
  <c r="F120" i="6" s="1"/>
  <c r="F157" i="5"/>
  <c r="AF166" i="1"/>
  <c r="AX45" i="1"/>
  <c r="AX44" i="1" s="1"/>
  <c r="BJ160" i="1"/>
  <c r="BJ159" i="1" s="1"/>
  <c r="F177" i="5"/>
  <c r="F42" i="5"/>
  <c r="BJ150" i="1"/>
  <c r="BJ149" i="1" s="1"/>
  <c r="R40" i="6"/>
  <c r="O163" i="6"/>
  <c r="O162" i="6" s="1"/>
  <c r="O161" i="6" s="1"/>
  <c r="L65" i="6"/>
  <c r="L163" i="6"/>
  <c r="L162" i="6" s="1"/>
  <c r="L161" i="6" s="1"/>
  <c r="L130" i="6"/>
  <c r="L129" i="6" s="1"/>
  <c r="L128" i="6" s="1"/>
  <c r="I130" i="6"/>
  <c r="I129" i="6" s="1"/>
  <c r="I128" i="6" s="1"/>
  <c r="F36" i="6"/>
  <c r="R45" i="6"/>
  <c r="O45" i="6"/>
  <c r="O42" i="6" s="1"/>
  <c r="L25" i="6"/>
  <c r="L23" i="6" s="1"/>
  <c r="R47" i="6"/>
  <c r="F47" i="6"/>
  <c r="F58" i="6"/>
  <c r="F9" i="6"/>
  <c r="F8" i="6" s="1"/>
  <c r="F7" i="6" s="1"/>
  <c r="F34" i="6"/>
  <c r="BD481" i="1"/>
  <c r="AU481" i="1"/>
  <c r="I62" i="6"/>
  <c r="I77" i="6"/>
  <c r="I76" i="6" s="1"/>
  <c r="I75" i="6" s="1"/>
  <c r="O39" i="6"/>
  <c r="O38" i="6" s="1"/>
  <c r="O31" i="6" s="1"/>
  <c r="W451" i="1"/>
  <c r="W481" i="1" s="1"/>
  <c r="F198" i="6"/>
  <c r="Z481" i="1"/>
  <c r="L39" i="6"/>
  <c r="R39" i="6" s="1"/>
  <c r="R132" i="6"/>
  <c r="X132" i="6" s="1"/>
  <c r="R165" i="6"/>
  <c r="L201" i="6"/>
  <c r="L200" i="6" s="1"/>
  <c r="F122" i="5"/>
  <c r="F74" i="5"/>
  <c r="I73" i="5" s="1"/>
  <c r="L72" i="5" s="1"/>
  <c r="O71" i="5" s="1"/>
  <c r="AF481" i="1"/>
  <c r="BA481" i="1"/>
  <c r="AC481" i="1"/>
  <c r="F107" i="5"/>
  <c r="F40" i="5"/>
  <c r="F53" i="5"/>
  <c r="AR481" i="1"/>
  <c r="AL481" i="1"/>
  <c r="AI481" i="1"/>
  <c r="F22" i="5"/>
  <c r="I21" i="5" s="1"/>
  <c r="L20" i="5" s="1"/>
  <c r="AO481" i="1"/>
  <c r="W401" i="1"/>
  <c r="BJ206" i="1"/>
  <c r="BJ202" i="1" s="1"/>
  <c r="BJ201" i="1" s="1"/>
  <c r="BJ389" i="1"/>
  <c r="F144" i="5" s="1"/>
  <c r="D9" i="9" s="1"/>
  <c r="F9" i="9" s="1"/>
  <c r="BJ359" i="1"/>
  <c r="C20" i="10" l="1"/>
  <c r="E20" i="10" s="1"/>
  <c r="E26" i="10"/>
  <c r="F197" i="6"/>
  <c r="F196" i="6" s="1"/>
  <c r="L198" i="6"/>
  <c r="C47" i="10"/>
  <c r="E47" i="10" s="1"/>
  <c r="E49" i="10"/>
  <c r="C34" i="10"/>
  <c r="E34" i="10" s="1"/>
  <c r="E36" i="10"/>
  <c r="C164" i="10"/>
  <c r="E164" i="10" s="1"/>
  <c r="E157" i="10"/>
  <c r="F163" i="6"/>
  <c r="F162" i="6" s="1"/>
  <c r="F161" i="6" s="1"/>
  <c r="U165" i="6"/>
  <c r="L91" i="6"/>
  <c r="L90" i="6" s="1"/>
  <c r="F42" i="6"/>
  <c r="F57" i="6"/>
  <c r="L77" i="6"/>
  <c r="L76" i="6" s="1"/>
  <c r="L75" i="6" s="1"/>
  <c r="I59" i="6"/>
  <c r="I58" i="6" s="1"/>
  <c r="I57" i="6" s="1"/>
  <c r="L62" i="6"/>
  <c r="L59" i="6" s="1"/>
  <c r="L58" i="6" s="1"/>
  <c r="R42" i="6"/>
  <c r="L38" i="6"/>
  <c r="L31" i="6" s="1"/>
  <c r="L30" i="6" s="1"/>
  <c r="R38" i="6"/>
  <c r="R31" i="6" s="1"/>
  <c r="D4" i="9"/>
  <c r="F4" i="9" s="1"/>
  <c r="D57" i="9"/>
  <c r="F57" i="9" s="1"/>
  <c r="F38" i="5"/>
  <c r="D36" i="9" s="1"/>
  <c r="F36" i="9" s="1"/>
  <c r="D21" i="9"/>
  <c r="F21" i="9" s="1"/>
  <c r="BJ61" i="1"/>
  <c r="BJ45" i="1"/>
  <c r="I169" i="5"/>
  <c r="C152" i="10"/>
  <c r="L25" i="5"/>
  <c r="BJ401" i="1"/>
  <c r="D14" i="9"/>
  <c r="F14" i="9" s="1"/>
  <c r="I39" i="5"/>
  <c r="D40" i="9"/>
  <c r="F40" i="9" s="1"/>
  <c r="I176" i="5"/>
  <c r="L173" i="5" s="1"/>
  <c r="D59" i="9"/>
  <c r="I156" i="5"/>
  <c r="L155" i="5" s="1"/>
  <c r="D46" i="9"/>
  <c r="F46" i="9" s="1"/>
  <c r="I148" i="5"/>
  <c r="L147" i="5" s="1"/>
  <c r="D12" i="9"/>
  <c r="F12" i="9" s="1"/>
  <c r="D47" i="9"/>
  <c r="F47" i="9" s="1"/>
  <c r="I51" i="5"/>
  <c r="L50" i="5" s="1"/>
  <c r="O49" i="5" s="1"/>
  <c r="D5" i="9"/>
  <c r="F5" i="9" s="1"/>
  <c r="I41" i="5"/>
  <c r="D42" i="9"/>
  <c r="F42" i="9" s="1"/>
  <c r="I132" i="5"/>
  <c r="L129" i="5" s="1"/>
  <c r="D32" i="9"/>
  <c r="F32" i="9" s="1"/>
  <c r="I152" i="5"/>
  <c r="L151" i="5" s="1"/>
  <c r="D34" i="9"/>
  <c r="F34" i="9" s="1"/>
  <c r="D48" i="9"/>
  <c r="F48" i="9" s="1"/>
  <c r="D18" i="9"/>
  <c r="F18" i="9" s="1"/>
  <c r="BJ89" i="1"/>
  <c r="BJ88" i="1" s="1"/>
  <c r="L155" i="6"/>
  <c r="L154" i="6" s="1"/>
  <c r="BJ279" i="1"/>
  <c r="BJ278" i="1" s="1"/>
  <c r="L85" i="5"/>
  <c r="L149" i="6"/>
  <c r="BJ148" i="1"/>
  <c r="BJ147" i="1" s="1"/>
  <c r="BJ335" i="1"/>
  <c r="BJ334" i="1" s="1"/>
  <c r="BJ333" i="1" s="1"/>
  <c r="F182" i="5"/>
  <c r="D58" i="9" s="1"/>
  <c r="F58" i="9" s="1"/>
  <c r="BJ234" i="1"/>
  <c r="BJ233" i="1" s="1"/>
  <c r="F31" i="6"/>
  <c r="BJ166" i="1"/>
  <c r="F80" i="5"/>
  <c r="L162" i="5"/>
  <c r="O161" i="5" s="1"/>
  <c r="I106" i="5"/>
  <c r="L105" i="5" s="1"/>
  <c r="O104" i="5" s="1"/>
  <c r="O82" i="6"/>
  <c r="O81" i="6" s="1"/>
  <c r="I121" i="5"/>
  <c r="L120" i="5" s="1"/>
  <c r="F82" i="5"/>
  <c r="F113" i="5"/>
  <c r="F172" i="5"/>
  <c r="R163" i="6"/>
  <c r="R162" i="6" s="1"/>
  <c r="R161" i="6" s="1"/>
  <c r="R130" i="6"/>
  <c r="R129" i="6" s="1"/>
  <c r="R128" i="6" s="1"/>
  <c r="R51" i="6"/>
  <c r="R50" i="6" s="1"/>
  <c r="F139" i="6"/>
  <c r="L197" i="6"/>
  <c r="L196" i="6" s="1"/>
  <c r="L195" i="6" s="1"/>
  <c r="F213" i="6" s="1"/>
  <c r="F195" i="6"/>
  <c r="O30" i="6"/>
  <c r="F143" i="5"/>
  <c r="I141" i="5" s="1"/>
  <c r="L140" i="5" s="1"/>
  <c r="F99" i="5"/>
  <c r="O19" i="5"/>
  <c r="C165" i="10" l="1"/>
  <c r="E165" i="10" s="1"/>
  <c r="E152" i="10"/>
  <c r="F30" i="6"/>
  <c r="I37" i="5"/>
  <c r="L36" i="5" s="1"/>
  <c r="O24" i="5" s="1"/>
  <c r="BJ44" i="1"/>
  <c r="BJ437" i="1" s="1"/>
  <c r="D56" i="9"/>
  <c r="O146" i="5"/>
  <c r="BN437" i="1"/>
  <c r="I112" i="5"/>
  <c r="L111" i="5" s="1"/>
  <c r="O110" i="5" s="1"/>
  <c r="D10" i="9"/>
  <c r="F10" i="9" s="1"/>
  <c r="I79" i="5"/>
  <c r="D30" i="9"/>
  <c r="F30" i="9" s="1"/>
  <c r="I97" i="5"/>
  <c r="L96" i="5" s="1"/>
  <c r="O84" i="5" s="1"/>
  <c r="D38" i="9"/>
  <c r="I171" i="5"/>
  <c r="L168" i="5" s="1"/>
  <c r="O167" i="5" s="1"/>
  <c r="D53" i="9"/>
  <c r="I81" i="5"/>
  <c r="D31" i="9"/>
  <c r="F31" i="9" s="1"/>
  <c r="O119" i="5"/>
  <c r="D45" i="9"/>
  <c r="F45" i="9" s="1"/>
  <c r="D8" i="9"/>
  <c r="F8" i="9" s="1"/>
  <c r="L139" i="6"/>
  <c r="F184" i="5"/>
  <c r="L89" i="6"/>
  <c r="I181" i="5"/>
  <c r="O139" i="5"/>
  <c r="X130" i="6"/>
  <c r="R30" i="6"/>
  <c r="U163" i="6"/>
  <c r="L57" i="6"/>
  <c r="BJ481" i="1"/>
  <c r="F159" i="5"/>
  <c r="BD483" i="1"/>
  <c r="AU483" i="1"/>
  <c r="AR483" i="1"/>
  <c r="AO483" i="1"/>
  <c r="AX483" i="1"/>
  <c r="BG483" i="1"/>
  <c r="Z483" i="1"/>
  <c r="AC483" i="1"/>
  <c r="AI483" i="1"/>
  <c r="AL483" i="1"/>
  <c r="W483" i="1"/>
  <c r="AF483" i="1"/>
  <c r="D52" i="9" l="1"/>
  <c r="F53" i="9"/>
  <c r="D35" i="9"/>
  <c r="F38" i="9"/>
  <c r="D17" i="8"/>
  <c r="F17" i="8" s="1"/>
  <c r="F56" i="9"/>
  <c r="I159" i="5"/>
  <c r="D3" i="9"/>
  <c r="L78" i="5"/>
  <c r="O77" i="5" s="1"/>
  <c r="O159" i="5" s="1"/>
  <c r="D6" i="8"/>
  <c r="D22" i="9"/>
  <c r="D60" i="9"/>
  <c r="F60" i="9" s="1"/>
  <c r="F186" i="5"/>
  <c r="L180" i="5"/>
  <c r="I184" i="5"/>
  <c r="X129" i="6"/>
  <c r="X128" i="6" s="1"/>
  <c r="U162" i="6"/>
  <c r="U161" i="6" s="1"/>
  <c r="BA483" i="1"/>
  <c r="BJ483" i="1"/>
  <c r="D4" i="8" l="1"/>
  <c r="F4" i="8" s="1"/>
  <c r="F22" i="9"/>
  <c r="D5" i="8"/>
  <c r="F35" i="9"/>
  <c r="D16" i="8"/>
  <c r="F52" i="9"/>
  <c r="D3" i="8"/>
  <c r="D32" i="8" s="1"/>
  <c r="F3" i="9"/>
  <c r="H3" i="9" s="1"/>
  <c r="F6" i="8"/>
  <c r="L159" i="5"/>
  <c r="I186" i="5"/>
  <c r="D49" i="9"/>
  <c r="D35" i="8"/>
  <c r="F183" i="6"/>
  <c r="F215" i="6" s="1"/>
  <c r="L184" i="5"/>
  <c r="O179" i="5"/>
  <c r="O184" i="5" s="1"/>
  <c r="O186" i="5" s="1"/>
  <c r="D33" i="8" l="1"/>
  <c r="F33" i="8" s="1"/>
  <c r="F16" i="8"/>
  <c r="D18" i="8"/>
  <c r="F18" i="8" s="1"/>
  <c r="D34" i="8"/>
  <c r="F34" i="8" s="1"/>
  <c r="F5" i="8"/>
  <c r="D7" i="8"/>
  <c r="F7" i="8" s="1"/>
  <c r="D62" i="9"/>
  <c r="F62" i="9" s="1"/>
  <c r="F49" i="9"/>
  <c r="F3" i="8"/>
  <c r="F32" i="8"/>
  <c r="F35" i="8"/>
  <c r="L186" i="5"/>
  <c r="D36" i="8" l="1"/>
  <c r="F36" i="8" s="1"/>
</calcChain>
</file>

<file path=xl/sharedStrings.xml><?xml version="1.0" encoding="utf-8"?>
<sst xmlns="http://schemas.openxmlformats.org/spreadsheetml/2006/main" count="4066" uniqueCount="1582">
  <si>
    <t xml:space="preserve"> </t>
  </si>
  <si>
    <t xml:space="preserve">CODIGO:  </t>
  </si>
  <si>
    <t xml:space="preserve">VERSIÓN: </t>
  </si>
  <si>
    <t xml:space="preserve">FECHA: </t>
  </si>
  <si>
    <t>PÁGINA:</t>
  </si>
  <si>
    <t>UNIDAD EJECUTORA</t>
  </si>
  <si>
    <t>LÍNEA ESTRATÉGICA</t>
  </si>
  <si>
    <t>SECTOR</t>
  </si>
  <si>
    <t>PROGRAMA</t>
  </si>
  <si>
    <t>INDICADOR DE RESULTADO Y/O BIENESTAR</t>
  </si>
  <si>
    <t>PRODUCTO</t>
  </si>
  <si>
    <t>INDICADOR PRODUCTO</t>
  </si>
  <si>
    <t>TIPO DE META I/M/R</t>
  </si>
  <si>
    <t>PROYECTO</t>
  </si>
  <si>
    <t>FUENTES DE FINANCIACION</t>
  </si>
  <si>
    <t>TOTAL RECURSOS</t>
  </si>
  <si>
    <t>DEPENDENCIA</t>
  </si>
  <si>
    <t>RESPONSABLE</t>
  </si>
  <si>
    <t>CÓDIGO</t>
  </si>
  <si>
    <t>NOMBRE</t>
  </si>
  <si>
    <t>CÓDIGO PDD</t>
  </si>
  <si>
    <t>PRODUCTO PDD</t>
  </si>
  <si>
    <t>CÓDIGO CATÁLOGO DE PRODUCTOS MGA</t>
  </si>
  <si>
    <t xml:space="preserve">PRODUCTO CATÁLOGO MGA </t>
  </si>
  <si>
    <t>INDICADOR PDD</t>
  </si>
  <si>
    <t>CÓDIGO CATALOGO DE INDICADORES MGA</t>
  </si>
  <si>
    <t xml:space="preserve">INDICADOR CATÁLOGO MGA </t>
  </si>
  <si>
    <t>CÓDIGO BPIN</t>
  </si>
  <si>
    <t>NOMBRE DEL PROYECTO</t>
  </si>
  <si>
    <t>OBJETIVO DEL PROYECTO</t>
  </si>
  <si>
    <t xml:space="preserve">ESTAMPILLAS 
PRO - CULTURA
PRO - ADULTO MAYOR
PRO - DESARROLLO
 </t>
  </si>
  <si>
    <t xml:space="preserve">CONTRIBUCION ESPECIAL
(FONDO DE SEGURIDAD 5%) 
 </t>
  </si>
  <si>
    <t xml:space="preserve">SOBRETASA AL ACPM  
</t>
  </si>
  <si>
    <t xml:space="preserve">MONOPOLIO EDUCACIÓN Y SALUD  51% DESTINACION ESPECIFICA
 </t>
  </si>
  <si>
    <t xml:space="preserve">SGP SALÚD PUBLICA - PRESTACIÓN DE SERVICIOS
 </t>
  </si>
  <si>
    <t>FONDO LOCAL DE SALUD  - MONOPOLIO RENTAS CEDIDAS -LOTERIAS-RIFAS-PREMIO</t>
  </si>
  <si>
    <t>SGP APORTES PATRONALES - CANCELACIÓN DE PRESTACIONES SOCIALES -EDUCACIÓN</t>
  </si>
  <si>
    <t xml:space="preserve">FONDO DE EDUCACION,  PAE, CONVENIO MEN 
</t>
  </si>
  <si>
    <t xml:space="preserve">SGP AGUA POTABLE Y SANEAMIENTO BÁSICO
</t>
  </si>
  <si>
    <t xml:space="preserve">RECURSO ORDINARIO
</t>
  </si>
  <si>
    <t xml:space="preserve">OTROS (IVA TELEFONIA MÓVIL  - REGISTRO - LEY 1816 (3% MONOPOLIO LICORES) (DEPORTES) EXTRACCION MATERIAL RIO  </t>
  </si>
  <si>
    <t>NACIÓN  - COFINANCIACIÓN
CONV ANTICONTRABANDO</t>
  </si>
  <si>
    <t xml:space="preserve">304 -SECRETARÍA ADMINISTRATIVA </t>
  </si>
  <si>
    <t xml:space="preserve">LIDERAZGO, GOBERNABILIDAD Y TRANSPARENCIA </t>
  </si>
  <si>
    <t>Gobierno territorial</t>
  </si>
  <si>
    <t>Fortalecimiento a la gestión y dirección de la administración pública territorial "Quindío con una administración al servicio de la ciudadanía "</t>
  </si>
  <si>
    <t>Índice de Gestión del Modelo Integrado de Planeación y de Gestión MIPG  de la Administración Departamental</t>
  </si>
  <si>
    <t>ND</t>
  </si>
  <si>
    <t>Implementación de  las Dimensiones y Políticas  del Modelo Integrado de Planeación y de Gestión MIPG</t>
  </si>
  <si>
    <t xml:space="preserve">Servicio de Implementación Sistemas de Gestión </t>
  </si>
  <si>
    <t>Número de Dimensiones y Políticas   de MIPG implementadas.</t>
  </si>
  <si>
    <t>Sistema de Gestión implementado</t>
  </si>
  <si>
    <t>M</t>
  </si>
  <si>
    <t>202000363-0006</t>
  </si>
  <si>
    <t>Implementación del Modelo Integrado de Planeación y de Gestión MIPG  de la Administración Departamental del Quindío (Dimensiones  de Talento humano,  Información y Comunicación y Gestión del Conocimiento).</t>
  </si>
  <si>
    <t xml:space="preserve">Incrementar en Índice de Gestión y Desempeño  de la Administración Departamental ,  a Implementar los procesos y procedimientos de depuración de los expedientes administrativos pensionales, que permitan la determinación de cuotas partes pensionales, bonos pensionales y otros, con el fin de contar con información depurada y real. </t>
  </si>
  <si>
    <t>Secretaria Administrativa</t>
  </si>
  <si>
    <t xml:space="preserve">  John Harold Valencia Rodríguez </t>
  </si>
  <si>
    <t>Estrategias  de actualización, depuración, seguimiento y evaluación de las bases de datos  del Pasivo Pensional  de la Administración Departamental.</t>
  </si>
  <si>
    <t xml:space="preserve">Servicio de saneamiento fiscal y financiero </t>
  </si>
  <si>
    <t>Estrategias  de actualización, depuración, seguimiento y evaluación de las bases de datos  del Pasivo Pensional  de la Administración Departamental</t>
  </si>
  <si>
    <t>202000363-0007</t>
  </si>
  <si>
    <t xml:space="preserve">Actualización, depuración, seguimiento y evaluación del Pasivo Pensional de la Administración Departamental del Quindío </t>
  </si>
  <si>
    <t>Incrementar  Índice de Gestión y Desempeño de la Administración Departamental a través del proceso de modernización administrativa, contemplando una estructura orgánica qué corresponda a las competencias del territorio, la habilitación de la oficina para los alcaldes en la gobernación y la Casa Delegada en la ciudad de Bogotá, la  creación de la oficina de la Felicidad; con el propósito de mejorar la gestión de la administración departamental .</t>
  </si>
  <si>
    <t xml:space="preserve"> John Harold Valencia Rodríguez </t>
  </si>
  <si>
    <t xml:space="preserve">Proceso de modernización administrativa, incluido en  estudio de la viabilidad de creación de la Oficina de la Felicidad. </t>
  </si>
  <si>
    <t>Proceso de modernización administrativa implementada</t>
  </si>
  <si>
    <t xml:space="preserve">Metodologías aplicadas </t>
  </si>
  <si>
    <t>I</t>
  </si>
  <si>
    <t>202000363-0041</t>
  </si>
  <si>
    <t xml:space="preserve">Implementación de un programa de modernización  de la gestión Administrativa  de la Administración Departamental del Quindío. "TÚ y YO SOMOS QUINDÍO" </t>
  </si>
  <si>
    <t>Fortalecimiento del buen gobierno para el respeto y garantía de los derechos humanos. "Quindío integrado y participativo"</t>
  </si>
  <si>
    <t>Porcentaje promedio  de participación de ciudadanos en los eventos de elección popular.</t>
  </si>
  <si>
    <t>Implementación del Plan de Acción del Sistema Departamental de Servicio a la Ciudadanía SDSC</t>
  </si>
  <si>
    <t>Servicio de integración de la oferta pública</t>
  </si>
  <si>
    <t>Plan de Acción del Sistema Departamental de Servicio a la Ciudadanía SDSC implementado</t>
  </si>
  <si>
    <t xml:space="preserve">Espacios de integración de oferta pública generados </t>
  </si>
  <si>
    <t>202000363-0005</t>
  </si>
  <si>
    <t xml:space="preserve">Implementación del Sistema Departamental de Servicio a la Ciudadanía SDSC   en la Administración Departamental. </t>
  </si>
  <si>
    <t>Aumentar en porcentaje promedio  de participación de ciudadanos en los eventos de elección popular través del desarrollo de  actividades qué permitan la interacción de la Comunidad y Estado, facilitando el acceso de los servicios qué oferta la Administración Departamental.</t>
  </si>
  <si>
    <t xml:space="preserve">305 SECRETARÍA DE PLANEACIÓN </t>
  </si>
  <si>
    <t>Porcentaje promedio  de participación de ciudadanos en los eventos de elección popular</t>
  </si>
  <si>
    <t>Fortalecimiento técnico y logístico del  Consejo Territorial de Planeación Departamental, como representantes de la sociedad civil en la planeación  del desarrollo integral  de la entidad territorial</t>
  </si>
  <si>
    <t>Servicio de promoción a la participación ciudadana</t>
  </si>
  <si>
    <t>Consejo Territorial de Planeación Departamental fortalecido</t>
  </si>
  <si>
    <t>Espacios de participación promovidos</t>
  </si>
  <si>
    <t>202000363-0042</t>
  </si>
  <si>
    <t xml:space="preserve">Fortalecimiento  del Consejo Territorial de Planeación del Departamento del Quindío. "TÚ y YO SOMOS QUINDIO" </t>
  </si>
  <si>
    <t>Incrementar la  participación de ciudadanos en los eventos de elección popular,  a través de los procesos de apoyo técnico y logístico al Consejo Territorial de Planeación Departamental, de conformidad con lo preceptuado en la Ley 152 de 1994.</t>
  </si>
  <si>
    <t xml:space="preserve">Secretaría de Planeación </t>
  </si>
  <si>
    <t>Eventos de Rendición Pública de Cuentas que divulgan la gestión administrativa.</t>
  </si>
  <si>
    <t>Eventos de Rendición Públicas de Cuentas realizados</t>
  </si>
  <si>
    <t>202000363-0043</t>
  </si>
  <si>
    <t xml:space="preserve"> Implementación  de eventos de Rendición Pública de Cuentas  de divulgación de gestión  de la Administración Departamental  "TU Y YO SOMOS QUINDIO" </t>
  </si>
  <si>
    <t>Incrementar la  participación de ciudadanos en los eventos de elección popular, a través  de la realización de la  Rendición Pública de Cuentas, con el propósito de generar un espacio de interlocución entre la sociedad civil y/o organizada.</t>
  </si>
  <si>
    <t>Instrumentos de planificación para el ordenamiento y la gestión territorial departamental (Plan de Desarrollo Departamental PDD, Ordenamiento Territorial, Sistema de Información Geográfica, Mecanismos de Integración, Catastro multipropósito etc.).</t>
  </si>
  <si>
    <t>Documentos de lineamientos técnicos</t>
  </si>
  <si>
    <t>Instrumentos de planificación de ordenamiento y gestión territorial departamental implementados</t>
  </si>
  <si>
    <t>Documentos de lineamientos técnicos realizados</t>
  </si>
  <si>
    <t>202000363-0044</t>
  </si>
  <si>
    <t xml:space="preserve"> Implementación   de instrumentos de planificación para  en  Ordenamiento y la Gestión Territorial Departamental del Quindío  "TU Y YO SOMOS QUINDIO" </t>
  </si>
  <si>
    <t>Incrementar el  Índice de Gestión y Desempeño de la  Administración Departamental a través de la Implementación de los  instrumentos de planificación para el ordenamiento y la gestión territorial departamental (Plan de Desarrollo Departamental PDD, Ordenamiento Territorial, Sistema de Información Geográfica, mecanismos de integración, catastro multipropósito etc.) para orientar  los gastos de inversión  de acuerdo al Ordenamiento  Territorial.</t>
  </si>
  <si>
    <t>Observatorio económico del departamento, con procesos de fortalecimiento</t>
  </si>
  <si>
    <t>Servicios de información implementados</t>
  </si>
  <si>
    <t>Observatorio económico del Departamento del Quindío actualizado y dotado</t>
  </si>
  <si>
    <t>Sistemas de información implementados</t>
  </si>
  <si>
    <t>202000363-0045</t>
  </si>
  <si>
    <t xml:space="preserve">  Implementación del Observatorio Económico  de la Administración Departamental del Quindío "TU Y YO SOMOS QUINDIO"</t>
  </si>
  <si>
    <t>Incrementar el  Índice de Gestión y Desempeño de la  Administración Departamental,  a través  de la implementación del  Observatorio Económico, con el objeto de proveer información  para la toma decisiones, facilitar en   seguimiento y monitoreo de dinámicas económicas y sociales del departamento.</t>
  </si>
  <si>
    <t>Banco de Programas y Proyectos del Departamento fortalecido</t>
  </si>
  <si>
    <t>202000363-0046</t>
  </si>
  <si>
    <t>Fortalecimiento del Banco de Programas y Proyectos de la administración departamental  "TÚ Y YO SOMOS QUINDIO"</t>
  </si>
  <si>
    <t>Incrementar el  Índice de Gestión y Desempeño de la  Administración Departamental, a través de  procesos de fortalecimiento del Banco de Programas y Proyectos, con el propósito de generar una mayor inversión social, qué impacte de manera positiva en las problemáticas socioeconómicas de la comunidad quindiana.</t>
  </si>
  <si>
    <t>Índice de Gestión del Modelo Integrado de Planeación y de Gestión MIPG   Departamental (Entes Territoriales Municipales)</t>
  </si>
  <si>
    <t xml:space="preserve">Entes territoriales  con servicio de asistencia técnica de los Instrumentos de Planificación para  el Ordenamiento y la Gestión Territorial departamental. </t>
  </si>
  <si>
    <t>Servicio de asistencia técnica</t>
  </si>
  <si>
    <t>Entes territoriales con procesos de asistencia técnica realizadas.</t>
  </si>
  <si>
    <t>Entidades territoriales asistidas técnicamente</t>
  </si>
  <si>
    <t>202000363-0047</t>
  </si>
  <si>
    <t>Asistencia Técnica  en  Instrumentos de Planificación y gestión  territorial en los  municipios del Departamento del  Quindío.</t>
  </si>
  <si>
    <t>Incrementar en  Índice de Gestión y Desempeño de la  Administración Departamental,  a través de procesos de  asistencia técnica a los entes territoriales Municipales  en Instrumentos de Planificación  y  Gestión Territorial.</t>
  </si>
  <si>
    <t>Entes territoriales con servicio de asistencia  técnica del Modelo Integrado de Planeación y de Gestión MIPG</t>
  </si>
  <si>
    <t>Entes Territoriales con procesos de asistencia técnica realizadas</t>
  </si>
  <si>
    <t>Entes territoriales  con servicio de asistencia técnica en la Medición del Desempeño Municipal</t>
  </si>
  <si>
    <t>Entes Territoriales con procesos de asistencia técnica realizadas.</t>
  </si>
  <si>
    <t xml:space="preserve">Entes territoriales  con servicio de asistencia técnica en el Sistema de Identificación de Potenciales Beneficiarios de Programas Sociales (SISBEN). </t>
  </si>
  <si>
    <t>Entes territoriales con servicio de asistencia técnica en la formulación, preparación, seguimiento y evaluación de las políticas públicas</t>
  </si>
  <si>
    <t xml:space="preserve">Entes territoriales  con servicio de asistencia técnica en Banco de Programas y Proyectos de Inversión Nacional (BPIN).  </t>
  </si>
  <si>
    <t>Servicio de Implementación Sistemas de Gestión</t>
  </si>
  <si>
    <t>Número de Dimensiones y Políticas   de MIPG implementadas</t>
  </si>
  <si>
    <t>202000363-0008</t>
  </si>
  <si>
    <t xml:space="preserve"> Implementación  del Modelo Integrado de Planeación y de Gestión MIPG en la Administración Departamental del   Quindío</t>
  </si>
  <si>
    <t xml:space="preserve"> Aumentar en Índice de Gestión y Desempeño de la Administración Departamental considerando las dimensiones y políticas qué conforman en Modelo Integrado de Gestión y Desempeño </t>
  </si>
  <si>
    <t>307 SECRETARÍA DE HACIENDA</t>
  </si>
  <si>
    <t>Índice de Desempeño Fiscal Administración Departamental</t>
  </si>
  <si>
    <t>Estrategia para el mejoramiento del Índice de Desempeño Fiscal en la Administración Departamental.</t>
  </si>
  <si>
    <t>Estrategia  de fortalecimiento  del Índice de Desempeño  Fiscal implementadas.</t>
  </si>
  <si>
    <t xml:space="preserve">Estrategia para el mejoramiento del Índice de Desempeño Fiscal ejecutada </t>
  </si>
  <si>
    <t>202000363-0048</t>
  </si>
  <si>
    <t>Implementación de estrategias de fortalecimiento del desempeño fiscal de la Administración departamental del Quindío</t>
  </si>
  <si>
    <t>Incrementar en Índice de Desempeño Fiscal de la Administración Departamental, a través de estrategias de autofinanciación de los gastos de funcionamiento, respaldo del servicio y mejoramiento de la deuda,  transferencias de la nación , generación de recursos propios, magnitud de la inversión y capacidad de ahorro, con el propósito de generar una mayor inversión social.</t>
  </si>
  <si>
    <t>Secretaría de Hacienda</t>
  </si>
  <si>
    <t xml:space="preserve">Programa para el cumplimiento de las políticas y prácticas contables para la administración departamental         </t>
  </si>
  <si>
    <t>Servicio de saneamiento fiscal y financiero</t>
  </si>
  <si>
    <t>Programa para el cumplimiento de las políticas y prácticas contables implementado</t>
  </si>
  <si>
    <t>202000363-0049</t>
  </si>
  <si>
    <t xml:space="preserve">Implementación  de  un programa para el cumplimiento de las políticas y prácticas contables de la administración departamental del Quindío.    </t>
  </si>
  <si>
    <t>Incrementar el Índice de Desempeño Fiscal de la Administración Departamental,   a través de la implementación del programa para el cumplimiento de las políticas y prácticas contables para la administración departamental,  encaminado a la  generación de información  veraz, confiable y razonable.</t>
  </si>
  <si>
    <t xml:space="preserve">308 SECRETARÍA DE AGUAS E INFRAESTRUCTURA </t>
  </si>
  <si>
    <t xml:space="preserve">INCLUSIÓN SOCIAL Y EQUIDAD </t>
  </si>
  <si>
    <t>Justicia y del derecho</t>
  </si>
  <si>
    <t>Promoción al acceso a la justicia. "Tú y yo con justicia"</t>
  </si>
  <si>
    <t>Tasa de homicidio por cada 100.000 habitantes
Tasa de hurto a personas  por cada 100.000 habitantes
Tasa de hurto a residencias por cada 100.000 habitantes
Tasa de hurto a comercio por cada 100.000 habitantes
Tasa de violencia intrafamiliar x cada 100.000 habitantes
Tasa  de delitos sexuales x 100.000 habitantes</t>
  </si>
  <si>
    <t>Infraestructura de las Instituciones de Seguridad del Estado con procesos constructivos, mejorados, ampliados, mantenidos, y/o reforzados</t>
  </si>
  <si>
    <t>Servicio de promoción del acceso a la justicia</t>
  </si>
  <si>
    <t>Infraestructura de las Instituciones de Seguridad del Estado construida, mejorada, ampliada, mantenida, y/o reforzada</t>
  </si>
  <si>
    <t xml:space="preserve">Estrategias de acceso a la justicia desarrolladas </t>
  </si>
  <si>
    <t>202000363-0017</t>
  </si>
  <si>
    <t>Mantenimiento de las instituciones públicas y/o de seguridad y  justicia  del Estado en el Departamento Quindío</t>
  </si>
  <si>
    <t>Mantener y/o reforzar  las Instituciones de seguridad del departamento del Quindío, con el propósito de  brindar a la  comunidad mejores condiciones de equidad y justicia.</t>
  </si>
  <si>
    <t xml:space="preserve">Secretaria de Aguas e Infraestructura </t>
  </si>
  <si>
    <t>Salud y protección social</t>
  </si>
  <si>
    <t>Aseguramiento y Prestación integral de servicios de salud "Tú y yo con servicios de salud"</t>
  </si>
  <si>
    <t>Índice Departamental de Competitividad</t>
  </si>
  <si>
    <t xml:space="preserve">Infraestructura hospitalaria con procesos constructivos, mejorados, ampliados, mantenidos, y/o reforzados </t>
  </si>
  <si>
    <t>Hospitales de tercer nivel de atención adecuados</t>
  </si>
  <si>
    <t>Infraestructura hospitalaria con procesos constructivos, mejorados, ampliados, mantenidos, y/o reforzados realizados</t>
  </si>
  <si>
    <t>202000363-0018</t>
  </si>
  <si>
    <t>Mejoramiento de la infraestructura física de las instituciones de salud pública y bienestar social en el  departamento del Quindío</t>
  </si>
  <si>
    <t>Mejorar la infraestructura hospitalaria del Departamento del Quindío, con el propósito de optimización de la prestación del servicio y en acceso incluyente y equitativo a la oferta de servicios del Estado.</t>
  </si>
  <si>
    <t>Educación</t>
  </si>
  <si>
    <t>Calidad, cobertura y fortalecimiento de la educación inicial, prescolar, básica y media." Tú y yo con educación y  calidad"</t>
  </si>
  <si>
    <t>Tasa de cobertura bruta en transición
Tasa de cobertura bruta en educación básica
Tasa de cobertura en educación media
Tasa de deserción escolar intra-anual</t>
  </si>
  <si>
    <t>Infraestructura de Instituciones Educativas con procesos constructivos, mejorados, ampliados, mantenidos y/o reforzados.</t>
  </si>
  <si>
    <t>Infraestructura educativa mantenida</t>
  </si>
  <si>
    <t>Infraestructura de Instituciones Educativas construida, mejorada, ampliada, mantenida, y/o reforzada.</t>
  </si>
  <si>
    <t>Sedes mantenidas</t>
  </si>
  <si>
    <t>202000363-0050</t>
  </si>
  <si>
    <t xml:space="preserve"> Mantenimiento de  la infraestructura  Educativa en el Departamento del Quindío. </t>
  </si>
  <si>
    <t xml:space="preserve"> Mantener de la infraestructura educativa, con el propósito de garantizar  la permanencia y calidad  de la prestación  del servicio educativo en Departamento del Quindío.  </t>
  </si>
  <si>
    <t>Cultura</t>
  </si>
  <si>
    <t>Promoción y acceso efectivo a procesos culturales y artísticos. "Tú y yo somos cultura Quindiana"</t>
  </si>
  <si>
    <t>Tasa de participación en procesos y actividades artísticas y culturales.
Tasa de consumo de sustancias sicoactivas por 100.000 habitantes en el departamento del Quindío.</t>
  </si>
  <si>
    <t>3301068</t>
  </si>
  <si>
    <t>Servicio de mantenimiento de infraestructura cultural</t>
  </si>
  <si>
    <t>330106800</t>
  </si>
  <si>
    <t>Infraestructura cultural intervenida</t>
  </si>
  <si>
    <t>202000363-0051</t>
  </si>
  <si>
    <t xml:space="preserve"> Mantenimiento de la infraestructura cultural en el departamento del Quindío  </t>
  </si>
  <si>
    <t xml:space="preserve"> Realizar mantenimiento de la  infraestructura cultural, para fortalecer los espacios de los artistas y gestores culturales dedicados a la creación, promoción y divulgación de actividades en el Departamento del Quindío.</t>
  </si>
  <si>
    <t>Deporte y recreación</t>
  </si>
  <si>
    <t>Fomento a la recreación, la actividad física y el deporte para desarrollar entornos de convivencia y paz "Tú y yo en la recreación y en deporte"</t>
  </si>
  <si>
    <t>Cobertura de municipios qué participan en programas de recreación, actividad física y deporte social y comunitario en el Departamento del Quindío.
Cobertura de ligas apoyadas en el departamento del Quindío.
Porcentaje de medallería del departamento del Quindío en los Juegos Nacionales.</t>
  </si>
  <si>
    <t xml:space="preserve">Infraestructura  deportiva y/o recreativa con procesos   constructivos ,  mejorados,  ampliados,  mantenidos y/o  reforzados </t>
  </si>
  <si>
    <t>Servicio de mantenimiento a la infraestructura deportiva</t>
  </si>
  <si>
    <t xml:space="preserve">Infraestructura  deportiva y/o recreativa con procesos   constructivos,  mejorados,  ampliados,  mantenidos y/o   reforzados </t>
  </si>
  <si>
    <t>Intervenciones realizadas a infraestructura deportiva</t>
  </si>
  <si>
    <t>202000363-0052</t>
  </si>
  <si>
    <t xml:space="preserve">Mantenimiento, mejoramiento y/o rehabilitación de  obras físicas de infraestructura deportiva y recreativa en el Departamento del Quindío  </t>
  </si>
  <si>
    <t>Mantener, mejorar y/o rehabilitar obras físicas de infraestructura deportiva y recreativa en el Departamento del Quindío con el propósito de generar espacios para la utilización del tiempo libre.</t>
  </si>
  <si>
    <t xml:space="preserve">TERRITORIO, AMBIENTE Y DESARROLLO SOSTENIBLE </t>
  </si>
  <si>
    <t>Transporte</t>
  </si>
  <si>
    <t>Infraestructura red vial regional. "Tú y yo con movilidad vial"</t>
  </si>
  <si>
    <t xml:space="preserve">Índice de competitividad  en el sector de infraestructura vial </t>
  </si>
  <si>
    <t>Infraestructura  en  puentes  con procesos  de construcción, mejoramiento, ampliación, mantenimiento y/o reforzamiento</t>
  </si>
  <si>
    <t>Puente de la red vial secundaria con mantenimiento</t>
  </si>
  <si>
    <t>Infraestructura en puentes construida, mejorada, ampliada, mantenida y/o reforzada</t>
  </si>
  <si>
    <t>Puente de la red secundaria con mantenimiento</t>
  </si>
  <si>
    <t>202000363-0053</t>
  </si>
  <si>
    <t>Mantenimiento, mejoramiento, rehabilitación y/o atención las vías  para  garantizar  la movilidad y competitividad en el departamento del Quindío.</t>
  </si>
  <si>
    <t>Mejorar y mantener la comunicación vehicular entre los municipios del departamento y en sector rural mediante la disposición de una infraestructura vial adecuada, mediante programas de mantenimiento y/o mejoramiento de las vías construidas y sus obras complementarias, garantizando condiciones de eficiencia, seguridad y confort a los usuarios. Para estos efectos se podrá implementar mecanismos de carácter social como “Las Camineras”, qué desde la población local contribuyan al mantenimiento vial.</t>
  </si>
  <si>
    <t>Infraestructura   vial  con procesos  de construcción, mejoramiento, ampliación, mantenimiento y/o  reforzamiento.</t>
  </si>
  <si>
    <t xml:space="preserve">Vía terciaria mejorada </t>
  </si>
  <si>
    <t xml:space="preserve">Infraestructura  vial    construida, mejorada, ampliada,  mantenida, y/o  reforzada </t>
  </si>
  <si>
    <t>Vía terciaria mejorada</t>
  </si>
  <si>
    <t>Estudios y diseños de infraestructura vial</t>
  </si>
  <si>
    <t>Estudios de preinversión para la red vial regional</t>
  </si>
  <si>
    <t>Estudios y diseños de infraestructura vial elaborado.</t>
  </si>
  <si>
    <t>Estudios de preinversión realizados</t>
  </si>
  <si>
    <t>202000363-0054</t>
  </si>
  <si>
    <t xml:space="preserve"> Elaboración estudios y diseños de Infraestructura vial en el Departamento de Quindío </t>
  </si>
  <si>
    <t>Realizar  estudios de pre inversión de infraestructura vial,  con el objeto de gestionar  recursos de inversión   para  la  optimización de la red vial, reducción de costos de operación y  mejoramiento de la calidad de vida se los  habitantes del  departamento del Quindío,</t>
  </si>
  <si>
    <t>Ambiente y desarrollo sostenible</t>
  </si>
  <si>
    <t>Ordenamiento Ambiental Territorial. "Tú y yo planificamos con sentido ambiental"</t>
  </si>
  <si>
    <t xml:space="preserve">Porcentaje de Ecosistemas protegidos y/o en procesos de restauración en el Departamento </t>
  </si>
  <si>
    <t>Obras para estabilización de taludes</t>
  </si>
  <si>
    <t>320501000</t>
  </si>
  <si>
    <t>Obras para estabilización de taludes realizadas</t>
  </si>
  <si>
    <t>202000363-0055</t>
  </si>
  <si>
    <t>Construcción, mantenimiento y/o mejoramiento de obras  de estabilización de Taludes en el Departamento del Quindío</t>
  </si>
  <si>
    <t xml:space="preserve">Construir, mantener y/o mejorar de obras de infraestructura para la  estabilización de taludes qué presenten problemas de deslizamiento, con el propósito de establecer medidas de prevención y control para reducir los niveles de amenaza y riesgo. </t>
  </si>
  <si>
    <t>Cobertura  de municipios del departamento del Quindío  atendidos con estudios y/o construcción de obras   para mitigación y atención a desastres realizadas.</t>
  </si>
  <si>
    <t>Obras de infraestructura para mitigación y atención a desastres</t>
  </si>
  <si>
    <t xml:space="preserve">Obras de infraestructura para mitigación y atención a desastres realizadas </t>
  </si>
  <si>
    <t>202000363-0056</t>
  </si>
  <si>
    <t xml:space="preserve"> Construcción, mantenimiento y/o mejoramiento de obras de infraestructura  para la mitigación y atención de desastres en los municipios del departamento del Quindío </t>
  </si>
  <si>
    <t xml:space="preserve"> Construir, mantener y/o mejorar  obras de infraestructura para la  mitigación y atención de desastres en los municipios del departamento del Quindío, con el propósito de evitar pérdidas de vidas humanas, servicios, infraestructura y económicas, </t>
  </si>
  <si>
    <t>Vivienda, Ciudad y Territorio</t>
  </si>
  <si>
    <t>Acceso a soluciones de vivienda. "Tú y yo con vivienda digna"</t>
  </si>
  <si>
    <t>Déficit cualitativo de viviendas por hogares</t>
  </si>
  <si>
    <t>Viviendas de interés social urbanas mejoradas</t>
  </si>
  <si>
    <t>400101500</t>
  </si>
  <si>
    <t>Viviendas de Interés Social urbanas mejoradas</t>
  </si>
  <si>
    <t>202000363-0057</t>
  </si>
  <si>
    <t xml:space="preserve">Mejoramiento de Vivienda de Interés Social en el Departamento del Quindío </t>
  </si>
  <si>
    <t>Mejoramiento  de  vivienda de interés social VIS, con el propósito de reducir el déficit cualitativo de vivienda en el departamento, permitiendo  mejorar las condiciones de  calidad de vida de los quindianos.</t>
  </si>
  <si>
    <t>Acceso de la población a los servicios de agua potable y saneamiento básico. "Tú y yo con calidad del agua"</t>
  </si>
  <si>
    <t xml:space="preserve">Cobertura de acueducto
Cobertura  de alcantarillado </t>
  </si>
  <si>
    <t xml:space="preserve">Adoptar e implementar la Política Pública de Producción Consumo Sostenible y Gestión Integral de Aseo  </t>
  </si>
  <si>
    <t>Documentos de planeación</t>
  </si>
  <si>
    <t>Política Pública de Producción Consumo Sostenible y Gestión Integral de Aseo  adoptada e implementada.</t>
  </si>
  <si>
    <t>Documentos de planeación elaborados</t>
  </si>
  <si>
    <t>202000363-0014</t>
  </si>
  <si>
    <t xml:space="preserve"> Implementación del plan departamental para el manejo empresarial de los servicios de agua y saneamiento básico en el Departamento del Quindío  </t>
  </si>
  <si>
    <t xml:space="preserve"> Implementar estrategias de Implementar estrategias de planeación y coordinación interinstitucional para el manejo de los esquemas de abastecimiento y prestación de los servicios de agua y saneamiento urbanos y rurales  planeación y coordinación interinstitucional para el manejo de los esquemas de abastecimiento y prestación de los servicios de agua y saneamiento urbanos y rurales </t>
  </si>
  <si>
    <t xml:space="preserve">Cobertura  de alcantarillado </t>
  </si>
  <si>
    <t>Alcantarillados construidos</t>
  </si>
  <si>
    <t>Plantas de tratamiento de aguas residuales  construidas</t>
  </si>
  <si>
    <t>Servicios de apoyo financiero para la ejecución de proyectos de acueductos y alcantarillado</t>
  </si>
  <si>
    <t>Proyectos de acueducto y alcantarillado en área urbana financiados</t>
  </si>
  <si>
    <t>Servicios de educación informal en agua potable y saneamiento básico</t>
  </si>
  <si>
    <t>Eventos de educación informal en agua y saneamiento básico realizados</t>
  </si>
  <si>
    <t>Estudios de pre inversión e inversión</t>
  </si>
  <si>
    <t xml:space="preserve">Estudios o diseños realizados </t>
  </si>
  <si>
    <t>4003026</t>
  </si>
  <si>
    <t>Servicios de apoyo financiero para la ejecución de proyectos de acueductos y de manejo de aguas residuales</t>
  </si>
  <si>
    <t>Proyectos de acueducto y de manejo de aguas residuales en área rural financiados</t>
  </si>
  <si>
    <t>Infraestructura institucional o  de edificios públicos de atención  de servicios ciudadanos con procesos constructivos mejorados,  ampliados,  mantenidos, y/o  reforzados</t>
  </si>
  <si>
    <t>4599016</t>
  </si>
  <si>
    <t>Infraestructura Institucional o edificios públicos construida mejorada, ampliada, mantenida, y/o reforzada</t>
  </si>
  <si>
    <t>202000363-0058</t>
  </si>
  <si>
    <t>Mantener  la  infraestructura institucional o de edificios públicos, con el propósito de propiciar un excelente servicio al ciudadano y bienestar al servidor público, con infraestructura moderna y amigable.</t>
  </si>
  <si>
    <t>Salones comunales adecuados</t>
  </si>
  <si>
    <t xml:space="preserve">Salón comunal adecuado </t>
  </si>
  <si>
    <t>202000363-0059</t>
  </si>
  <si>
    <t xml:space="preserve">Construcción y/o adecuación de casetas comunales en los diferentes barrios del departamento </t>
  </si>
  <si>
    <t>Realizar construcción y/o adecuación de casetas comunales en los diferentes barrios del departamento, qué permitan generar procesos de participación ciudadana y la implementación de buenas prácticas sociales en comunidad.</t>
  </si>
  <si>
    <t xml:space="preserve">309  SECRETARÍA DEL INTERIOR </t>
  </si>
  <si>
    <t>Servicio de asistencia técnica para la articulación de los operadores de los servicio de justicia</t>
  </si>
  <si>
    <t>202000363-0060</t>
  </si>
  <si>
    <t>Disminuir los índice delitos  en el departamento del Quindío a través de procesos de asistencia Técnica y articulación  de acciones  con las Administraciones municipales .</t>
  </si>
  <si>
    <t>Secretario de Interior</t>
  </si>
  <si>
    <t>Promoción de los métodos de resolución de conflictos. "Tú y yo resolvemos los conflictos"</t>
  </si>
  <si>
    <t>Servicio de asistencia técnica para la implementación de los métodos de resolución de conflictos</t>
  </si>
  <si>
    <t>Instituciones públicas y privadas asistidas técnicamente en métodos de resolución de conflictos</t>
  </si>
  <si>
    <t>202000363-0061</t>
  </si>
  <si>
    <t xml:space="preserve">  Implementación de  métodos  para la resolución de conflictos y el  fortalecimiento de la seguridad de los ciudadanos den el Departamento del Quindío  </t>
  </si>
  <si>
    <t>Coordinar con los organismos de seguridad métodos  de intervenciones  transformadoras en zonas de miedo e impunidad</t>
  </si>
  <si>
    <t>Sistema penitenciario y carcelario en el marco de los derechos humanos. "Quindío respeta derechos penitenciarios"</t>
  </si>
  <si>
    <t>Servicio de resocialización de personas privadas de la libertad</t>
  </si>
  <si>
    <t>Personas privadas de la libertad (PPL) que reciben servicio de resocialización</t>
  </si>
  <si>
    <t>202000363-0062</t>
  </si>
  <si>
    <t xml:space="preserve">Implementación de  acciones de apoyo para  la  resocialización de las personas privadas de la libertad  en las Instituciones Penitenciarias  del Departamento  del Quindío. </t>
  </si>
  <si>
    <t xml:space="preserve"> Disminuir los índices de delitos en el departamento del Quindío, a través de la implementación de  acciones de apoyo para  la  resocialización de las personas privadas de la libertad en las Instituciones  Penitenciarios del departamento del Quindío.</t>
  </si>
  <si>
    <t>Calidad, cobertura y fortalecimiento de la educación inicial, prescolar, básica y media." Tú y yo con educación y de calidad"</t>
  </si>
  <si>
    <t>Cobertura de Instituciones Educativas con Planes Escolares de Gestión del Riesgo de Desastres-PEGERD</t>
  </si>
  <si>
    <t>Servicio de gestión de riesgos y desastres en establecimientos educativos</t>
  </si>
  <si>
    <t>Establecimientos educativos con acciones de gestión del riesgo implementadas</t>
  </si>
  <si>
    <t>202000363-0063</t>
  </si>
  <si>
    <t xml:space="preserve"> Implementación  y/o fortalecimiento  de  los planes para la gestión del riesgo y desastres en las Instituciones Educativas Oficiales  del Departamento </t>
  </si>
  <si>
    <t>Aumentar la cobertura de Instituciones Educativas con Planes Escolares de Gestión del Riesgo de Desastres-PEGERD, a través de procesos de acompañamiento  a la  comunidad educativa  en la implementación y fortalecimiento de los mismos.</t>
  </si>
  <si>
    <t xml:space="preserve">Inclusión social y Reconciliación </t>
  </si>
  <si>
    <t>Atención, asistencia y reparación integral a las víctimas. "Tú y yo con reparación integral"</t>
  </si>
  <si>
    <t>Cobertura de la población víctima atendida con procesos de atención, prevención y asistencia humanitaria</t>
  </si>
  <si>
    <t>Servicio de orientación y comunicación a las víctimas</t>
  </si>
  <si>
    <t>Solicitudes tramitadas</t>
  </si>
  <si>
    <t>202000363-0064</t>
  </si>
  <si>
    <t xml:space="preserve">Asistencia técnica, garantías, atención, ayuda humanitaria y promoción de iniciativas de memoria histórica a la población víctima del conflicto armado en el Departamento del Quindío </t>
  </si>
  <si>
    <t>Aumentar la cobertura en los procesos de atención, prevención, asistencia humanitaria,  líneas de emprendimiento,  fortalecimiento a proyectos productivos   y promoción  de iniciativas de la  memoria histórica qué beneficien  la población víctima del conflicto armado del Departamento del Quindío</t>
  </si>
  <si>
    <t>Servicio de ayuda y atención humanitaria</t>
  </si>
  <si>
    <t>Personas víctimas con ayuda humanitaria</t>
  </si>
  <si>
    <t>Servicio de asistencia técnica para la participación de las víctimas</t>
  </si>
  <si>
    <t>Eventos de participación realizados</t>
  </si>
  <si>
    <t>Cobertura de víctimas atendidas con la línea de emprendimiento y fortalecimiento.</t>
  </si>
  <si>
    <t>Servicio de apoyo para la generación de ingresos</t>
  </si>
  <si>
    <t>Hogares con asistencia técnica para la generación de ingresos</t>
  </si>
  <si>
    <t>Cobertura de Personas víctimas del conflicto beneficiadas con medidas de satisfacción (Construcción de memoria, Reparación simbólica y Construcción de lugares de memoria)</t>
  </si>
  <si>
    <t>Servicio de asistencia técnica para la realización de iniciativas de memoria histórica</t>
  </si>
  <si>
    <t>Iniciativas de memoria histórica asistidas técnicamente</t>
  </si>
  <si>
    <t>Inclusión social y productiva para la población en situación de vulnerabilidad. "Tú y yo, población vulnerable incluida"</t>
  </si>
  <si>
    <t>Cobertura de la población excombatiente atendida con procesos de atención y asistencia humanitaria</t>
  </si>
  <si>
    <t>Servicio de atención y asistencia para la población excombatiente del Departamento del Quindío</t>
  </si>
  <si>
    <t>Servicio de gestión de oferta social para la población vulnerable</t>
  </si>
  <si>
    <t>Población excombatiente beneficiada</t>
  </si>
  <si>
    <t>Beneficiarios de la oferta social atendidos</t>
  </si>
  <si>
    <t>202000363-0065</t>
  </si>
  <si>
    <t xml:space="preserve">Asistencia, atención y capacitación  a la población  excombatiente en el  Departamento del Quindío. </t>
  </si>
  <si>
    <t xml:space="preserve"> Aumentar la cobertura de la población excombatiente atendida con procesos de atención y asistencia en el departamento del Quindío. </t>
  </si>
  <si>
    <t>Fortalecimiento de la convivencia y la seguridad ciudadana. "Tú y yo seguros"</t>
  </si>
  <si>
    <t>Fortalecimiento institucional a organismos de seguridad</t>
  </si>
  <si>
    <t xml:space="preserve">Servicio de apoyo financiero para proyectos de convivencia y seguridad ciudadana </t>
  </si>
  <si>
    <t>Organismos de seguridad fortalecidos</t>
  </si>
  <si>
    <t>Proyectos de convivencia y seguridad ciudadana apoyados financieramente</t>
  </si>
  <si>
    <t>202000363-0066</t>
  </si>
  <si>
    <t xml:space="preserve"> Fortalecimiento de los organismos de seguridad del Departamento del Quindío,  para mejorar la convivencia, preservación del orden público y la seguridad ciudadana. </t>
  </si>
  <si>
    <t xml:space="preserve"> Disminuir los índices  de delitos en el departamento del Quindío, a través de fortalecimiento de los organismos de seguridad, para el mejoramiento de la   convivencia, preservación del orden público y la seguridad ciudadana. </t>
  </si>
  <si>
    <t>Instancias territoriales asistidas técnicamente</t>
  </si>
  <si>
    <t>202000363-0068</t>
  </si>
  <si>
    <t xml:space="preserve"> Disminuir los índices de violencia intrafamiliar   a través de la implementación de acciones y gestiones para impulsar y adoptar políticas y planes qué promuevan la paz, la reconciliación, la legalidad y la convivencia en el territorio.  </t>
  </si>
  <si>
    <t>Cobertura  de municipios del departamento del Quindío  atendidos con estudios y/o construcción de obras para mitigación y atención a desastres realizadas.</t>
  </si>
  <si>
    <t>Documentos de estudios técnicos para el ordenamiento ambiental territorial</t>
  </si>
  <si>
    <t>Documentos de estudios técnicos para el conocimiento y reducción del riesgo de desastres elaborados</t>
  </si>
  <si>
    <t>202000363-0069</t>
  </si>
  <si>
    <t>Fortalecimiento de los procesos de planificación del territorio para el conocimiento  y reducción del riesgo en el Departamento del Quindío.</t>
  </si>
  <si>
    <t>Aumentar la cobertura  de municipios del departamento del Quindío  atendidos con estudios   para mitigación y atención a desastres en la   planificación del  territorio  y priorización  de  acciones de intervención.</t>
  </si>
  <si>
    <t>Cobertura de   personas capacitadas en Gestión del Riesgo de Desastres  en el Departamento del Quindío, bajo en marco de Ciudades resilientes</t>
  </si>
  <si>
    <t>Servicio de educación informal</t>
  </si>
  <si>
    <t>Personas capacitadas</t>
  </si>
  <si>
    <t>202000363-0070</t>
  </si>
  <si>
    <t>Fortalecimiento de la gestión del Riesgo mediante los procesos de conocimiento, reducción del riesgo y manejo de desastres, en el Departamento del Quindío</t>
  </si>
  <si>
    <t xml:space="preserve">Aumentar cobertura de atención del Sistema Departamental de Gestión del Riesgo de Desastres del Departamento del Quindío,  a través del fortalecimiento  de los procesos de conocimiento, reducción del riesgo y manejo de desastres, con el propósito de contribuir a la seguridad, bienestar y calidad de vida de las personas. </t>
  </si>
  <si>
    <t>Cobertura de atención  del Sistema Departamental de Gestión del Riesgo de Desastres del Quindío.</t>
  </si>
  <si>
    <t>Instancias territoriales asistidas</t>
  </si>
  <si>
    <t>Servicio de atención a emergencias y desastres</t>
  </si>
  <si>
    <t>Servicio de fortalecimiento a las salas de crisis territorial</t>
  </si>
  <si>
    <t>Centro de reserva  para la atención a emergencias y desastres dotado</t>
  </si>
  <si>
    <t>Organismos de atención de emergencias fortalecidos</t>
  </si>
  <si>
    <t>Cobertura de asistencia a los municipios del departamento del Quindío en los procesos de la garantía y prevención de derechos humanos.</t>
  </si>
  <si>
    <t>Servicio de apoyo para la implementación de medidas en derechos humanos y derecho internacional humanitario</t>
  </si>
  <si>
    <t>Medidas implementadas en cumplimiento de las obligaciones internacionales en materia de Derechos Humanos y Derecho Internacional Humanitario</t>
  </si>
  <si>
    <t>202000363-0067</t>
  </si>
  <si>
    <t xml:space="preserve"> Implementación del Plan Integral de prevención de vulneraciones de los Derechos Humanos DDHH e infracciones  al Derecho Internacional Humanitario DIH en el Departamento del Quindío </t>
  </si>
  <si>
    <t>Aumentar la cobertura de asistencia a los municipios del departamento del Quindío en los procesos de la garantía y prevención de derechos humanos a través de la actualización, implementación y socialización en Plan Integral para la prevención a la vulneración de los DDHH.</t>
  </si>
  <si>
    <t>Iniciativas para la promoción de la participación ciudadana implementada.</t>
  </si>
  <si>
    <t>202000363-0071</t>
  </si>
  <si>
    <t xml:space="preserve"> Fortalecimiento de la participación ciudadana, veedurías y organizaciones comunales para el cumplimiento, protección y restablecimiento de los derechos contemplados en la Constitución Política.    </t>
  </si>
  <si>
    <t xml:space="preserve">Aumentar la participación de ciudadanos en los eventos de elección popular, a través del  fortalecimiento, difusión, promoción y gestión  de la participación ciudadana, en control social, las veedurías, los procesos de elección democrática, organizaciones comunales, libertad religiosa y de cultos. </t>
  </si>
  <si>
    <t>Implementar la Política de Libertad Religiosa</t>
  </si>
  <si>
    <t>Política de Libertad Religiosa Implementado</t>
  </si>
  <si>
    <t>Estrategia de acompañamiento sobre capacidades democráticas y organizativas  implementada</t>
  </si>
  <si>
    <t>Fortalecimiento de los organismos  de acción comunal (OAC)  de los doce municipios del Departamento en lo relacionado a sus procesos formativos, participativos, de organización y  gestión.</t>
  </si>
  <si>
    <t xml:space="preserve">Iniciativas organizativas de participación ciudadana promovidas </t>
  </si>
  <si>
    <t xml:space="preserve">Formulación de la  Política Pública Departamental para la  Acción Comunal </t>
  </si>
  <si>
    <t xml:space="preserve">Documentos de planeación </t>
  </si>
  <si>
    <t>Una Política Pública formulada.</t>
  </si>
  <si>
    <t xml:space="preserve">Planes estratégicos elaborados </t>
  </si>
  <si>
    <t xml:space="preserve">310 SECRETARÍA DE CULTURA </t>
  </si>
  <si>
    <t>.Cobertura en formación artística y cultural
.Tasa de consumo de sustancias sicoactivas por 100.000 habitantes en el departamento del Quindío.</t>
  </si>
  <si>
    <t>Servicio de educación informal en áreas artísticas y culturales</t>
  </si>
  <si>
    <t>202000363-0021</t>
  </si>
  <si>
    <t xml:space="preserve">Implementación de la "Ruta de la felicidad y la identidad quindiana", para el fortalecimiento y visibilización de los procesos artísticos y culturales en el Departamento del Quindío  </t>
  </si>
  <si>
    <t>Fortalecer en sector cultural del departamento del Quindío incrementando las   tasas de  participación en formación y actividades  artísticos culturales, a través de la implementación de la " Ruta de  la felicidad e  identidad  quindiana en  los municipios",    con la consiguiente disminución de las tasas de consumo de sustancias psicoactivas.</t>
  </si>
  <si>
    <t xml:space="preserve">Secretaría de Cultura </t>
  </si>
  <si>
    <t>Servicio de circulación artística y cultural</t>
  </si>
  <si>
    <t>Producciones artísticas en circulación</t>
  </si>
  <si>
    <t>.Tasa de cumplimiento al Plan de Biocultura en patrimonio y del PCC.
.Tasa de consumo de sustancias sicoactivas por 100.000 habitantes en el departamento del Quindío.</t>
  </si>
  <si>
    <t>Formulación e implementación del Plan de Cultura</t>
  </si>
  <si>
    <t xml:space="preserve">Documentos de lineamientos técnicos </t>
  </si>
  <si>
    <t>Plan Decenal de cultura formulado e implementado</t>
  </si>
  <si>
    <t>Servicio de educación formal al sector artístico y cultural</t>
  </si>
  <si>
    <t>Cupos de educación formal ofertados</t>
  </si>
  <si>
    <t>Tasa de lectura
Tasa de consumo de sustancias sicoactivas por 100.000 habitantes en el departamento del Quindío.</t>
  </si>
  <si>
    <t>Servicios bibliotecarios</t>
  </si>
  <si>
    <t>330108500</t>
  </si>
  <si>
    <t>Usuarios atendidos</t>
  </si>
  <si>
    <t>202000363-0020</t>
  </si>
  <si>
    <t xml:space="preserve">Implementación del programa "Tú y Yo Somos Cultura", para el fortalecimiento a la lectura,  escritura  y bibliotecas en el Departamento del Quindío   </t>
  </si>
  <si>
    <t xml:space="preserve">Incrementar la tasa de lectura  en el departamento del Quindío, a través del fortalecimiento del Plan Departamental de Lectura y Bibliotecas, con procesos de formación, producción y circulación de contenidos literarios con el fin de lograr  mayor acceso de las población a los servicios bibliotecarios físicos y virtuales..    </t>
  </si>
  <si>
    <t>Servicio de divulgación y publicaciones</t>
  </si>
  <si>
    <t>330110000</t>
  </si>
  <si>
    <t>Publicaciones realizadas</t>
  </si>
  <si>
    <t>Servicio de asistencia técnica en gestión artística y cultural</t>
  </si>
  <si>
    <t>330109500</t>
  </si>
  <si>
    <t>Personas asistidas técnicamente</t>
  </si>
  <si>
    <t>202000363-0072</t>
  </si>
  <si>
    <t xml:space="preserve"> Apoyo artistas y gestores culturales  del departamento del Quindío con el  beneficio de la Seguridad Social.  </t>
  </si>
  <si>
    <t xml:space="preserve">Aumentar la tasa de participación en procesos y actividades artísticas y culturales de los artistas y gestores del departamento del Quindío con la  implementación de los beneficios de la seguridad Social.  </t>
  </si>
  <si>
    <t>Gestión, protección y salvaguardia del patrimonio cultural colombiano. "Tú y yo protectores del patrimonio cultural"</t>
  </si>
  <si>
    <t>Tasa de cumplimiento al Plan de Biocultura en patrimonio y del PCC.
Tasa de consumo de sustancias sicoactivas por 100.000 habitantes en el departamento del Quindío.</t>
  </si>
  <si>
    <t>Servicio de asistencia técnica en el manejo y gestión del patrimonio arqueológico, antropológico e histórico.</t>
  </si>
  <si>
    <t>330204200</t>
  </si>
  <si>
    <t xml:space="preserve">Asistencias técnicas realizadas a entidades territoriales </t>
  </si>
  <si>
    <t>202000363-0073</t>
  </si>
  <si>
    <t xml:space="preserve"> Apoyo al Paisaje, Café y Tradición mediante procesos de manejo, gestión, asistencia técnica, divulgación y publicación del patrimonio, arqueológico, antropológico e histórico en el Departamento del Quindío </t>
  </si>
  <si>
    <t>Aumentar la tasa de cumplimiento del  Plan de Biocultura en patrimonio y PCC,   a través de la implementación del programa de asistencia técnica en el manejo y gestión del patrimonio arqueológico, antropológico e histórico, qué permita  la apropiación, divulgación y publicación del Patrimonio cultural y del Paisaje Cultural Cafetero</t>
  </si>
  <si>
    <t>Servicio de divulgación y publicación del Patrimonio cultural</t>
  </si>
  <si>
    <t>330207000</t>
  </si>
  <si>
    <t xml:space="preserve">311 SECRETARÍA DE TURISMO INDUSTRIA Y COMERCIO </t>
  </si>
  <si>
    <t>PRODUCTIVIDAD Y COMPETITIVIDAD</t>
  </si>
  <si>
    <t>Comercio, Industria y Turismo</t>
  </si>
  <si>
    <t xml:space="preserve">Productividad y competitividad de las empresas colombianas. "Tú y yo con empresas competitivas" </t>
  </si>
  <si>
    <t>Índice Departamental de Competitividad
Tasa de desempleo</t>
  </si>
  <si>
    <t>Servicio de apoyo y consolidación de las Comisiones Regionales de Competitividad - CRC</t>
  </si>
  <si>
    <t>350200600</t>
  </si>
  <si>
    <t xml:space="preserve">Planes de trabajo concertados con las CRC para su consolidación </t>
  </si>
  <si>
    <t>202000363-0074</t>
  </si>
  <si>
    <t xml:space="preserve">Fortalecimiento de la competitividad y productividad en el  departamento del Quindío </t>
  </si>
  <si>
    <t>Incrementar en índice de competitividad en el Departamento del Quindío, a través  de la consolidación de la Comisión Regional de Competitividad e Innovación y en apoyo a  las iniciativas clúster,  vinculando en sector público,  privado y la academia.</t>
  </si>
  <si>
    <t>Secretaría de Turismo, Industria y Comercio</t>
  </si>
  <si>
    <t>Servicio de asistencia técnica para el desarrollo de iniciativas Clústeres</t>
  </si>
  <si>
    <t>350200700</t>
  </si>
  <si>
    <t>Clústeres asistidos en la implementación de los planes de acción</t>
  </si>
  <si>
    <t>350202200</t>
  </si>
  <si>
    <t>Empresas asistidas técnicamente</t>
  </si>
  <si>
    <t>202000363-0075</t>
  </si>
  <si>
    <t xml:space="preserve"> Fortalecimiento del sector empresarial  para el acceso a nuevos mercados en el departamento del Quindío</t>
  </si>
  <si>
    <t>Incrementar en índice de competitividad en el Departamento del Quindío,  a través de fortalecimiento del sector empresarial,  con el propósito de incrementar la competitividad para  en  acceso a nuevos mercados locales e internacionales.</t>
  </si>
  <si>
    <t>350204700</t>
  </si>
  <si>
    <t>0.7</t>
  </si>
  <si>
    <t>Índice Departamental de Competitividad Turística
Tasa de desempleo</t>
  </si>
  <si>
    <t>Servicio de asistencia técnica a los entes territoriales para el desarrollo turístico</t>
  </si>
  <si>
    <t>350203900</t>
  </si>
  <si>
    <t>202000363-0076</t>
  </si>
  <si>
    <t xml:space="preserve"> Mejoramiento de la competitividad del  departamento como destino turístico  sostenible y de calidad .</t>
  </si>
  <si>
    <t>Incrementar en índice de competitividad   turística en el Departamento del Quindío, a  través de la Formulación e implementación  del Plan Estratégico de Turismo, de procesos de asistencia técnica y apoyo a los municipios  en la certificación  de las  normas técnicas sectoriales de turismo,  con el propósito de ofrecer  un destino turístico sostenible,  competitivo y de calidad a nivel nacional e internacional.</t>
  </si>
  <si>
    <t>Proyectos de infraestructura turística apoyados</t>
  </si>
  <si>
    <t>Servicio de promoción turística</t>
  </si>
  <si>
    <t>350204600</t>
  </si>
  <si>
    <t>Campañas realizadas</t>
  </si>
  <si>
    <t>202000363-0077</t>
  </si>
  <si>
    <t xml:space="preserve"> Fortalecimiento de la promoción turística del destino Quindío a nivel  nacional e internacional </t>
  </si>
  <si>
    <t>Incrementar en índice de competitividad   turística,  a través de la promoción del departamento como destino turístico y en  fortalecimiento de las  Agencias de Inversión   con la articulación de  instituciones,  gremios y demás actores del sector.</t>
  </si>
  <si>
    <t>Trabajo</t>
  </si>
  <si>
    <t>Generación y formalización del empleo. "Tú y yo con empleo de calidad"</t>
  </si>
  <si>
    <t>Servicios de apoyo financiero para la creación de empresas</t>
  </si>
  <si>
    <t>360201800</t>
  </si>
  <si>
    <t>Planes de negocio financiados</t>
  </si>
  <si>
    <t>202000363-0078</t>
  </si>
  <si>
    <t>Apoyo a la generación y formalización del empleo en el departamento del Quindío</t>
  </si>
  <si>
    <t>Incrementar en índice de competitividad  en el departamento del Quindío a través de la  formalización laboral y  generación de empleo con la  implementación  y promoción  del Ecosistemas de Emprendimientos  y la articulación con las entidades del sector trabajo.</t>
  </si>
  <si>
    <t>Servicio de asesoría técnica para el emprendimiento.</t>
  </si>
  <si>
    <t>360203201</t>
  </si>
  <si>
    <t>Emprendimientos fortalecidos</t>
  </si>
  <si>
    <t>Servicio de asistencia técnica para la generación y formalización del empleo</t>
  </si>
  <si>
    <t>360202904</t>
  </si>
  <si>
    <t>Talleres de oferta institucional realizados</t>
  </si>
  <si>
    <t>Servicio de información y monitoreo del mercado de trabajo</t>
  </si>
  <si>
    <t>360203000</t>
  </si>
  <si>
    <t>Reportes realizados</t>
  </si>
  <si>
    <t xml:space="preserve">312 SECRETARÍA DE AGRICULTURA, DESARROLLO RURAL Y MEDIO AMBIENTE </t>
  </si>
  <si>
    <t>Agricultura y desarrollo rural</t>
  </si>
  <si>
    <t>Inclusión productiva de pequeños productores rurales. "Tú y yo con oportunidades para el pequeño campesino"</t>
  </si>
  <si>
    <t>Crecimiento económico del sector agropecuario (PIB)</t>
  </si>
  <si>
    <t>Servicio de asesoría para el fortalecimiento de la asociatividad</t>
  </si>
  <si>
    <t>170201100</t>
  </si>
  <si>
    <t>Asociaciones fortalecidas</t>
  </si>
  <si>
    <t>202000363-0079</t>
  </si>
  <si>
    <t xml:space="preserve">Fortalecimiento e implementación de procesos de asociatividad y emprendimiento rural en el Departamento del Quindío.  </t>
  </si>
  <si>
    <t>Aumentar en crecimiento económico del sector agropecuario (PIB), a través del  fortalecimiento de las organizaciones de  productores, mediante acciones de capacitación, acompañamiento, asesoría y seguimiento,  para el fomento de la cultura de la asociatividad.</t>
  </si>
  <si>
    <t xml:space="preserve">Secretaria de Agricultura, Desarrollo Rural y Medio Ambiente </t>
  </si>
  <si>
    <t>Julio César Cortés Pulido</t>
  </si>
  <si>
    <t>Servicio de apoyo financiero para proyectos productivos</t>
  </si>
  <si>
    <t>170200700</t>
  </si>
  <si>
    <t>Proyectos productivos cofinanciados</t>
  </si>
  <si>
    <t>Servicio de apoyo financiero para el acceso a activos productivos y de comercialización</t>
  </si>
  <si>
    <t>170200900</t>
  </si>
  <si>
    <t>Productores apoyados con activos productivos y de comercialización</t>
  </si>
  <si>
    <t>Servicio de apoyo para el fomento organizativo de la agricultura campesina, familiar y comunitaria</t>
  </si>
  <si>
    <t>170201700</t>
  </si>
  <si>
    <t>Productores agropecuarios apoyados</t>
  </si>
  <si>
    <t>202000363-0023</t>
  </si>
  <si>
    <t xml:space="preserve"> Implementación de procesos productivos agropecuarios familiares campesinos en busca de la soberanía y seguridad alimentaria en el Departamento del Quindío </t>
  </si>
  <si>
    <t>Aumentar en crecimiento económico del sector agropecuario (PIB), a través  del  acompañamiento técnico a los productores en la producción primaria ( Transferencia  de  Tecnología, financiación, Insumos, reconversión productiva, seguridad,  soberanía alimentaria, normalización de la  calidad  de  los  productos e  infraestructura  productiva  y  de  servicios),  con el propósito de consolidar en liderazgo  empresarial, la  asociatividad,  las  alianzas  estratégicas,  las  cadenas productivas y la cooperación  técnica.</t>
  </si>
  <si>
    <t>Servicio de apoyo para el acceso a maquinaria y equipos</t>
  </si>
  <si>
    <t>170201400</t>
  </si>
  <si>
    <t>Productores beneficiados con acceso a maquinaria y equipo</t>
  </si>
  <si>
    <t>Servicio de acompañamiento productivo y empresarial</t>
  </si>
  <si>
    <t>170202100</t>
  </si>
  <si>
    <t>Unidades productivas beneficiadas</t>
  </si>
  <si>
    <t>Servicio de apoyo a la comercialización</t>
  </si>
  <si>
    <t>170203800</t>
  </si>
  <si>
    <t>Organizaciones de productores formales apoyadas</t>
  </si>
  <si>
    <t>202000363-0080</t>
  </si>
  <si>
    <t xml:space="preserve"> Fortalecimiento e implementación  de procesos de mercadeo y comercialización agropecuaria  en el Departamento del Quindío.                </t>
  </si>
  <si>
    <t>Aumentar en crecimiento económico del sector agropecuario (PIB), a través de la Formulación  e implementación de  programas y proyectos  integrales sostenibles,  mejoramiento de la  gestión de la calidad,   desarrollo de nuevos productos, inteligencia de mercados, estrategias de mercadeo y comercialización, sistemas de información, infraestructura y equipamiento.</t>
  </si>
  <si>
    <t>170203801</t>
  </si>
  <si>
    <t>Productores apoyados para la participación en mercados campesinos</t>
  </si>
  <si>
    <t>170202301</t>
  </si>
  <si>
    <t>Planes de Desarrollo Agropecuario y Rural elaborados</t>
  </si>
  <si>
    <t>202000363-0022</t>
  </si>
  <si>
    <t>Implementación de procesos de extensión agropecuaria e inocuidad (estatus sanitario, BPA, BPG) alimentaria; en el Departamento del Quindío</t>
  </si>
  <si>
    <t>Aumentar en crecimiento económico del sector agropecuario (PIB),  a través del desarrollo de  lineamientos para el fortalecimiento de habilidades, competencias técnicas, humanas,  financieras y estratégicas de los productores, para fortalecer la competitividad y sostenibilidad territorial del sector agropecuario.</t>
  </si>
  <si>
    <t>Servicios de acompañamiento en la implementación de planes de desarrollo agropecuario y rural</t>
  </si>
  <si>
    <t>170202400</t>
  </si>
  <si>
    <t>Planes de Desarrollo Agropecuario y Rural acompañados</t>
  </si>
  <si>
    <t>Servicio de apoyo en la formulación y estructuración de proyectos</t>
  </si>
  <si>
    <t>170202500</t>
  </si>
  <si>
    <t>Proyectos estructurados</t>
  </si>
  <si>
    <t>202000363-0081</t>
  </si>
  <si>
    <t xml:space="preserve"> Servicio de apoyo en la formulación y estructuración de proyectos de Desarrollo Rural e inclusión productiva  campesina en el Departamento del Quindío  </t>
  </si>
  <si>
    <t>Aumentar en crecimiento económico del sector agropecuario (PIB),  a través de la Formulación  e implementación de  programas y proyectos qué permitan  en ajuste, fortalecimiento  y la  articulación  interinstitucional  pública, privada y académica, en cuanto a la  operativización de las competencias de investigación, educación,  extensión  y  asistencia  técnica  agropecuaria sostenible.</t>
  </si>
  <si>
    <t>Servicios financieros y gestión del riesgo para las actividades agropecuarias y rurales. "Tú y yo con un campo protegido"</t>
  </si>
  <si>
    <t>Servicio de apoyo a la implementación de mecanismos y herramientas para el conocimiento, reducción y manejo de riesgos agropecuarios</t>
  </si>
  <si>
    <t>170301300</t>
  </si>
  <si>
    <t>Personas beneficiadas</t>
  </si>
  <si>
    <t>202000363-0082</t>
  </si>
  <si>
    <t xml:space="preserve"> Apoyo a la Implementación de procesos para la prevención y mitigación de riesgos naturales del sector agropecuario en el Departamento del Quindío.  </t>
  </si>
  <si>
    <t>Aumentar en crecimiento económico del sector agropecuario (PIB), a través  del acompañamiento técnico, económico a los productores en la prevención y mitigación de riesgos naturales , gestionando en desarrollo y fortalecimiento de capacidades y habilidades técnicas, mediante transferencia de innovaciones tecnológicas y provisión de bienes y servicios.</t>
  </si>
  <si>
    <t>Ordenamiento social y uso productivo del territorio rural. "Tú y yo con un campo planificado"</t>
  </si>
  <si>
    <t>170400203</t>
  </si>
  <si>
    <t>Documentos de lineamientos para el ordenamiento social y productivo elaborados</t>
  </si>
  <si>
    <t>202000363-0025</t>
  </si>
  <si>
    <t>Implementación de procesos de ordenamiento productivo y social territorial en el Departamento del Quindío</t>
  </si>
  <si>
    <t>Aumentar en crecimiento económico del sector agropecuario (PIB), a través de la formulación  e implementación  de programas y proyectos agropecuarios, sostenibles, de reconversión productiva, para ajustar en uso de la tierra acorde con su aptitud, aunando esfuerzos para mejorar la formalización de la propiedad rural, siguiendo los lineamientos del Plan de Ordenamiento Productivo y Social de la Propiedad Rural (POPSPR).</t>
  </si>
  <si>
    <t>Servicio de apoyo para el fomento de la formalidad</t>
  </si>
  <si>
    <t>170401700</t>
  </si>
  <si>
    <t xml:space="preserve">Personas sensibilizadas en la formalización </t>
  </si>
  <si>
    <t>Aprovechamiento de mercados externos. "Tú y yo a los mercados internacionales"</t>
  </si>
  <si>
    <t>Servicio de apoyo financiero para la participación en ferias nacionales e internacionales</t>
  </si>
  <si>
    <t>170600400</t>
  </si>
  <si>
    <t>Participaciones en ferias nacionales e internacionales</t>
  </si>
  <si>
    <t>202000363-0083</t>
  </si>
  <si>
    <t xml:space="preserve"> Fortalecimiento de eventos y  ferias para la competitividad productiva y empresarial del sector rural en el Departamento del Quindío </t>
  </si>
  <si>
    <t xml:space="preserve"> Aumentar en crecimiento económico del sector agropecuario (PIB),  a través del comercio interior  y exterior, inteligencia de mercados,  sistemas de información, acompañamiento  y  financiación  en mercadeo y  comercialización.</t>
  </si>
  <si>
    <t>Sanidad agropecuaria e inocuidad agroalimentaria. "Tú y yo con un agro saludable"</t>
  </si>
  <si>
    <t>Servicio de divulgación y socialización</t>
  </si>
  <si>
    <t>170706900</t>
  </si>
  <si>
    <t>Eventos realizados</t>
  </si>
  <si>
    <t>202000363-0084</t>
  </si>
  <si>
    <t xml:space="preserve"> Implementación de procesos de  sanidad e inocuidad alimentaria en el departamento del Quindío. </t>
  </si>
  <si>
    <t xml:space="preserve"> Aumentar en crecimiento económico del sector agropecuario (PIB),   a través de la   coordinación interinstitucional en investigación, transferencia y adopción de  tecnologías,   qué  permitan   proyectar  la  educación,  la  ciencia, la   tecnología  y   la  innovación, como  potenciales    de   desarrollo,    basados  en  la  vocación  y  ventajas  comparativas  de  la  región.</t>
  </si>
  <si>
    <t>Ciencia, tecnología e innovación agropecuaria. "Tú y yo con un agro interconectado"</t>
  </si>
  <si>
    <t>170801600</t>
  </si>
  <si>
    <t>Documentos de lineamientos técnicos elaborados</t>
  </si>
  <si>
    <t>202000363-0026</t>
  </si>
  <si>
    <t xml:space="preserve"> Implementación de procesos de innovación, ciencia y tecnología agropecuario en el Departamento del Quindío  </t>
  </si>
  <si>
    <t xml:space="preserve"> Aumentar en crecimiento económico del sector agropecuario (PIB), a través de la coordinación interinstitucional en investigación, transferencia y adopción de tecnologías, qué permitan proyectar la educación, la ciencia, la tecnología  y   la  innovación, como  potenciales de desarrollo, basados en la vocación y ventajas  comparativas  de  la  región, mediante la implementación de  sistemas de información y  metodologías del SNCCTI y SNIA, en el marco de la adopción e implementación de las Agendas de Competitividad, PEDCTI,  PECTIA, POPSPR y PDEA, entre otras.</t>
  </si>
  <si>
    <t>Servicio de información actualizado</t>
  </si>
  <si>
    <t>170805100</t>
  </si>
  <si>
    <t>Sistemas de información actualizados</t>
  </si>
  <si>
    <t>Infraestructura productiva y comercialización. "Tú y yo con agro competitivo"</t>
  </si>
  <si>
    <t>Centros logísticos agropecuarios adecuados</t>
  </si>
  <si>
    <t>202000363-0024</t>
  </si>
  <si>
    <t xml:space="preserve"> Implementación de procesos de agro industrialización con calidad e inocuidad en el Departamento del Quindío </t>
  </si>
  <si>
    <t xml:space="preserve"> Aumentar en crecimiento económico del sector agropecuario (PIB), a través del   fortalecimiento  y la  articulación  interinstitucional  pública, privada y académica, en cuanto a la  operativización de las competencias de investigación, educación,  extensión  y  asistencia  técnica agroindustrial, así  como  en  fomento  al  crédito, a la  infraestructura  productiva y en mejoramiento  continuo   de  la  calidad  de  vida  de  los  empresarios rurales.</t>
  </si>
  <si>
    <t>Infraestructura de pos cosecha adecuada</t>
  </si>
  <si>
    <t>170903400</t>
  </si>
  <si>
    <t>Servicio de procesamiento de caña panelera</t>
  </si>
  <si>
    <t>170909300</t>
  </si>
  <si>
    <t>Trapiches paneleros con servicio de procesamiento de caña.</t>
  </si>
  <si>
    <t>Crecimiento económico del sector agropecuario (PIB)
Tasa desempleo</t>
  </si>
  <si>
    <t>Servicio de asistencia técnica para emprendedores y/o empresas en edad temprana</t>
  </si>
  <si>
    <t>350201701</t>
  </si>
  <si>
    <t xml:space="preserve">Necesidades empresariales atendidas a partir de emprendimientos </t>
  </si>
  <si>
    <t>202000363-0085</t>
  </si>
  <si>
    <t xml:space="preserve"> Fortalecimiento  de nuevos emprendimientos e iniciativas clúster de las cadenas promisorias agropecuarias en el Departamento del Quindío.                     </t>
  </si>
  <si>
    <t xml:space="preserve"> Aumentar en crecimiento económico del sector agropecuario (PIB),  a través de acciones de capacitación, acompañamiento, asesoría, y seguimiento en competencias administrativas, organizacionales, mercados, extensión, planes de negocio y coordinación interinstitucional para el fomento de la cultura de asociatividad mediante alianzas Clúster</t>
  </si>
  <si>
    <t>Servicio de asistencia técnica para el desarrollo de iniciativas clústeres</t>
  </si>
  <si>
    <t>3201</t>
  </si>
  <si>
    <t>Fortalecimiento del desempeño ambiental de los sectores productivos. "Tú y yo guardianes de la biodiversidad.</t>
  </si>
  <si>
    <t>Documentos de lineamientos técnicos para mejorar la calidad ambiental de las áreas urbanas</t>
  </si>
  <si>
    <t>320101300</t>
  </si>
  <si>
    <t>Documentos de lineamientos técnicos para  mejorar la calidad ambiental de las áreas urbanas elaborados</t>
  </si>
  <si>
    <t>202000363-0027</t>
  </si>
  <si>
    <t xml:space="preserve">Fortalecimiento  de los procesos de Gestión Ambiental Urbana y Rural para la protección del Paisaje y la Biodiversidad en el  departamento del   Quindío  </t>
  </si>
  <si>
    <t>Incrementar en porcentaje de ecosistemas protegidos y/o en procesos de restauración en el Departamento, a través del apoyo a los entes territoriales en la generación de lineamientos técnicos qué permitan mejorar la gestión y manejo de los relictos boscosos, los humedales y la silvicultura en áreas urbanas mejorando la calidad ambiental del Departamento. Además,   de la realización de campañas de monitoreo de calidad del aire .</t>
  </si>
  <si>
    <t>Servicio de vigilancia de la calidad del aire</t>
  </si>
  <si>
    <t>320100805</t>
  </si>
  <si>
    <t>Campaña de monitoreo de calidad del aire realizadas</t>
  </si>
  <si>
    <t>Conservación de la biodiversidad y sus servicios ecosistémicos. "Tú y yo en territorios biodiversos"</t>
  </si>
  <si>
    <t>3202005</t>
  </si>
  <si>
    <t>Servicio de restauración de ecosistemas</t>
  </si>
  <si>
    <t>320200500</t>
  </si>
  <si>
    <t>Áreas en proceso de restauración</t>
  </si>
  <si>
    <t>202000363-0086</t>
  </si>
  <si>
    <t xml:space="preserve"> Generación y desarrollo de acciones para la conservación de las áreas de importancia estratégica hídrica en el Departamento del Quindío </t>
  </si>
  <si>
    <t xml:space="preserve">Incrementar en porcentaje de ecosistemas protegidos y/o en procesos de restauración en el Departamento, a través de la  Adquisición y Mantenimiento de áreas estratégicas  de protección, en cumplimiento de las disposiciones de la Ley 99 de 1993, los instrumentos de Planeación Ambiental (POMCA del Río La Vieja) ;   promoción y recuperación de los cuerpos hídricos  mediante en enriquecimiento de especies nativas en los bosques riparios y la  promoción y desarrollo de esquemas de pago por servicios ambientales qué incentiven  la preservación de áreas de importancia estratégica para la conservación del recurso hídrico en el departamento. </t>
  </si>
  <si>
    <t>Servicio de recuperación de cuerpos de agua lénticos y lóticos</t>
  </si>
  <si>
    <t>320203704</t>
  </si>
  <si>
    <t>Bosque ripario recuperado</t>
  </si>
  <si>
    <t>Adquisición, mantenimiento y administración de áreas de importancia estratégica para la conservación y regulación del recurso hídrico.</t>
  </si>
  <si>
    <t xml:space="preserve">Número de Hectáreas intervenidas </t>
  </si>
  <si>
    <t>Extensión de cuerpos de agua recuperados</t>
  </si>
  <si>
    <t>Servicio apoyo financiero para la implementación de esquemas de pago por servicios ambientales</t>
  </si>
  <si>
    <t>Servicio apoyo financiero para la implementación de esquemas de pago por Servicios ambientales</t>
  </si>
  <si>
    <t>320201700</t>
  </si>
  <si>
    <t xml:space="preserve">Esquemas de pago por Servicio ambientales implementados </t>
  </si>
  <si>
    <t xml:space="preserve">Áreas con esquemas de pago por Servicios Ambientales implementados </t>
  </si>
  <si>
    <t xml:space="preserve">Estrategia  departamental para la protección y bienestar de los animales domésticos y silvestres del Departamento </t>
  </si>
  <si>
    <t>Estrategia  para la protección y bienestar de los animales domésticos y silvestres adoptada</t>
  </si>
  <si>
    <t>Talleres realizados</t>
  </si>
  <si>
    <t>202000363-0028</t>
  </si>
  <si>
    <t xml:space="preserve">Apoyo a la generación de entornos  amigables para los animales  domésticos y silvestres en el departamento del Quindío </t>
  </si>
  <si>
    <t>Incrementar en porcentaje de ecosistemas protegidos y/o en procesos de restauración en el Departamento, a través de la implementación de  la estrategia “Quindío libre de maltrato animal”, en asocio con los diferentes sectores e instituciones del departamento, para  la protección de la fauna silvestre y doméstica,  qué generen en la  comunidad   concientización de la  tenencia responsable de mascotas y un departamento sin tráfico de fauna.</t>
  </si>
  <si>
    <t>Realizar  campaña  de sensibilización y apropiación del patrimonio ambiental en el Departamento</t>
  </si>
  <si>
    <t>Campaña  de sensibilización y apropiación del patrimonio ambiental realizada</t>
  </si>
  <si>
    <t>202000363-0087</t>
  </si>
  <si>
    <t xml:space="preserve">Realización de campañas de sensibilización y apropiación del patrimonio ambiental  del paisaje, la biodiversidad y sus servicios ecosistémicos en el Departamento del Quindío </t>
  </si>
  <si>
    <t>Incrementar en porcentaje de ecosistemas protegidos y/o en procesos de restauración en el Departamento,  a través de la realización de  campañas educativas ambientales qué permitan la apropiación y sensibilización del patrimonio ambiental y en Paisaje Cultural Cafetero,    en  los sectores institucionales, educativos y sociales, articulados con el Comité Interinstitucional de Educación Ambiental CIDEA y los Proyectos Educativos Ambientales PRAES.</t>
  </si>
  <si>
    <t>3204</t>
  </si>
  <si>
    <t>Gestión de la información y en conocimiento ambiental. "Tú y yo conscientes con la naturaleza"</t>
  </si>
  <si>
    <t>Servicio de apoyo financiero a emprendimientos</t>
  </si>
  <si>
    <t>320401200</t>
  </si>
  <si>
    <t xml:space="preserve">Emprendimientos apoyados </t>
  </si>
  <si>
    <t>202000363-0029</t>
  </si>
  <si>
    <t xml:space="preserve">Apoyo a nuevos modelos de vida sostenibles, sustentables y eficientes en el suelo rural y urbano en el Departamento del Quindío  </t>
  </si>
  <si>
    <t xml:space="preserve"> Incrementar en porcentaje de ecosistemas protegidos y/o en procesos de restauración en el Departamento, a través del apoyo a iniciativas de emprendimientos verdes qué incorporen conceptos de eficiencia ambiental como economía circular, carbono neutral, agricultura regenerativa  entre otros.</t>
  </si>
  <si>
    <t>3205009</t>
  </si>
  <si>
    <t>Barreras rompe vientos recuperadas</t>
  </si>
  <si>
    <t>320500900</t>
  </si>
  <si>
    <t>Barreras rompe vientos</t>
  </si>
  <si>
    <t>202000363-0030</t>
  </si>
  <si>
    <t xml:space="preserve"> Implementación de acciones de Gestión del Cambio Climático en el marco del PIGCC, en el Departamento del Quindío</t>
  </si>
  <si>
    <t xml:space="preserve">Aumentar en porcentaje de ecosistemas protegidos y/o en procesos de restauración en el Departamento, a través de la implementación de  estrategias que permitan en desarrollo de acciones de adaptación y mitigación de los efectos del cambio climático con la  intervención de obras  de estabilización de taludes, control erosión  y barreras rompe vientos. </t>
  </si>
  <si>
    <t>3205014</t>
  </si>
  <si>
    <t>Obras para el control de erosión</t>
  </si>
  <si>
    <t>320501400</t>
  </si>
  <si>
    <t xml:space="preserve">Área reforestada </t>
  </si>
  <si>
    <t>3206</t>
  </si>
  <si>
    <t>Gestión del cambio climático para un desarrollo bajo en carbono y resiliente al clima. "Tú y yo preparados para el cambio climático"</t>
  </si>
  <si>
    <t>3206005</t>
  </si>
  <si>
    <t>Servicio de divulgación de la información en gestión del cambio climático para un desarrollo bajo en carbono y resiliente al clima</t>
  </si>
  <si>
    <t>320600500</t>
  </si>
  <si>
    <t xml:space="preserve">Campañas de información en gestión de cambio climático realizadas </t>
  </si>
  <si>
    <t>202000363-0088</t>
  </si>
  <si>
    <t xml:space="preserve">Implementación de un programa  de protección del  patrimonio ambiental , en paisaje, la biodiversidad y sus servicios ecosistémicos en el Departamento del Quindío  </t>
  </si>
  <si>
    <t xml:space="preserve">Aumentar en porcentaje de ecosistemas protegidos y/o en procesos de restauración en el Departamento,  a través   de  la realización de campañas educativas ambientales,  Servicios de producción de Plántulas  en viveros  e instalación de estufas ecoeficientes,   qué permitan la protección de patrimonio ambiental,  en paisaje, la biodiversidad y sus servicios ecosistémicos. </t>
  </si>
  <si>
    <t>Servicio de producción de plántulas en viveros</t>
  </si>
  <si>
    <t>320601400</t>
  </si>
  <si>
    <t>Plántulas producidas</t>
  </si>
  <si>
    <t>3206015</t>
  </si>
  <si>
    <t>Estufas ecoeficientes</t>
  </si>
  <si>
    <t>320601500</t>
  </si>
  <si>
    <t>Estufas ecoeficientes instaladas y en operación</t>
  </si>
  <si>
    <t xml:space="preserve">313 DIRECCIÓN OFICINA PRIVADA </t>
  </si>
  <si>
    <t>Fortalecimiento a la gestión y dirección de la administración pública territorial "Quindío con una administración al servicio de la ciudadanía"</t>
  </si>
  <si>
    <t>Desarrollo de  la Política  de Transparencia, Acceso a la Información Pública y Lucha Contra la Corrupción del Modelo Integrado de Planificación y Gestión MIPG, articulada con el "Pacto por la Integridad , Transparencia y Legalidad" del Gobierno Nacional</t>
  </si>
  <si>
    <t xml:space="preserve">Política de Transparencia, Acceso a la Información Pública y Lucha Contra la Corrupción  articulada   con el "Pacto por la Integridad , Transparencia y Legalidad" del Gobierno Nacional desarrollada.                                                                                   </t>
  </si>
  <si>
    <t>Herramientas implementada</t>
  </si>
  <si>
    <t>202000363-0089</t>
  </si>
  <si>
    <t>Implementación de la Política de Transparencia, Acceso a la Información Pública y Lucha Contra la Corrupción del Modelo Integrado de Planificación y Gestión MIPG, articulada con el "Pacto por la Integridad, Transparencia y Legalidad"  en el Departamento del Quindío</t>
  </si>
  <si>
    <t>Aumentar Índice de Gestión del Modelo Integrado de Planeación y de Gestión MIPG  del Departamento del Quindío, a través de desarrollo de la Política de Transparencia, Acceso a la Información Pública y Lucha Contra la Corrupción del Modelo Integrado de Planificación y Gestión MIPG, articulada con el "Pacto por la Integridad, Transparencia y Legalidad" del Gobierno Nacional, basado en la generación de cambios culturales en la institucionalidad y la ciudadanía.</t>
  </si>
  <si>
    <t xml:space="preserve">Dirección Oficina Privada </t>
  </si>
  <si>
    <t>Desarrollo e implementación de la estrategia de comunicaciones para la Administración Departamental</t>
  </si>
  <si>
    <t>Estrategia de comunicaciones desarrollada e implementada</t>
  </si>
  <si>
    <t>202000363-0090</t>
  </si>
  <si>
    <t>Desarrollo e implementación de  una estrategia  de comunicaciones  de la gestión institucional  de la Administración Departamental del Quindío "Hacia un  gobierno abierto".</t>
  </si>
  <si>
    <t>Aumentar Índice de Gestión del Modelo Integrado de Planeación y de Gestión MIPG  del Departamento del Quindío, a través del desarrollo e implementación de la estrategia de comunicaciones para la administración departamental,  conducente a la divulgación de la  oferta institucional a nivel departamental, nacional e internacional, con el propósito de acercar a la comunidad y en Estado, incrementado de esta forma, la participación de los diferentes actores de la gestión territorial.</t>
  </si>
  <si>
    <t xml:space="preserve">Encuentros ciudadanos en el Departamento del Quindío en aplicación de la Política de Transparencia, Acceso a la Información Pública y Lucha contra la Corrupción.  </t>
  </si>
  <si>
    <t>Encuentros  ciudadanos realizados.</t>
  </si>
  <si>
    <t>202000363-0031</t>
  </si>
  <si>
    <t>Fortalecimiento de  las capacidades institucionales de la administración departamental del Quindío, para generar condiciones de gobernanza territorial, participación, administración eficiente y transparente.</t>
  </si>
  <si>
    <t xml:space="preserve">Incrementar en porcentaje promedio  de participación de ciudadanos en los eventos de elección popular,  a través de la realización de  encuentros ciudadanos como un mecanismo de gobernabilidad para identificar los problemas y necesidades más sentidas de la comunidad, enmarcado en la generación de soluciones adecuadas, a través de la ejecución de proyectos qué propicien en desarrollo territorial participativo e incluyente </t>
  </si>
  <si>
    <t xml:space="preserve">314 SECRETARÍA DE EDUCACIÓN </t>
  </si>
  <si>
    <t>Tasa de cobertura bruta en educación básica
Tasa de cobertura en educación media
Tasa de Analfabetismo
Tasa de deserción escolar intra-anual
Tasa de repitencia</t>
  </si>
  <si>
    <t>Servicio educación formal por modelos educativos flexibles</t>
  </si>
  <si>
    <t>Beneficiarios atendidos con modelos educativos flexibles</t>
  </si>
  <si>
    <t>202000363-0091</t>
  </si>
  <si>
    <t>Fortalecimiento de Estrategias de Acceso, Bienestar y Permanencia en el Sector Educativo del Departamento del Quindío</t>
  </si>
  <si>
    <t>Aumentar las tasas de cobertura bruta y disminuir las tasas  repitencia y deserción escolar  en la  educación inicial, preescolar, básica y media, a través  del fortalecimiento de estrategias  de acceso,  bienestar y  permanencia de los niños, niñas, adolescentes, jóvenes y adultos en el sector educativo del Departamento del Quindío, promoviendo la trayectoria educativa completa.</t>
  </si>
  <si>
    <t xml:space="preserve">Secretaría de Educación </t>
  </si>
  <si>
    <t>Liliana María Sánchez Villada</t>
  </si>
  <si>
    <t>Tasa de deserción escolar intra -anual</t>
  </si>
  <si>
    <t>Servicio de fomento para la permanencia en programas de educación formal</t>
  </si>
  <si>
    <t>Personas beneficiarias de estrategias de permanencia</t>
  </si>
  <si>
    <t xml:space="preserve">Tasa de Analfabetismo </t>
  </si>
  <si>
    <t>Servicio de alfabetización</t>
  </si>
  <si>
    <t xml:space="preserve">Personas beneficiarias con modelos de alfabetización </t>
  </si>
  <si>
    <t xml:space="preserve">Tasa de cobertura bruta en educación básica
Tasa de cobertura en educación media
</t>
  </si>
  <si>
    <t>Servicio de apoyo para la implementación de la estrategia educativa del sistema de responsabilidad penal para adolescentes</t>
  </si>
  <si>
    <t>Entidades Territoriales certificadas con asistencia técnica para el fortalecimiento de la estrategia educativa del sistema de responsabilidad penal para adolescentes</t>
  </si>
  <si>
    <t>Tasa de cobertura bruta en transición
Tasa de cobertura bruta en educación básica
Tasa de cobertura en educación media
Tasa de deserción escolar intra-anual
Tasa de repitencia</t>
  </si>
  <si>
    <t>Servicio de apoyo para el fortalecimiento de escuelas de padres</t>
  </si>
  <si>
    <t>Escuelas de padres apoyadas</t>
  </si>
  <si>
    <t>Servicio de apoyo a la permanencia con alimentación escolar</t>
  </si>
  <si>
    <t>Beneficiarios de la alimentación escolar</t>
  </si>
  <si>
    <t>Servicio de apoyo a la permanencia con transporte escolar</t>
  </si>
  <si>
    <t>Beneficiarios de transporte escolar</t>
  </si>
  <si>
    <t>Infraestructura de Instituciones Educativas con procesos constructivos, mejorados, ampliados, mantenidos, y/o reforzados.</t>
  </si>
  <si>
    <t xml:space="preserve">Sedes mantenidas </t>
  </si>
  <si>
    <t xml:space="preserve">Tasa de cobertura bruta en transición
Tasa de cobertura bruta en educación básica
Tasa de cobertura en educación media 
Tasa de deserción escolar intra-anual </t>
  </si>
  <si>
    <t>Estudios de preinversión</t>
  </si>
  <si>
    <t>Estudios o diseños realizados</t>
  </si>
  <si>
    <t>Infraestructura educativa dotada</t>
  </si>
  <si>
    <t>Sedes dotadas</t>
  </si>
  <si>
    <t>Cobertura en asistencia técnica a la educación inicial (0 a 4 años)</t>
  </si>
  <si>
    <t>Servicio de información para la gestión de la educación inicial y preescolar en condiciones de calidad</t>
  </si>
  <si>
    <t xml:space="preserve">Entidades territoriales que hacen seguimiento a las condiciones de calidad de los prestadores de educación inicial o preescolar a través del Sistema de Información de Primera Infancia -SIPI- </t>
  </si>
  <si>
    <t>202000363-0092</t>
  </si>
  <si>
    <t>Fortalecimiento para la gestión de la educación inicial y preescolar en el marco de la atención integral a la primera infancia en el Departamento del Quindío.</t>
  </si>
  <si>
    <t>Aumentar las coberturas de asistencia técnica en educación inicial y transición en el departamento del Quindío, a través de estrategias de mejoramiento de la calidad de la educación inicial en el nivel de preescolar en los Establecimientos Educativos Oficiales del departamento con la  apropiación de  políticas  y  lineamientos pedagógicos expedidos por el Ministerio de Educación Nacional.</t>
  </si>
  <si>
    <t>Tasa de cobertura bruta en transición</t>
  </si>
  <si>
    <t>Servicio de atención integral para la primera infancia</t>
  </si>
  <si>
    <t>Instituciones educativas oficiales que implementan en nivel preescolar en el marco de la atención integral</t>
  </si>
  <si>
    <t>Porcentaje de pruebas SABER 5 Lenguaje (nivel Insuficiente) 
Porcentaje de pruebas SABER 5 Matemáticas (nivel Insuficiente) 
Porcentaje de pruebas SABER 9 Lenguaje (nivel Insuficiente)  
Porcentaje de pruebas SABER 9 Matemáticas (nivel Insuficiente) 
Porcentaje de Colegios pruebas SABER 11 con resultado A+ - A</t>
  </si>
  <si>
    <t>Servicio de evaluación de la calidad de la educación preescolar, básica o media.</t>
  </si>
  <si>
    <t>Estudiantes evaluados con pruebas de calidad educativa</t>
  </si>
  <si>
    <t>202000363-0093</t>
  </si>
  <si>
    <t>Fortalecimiento de la Calidad Educativa con inclusión y equidad para el Desarrollo Integral de niños, niñas, adolescentes y jóvenes en el Departamento del Quindío.</t>
  </si>
  <si>
    <t>Aumentar las tasas  de coberturas  brutas y de  pruebas  saber 5, 9 y 11  y disminución  de los índices de analfabetismo, deserción, repitencia  en la  educación inicial y transición,    a través del fortalecimiento de la calidad educativa con inclusión y equidad,  generando  estrategias en innovación educativa  qué promuevan   en desarrollo integral de los estudiantes y docentes de las Instituciones Educativas Oficiales del Departamento.</t>
  </si>
  <si>
    <t>Tasa de cobertura bruta en transición
Tasa de cobertura bruta en educación básica
Tasa de cobertura en educación media 
Tasa de deserción escolar intra-anual 
Cobertura de Instituciones Educativas con Planes Escolares de Gestión del Riesgo de Desastres-PEGERD</t>
  </si>
  <si>
    <t>Servicio de acondicionamiento de ambientes de aprendizaje</t>
  </si>
  <si>
    <t>Ambientes de aprendizaje en funcionamiento</t>
  </si>
  <si>
    <t>Servicio de fortalecimiento a las capacidades de los docentes de educación inicial, preescolar, básica y media</t>
  </si>
  <si>
    <t>Docentes de educación inicial, preescolar, básica y media beneficiados con estrategias de mejoramiento de sus capacidades</t>
  </si>
  <si>
    <t xml:space="preserve">Docentes y agentes educativos  de educación inicial, preescolar, básica y media beneficiados con estrategias de mejoramiento de sus capacidades </t>
  </si>
  <si>
    <t>Servicio de fortalecimiento a las capacidades de los docentes y agentes educativos en educación inicial o preescolar de acuerdo a los referentes nacionales</t>
  </si>
  <si>
    <t>Servicio de fortalecimiento a las capacidades de los docentes de educación Inicial, preescolar, básica y media</t>
  </si>
  <si>
    <t>Docentes y agentes educativos beneficiarios de Servicio de fortalecimiento a sus capacidades de acuerdo a los referentes nacionales</t>
  </si>
  <si>
    <t xml:space="preserve">Tasa de cobertura bruta en educación media 
Años promedio de estudio (población de 15 a 24 años) </t>
  </si>
  <si>
    <t>Servicio de articulación entre la educación media y el sector productivo.</t>
  </si>
  <si>
    <t xml:space="preserve">Programas y proyectos de educación pertinente articulados con el sector productivo </t>
  </si>
  <si>
    <t>Servicios de asistencia técnica en innovación educativa en la educación inicial, preescolar, básica y media</t>
  </si>
  <si>
    <t>Instituciones educativas asistidas técnicamente en innovación educativa</t>
  </si>
  <si>
    <t>Servicio de fomento para la prevención de riesgos sociales en entornos escolares</t>
  </si>
  <si>
    <t>Entidades territoriales con estrategias para la prevención de riesgos sociales en los entornos escolares implementadas</t>
  </si>
  <si>
    <t>Servicio de apoyo a proyectos pedagógicos productivos</t>
  </si>
  <si>
    <t>Proyectos apoyados</t>
  </si>
  <si>
    <t>Servicio de orientación vocacional</t>
  </si>
  <si>
    <t>Estudiantes vinculados a procesos de orientación vocacional</t>
  </si>
  <si>
    <t>Tasa de cobertura bruta en transición
Tasa de cobertura bruta en educación básica
Tasa de cobertura en educación media
Tasa de Analfabetismo
Tasa de deserción escolar intra-anual
Tasa de repitencia</t>
  </si>
  <si>
    <t>Servicio de asistencia técnica en educación inicial, preescolar, básica y media</t>
  </si>
  <si>
    <t>Entidades y organizaciones asistidas técnicamente</t>
  </si>
  <si>
    <t>202000363-0016</t>
  </si>
  <si>
    <t>Fortalecimiento territorial para una gestión educativa integral en la Secretaría de Educación Departamental del Quindío</t>
  </si>
  <si>
    <t>Aumentar las tasas de cobertura bruta y disminuir las tasas  repitencia y deserción escolar, a través del fortalecimiento  del seguimiento y evaluación de la gestión institucional, buscando potenciar en los diferentes equipos de trabajo, las capacidades para ejecutar procesos de gestión integrales y articulados en la prestación del servicio educativo de calidad</t>
  </si>
  <si>
    <t>Servicio de monitoreo y seguimiento a la gestión del sector educativo</t>
  </si>
  <si>
    <t>Entidades territoriales con seguimiento y evaluación a la gestión.</t>
  </si>
  <si>
    <t>Servicios de atención psicosocial a estudiantes y docentes</t>
  </si>
  <si>
    <t xml:space="preserve">Personas atendidas </t>
  </si>
  <si>
    <t xml:space="preserve">Tasa de cobertura bruta en transición
Tasa de cobertura bruta en educación básica
Tasa de cobertura en educación media
</t>
  </si>
  <si>
    <t>Servicio educativo</t>
  </si>
  <si>
    <t>Establecimientos educativos en operación</t>
  </si>
  <si>
    <t>Servicio de accesibilidad a contenidos web para fines pedagógicos</t>
  </si>
  <si>
    <t>Estudiantes con acceso a contenidos web en el establecimiento educativo</t>
  </si>
  <si>
    <t>202000363-0094</t>
  </si>
  <si>
    <t>Fortalecimiento de las  Tecnologías de Información y Comunicación TIC,  para una innovación educativa de calidad en el departamento del Quindío.</t>
  </si>
  <si>
    <t>Aumentar las tasas de cobertura bruta y disminuir las tasas  repitencia y deserción escolar a través de la implementación de  estrategias basadas en las Tecnologías de la Información para los Establecimientos  Educativos y la  Secretaria de Educación Departamental, permitiendo dar una respuesta pertinente a las necesidades en los diferentes recursos tecnológicos, propiciando una Gestión Educativa Integral.</t>
  </si>
  <si>
    <t>Establecimientos educativos conectados a internet</t>
  </si>
  <si>
    <t>Documento para la planeación estratégica en TI</t>
  </si>
  <si>
    <t>Planes de mejoramiento de los sistemas de información de las secretarías de educación implementados</t>
  </si>
  <si>
    <t>Documentos de planeación para la educación inicial, preescolar, básica y media emitidos</t>
  </si>
  <si>
    <t>Porcentaje de estudiantes de grado 11 con dominio de inglés a nivel B1 (preintermedio)</t>
  </si>
  <si>
    <t>Servicio educativos de promoción del bilingüismo</t>
  </si>
  <si>
    <t>Estudiantes beneficiados con estrategias de promoción del bilingüismo</t>
  </si>
  <si>
    <t>202000363-0015</t>
  </si>
  <si>
    <t>Fortalecimiento de las competencias comunicativas en lengua extranjera en estudiantes y docentes de las instituciones educativas oficiales del Departamento del Quindío.</t>
  </si>
  <si>
    <t>Aumentar en porcentaje de estudiantes de grado 11 con dominio de inglés a nivel B1 (preintermedio) a través del fortalecimiento del nivel de inglés de los niños, niñas y jóvenes qué asisten a las Instituciones Educativas Oficiales del Departamento del Quindío.</t>
  </si>
  <si>
    <t>Servicios educativos de promoción del bilingüismo</t>
  </si>
  <si>
    <t>Instituciones educativas fortalecidas en competencias comunicativas en un segundo idioma</t>
  </si>
  <si>
    <t>Servicio educativo de promoción del bilingüismo para docentes</t>
  </si>
  <si>
    <t>Docentes beneficiados con estrategias de promoción del bilingüismo</t>
  </si>
  <si>
    <t>202000363-0095</t>
  </si>
  <si>
    <t>Implementación del observatorio de educación, con el fin de recopilar y producir información del sector educativo con enfoque territorial.</t>
  </si>
  <si>
    <t>Aumentar las tasas de cobertura bruta y disminuir las tasas  repitencia y deserción escolar, a través del diseño e implementación en   Observatorio de Investigación, Innovación y Documentación Educativa del Departamento del Quindío.</t>
  </si>
  <si>
    <t>Servicios de información en materia educativa</t>
  </si>
  <si>
    <t>Observatorio implementado</t>
  </si>
  <si>
    <t>Tasa de cobertura en educación superior</t>
  </si>
  <si>
    <t>Servicio de apoyo para el acceso y la permanencia a la educación superior o terciaria</t>
  </si>
  <si>
    <t>Estrategias o programas de  fomento para  acceso y  permanencia a la educación superior o terciaria implementados</t>
  </si>
  <si>
    <t>Estrategias y programas de  fomento para acceso y  permanencia a la educación superior o postsecundaria implementados</t>
  </si>
  <si>
    <t>202000363-0096</t>
  </si>
  <si>
    <t>Fortalecimiento de estrategias para el acceso y la permanencia  de los estudiantes egresados de los Establecimientos Educativos Oficiales a la educación superior o terciaria en el Departamento del Quindío.</t>
  </si>
  <si>
    <t>Aumentar la tasa de cobertura en educación superior,  a través del fortalecimiento del acceso y la permanencia de los estudiantes egresados de los Establecimientos Educativos Oficiales   adscritos a la Secretaría de Educación Departamental a la educación técnica, tecnológica o superior.</t>
  </si>
  <si>
    <t>Generación de una cultura qué valora y gestiona en conocimiento y la innovación.</t>
  </si>
  <si>
    <t xml:space="preserve">
Tasa de cobertura bruta en educación básica
Tasa de cobertura en educación media
</t>
  </si>
  <si>
    <t>Servicio para el fortalecimiento de capacidades institucionales para el fomento de vocación científica</t>
  </si>
  <si>
    <t>Instituciones educativas qué participan en programas que fomentan la cultura de la Ciencia, la Tecnología y la Innovación fortalecidas</t>
  </si>
  <si>
    <t>Instituciones educativas que participan en programas qué fomentan la cultura de la Ciencia, la Tecnología y la Innovación fortalecidas</t>
  </si>
  <si>
    <t>202000363-0097</t>
  </si>
  <si>
    <t>Implementación  y fortalecimiento de  las estrategias qué fomenten la ciencia, la tecnología y la innovación en las Instituciones Educativas Oficiales del Departamento.</t>
  </si>
  <si>
    <t xml:space="preserve">Aumentar las tasas de cobertura bruta en educación  básica y media, a través de la  Promoción  de  la investigación en los estudiantes  matriculados en las Instituciones Educativas Oficiales del Departamento del Quindío, a través de la Ciencia, Tecnología y la Innovación. </t>
  </si>
  <si>
    <t>316 SECRETARÍA DE FAMILIA</t>
  </si>
  <si>
    <t>Salud Pública, "Tú y yo con salud de calidad"</t>
  </si>
  <si>
    <t>Razón de mortalidad materna (por 100.000 nacidos vivos)
Porcentaje de atención institucional del parto.
Tasa  de mujeres de 10 a 14 años qué han sido madres o están en embarazo.
Tasa de mujeres de 15 a 19 años qué han sido madres o están en embarazo.
Prevalencia de VIH/SIDA en población de 15 a 49 años de edad.
Tasa de mortalidad asociada a VIH/SIDA.
Porcentaje transmisión materno -infantil del VIH.
Cobertura de tratamiento antirretroviral</t>
  </si>
  <si>
    <t xml:space="preserve">Servicio de gestión del riesgo en temas de salud sexual y reproductiva </t>
  </si>
  <si>
    <t>Campañas de gestión del riesgo en temas de salud sexual y reproductiva implementadas.</t>
  </si>
  <si>
    <t xml:space="preserve"> 202000363-0011</t>
  </si>
  <si>
    <t xml:space="preserve">  Diseño e implementación de campañas para la promoción de la vida y prevención del consumo de sustancias psicoactivas en el Departamento del Quindío. "TU Y YO UNIDOS POR LA VIDA".  </t>
  </si>
  <si>
    <t xml:space="preserve"> Disminuir las tasas  de mortalidad materna, embarazos, violencia y suicidios en el Departamento del Quindío, a través del fomento de  hábitos de vida saludables y derechos sexuales y reproductivos. </t>
  </si>
  <si>
    <t xml:space="preserve">Secretaría de Familia </t>
  </si>
  <si>
    <t xml:space="preserve">Alba Johana Quejada Torres </t>
  </si>
  <si>
    <t>Tasa de violencia de género.
Tasa de Suicidio  x 100.000 Habitantes en el Departamento del Quindío.
Tasa de suicidios en niños y niñas ( 6 a 11 años)
Tasa de suicidios en adolescentes (12 a 17 años)
Tasa de suicidios (18 - 28 años)Tasa de Consumo de Sustancias Psicoactivas  x 100.000 Habitantes en el Departamento del Quindío.</t>
  </si>
  <si>
    <t xml:space="preserve">Servicio de gestión del riesgo en temas de trastornos mentales </t>
  </si>
  <si>
    <t>Campañas de gestión del riesgo en temas de trastornos mentales implementadas</t>
  </si>
  <si>
    <t>Cobertura  de municipios   con  jóvenes en riesgo psicosocial impactados en los  Barrios vulnerables del Departamento del Quindío</t>
  </si>
  <si>
    <t>Servicio de educación informal al sector artístico y cultural</t>
  </si>
  <si>
    <t>Capacitaciones de educación informal realizadas</t>
  </si>
  <si>
    <t>202000363-0098</t>
  </si>
  <si>
    <t xml:space="preserve"> Implementación acciones de fortalecimiento  de los entornos protectores de los jóvenes en barrios vulnerables de los municipios, del Departamento del Quindío. </t>
  </si>
  <si>
    <t>Aumentar la cobertura  de municipios con jóvenes en riesgo psicosocial impactados en los barrios vulnerables del Departamento del Quindío, a través de la implementación de acciones que permitan fortalecer los entornos protectores de los jóvenes en riesgo psicosocial por consumo de sustancias psicoactivas, comportamiento suicida, Violencia Intrafamiliar, en barrios vulnerables, de los municipios, del Departamento del Quindío.</t>
  </si>
  <si>
    <t>Inclusión social y Reconciliación</t>
  </si>
  <si>
    <t>Desarrollo Integral de Niños, Niñas, Adolescentes y sus Familias. "Tú y yo niños, niñas y adolescentes con desarrollo integral"</t>
  </si>
  <si>
    <t xml:space="preserve">Cobertura en la  implementación del  Modelo de entornos protectores y atención integral de   la primera infancia </t>
  </si>
  <si>
    <t xml:space="preserve">Diseñar e implementar un modelo de atención integral en entornos protectores para la primera infancia </t>
  </si>
  <si>
    <t>Modelo de atención integral de entornos protectores implementado</t>
  </si>
  <si>
    <t>202000363-0099</t>
  </si>
  <si>
    <t>Aumentar la cobertura en la implementación del Modelo de Entornos Protectores y Atención Integral de la Primera Infancia, a través de la atención integral a los niños y niñas, promoviendo la aplicabilidad de las rutas integrales de atención y  entornos protectores seguros en el departamento Quindío.</t>
  </si>
  <si>
    <t xml:space="preserve">Cobertura  en la  implementación y seguimiento de las   Rutas integrales de atención  a la primera infancia </t>
  </si>
  <si>
    <t xml:space="preserve">Implementar y realizar seguimiento a las rutas integrales de atención </t>
  </si>
  <si>
    <t xml:space="preserve">Servicio de atención integral a la primera infancia </t>
  </si>
  <si>
    <t xml:space="preserve">Número de rutas integrales de atención  a la  primera infancia implementadas y con seguimiento </t>
  </si>
  <si>
    <t>Niños y niñas atendidos en servicio integrales</t>
  </si>
  <si>
    <t>Tasa de Violencia Intrafamiliar x 100.000 Habitantes en el Departamento del Quindío.
Tasa de violencia de pareja cuando la víctima está entre los 18 y 28 años 
Tasa de violencia de Género
Tasa de Suicidio  x 100.000 Habitantes en el Departamento del Quindío.
Tasa  de Niños, Niñas y Adolescentes qué participan en una actividad remunerada  o no  x cada 100.000 habitantes  en el departamento del Quindío
Tasa  de mujeres de 12 a 14 años qué han sido madres o están en embarazo X 100.000 habitantes en el Departamento del Quindío
Cobertura a los grupos de adulto mayor del departamento del Quindío en articulación con los Municipios, en el marco de garantizar estimulación física, cognitiva, emocional y social en bienestar de una vejez activa y saludable</t>
  </si>
  <si>
    <t xml:space="preserve">Implementar la  política pública para la protección, en fortalecimiento y en desarrollo integral de la familia Quindiana </t>
  </si>
  <si>
    <t>4102043</t>
  </si>
  <si>
    <t xml:space="preserve">Servicio de promoción de temas de dinámica relacional y desarrollo autónomo </t>
  </si>
  <si>
    <t>Política Pública de Familia  implementada</t>
  </si>
  <si>
    <t>410204300</t>
  </si>
  <si>
    <t>Familias atendidas</t>
  </si>
  <si>
    <t>202000363-0100</t>
  </si>
  <si>
    <t xml:space="preserve"> Implementación de la  política pública  de Familia para la  promoción  del desarrollo integral de la población del Departamento del Quindío. </t>
  </si>
  <si>
    <t xml:space="preserve">Disminuir las tasas de violencia intrafamiliar, suicidio y embarazos en el departamento del Quindío a través del Desarrollo de  estrategias,  programas y proyectos en el marco de la implementación y seguimiento de la Política Pública de Familia para promover en desarrollo integral de la población. </t>
  </si>
  <si>
    <t>.- Tasa de violencia contra niños y niñas o a 5 años       
.- Tasa de violencia contra niños y niñas de 6 a 11 años
.- Tasa de violencia contra niños y niñas de 12 a 17 años
-Tasa de niños, niñas y adolescentes víctimas de violencia sexual  x 100 mil habitantes   en el Departamento del Quindío
-Tasa de suicidios en adolescentes (12 a 17 años)
-Tasa  de Niños, Niñas y Adolescentes qué participan en una actividad remunerada  o no  x cada 100.000 habitantes  en el departamento del Quindío
-Tasa  de mujeres de 12 a 14 años qué han sido madres o están en embarazo X 100.000 habitantes en el Departamento del Quindío
-Tasa de Consumo de Sustancias Psicoactivas  x 100.000 Habitantes en el Departamento del Quindío.</t>
  </si>
  <si>
    <t>Revisar y ajustar   la política pública de primera infancia, infancia y adolescencia</t>
  </si>
  <si>
    <t xml:space="preserve">4102035
 </t>
  </si>
  <si>
    <t xml:space="preserve">Documento  de Política Pública de Primera Infancia, Infancia y Adolescencia, revisado, ajustado </t>
  </si>
  <si>
    <t xml:space="preserve">410203501
</t>
  </si>
  <si>
    <t>Documentos de lineamientos técnicos en Política y Atención Integral de niños, niñas y adolescentes realizados</t>
  </si>
  <si>
    <t>202000363-0101</t>
  </si>
  <si>
    <t xml:space="preserve">Revisión, ajuste  e implementación de  la política pública de primera infancia, infancia y adolescencia en el Departamento del Quindío  </t>
  </si>
  <si>
    <t xml:space="preserve">Disminuir las tasa de violencia  contra niños, niñas y adolescentes, embarazos a temprana edad y consumo de sustancias psicoactivas en el Departamento del Quindío, a través del desarrollo de estrategias, proyectos y programas en el marco de la implementación y seguimiento de la Política Pública de Primera Infancia, Infancia y Adolescencia, al igual que su ajuste, para promover en desarrollo integral de la población. </t>
  </si>
  <si>
    <t>Implementar  la política pública de primera infancia, infancia y adolescencia</t>
  </si>
  <si>
    <t>Servicio de promoción de temas de dinámica relacional y desarrollo autónomo</t>
  </si>
  <si>
    <t xml:space="preserve">Política Pública de Primera Infancia, Infancia y Adolescencia implementada. </t>
  </si>
  <si>
    <t>Niños, niñas y adolescentes atendidos</t>
  </si>
  <si>
    <t>Tasa de Suicidio  x 100.000 Habitantes en el Departamento del Quindío.
Tasa de violencia de pareja cuando la víctima está entre los 18 y 28 años 
Tasa de violencia de Género
Tasa de Violencia Intrafamiliar x 100.000 Habitantes en el Departamento del Quindío.
Tasa de Consumo de Sustancias Psicoactivas  x 100.000 Habitantes en el Departamento del Quindío.
Cobertura de adolescentes y jóvenes atendidos en Post egreso, en los servicios de restablecimiento en la administración de justicia.
Cobertura  de municipios   con  jóvenes en riesgo psicosocial impactados en los  Barrios vulnerables del Departamento del Quindío</t>
  </si>
  <si>
    <t xml:space="preserve">Implementar  la política pública de juventud </t>
  </si>
  <si>
    <t>Servicio dirigidos a la atención de niños, niñas, adolescentes y jóvenes, con enfoque pedagógico y restaurativo encaminados a la inclusión social</t>
  </si>
  <si>
    <t>Política Pública de Juventud implementada</t>
  </si>
  <si>
    <t>202000363-0102</t>
  </si>
  <si>
    <t xml:space="preserve">Implementación de  la política pública de juventud en el Departamento del Quindío  </t>
  </si>
  <si>
    <t xml:space="preserve"> Disminuir las tasa de violencia intrafamiliar,  consumo de sustancias psicoactivas y suicidio en el Departamento del Quindío a través de la revisión, ajuste e implementación la política pública de juventud con el propósito de desarrollar estrategias, programas y acciones acordes  con la normatividad y las nuevas dinámicas sociales. </t>
  </si>
  <si>
    <t>Tasa de Violencia Intrafamiliar x 100.000 Habitantes en el Departamento del Quindío.
Tasa de violencia de Género</t>
  </si>
  <si>
    <t>Rutas integrales de atención en violencia intrafamiliar y  violencia de género</t>
  </si>
  <si>
    <t>Servicio de asistencia técnica a comunidades en temas de fortalecimiento del tejido social y construcción de escenarios comunitarios protectores de derechos</t>
  </si>
  <si>
    <t>Capacitación en activación de las Rutas Integrales de Atención en Violencia Intrafamiliar y de Género, a trabajadores de Supermercados y Tenderos de los Municipios realizadas</t>
  </si>
  <si>
    <t>Acciones ejecutadas con las comunidades</t>
  </si>
  <si>
    <t>202000363-0032</t>
  </si>
  <si>
    <t xml:space="preserve"> Diseño e implementación del programa de acompañamiento familiar y comunitario con enfoque preventivo en los tipos de violencias en el Departamento del Quindío "TU Y YO COMPROMETIDOS CON LA FAMILIA" </t>
  </si>
  <si>
    <t xml:space="preserve"> Disminuir las tasa de violencia   intrafamiliar y de género en el Departamento del Quindío , a través de la  articulación de acciones  con aliados estratégicos para capacitar a trabajadores de Supermercados y “tenderos” de los barrios, en la activación de Rutas Integrales de Atención en Violencia Intrafamiliar y Violencia de género. </t>
  </si>
  <si>
    <t>Cobertura de atención de niños y niñas en Hogar Infantil Nocturno, hijos de trabajadoras sexuales en el Departamento del Quindío</t>
  </si>
  <si>
    <t xml:space="preserve">Atención integral a niños y niñas en primera infancia en espacios socialmente no convencionales: tiempos no convencionales </t>
  </si>
  <si>
    <t>Servicio de atención integral a la primera infancia</t>
  </si>
  <si>
    <t xml:space="preserve">Atención integral a niños y niñas en primera infancia en espacios socialmente no convencionales implementados </t>
  </si>
  <si>
    <t>Niños y niñas atendidos en servicios integrales</t>
  </si>
  <si>
    <t>202000363-0033</t>
  </si>
  <si>
    <t xml:space="preserve"> Diseño e implementación del programa comunitario para la prevención de los derechos de niños, niñas y adolescentes y su desarrollo integral. "TU Y YO COMPROMETIDOS CON LOS SUEÑOS". </t>
  </si>
  <si>
    <t xml:space="preserve"> Disminución de la Tasa de Violencia Intrafamiliar y  aumento de la cobertura de atención de niños y niñas en Hogar Infantil Nocturno, hijos de trabajadoras sexuales en el Departamento del Quindío, a través del diseño e implementación   de un programa comunitario para la   prevención y garantía de los derechos de los niños, niñas y adolescentes  buscando disminuir la violencia intrafamiliar en el departamento del Quindío en espacios socialmente no convencionales. </t>
  </si>
  <si>
    <t>Tasa de Violencia Intrafamiliar x 100.000 Habitantes en el Departamento del Quindío.
Tasa de violencia contra niños y niñas o a 5 años       
Tasa de violencia contra niños y niñas de 6 a 11 años
Tasa de violencia contra niños y niñas de 12 a 17 años
Tasa de niños, niñas y adolescentes víctimas de violencia sexual  x 100 mil habitantes   en el Departamento del Quindío
Tasa de violencia de pareja cuando la víctima está entre los 18 y 28 años 
Tasa de violencia de Género</t>
  </si>
  <si>
    <t>Servicio de divulgación para la promoción y prevención de los derechos de los niños, niñas y adolescentes</t>
  </si>
  <si>
    <t xml:space="preserve">Servicios de promoción de los derechos de los niños, niñas, adolescentes y jóvenes </t>
  </si>
  <si>
    <t>410202200</t>
  </si>
  <si>
    <t xml:space="preserve">Eventos de divulgación realizados </t>
  </si>
  <si>
    <t xml:space="preserve">Campañas de promoción realizadas </t>
  </si>
  <si>
    <t>Cobertura de adolescentes y jóvenes atendidos en Post egreso, en los servicios de restablecimiento en la administración de justicia.</t>
  </si>
  <si>
    <t>Servicios dirigidos a la atención de niños, niñas, adolescentes y jóvenes, con enfoque pedagógico y restaurativo encaminados a la inclusión social</t>
  </si>
  <si>
    <t>Niños, niñas, adolescentes y jóvenes atendidos en los servicios de restablecimiento en la administración de justicia</t>
  </si>
  <si>
    <t>202000363-0034</t>
  </si>
  <si>
    <t xml:space="preserve"> Servicio de atención Post egreso de adolescentes y jóvenes, en los servicios de restablecimiento en la administración de justicia, con enfoque pedagógico y restaurativo encaminados a la inclusión social en el  Departamento del   Quindío.</t>
  </si>
  <si>
    <t xml:space="preserve">Aumentar la cobertura de adolescentes y jóvenes atendidos en Post egreso, en los servicios de restablecimiento en la administración de justicia,  a través del desarrollo  de acciones encaminadas a reconocer, garantizar y permitir en goce efectivo de los derechos de los adolescentes y jóvenes del departamento del Quindío, promoviendo su integralidad, realización, protección y sostenibilidad. </t>
  </si>
  <si>
    <t xml:space="preserve">Cobertura de municipios del departamento apoyados con  emprendimientos juveniles </t>
  </si>
  <si>
    <t>Servicio de asistencia técnica para fortalecimiento de unidades productivas colectivas para la generación de ingresos</t>
  </si>
  <si>
    <t>Unidades productivas colectivas con asistencia técnica</t>
  </si>
  <si>
    <t>202000363-0103</t>
  </si>
  <si>
    <t xml:space="preserve">  Fortalecimiento  de unidades productivas colectivas  juveniles para la generación de ingresos  en el departamento del Quindío  </t>
  </si>
  <si>
    <t>Aumentar la cobertura de municipios del departamento apoyados con  emprendimientos juveniles,   a través del fortalecimiento de los procesos de asistencia técnica en temas de formalización y comercialización.</t>
  </si>
  <si>
    <t>Cobertura para la atención al ciudadano migrante a través del plan de atención y de repatriación.</t>
  </si>
  <si>
    <t xml:space="preserve">Mecanismos de articulación implementados para la gestión de oferta social </t>
  </si>
  <si>
    <t>202000363-0104</t>
  </si>
  <si>
    <t xml:space="preserve">  Formulación  e Implementación del  programa departamental para atención al ciudadano migrante y de repatriación.  </t>
  </si>
  <si>
    <t xml:space="preserve">Aumentar la cobertura para la atención al ciudadano migrante a través del plan de atención y de repatriación </t>
  </si>
  <si>
    <t>Servicio de acompañamiento familiar y comunitario para la superación de la pobreza</t>
  </si>
  <si>
    <t>Comunidades con acompañamiento familiar.</t>
  </si>
  <si>
    <t>202000363-0105</t>
  </si>
  <si>
    <t xml:space="preserve">   Desarrollo de un  programa  de acompañamiento  familiar y comunitario  en procesos de Inclusión social y productivos para el emprendimiento de  alternativas de generación de ingresos  en el departamento del Quindío  </t>
  </si>
  <si>
    <t>Disminuir  la tasa de violencia intrafamiliar en el departamento del Quindío, a través de  procesos de acompañamiento familiar y comunitario a hogares de los doce municipios en condiciones de vulnerabilidad por “violencia intrafamiliar,” a través del desarrollo de programas de Inclusión social y productivos qué les permita emprender alternativas de generación de ingresos y   mejorar   las relaciones de convivencia en el entorno familiar y social.</t>
  </si>
  <si>
    <t xml:space="preserve">Cobertura de municipios del departamento con procesos de implementación de proyectos  productivos  para las personas con discapacidad </t>
  </si>
  <si>
    <t>Servicio de apoyo para el fortalecimiento de unidades productivas colectivas para la generación de ingresos</t>
  </si>
  <si>
    <t>Unidades productivas colectivas fortalecidas</t>
  </si>
  <si>
    <t>202000363-0106</t>
  </si>
  <si>
    <t xml:space="preserve">  Formulación e implementación   de proyectos productivos  dirigidos a  la población en condición  de  discapacidad y sus familias para la generación de  ingresos  y fortalecimiento del entorno familiar.  </t>
  </si>
  <si>
    <t>Aumentar la cobertura de municipios del departamento con procesos de implementación de proyectos  productivos  para las personas con discapacidad, a través de la  formulación e implementación  de proyectos productivos qué garanticen a las personas con discapacidad y sus familias, ingresos económicos para satisfacer sus necesidades básicas.</t>
  </si>
  <si>
    <t xml:space="preserve">Tasa planes de vida de los cabildos  indígenas construidos e implementados </t>
  </si>
  <si>
    <t xml:space="preserve">Apoyar la construcción e Implementación de los  Planes de vida de los cabildos Indígenas asentados en el Departamento del Quindío </t>
  </si>
  <si>
    <t>Documento de lineamientos técnicos</t>
  </si>
  <si>
    <t xml:space="preserve">Planes de vida de los cabildos indígenas  construidos  e implementados </t>
  </si>
  <si>
    <t xml:space="preserve">Documentos de lineamientos técnicos elaborados </t>
  </si>
  <si>
    <t>202000363-0036</t>
  </si>
  <si>
    <t xml:space="preserve">  Apoyo en la construcción e Implementación de los Planes de Vida de los Cabildos y Resguardos indígenas  asentados en el Departamento del Quindío "TU Y YO UNIDOS CON DIGNIDAD".  </t>
  </si>
  <si>
    <t>Incrementar la tasa planes de vida de los cabildos y resguardos   indígenas construidos e implementados, por medio del apoyo en  la construcción e implementación de los  mismos, como instrumentos de planeación organización y preservación de la historia y la cultura.</t>
  </si>
  <si>
    <t>Tasa de  planes de vida de los resguardos  indígenas construidos e implementados</t>
  </si>
  <si>
    <t xml:space="preserve">Apoyar la construcción e Implementación de los  Planes de vida de los resguardos indígenas  asentados en el Departamento del Quindío </t>
  </si>
  <si>
    <t xml:space="preserve">Planes de vida de los resguardos indígenas  construidos  e implementados </t>
  </si>
  <si>
    <t>Cobertura  de población diferencial,  comunidades negras, afros raizales y Palenqueras asentadas en el departamento del Quindío con una  política pública .</t>
  </si>
  <si>
    <t>Formular e implementar la política pública para la comunidad negra, afrocolombiana, raizal y palenquera residente en el Departamento del Quindío</t>
  </si>
  <si>
    <t xml:space="preserve">Política Pública para la comunidad negra, afrocolombiana, raizal y palenquera residente en el departamento del Quindío formulada e implementada </t>
  </si>
  <si>
    <t>202000363-0037</t>
  </si>
  <si>
    <t xml:space="preserve">  Formulación e implementación de la política pública para la comunidad negra, afrocolombiana, raizal y palenquera residente en el Departamento del Quindío   </t>
  </si>
  <si>
    <t>Aumentar la cobertura  de población diferencial,  comunidades negras, afros raizales y Palenquearas asentadas en el departamento del Quindío con una  política publicación en propósito de garantizar la protección de derechos y la atención integral  con enfoque diferencial de las comunidades.</t>
  </si>
  <si>
    <t>Atención integral de población en situación permanente de desprotección social y/o familiar "Tú y yo con atención integral"</t>
  </si>
  <si>
    <t>Cobertura  de municipios del Departamento del Quindío con el Programa de Rehabilitación Basada en la Comunidad  RBC
Cobertura de municipios atendidos  con el Banco de ayudas técnicas NO POS tipo Estándar, para las personas con discapacidad .</t>
  </si>
  <si>
    <t>Servicios de atención integral a población en condición de discapacidad</t>
  </si>
  <si>
    <t>Servicio de atención integral a población en condición de discapacidad</t>
  </si>
  <si>
    <t xml:space="preserve">Personas atendidas con servicios integrales de atención </t>
  </si>
  <si>
    <t>Personas con discapacidad atendidas con servicios integrales</t>
  </si>
  <si>
    <t>202000363-0035</t>
  </si>
  <si>
    <t xml:space="preserve"> Servicio de atención integral a población en condición de discapacidad en los municipios del Departamento del Quindío "TU Y YO JUNTOS EN LA INCLUSIÓN". </t>
  </si>
  <si>
    <t xml:space="preserve">Incrementar  la cobertura  de municipios del Departamento del Quindío  con programas  y banco de ayudas  para la Rehabilitación Basada en la Comunidad  RBC, a través del fortalecimiento de la capacidad  de atención integral  a población con discapacidad del departamento del Quindío. </t>
  </si>
  <si>
    <t>Cobertura  de municipios del Departamento del Quindío  con en   Programas  de Rehabilitación Basada en la Comunidad  RBC
Cobertura de municipios atendidos  con el Banco de ayudas técnicas NO POS tipo Estándar, para las personas con discapacidad .</t>
  </si>
  <si>
    <t xml:space="preserve">Estrategia de rehabilitación basada en la comunidad implementada en los municipios  </t>
  </si>
  <si>
    <t>Cobertura de municipios del departamento del Quindío, con programas de atención a la población habitante de calle.</t>
  </si>
  <si>
    <t>Servicio de articulación de oferta social para la población habitante de calle</t>
  </si>
  <si>
    <t xml:space="preserve">Servicio de atención integral al habitante de la calle </t>
  </si>
  <si>
    <t xml:space="preserve">Servicio de articulación habitante de calle implementado en los municipios </t>
  </si>
  <si>
    <t>Personas atendidas con servicios integrales</t>
  </si>
  <si>
    <t xml:space="preserve"> 202000363-0012</t>
  </si>
  <si>
    <t xml:space="preserve">   Apoyo en  la articulación de la  oferta social para la población habitante de calle del departamento del Quindío  </t>
  </si>
  <si>
    <t xml:space="preserve">Aumentar la cobertura de municipios del departamento del Quindío, con programas de atención a la población habitante de calle a través de la coordinación y articulación  de la oferta social para la población en condición de calle en el departamento del Quindío. </t>
  </si>
  <si>
    <t xml:space="preserve">Cobertura a los grupos de adulto mayor del departamento del Quindío en articulación con los Municipios, en el marco de garantizar estimulación física, cognitiva, emocional y social en bienestar de una vejez activa y saludable </t>
  </si>
  <si>
    <t>Servicios de atención y protección integral al adulto mayor</t>
  </si>
  <si>
    <t>Centros de protección social de día para el adulto mayor construidos y dotados</t>
  </si>
  <si>
    <t xml:space="preserve">Adultos mayores atendidos con servicios integrales </t>
  </si>
  <si>
    <t>Centros de día para el adulto mayor construidos y dotados</t>
  </si>
  <si>
    <t>202000363-0109</t>
  </si>
  <si>
    <t xml:space="preserve"> Servicio  de atención integral e inclusión para el bienestar de los adultos mayores del departamento del Quindío </t>
  </si>
  <si>
    <t>Disminuir Tasa de Suicidio  y Violencia Intrafamiliar , además del aumento de la Cobertura a los grupos de adulto mayor en programas  de estimulación física, cognitiva, emocional y social en bienestar de una vejez activa y saludable  y  en apoyo  a los   centros vida y de bienestar  con  recursos  de la  Estampilla Pro adulto Mayor  en el Departamento del Quindío.</t>
  </si>
  <si>
    <t>Cobertura  de  centros vida y centros de bienestar del adulto mayor (Legalmente constituidos)  apoyados con los recursos de la  Estampilla Pro adulto Mayor .</t>
  </si>
  <si>
    <t>Transferencia estampilla para el bienestar del adulto mayor</t>
  </si>
  <si>
    <t>Servicio de atención y protección integral al adulto mayor</t>
  </si>
  <si>
    <t>Municipios con recursos transferidos con la estampilla Departamental para el bienestar del adulto mayor</t>
  </si>
  <si>
    <t>Adultos mayores atendidos con servicios integrales</t>
  </si>
  <si>
    <t xml:space="preserve">Cobertura de Asociaciones de mujeres fortalecidas  </t>
  </si>
  <si>
    <t>Servicio de asesoría para el fortalecimiento de la Asociatividad</t>
  </si>
  <si>
    <t>170201102</t>
  </si>
  <si>
    <t>Asociaciones de mujeres fortalecidas</t>
  </si>
  <si>
    <t>202000363-0113</t>
  </si>
  <si>
    <t xml:space="preserve"> Implementación de  estrategias de acompañamiento y asesoría a las asociaciones de mujeres del departamento del Quindío</t>
  </si>
  <si>
    <t xml:space="preserve">Aumentar la cobertura de Asociaciones de mujeres fortalecidas a través de la Implementación de  estrategias de acompañamiento y asesoría a las asociaciones de mujeres del departamento del Quindío con el propósito de brindar fortalecimiento  </t>
  </si>
  <si>
    <t>Derechos fundamentales del trabajo y fortalecimiento del diálogo social. "Tú y yo con una niñez protegida"</t>
  </si>
  <si>
    <t>Tasa  de Niños, Niñas y Adolescentes qué participan en una actividad remunerada  o no  x cada 100.000 habitantes  en el departamento del Quindío</t>
  </si>
  <si>
    <t>Servicio de educación informal para la prevención integral del trabajo infantil</t>
  </si>
  <si>
    <t>202000363-0114</t>
  </si>
  <si>
    <t>Desarrollo de jornadas de capacitación, sensibilización y prevención del  trabajo infantil  y protección del adolescente en el departamento del Quindío.</t>
  </si>
  <si>
    <t xml:space="preserve">Disminuir la Tasa  de Niños, Niñas y Adolescentes qué participan en una actividad remunerada  o no  x cada 100.000 habitantes  en el departamento del Quindío a través de jornadas de capacitación, sensibilización y prevención del  trabajo infantil  y protección del adolescente en el departamento del Quindío. </t>
  </si>
  <si>
    <t>Gobierno Territorial</t>
  </si>
  <si>
    <t>Tasa de participación femenina en cargos de elección popular en el departamento del Quindío</t>
  </si>
  <si>
    <t>Iniciativas para la promoción de la participación femenina en escenarios sociales y políticos implementada.</t>
  </si>
  <si>
    <t>Estrategias para el fomento de a la participación de las mujeres en los espacios de participación política y de toma de decisión implementadas</t>
  </si>
  <si>
    <t>202000363-0115</t>
  </si>
  <si>
    <t xml:space="preserve"> Implementación del  programa de liderazgo  para la participación femenina en escenarios sociales y políticos del departamento del Quindío</t>
  </si>
  <si>
    <t xml:space="preserve">Aumentar la tasa de participación femenina en cargos de elección popular en el departamento del Quindío a través de la Implementación de un programa de liderazgo enfocado a las mujeres , con el propósito de incrementar la participación femenina en escenarios sociales y políticas </t>
  </si>
  <si>
    <t xml:space="preserve">Tasa de Violencia Intrafamiliar x 100.000 Habitantes en el Departamento del Quindío.
Tasa de violencia de Género
Tasa  de mujeres de 12 a 14 años qué han sido madres o están en embarazo X 100.000 habitantes en el Departamento del Quindío
Tasa de participación femenina en cargos de elección popular en el  departamento del Quindío
Cobertura de Asociaciones de mujeres fortalecidas  </t>
  </si>
  <si>
    <t xml:space="preserve"> Implementar la política pública de equidad de género para la mujer </t>
  </si>
  <si>
    <t>Servicio de promoción de la garantía de derechos</t>
  </si>
  <si>
    <t>Política pública de la mujer y equidad de género   implementada.</t>
  </si>
  <si>
    <t>Estrategias de promoción de la garantía de derechos implementadas</t>
  </si>
  <si>
    <t>202000363-0108</t>
  </si>
  <si>
    <t xml:space="preserve">  Implementación de la política pública de equidad de género para la mujer en el Departamento del Quindío  </t>
  </si>
  <si>
    <t>Disminuir la tasa de violencia  intrafamiliar, de género y embarazos a temprana edad, así  como en  aumento de la tasas de participación femenina en cargos de elección popular y fortalecimiento de las  asociaciones de mujeres a través de acciones encaminadas a la garantía de derechos de las mujeres,  promoción de su participación en el ámbito económico, social y cultural del departamento  Quindío.</t>
  </si>
  <si>
    <t>Tasa de Suicidio  x 100.000 Habitantes en el Departamento del Quindío.
Tasa de Violencia Intrafamiliar x 100.000 Habitantes en el Departamento del Quindío.
Tasa de Consumo de Sustancias Psicoactivas  x 100.000 Habitantes en el Departamento del Quindío.
Tasa de violencia de Género</t>
  </si>
  <si>
    <t>Implementar  la política  pública de diversidad sexual e identidad de género</t>
  </si>
  <si>
    <t>Política pública de diversidad sexual e identidad de género implementada.</t>
  </si>
  <si>
    <t>202000363-0107</t>
  </si>
  <si>
    <t xml:space="preserve">    Implementación de la política pública  de diversidad sexual en el Departamento del Quindío 2019-2029  </t>
  </si>
  <si>
    <t xml:space="preserve">Disminuir  las tasa de suicidio, violencia intrafamiliar  consumo de sustancias psicoactivas  y violencia de género en el departamento del Quindío, a través de la implementación en la política pública de diversidad sexual e identidad de género con la participación de los diferente actores qué contribuyen  de manera integral a garantizar la visibilización, inclusión y mejoramiento de las condiciones de calidad de vida de la personas sexualmente diversas. </t>
  </si>
  <si>
    <t xml:space="preserve">Mejorar las condiciones de calidad de vida de la población, en acceso incluyente y equitativo a la oferta de servicios del Estado y la ampliación de oportunidades para los Quindianos. </t>
  </si>
  <si>
    <t>Casa de la Mujer Empoderada implementada</t>
  </si>
  <si>
    <t>Espacios generados para el fortalecimiento de capacidades institucionales del Estado</t>
  </si>
  <si>
    <t>202000363-0111</t>
  </si>
  <si>
    <t xml:space="preserve">Implementación de la Casa  de la Mujer Empoderada para la promoción a la participación ciudadana  de Mujeres en escenarios sociales, políticos y el fortalecimiento de la asociatividad  en el departamento del Quindío " TU Y YO CON LAS MUJERES EMPODERADAS." </t>
  </si>
  <si>
    <t>Mejorar las condiciones de calidad de vida de la población, en acceso incluyente y equitativo a la oferta de servicios del Estado y la ampliación de oportunidades para los Quindianos a través de la Implementación de la Casa de la Mujer Empoderada, para la  participación  y promoción de la  mujeres en escenarios sociales, políticos y productivos en el departamento del Quindío.</t>
  </si>
  <si>
    <t>Casa Refugio de la Mujer implementada</t>
  </si>
  <si>
    <t>202000363-0112</t>
  </si>
  <si>
    <t>Implementación de la Casa Refugio de la Mujer del Departamento del Quindío</t>
  </si>
  <si>
    <t xml:space="preserve">Mejorar las condiciones de calidad de vida de la población, en acceso incluyente y equitativo a la oferta de servicios del Estado y la ampliación de oportunidades para los Quindianos a través de la implementación de la  Casa Refugia para la protección de la mujer víctima del departamento del Quindío. </t>
  </si>
  <si>
    <t>Tasa de Suicidio  x 100.000 Habitantes en el Departamento del Quindío.
Tasa de Violencia Intrafamiliar x 100.000 Habitantes en el Departamento del Quindío.
Cobertura a los grupos de adulto mayor del departamento del Quindío en articulación con los Municipios, en el marco de garantizar estimulación física, cognitiva, emocional y social en bienestar de una vejez activa y saludable 
Cobertura  de  centros vida y centros de bienestar del adulto mayor (Legalmente constituidos)  apoyados con los recursos  de la  Estampilla Pro adulto Mayor .</t>
  </si>
  <si>
    <t xml:space="preserve">Formular e implementar la Política Pública de Adulto Mayor </t>
  </si>
  <si>
    <t>4599019</t>
  </si>
  <si>
    <t xml:space="preserve">Política Pública de Adulto Mayor  formulada e implementada </t>
  </si>
  <si>
    <t>459901900</t>
  </si>
  <si>
    <t>Documentos de planeación realizados</t>
  </si>
  <si>
    <t>202000363-0150</t>
  </si>
  <si>
    <t xml:space="preserve">Revisar y ajustar  la política pública de equidad de género para la mujer </t>
  </si>
  <si>
    <t xml:space="preserve">Documento de Política Pública de la mujer y equidad de género revisada y ajustada </t>
  </si>
  <si>
    <t>202000363-0151</t>
  </si>
  <si>
    <t xml:space="preserve">Revisar y ajustar la política pública de equidad de género para la mujer en el Departamento del Quindío  </t>
  </si>
  <si>
    <t>Tasa de Suicidio  x 100.000 Habitantes en el Departamento del Quindío.
Tasa de Violencia Intrafamiliar x 100.000 Habitantes en el Departamento del Quindío.
Cobertura de municipios del departamento con procesos de implementación de proyectos  productivos  para las personas con discapacidad</t>
  </si>
  <si>
    <t>Revisar y ajustar    la Política Pública de  Discapacidad</t>
  </si>
  <si>
    <t xml:space="preserve">Documento de Política Pública de  Discapacidad revisado y ajustado.  </t>
  </si>
  <si>
    <t>202000363-0110</t>
  </si>
  <si>
    <t xml:space="preserve">  Revisar y ajustar  la política pública de  discapacidad del departamento del Quindío  </t>
  </si>
  <si>
    <t>Disminuir  la tasa de suicidio, violencia intrafamiliar, además de aumentar la Cobertura de los  municipios del departamento con procesos de implementación de proyectos  productivos  para las personas con discapacidad,  a través de la participación de los diferentes actores qué contribuyen de manera integral a garantizar una mejor calidad de vida de las personas objeto de intervención.</t>
  </si>
  <si>
    <t xml:space="preserve">318 SECRETARIA DE SALUD </t>
  </si>
  <si>
    <t xml:space="preserve">Inspección, vigilancia y control. "Tú y yo con salud certificada" </t>
  </si>
  <si>
    <t>Mortalidad por diarreica aguda (EDA) menores 5 años (número de muertes anual)</t>
  </si>
  <si>
    <t>Servicio de concepto sanitario</t>
  </si>
  <si>
    <t>Servicio de registro sanitario</t>
  </si>
  <si>
    <t>Conceptos sanitarios expedidos</t>
  </si>
  <si>
    <t>202000363-0116</t>
  </si>
  <si>
    <t xml:space="preserve">Fortalecimiento de la autoridad sanitaria en el Departamento del Quindío                                                                                           </t>
  </si>
  <si>
    <t>Consolidar  y desarrollar en Sistema de  vigilancia en salud pública integrado  control sanitario y de inspección vigilancia y control del sistema de salud, a través de visitas de IVC con el fin de escalar en el posicionamiento de la entidad territorial y dar cumplimiento efectivo a su misionalidad</t>
  </si>
  <si>
    <t>Secretaría  de Salud</t>
  </si>
  <si>
    <t>Tasa de mortalidad en menores de 1 año (por 1000 nacidos vivos).</t>
  </si>
  <si>
    <t>Servicio de información de vigilancia epidemiológica</t>
  </si>
  <si>
    <t>Informes de evento generados en la vigencia</t>
  </si>
  <si>
    <t>Prevalencia de niños menores de 5 años con desnutrición aguda</t>
  </si>
  <si>
    <t>Servicio de asistencia técnica en inspección, vigilancia y control</t>
  </si>
  <si>
    <t>Asistencias técnica en Inspección, Vigilancia y Control realizadas</t>
  </si>
  <si>
    <t>Mortalidad por infección respiratoria aguda (IRA) menores 5 años (número de muertes anual)</t>
  </si>
  <si>
    <t>Realizar la vigilancia epidemiológica de plaguicidas en el marco del programa VEO (vigilancia epidemiológica de organofosforados y carba matos) en los municipios de competencia departamental.</t>
  </si>
  <si>
    <t>Servicio de vigilancia y control de las políticas y normas técnicas, científicas y administrativas expedidas por el Ministerio de Salud y Protección Social</t>
  </si>
  <si>
    <t>Municipios con procesos de vigilancia epidemiológica de plaguicidas organofosforados y carbamatos realizados.</t>
  </si>
  <si>
    <t>Entidades territoriales con vigilancia y control realizados</t>
  </si>
  <si>
    <t xml:space="preserve">Implementación del Modelo Operativo de Inspección, Vigilancia y Control IVC sanitario en los municipios de competencia departamental. </t>
  </si>
  <si>
    <t>Servicio de promoción, prevención, vigilancia y control de vectores y zoonosis</t>
  </si>
  <si>
    <t xml:space="preserve">Modelo de IVC sanitario operando </t>
  </si>
  <si>
    <t xml:space="preserve">Municipios categorías 4,5 y 6 que formulen y ejecuten real y efectivamente acciones de promoción, prevención, vigilancia  y control de vectores y zoonosis  realizados </t>
  </si>
  <si>
    <t>Mortalidad por dengue (casos)</t>
  </si>
  <si>
    <t>Municipios categorías 4, 5 y 6 qué formulen y ejecuten real y efectivamente acciones de promoción, prevención, vigilancia y control de vectores y zoonosis realizados</t>
  </si>
  <si>
    <t>Servicio de evaluación, aprobación y seguimiento de planes de gestión integral del riesgo</t>
  </si>
  <si>
    <t>Informes de evaluación, aprobación y seguimiento de Planes de Gestión Integral de Riesgo realizados</t>
  </si>
  <si>
    <t>Tasa mortalidad en menores de 5 años (por 1.000 nacidos vivos).</t>
  </si>
  <si>
    <t>Servicio de inspección, vigilancia y control</t>
  </si>
  <si>
    <t>visitas realizadas</t>
  </si>
  <si>
    <t>Visitas realizadas</t>
  </si>
  <si>
    <t>Porcentaje de población asegurada al SGSSS
Oportunidad en la presunción diagnóstica y tratamiento oncológico en menores de 18 años (alta y media)</t>
  </si>
  <si>
    <t>Documentos técnicos publicados y/o socializados</t>
  </si>
  <si>
    <t>202000363-0117</t>
  </si>
  <si>
    <t xml:space="preserve"> Implementación de programas de promoción social en poblaciones  especiales en el Departamento del Quindío </t>
  </si>
  <si>
    <t>Fortalecer la gestión intersectorial en salud de los grupos con alta vulnerabilidad</t>
  </si>
  <si>
    <t>Tasa de violencia de género</t>
  </si>
  <si>
    <t>Servicio de adopción y seguimiento de acciones y medidas especiales</t>
  </si>
  <si>
    <t>Acciones y medidas especiales ejecutadas</t>
  </si>
  <si>
    <t>Mortalidad por diarreica aguda (EDA) menores 5 años (número de muertes anual)
Prevalencia de niños menores de 5 años con desnutrición aguda
Índice de riesgo de la calidad de agua para consumo humano IRCA</t>
  </si>
  <si>
    <t>Servicio de análisis de laboratorio</t>
  </si>
  <si>
    <t>Análisis realizados</t>
  </si>
  <si>
    <t>202000363-0118</t>
  </si>
  <si>
    <t xml:space="preserve"> Fortalecimiento de las actividades de vigilancia y control del laboratorio de salud pública en el Departamento del Quindío  
</t>
  </si>
  <si>
    <t>Mejorar la capacidad analítica del LSP Departamental  para dar respuesta  a las necesidades del Sistema de Vigilancia en Salud Pública</t>
  </si>
  <si>
    <t>Tasa ajustada por edad de mortalidad asociada a cáncer de cuello uterino (por 100.000 mujeres).</t>
  </si>
  <si>
    <t>Servicio de auditoría y visitas inspectivas</t>
  </si>
  <si>
    <t>Auditorías y visitas inspectivas realizadas</t>
  </si>
  <si>
    <t xml:space="preserve">Informes de los resultados obtenidos en la vigilancia sanitaria </t>
  </si>
  <si>
    <t>Asistencias técnicas realizadas</t>
  </si>
  <si>
    <t>202000363-0119</t>
  </si>
  <si>
    <t xml:space="preserve"> Asistencia técnica para el fortalecimiento de la gestión de las entidades territoriales del Departamento del Quindío  </t>
  </si>
  <si>
    <t xml:space="preserve">Fortalecer los procesos de articulación y competencias territoriales en el sistema general de seguridad social en salud </t>
  </si>
  <si>
    <t>Oportunidad en la presunción diagnóstica y tratamiento oncológico en menores de 18 años (alta y media)</t>
  </si>
  <si>
    <t>Servicio de información para la gestión de la inspección, vigilancia y control sanitario</t>
  </si>
  <si>
    <t>Usuarios del sistema</t>
  </si>
  <si>
    <t>202000363-0120</t>
  </si>
  <si>
    <t>Asesoría y apoyo al proceso del sistema obligatorio de garantía de calidad de los prestadores de salud en el Departamento del Quindío</t>
  </si>
  <si>
    <t>Asegurar la implementación y cumplimiento de la totalidad de los estándares de Habilitación de acuerdo al nivel de complejidad.</t>
  </si>
  <si>
    <t>Razón de mortalidad materna (por 100.000 nacidos vivos)</t>
  </si>
  <si>
    <t>Servicio de certificaciones en buenas prácticas</t>
  </si>
  <si>
    <t>Certificaciones expedidas</t>
  </si>
  <si>
    <t>Porcentaje de atención institucional del parto por personal calificado.</t>
  </si>
  <si>
    <t>Porcentaje de población asegurada al SGSSS</t>
  </si>
  <si>
    <t>Servicios de comunicación y divulgación en inspección, vigilancia y control</t>
  </si>
  <si>
    <t>Eventos de rendición de cuentas realizados</t>
  </si>
  <si>
    <t>202000363-0121</t>
  </si>
  <si>
    <t xml:space="preserve"> Apoyo operativo a la inversión social en salud en el Departamento del Quindío </t>
  </si>
  <si>
    <t xml:space="preserve">Fortalecer los procesos estratégicos, administrativos y misionales del sector salud en el departamento del Quindío  </t>
  </si>
  <si>
    <t>Porcentaje de nacidos vivos con 4 o más controles prenatales</t>
  </si>
  <si>
    <t>Servicio del ejercicio del procedimiento administrativo sancionatorio</t>
  </si>
  <si>
    <t xml:space="preserve">Procesos con aplicación del procedimiento administrativo sancionatorio tramitados </t>
  </si>
  <si>
    <t>Porcentaje transmisión materno -infantil del VIH.</t>
  </si>
  <si>
    <t>Servicio de Gestión de Peticiones, Quejas, Reclamos y Denuncias</t>
  </si>
  <si>
    <t>Preguntas Quejas Reclamos y Denuncias Gestionadas</t>
  </si>
  <si>
    <t>Servicio de implementación de estrategias para el fortalecimiento del control social en salud</t>
  </si>
  <si>
    <t>Estrategias para el fortalecimiento del control social en salud implementadas</t>
  </si>
  <si>
    <t>Servicio de gestión del riesgo para temas de consumo, aprovechamiento biológico, calidad e inocuidad de los alimentos.</t>
  </si>
  <si>
    <t>Campañas de gestión del riesgo para temas de consumo, aprovechamiento biológico, calidad e inocuidad de los alimentos implementadas</t>
  </si>
  <si>
    <t>202000363-0122</t>
  </si>
  <si>
    <t xml:space="preserve"> Aprovechamiento biológico y consumo de  alimentos inocuos  en el Departamento del Quindío </t>
  </si>
  <si>
    <t>Disminuir o mantener la proporción de niños menores de 5 años en riesgo de desnutrición moderada o severa aguda</t>
  </si>
  <si>
    <t>Servicios de promoción de la salud y prevención de riesgos asociados a condiciones no transmisibles</t>
  </si>
  <si>
    <t>Campañas de promoción de la salud y prevención de riesgos asociados a condiciones no transmisibles implementadas</t>
  </si>
  <si>
    <t>Tasa de mortalidad por malaria.</t>
  </si>
  <si>
    <t xml:space="preserve">Servicio de educación informal en temas de salud pública </t>
  </si>
  <si>
    <t>202000363-0123</t>
  </si>
  <si>
    <t>Control en Salud Ambiental para la consecución de un estado de vida saludable de la población  del  Departamento del Quindío.</t>
  </si>
  <si>
    <t>Disminuir  los factores de riesgo sanitarios y ambientales asociados a eventos de interés en salud pública relacionados con la salud ambiental como en aumento de la carga contaminante del agua, entre otros.</t>
  </si>
  <si>
    <t>Tasa  de mujeres de 10 a 14 años qué han sido madres o están en embarazo.
Tasa de mujeres de 15 a 19 años qué han sido madres o están en embarazo.</t>
  </si>
  <si>
    <t>DNP</t>
  </si>
  <si>
    <t xml:space="preserve">Realizar seguimiento y monitoreo a las Entidades Administradoras de Planes Básicos EAPB en la implementación de la Ruta Integral de Atención para la Promoción y Mantenimiento de la Salud y Materno Perinatal en el Departamento  </t>
  </si>
  <si>
    <t>Servicio de promoción de la salud y prevención de riesgos asociados a condiciones no transmisibles (1905031)</t>
  </si>
  <si>
    <t>Entidades Administradoras de Planes Básicos EAPB con Rutas de obligatorio cumplimiento Implementadas</t>
  </si>
  <si>
    <t>Campañas de promoción de la salud  y prevención de riesgos asociados a condiciones no transmisibles implementadas (190503100)</t>
  </si>
  <si>
    <t>Letalidad por dengue.</t>
  </si>
  <si>
    <t>Formular en Plan de Fortalecimiento de Capacidades en Salud Ambiental en coordinación con el Consejo Territorial de Salud Ambiental COTSA</t>
  </si>
  <si>
    <t xml:space="preserve"> Plan de Fortalecimiento de Capacidades en Salud Ambiental Formulado </t>
  </si>
  <si>
    <t>Implementar el protocolo de vigilancia sanitaria y ambiental de los efectos en salud relacionados con la contaminación del aire en los 11 municipios de competencia departamental.</t>
  </si>
  <si>
    <t>Servicio de gestión del riesgo para abordar situaciones de salud relacionadas con condiciones ambientales</t>
  </si>
  <si>
    <t>Protocolo implementado</t>
  </si>
  <si>
    <t>Campañas de gestión del riesgo para abordar situaciones de salud relacionadas con condiciones ambientales implementadas</t>
  </si>
  <si>
    <t>Mortalidad por dengue (casos)
Letalidad por dengue.</t>
  </si>
  <si>
    <t>Formulación e implementación del Plan Departamental en Salud Ambiental de adaptación al cambio climático.</t>
  </si>
  <si>
    <t>Plan Departamental en Salud Ambiental de adaptación al cambio climático implementado</t>
  </si>
  <si>
    <t>Implementar la estrategia de entornos saludables en articulación intersectorial y sectorial en los entornos de vivienda, educativo, institucional y comunitario con énfasis en la Atención Primaria en Salud Ambiental APSA.</t>
  </si>
  <si>
    <t xml:space="preserve">Estrategia de entornos saludables en articulación intersectorial y sectorial implementada </t>
  </si>
  <si>
    <t xml:space="preserve">Implementación de la estrategia de movilidad saludable, segura y sostenible </t>
  </si>
  <si>
    <t xml:space="preserve">Estrategia de movilidad saludable, segura y sostenible   implementada </t>
  </si>
  <si>
    <t>Personas atendidas con campañas de gestión del riesgo para abordar situaciones de salud relacionadas con condiciones ambientales</t>
  </si>
  <si>
    <t>202000363-0124</t>
  </si>
  <si>
    <t xml:space="preserve">Fortalecimiento de acciones propias a los derechos sexuales y reproductivos en el Departamento del Quindío. </t>
  </si>
  <si>
    <t xml:space="preserve">Disminuir de los eventos de interés en salud pública relacionados con la salud sexual y reproductiva en especial de la mortalidad materna  </t>
  </si>
  <si>
    <t xml:space="preserve">Realizar seguimiento y Monitoreo a las Entidades Administradoras de Planes Básicos EAPB en la implementación de la Ruta Integral de Atención para la Promoción y Mantenimiento de la Salud y Materno Perinatal en el Departamento  </t>
  </si>
  <si>
    <t>Servicio de gestión del riesgo en temas de salud sexual y reproductiva (1905021)</t>
  </si>
  <si>
    <t>Campañas de gestión del riesgo en temas de salud sexual y reproductiva implementadas (190502100)</t>
  </si>
  <si>
    <t>Servicio de gestión del riesgo en temas de consumo de sustancias psicoactivas</t>
  </si>
  <si>
    <t>Campañas de gestión del riesgo en temas de consumo de sustancias psicoactivas implementadas</t>
  </si>
  <si>
    <t>202000363-0125</t>
  </si>
  <si>
    <t>Consolidación de acciones de promoción de la salud y prevención primaria en salud mental en el Departamento del Quindío.</t>
  </si>
  <si>
    <t>Disminuir la morbimortalidad asociada a la salud mental principalmente de la violencia intrafamiliar</t>
  </si>
  <si>
    <t>Adaptar e implementar la política pública de salud mental para el Departamento del Quindío</t>
  </si>
  <si>
    <t xml:space="preserve">Política pública en Salud Mental adaptada e Implementada  </t>
  </si>
  <si>
    <t xml:space="preserve">
190501501</t>
  </si>
  <si>
    <t>Planes de salud pública elaborados</t>
  </si>
  <si>
    <t>Tasa ajustada por edad de mortalidad asociada a cáncer de cuello uterino (por 100.000 mujeres).
Oportunidad en la presunción diagnóstica y tratamiento oncológico en menores de 18 años (alta y media)</t>
  </si>
  <si>
    <t>Servicio de gestión del riesgo para abordar condiciones crónicas prevalentes</t>
  </si>
  <si>
    <t>Campañas de gestión del riesgo para abordar condiciones crónicas prevalentes implementadas</t>
  </si>
  <si>
    <t>202000363-0126</t>
  </si>
  <si>
    <t>Proyecto de promoción de estilos de vida saludable, control y vigilancia en la gestión del riesgo de condiciones no transmisibles en el Departamento del Quindío.</t>
  </si>
  <si>
    <t>Disminuir la carga de la enfermedad asociada a las enfermedades crónicas no trasmisibles</t>
  </si>
  <si>
    <t>Cobertura de vacunación con DPT en menores de 1 año
Cobertura de vacunación con Triple Viral en niños de 1 año
Cobertura útil con esquema completo de vacunación para la edad (triple viral a los 5 años)</t>
  </si>
  <si>
    <t>Cuartos fríos adecuados</t>
  </si>
  <si>
    <t>202000363-0127</t>
  </si>
  <si>
    <t xml:space="preserve">Fortalecimiento de acciones de promoción, prevención y protección específica para la población infantil en el Departamento del Quindío.  </t>
  </si>
  <si>
    <t>Reducir la exposición a condiciones y factores de riesgo ambientales, sanitarios y biológicos, de las contingencias y daños producidos por las enfermedades transmisibles</t>
  </si>
  <si>
    <t>Cobertura útil con esquema completo de vacunación para la edad (triple viral a los 5 años)
Mortalidad por infección respiratoria aguda (IRA) menores 5 años (número de muertes anual)
Mortalidad por diarreica aguda (EDA) menores 5 años (número de muertes anual)
Tasa de mortalidad por malaria.</t>
  </si>
  <si>
    <t>Servicio de gestión del riesgo para enfermedades emergentes, reemergentes y desatendidas</t>
  </si>
  <si>
    <t>Campañas de gestión del riesgo para enfermedades emergentes, reemergentes y desatendidas implementadas.</t>
  </si>
  <si>
    <t>Servicio de gestión del riesgo para enfermedades inmunoprevenibles</t>
  </si>
  <si>
    <t>Campañas de gestión del riesgo para enfermedades inmunoprevenibles  implementadas</t>
  </si>
  <si>
    <t>Mortalidad por dengue (casos) 
Letalidad por dengue.</t>
  </si>
  <si>
    <t xml:space="preserve">
1905015</t>
  </si>
  <si>
    <t xml:space="preserve">
190501500</t>
  </si>
  <si>
    <t>202000363-0128</t>
  </si>
  <si>
    <t xml:space="preserve">Difusión de la estrategia de gestión integral y de control en vectores, zoonosis y cambio climático del Departamento del Quindío.   </t>
  </si>
  <si>
    <t xml:space="preserve"> Disminuir en índice de enfermedades trasmisión vectorial y zoonosis en la población   </t>
  </si>
  <si>
    <t>202000363-0129</t>
  </si>
  <si>
    <t xml:space="preserve"> Fortalecimiento de la inclusión social para la disminución del riesgo de contraer enfermedades transmisibles en el Departamento del Quindío.  </t>
  </si>
  <si>
    <t xml:space="preserve"> Aumentar la adherencia al tratamiento de los pacientes con diagnóstico de tuberculosis  </t>
  </si>
  <si>
    <t>Servicio de gestión del riesgo para enfermedades emergentes, reemergentes y desatendidas.</t>
  </si>
  <si>
    <t>202000363-0130</t>
  </si>
  <si>
    <t xml:space="preserve">Implementación de acciones para la contención de la pandemia Tú y Yo contra COVID </t>
  </si>
  <si>
    <t>Eficiente gestión integral del riesgo en eventos de interés en salud pública, ante la pandemia por COVID-19</t>
  </si>
  <si>
    <t>Servicios de atención en salud pública en situaciones de emergencias y desastres</t>
  </si>
  <si>
    <t xml:space="preserve">Servicio de atención en salud pública en situaciones de emergencias y desastres </t>
  </si>
  <si>
    <t>Personas en capacidad de ser atendidas</t>
  </si>
  <si>
    <t>202000363-0131</t>
  </si>
  <si>
    <t xml:space="preserve"> Prevención, preparación, contingencia, mitigación y superación de emergencias y contingencias por eventos relacionados con la salud pública en el Departamento del Quindío.  </t>
  </si>
  <si>
    <t>Coordinar acciones  para la gestión integral  del riesgo en  situaciones de emergencias y desastres  en las IPS y autoridad sanitaria del departamento</t>
  </si>
  <si>
    <t>Servicio de gestión del riesgo para abordar situaciones prevalentes de origen laboral</t>
  </si>
  <si>
    <t>Campañas de gestión del riesgo para abordar situaciones prevalentes de origen laboral implementadas</t>
  </si>
  <si>
    <t>202000363-0132</t>
  </si>
  <si>
    <t xml:space="preserve"> Prevención vigilancia y control de eventos en el ámbito laboral en el Departamento del Quindío.  </t>
  </si>
  <si>
    <t xml:space="preserve">Disminuir los eventos de origen laboral en los trabajadores del sector formal del Departamento del Quindío </t>
  </si>
  <si>
    <t xml:space="preserve">Documentos de planeación en epidemiología y demografía elaborados </t>
  </si>
  <si>
    <t>202000363-0133</t>
  </si>
  <si>
    <t xml:space="preserve"> Fortalecimiento del sistema de vigilancia en salud pública en el Departamento del Quindío. </t>
  </si>
  <si>
    <t xml:space="preserve"> Aumentar los índices de cumplimiento en los indicadores de calidad, cobertura y  oportunidad del sistema de vigilancia en salud pública departamental </t>
  </si>
  <si>
    <t>Porcentaje de atención institucional del parto.</t>
  </si>
  <si>
    <t>Centros reguladores de urgencias, emergencias y desastres funcionando y dotados</t>
  </si>
  <si>
    <t xml:space="preserve">1905009
</t>
  </si>
  <si>
    <t xml:space="preserve">Centros reguladores de urgencias, emergencias y desastres dotados </t>
  </si>
  <si>
    <t>Centros reguladores de urgencias, emergencias y desastres dotados y funcionando.</t>
  </si>
  <si>
    <t xml:space="preserve">190500900
</t>
  </si>
  <si>
    <t>Centros reguladores de urgencias, emergencias y desastres dotados</t>
  </si>
  <si>
    <t>202000363-0134</t>
  </si>
  <si>
    <t xml:space="preserve">Fortalecimiento de la red de urgencias y emergencias en el Departamento del Quindío. </t>
  </si>
  <si>
    <t>Fortalecer en la integración de la red hospitalaria del departamento del Quindío.</t>
  </si>
  <si>
    <t>202000363-0135</t>
  </si>
  <si>
    <t>Fortalecimiento de las intervenciones colectivas y prioridades en salud pública del Departamento del Quindío- PIC</t>
  </si>
  <si>
    <t>Disminuir la morbimortalidad asociada  a la carga de la enfermedad por los determinantes sociales fortaleciendo  las acciones de complementariedad  a los municipios</t>
  </si>
  <si>
    <t>Servicio de promoción de afiliaciones al régimen contributivo del Sistema General de Seguridad Social de las personas con capacidad de pago</t>
  </si>
  <si>
    <t>Personas con capacidad de pago afiliadas</t>
  </si>
  <si>
    <t>202000363-0136</t>
  </si>
  <si>
    <t xml:space="preserve">Subsidio y cofinanciación al régimen subsidiado del Sistema General de Seguridad Social en Salud en el Departamento del Quindío.  </t>
  </si>
  <si>
    <t>Aumentar la cobertura universal en aseguramiento al sistema de atención integral y para la población del Departamento del Quindío</t>
  </si>
  <si>
    <t>Cobertura de tratamiento antirretroviral</t>
  </si>
  <si>
    <t xml:space="preserve">Servicio de cofinanciación para la continuidad del  régimen subsidiado en salud  </t>
  </si>
  <si>
    <t xml:space="preserve">Servicio de tecnologías en salud financiadas con la unidad de pago por capitación - UPC </t>
  </si>
  <si>
    <t>Personas afiliadas</t>
  </si>
  <si>
    <t>Pacientes atendidos con tecnologías en salud financiados con cargo a los recursos de la UPC del Régimen Subsidiado</t>
  </si>
  <si>
    <t>Servicio de apoyo con tecnologías para prestación de servicios en salud</t>
  </si>
  <si>
    <t>Población inimputable atendida</t>
  </si>
  <si>
    <t>Pacientes atendidos con medicamentos en salud financiados con cargo a los recursos de la UPC del Régimen Subsidiado</t>
  </si>
  <si>
    <t>202000363-0137</t>
  </si>
  <si>
    <t xml:space="preserve">Prestación de Servicios a la Población no Afiliada al Sistema General de Seguridad Social en Salud y en el NO POS a la Población del Régimen Subsidiado.  
 </t>
  </si>
  <si>
    <t xml:space="preserve">Mejoramiento en la prestación de los servicios de salud para la atención de la población no afiliada </t>
  </si>
  <si>
    <t>Servicios de reconocimientos para el cumplimiento de metas de calidad, financiera, producción y transferencias especiales.</t>
  </si>
  <si>
    <t xml:space="preserve">Servicio de apoyo financiero para el fortalecimiento patrimonial de las empresas prestadoras de salud con participación financiera de las entidades territoriales </t>
  </si>
  <si>
    <t>Porcentaje de recursos transferidos</t>
  </si>
  <si>
    <t>Empresas prestadoras de salud capitalizadas</t>
  </si>
  <si>
    <t>Servicios de reconocimientos de deuda</t>
  </si>
  <si>
    <t>Porcentaje de recursos pagados</t>
  </si>
  <si>
    <t>Tasa de mujeres de 15 a 19 años qué han sido madres o están en embarazo.</t>
  </si>
  <si>
    <t>Servicio de asistencia técnica a Instituciones prestadoras de servicios de salud</t>
  </si>
  <si>
    <t>Instituciones Prestadoras de Servicios de salud asistidas técnicamente</t>
  </si>
  <si>
    <t>202000363-0138</t>
  </si>
  <si>
    <t xml:space="preserve">Fortalecimiento de la red de prestación de servicios pública del Departamento del Quindío.   </t>
  </si>
  <si>
    <t>Aumento en la calidad del proceso de reporte, vigilancia y control del manejo de los recursos de salud en el Departamento del Quindío</t>
  </si>
  <si>
    <t>Cobertura útil con esquema completo de vacunación para la edad (triple viral a los 5 años)
Porcentaje de nacidos vivos con 4 o más controles prenatales</t>
  </si>
  <si>
    <t>Hospitales de primer nivel de atención dotados</t>
  </si>
  <si>
    <t>Servicio de apoyo a la prestación del servicio de transporte de pacientes</t>
  </si>
  <si>
    <t>Entidades de la red pública en salud apoyadas en la adquisición de ambulancias</t>
  </si>
  <si>
    <t>Servicio de tecnologías en salud financiadas con la unidad de pago por capitación - UPC (1906023)</t>
  </si>
  <si>
    <t>Pacientes atendidos</t>
  </si>
  <si>
    <t>324  SECRETARÍA TECNOLÓGIAS DE LA INFORMACIÓN Y COMUNICACIÓN</t>
  </si>
  <si>
    <t>Tecnologías de la información y las comunicaciones</t>
  </si>
  <si>
    <t>Facilitar en acceso y uso de las Tecnologías de la Información y las Comunicaciones (TIC)  en todo el territorio nacional.  "Tú y yo somos ciudadanos TIC"</t>
  </si>
  <si>
    <t>Tasa de crecimiento de puntos de acceso a internet gratis 
Índice Departamental de Competitividad
Tasa de Desempleo</t>
  </si>
  <si>
    <t>Servicio de acceso y uso de tecnologías de la información y las comunicaciones</t>
  </si>
  <si>
    <t>Centros de acceso comunitario en zonas urbanas funcionando</t>
  </si>
  <si>
    <t>202000363-0038</t>
  </si>
  <si>
    <t xml:space="preserve"> Fortalecimiento  y apoyo a las tecnologías de la información y las comunicaciones en el departamento del Quindío.</t>
  </si>
  <si>
    <t xml:space="preserve"> Incrementar  la Tasa de crecimiento de puntos de acceso a internet gratis  y del Índice de competitividad en el departamento del Quindío, mediante en mejoramiento de los servicio de acceso a las tecnologías de la información  y las comunicaciones </t>
  </si>
  <si>
    <t>John Mario Liévano Fernández</t>
  </si>
  <si>
    <t>Soluciones de conectividad en instituciones públicas instaladas</t>
  </si>
  <si>
    <t>Servicio de acceso Zonas Wifi</t>
  </si>
  <si>
    <t>Servicio de acceso zonas digitales</t>
  </si>
  <si>
    <t>Zonas Wifi en áreas rurales instaladas</t>
  </si>
  <si>
    <t>Zonas digitales en áreas rurales con redes terrestres instaladas</t>
  </si>
  <si>
    <t>Servicio de apoyo en tecnologías de la información y las comunicaciones para la educación básica, primaria y secundaria</t>
  </si>
  <si>
    <t>Relación de estudiantes por terminal de cómputo en sedes educativas oficiales</t>
  </si>
  <si>
    <t>R</t>
  </si>
  <si>
    <t>Nivel de avance alto en el Índice de Gobierno digital
Índice Departamental de Competitividad
Tasa de Desempleo</t>
  </si>
  <si>
    <t>Servicio de educación informal en tecnologías de la información y las comunicaciones.</t>
  </si>
  <si>
    <t>Personas capacitadas en tecnologías de la información y las comunicaciones</t>
  </si>
  <si>
    <t>202000363-0139</t>
  </si>
  <si>
    <t>Apoyo a la apropiación tecnológica y generacional en el Departamento del Quindío</t>
  </si>
  <si>
    <t>Incrementar  en  Índice de Gobierno digital y de competitividad, además de disminuir la tasa de desempleo en el Departamento de Quindío, a través del fortalecimiento de la apropiación tecnológica, mediante estrategias de asistencia técnica, pedagógicas qué permitan lograr el empoderamiento TIC en el Departamento</t>
  </si>
  <si>
    <t>Servicio de asistencia técnica para proyectos en Tecnologías de la Información y las Comunicaciones</t>
  </si>
  <si>
    <t>Municipios asistidos en diseño, implementación, ejecución y/ o liquidación  de proyectos</t>
  </si>
  <si>
    <t>Servicio de educación para el trabajo en temas de uso pedagógico de tecnologías de la información y las comunicaciones.</t>
  </si>
  <si>
    <t>Docentes formados en uso pedagógico de tecnologías de la información y las comunicaciones.</t>
  </si>
  <si>
    <t>Servicio de telecomunicaciones para el envío de alertas tempranas a la población.</t>
  </si>
  <si>
    <t xml:space="preserve">Disponibilidad del servicio  de telecomunicaciones para el envío de alertas tempranas a la población. </t>
  </si>
  <si>
    <t>Servicio de promoción de la industria de tecnologías de la información</t>
  </si>
  <si>
    <t xml:space="preserve">Eventos para  promoción  de productos y servicio de la industria TI realizados </t>
  </si>
  <si>
    <t>202000363-0039</t>
  </si>
  <si>
    <t xml:space="preserve"> Fortalecimiento del sector empresarial del departamento del Quindío </t>
  </si>
  <si>
    <t xml:space="preserve">Incrementar la Tasa de crecimiento de puntos de acceso a internet gratis,  en Índice Departamental de Competitividad y la Tasa de Desempleo  a través de la potencialización  del Sector Empresarial del departamento del Quindío con la  apropiación y uso de las tecnologías de la información y las comunicaciones  </t>
  </si>
  <si>
    <t>Servicio de asistencia técnica a empresas de la industria de Tecnologías de la Información para mejorar sus capacidades de comercialización e innovación</t>
  </si>
  <si>
    <t>Empresas beneficiadas con actividades de fortalecimiento  de la industria TI</t>
  </si>
  <si>
    <t>Servicio de asistencia técnica a emprendedores y empresas</t>
  </si>
  <si>
    <t>Emprendedores y empresas asistidas técnicamente</t>
  </si>
  <si>
    <t xml:space="preserve">Tasa de crecimiento de puntos de acceso a internet gratis </t>
  </si>
  <si>
    <t>Servicio de educación informal en Teletrabajo</t>
  </si>
  <si>
    <t xml:space="preserve">Personas y/o entidades (públicas y privadas) de la comunidad capacitadas en teletrabajo </t>
  </si>
  <si>
    <t>Servicio de educación informal para aumentar la calidad y cantidad de talento humano para la industria TI</t>
  </si>
  <si>
    <t>Personas capacitadas en programas informales de Tecnologías de la Información</t>
  </si>
  <si>
    <t>3903</t>
  </si>
  <si>
    <t xml:space="preserve">Desarrollo tecnológico e innovación para el crecimiento empresarial </t>
  </si>
  <si>
    <t>Tasa de crecimiento de empresas en el sector productivo transformadas digitalmente</t>
  </si>
  <si>
    <t>Servicio de apoyo para la transferencia de conocimiento y tecnología</t>
  </si>
  <si>
    <t>390300501</t>
  </si>
  <si>
    <t>Nuevas tecnologías adoptadas</t>
  </si>
  <si>
    <t>202000363-0140</t>
  </si>
  <si>
    <t xml:space="preserve">   Implementación de la transformación digital del sector empresarial en el Departamento del Quindío  </t>
  </si>
  <si>
    <t xml:space="preserve">Incrementar la tasa de crecimiento de empresas en el sector productivo transformadas digitalmente,  a través de  la apropiación de herramientas digitales, qué les  permitan ser competitivos en los diferentes sectores </t>
  </si>
  <si>
    <t>390300507</t>
  </si>
  <si>
    <t>Start up generadas</t>
  </si>
  <si>
    <t>390300511</t>
  </si>
  <si>
    <t>Conocimiento tecnológico adquirido</t>
  </si>
  <si>
    <t>Incremento de emprendimientos y/o empresas de base tecnológica</t>
  </si>
  <si>
    <t>Servicios de comunicación con enfoque en ciencia tecnología y sociedad</t>
  </si>
  <si>
    <t>Juguetes, juegos o videojuegos para la comunicación de la ciencia, tecnología e innovación producidos</t>
  </si>
  <si>
    <t>202000363-0040</t>
  </si>
  <si>
    <t xml:space="preserve">  Implementación  y  divulgación de la estrategia    "Quindío innovador y competitivo"   </t>
  </si>
  <si>
    <t xml:space="preserve"> Incrementar  los  emprendimientos y/o empresas de base tecnológica a través de la implementación de una estrategia de  promoción de la  cultura  de la innovación  y gestión del  conocimiento. </t>
  </si>
  <si>
    <t>Nivel de avance alto en el Índice de Gobierno digital</t>
  </si>
  <si>
    <t>Desarrollos digitales</t>
  </si>
  <si>
    <t>Productos digitales desarrollados</t>
  </si>
  <si>
    <t>202000363-0141</t>
  </si>
  <si>
    <t xml:space="preserve"> Fortalecimiento de la estrategia de gobierno digital  en la Administración Departamental y  Entes Territoriales del departamento del  Quindío  </t>
  </si>
  <si>
    <t xml:space="preserve">Incrementar  Índice de Gobierno digital de la Administración departamental  y los Entes territoriales del Quindío generando condiciones de gobernanza, participación comunitaria y administraciones  eficientes </t>
  </si>
  <si>
    <t>Servicio de educación informal para la implementación de la estrategia de gobierno digital</t>
  </si>
  <si>
    <t>Personas capacitadas para la implementación de la Estrategia de Gobierno digital</t>
  </si>
  <si>
    <t>Servicio de educación informal en Gestión TI y en Seguridad y Privacidad de la Información</t>
  </si>
  <si>
    <t>Personas capacitadas en Gestión TI y en Seguridad y Privacidad de la Información</t>
  </si>
  <si>
    <t>Documentos de evaluación</t>
  </si>
  <si>
    <t>Documentos de evaluación de programas enfocados en generar competencias TIC</t>
  </si>
  <si>
    <t>Documentos metodológicos</t>
  </si>
  <si>
    <t>Documento metodológico del modelo de acompañamiento para la implementación de la Estrategia de Gobierno digital elaborado</t>
  </si>
  <si>
    <t>TOTAL ADMINISTRACIÓN CENTRAL:</t>
  </si>
  <si>
    <t xml:space="preserve">319 INDEPORTES QUINDÍO </t>
  </si>
  <si>
    <t>Cobertura de municipios qué participan en programas de recreación, actividad física y deporte social y comunitario en el Departamento del Quindío.
Tasa de consumo de sustancias psicoactivas X100.000 habitantes en el Departamento del Quindío</t>
  </si>
  <si>
    <t>Servicio de Escuelas Deportivas</t>
  </si>
  <si>
    <t>Municipios con Escuelas Deportivas</t>
  </si>
  <si>
    <t>Fortalecimiento, hábitos y estilos de vida saludable como instrumento SALVAVIDAS en el departamento del Quindío</t>
  </si>
  <si>
    <t xml:space="preserve">Incrementar la cobertura de municipios qué participan en programas de recreación, actividad física, deporte social y comunitario, además de la  disminución de las tasas de sustancias psicoactivas en el Departamento del Quindío,  a través   participación y promoción de actividades físicas, deportivas y recreativas. </t>
  </si>
  <si>
    <t>Fernando  Augusto Paneso Zuluaga</t>
  </si>
  <si>
    <t>Servicio de promoción de la actividad física, la recreación y el deporte</t>
  </si>
  <si>
    <t>Municipios vinculados al programa Supérate-Intercolegiados</t>
  </si>
  <si>
    <t>430103704</t>
  </si>
  <si>
    <t>Municipios implementando  programas de recreación, actividad física y deporte social comunitario</t>
  </si>
  <si>
    <t>Formular e  implementar una  política pública para el desarrollo y acceso al deporte, la recreación, la actividad física, la educación física y en uso adecuado del tiempo libre, como ejes de transformación humana y social en el departamento del Quindío</t>
  </si>
  <si>
    <t>Documentos normativos</t>
  </si>
  <si>
    <t>Política pública formulada e implementada</t>
  </si>
  <si>
    <t>Documentos normativos realizados</t>
  </si>
  <si>
    <t>Formación y preparación de deportistas. "Tú y yo campeones"</t>
  </si>
  <si>
    <t xml:space="preserve">Cobertura de ligas apoyadas en el departamento del Quindío.
Tasa de consumo de sustancias psicoactivas X100.000 habitantes en el Departamento del Quindío
</t>
  </si>
  <si>
    <t>Servicio de asistencia técnica para la promoción del deporte</t>
  </si>
  <si>
    <t xml:space="preserve">Organismos deportivos asistidos </t>
  </si>
  <si>
    <t>Fortalecimiento al deporte competitivo y de altos logros "TU Y    YO SOMOS SALVAVIDAS POR UN QUINDIO GANADOR" en el Departamento del Quindío</t>
  </si>
  <si>
    <t xml:space="preserve">Incrementar la cobertura de municipios qué participan en programas de recreación, actividad física , deporte social y comunitario, además de la  disminución de las tasas de sustancias psicoactivas en el Departamento del Quindío, a través  de  la definición de  nuevas metodologías para el desarrollo del deporte formativo y competitivo  </t>
  </si>
  <si>
    <t>Porcentaje de medallería del departamento del Quindío en los Juegos Nacionales.
Tasa de consumo de sustancias psicoactivas X100.000 habitantes en el Departamento del Quindío</t>
  </si>
  <si>
    <t>Servicio de organización de eventos deportivos de alto rendimiento</t>
  </si>
  <si>
    <t>Juegos Deportivos Realizados</t>
  </si>
  <si>
    <t>Eventos deportivos de alto rendimiento con sede en Colombia realizados</t>
  </si>
  <si>
    <t>Desarrollo de los  XXII JUEGOS DEPORTIVOS NACIONALES Y VI JUEGOS PARANACIONALES   2023</t>
  </si>
  <si>
    <t xml:space="preserve">Incrementar la cobertura de municipios qué participan en programas de recreación, actividad física , deporte social y comunitario, además de la  disminución de las tasas de sustancias psicoactivas en el Departamento del Quindío, a través de la participación deportiva y organización de eventos multideportivos  </t>
  </si>
  <si>
    <t xml:space="preserve">320 PROMOTORA DE VIVIENDA </t>
  </si>
  <si>
    <t xml:space="preserve">Infraestructura  deportiva y/o recreativa con procesos   constructivos, mejorados,  ampliados, mantenidos y/o  reforzados </t>
  </si>
  <si>
    <t xml:space="preserve">Infraestructura   deportiva y/o recreativa construida, mejorada, ampliada, mantenida, y/o  reforzada </t>
  </si>
  <si>
    <t>202000363-0142</t>
  </si>
  <si>
    <t>Mantenimiento de obras complementarias de la infraestructura  deportiva y recreativa en el Departamento del Quindío.</t>
  </si>
  <si>
    <t>Incrementar la cobertura de municipios qué participan en programas de recreación, actividad física y deporte social y comunitario en el Departamento del Quindío, a través del   mantenimiento de obras complementarias de infraestructura deportiva y recreativa en el Departamento del Quindío con el propósito de generar espacio para la utilización del tiempo libre.</t>
  </si>
  <si>
    <t>Pablo César Herrera Correa</t>
  </si>
  <si>
    <t>202000363-0143</t>
  </si>
  <si>
    <t>Mantenimiento de obras complementarias en la Infraestructura educativa en el Departamento del Quindío.</t>
  </si>
  <si>
    <t>Incrementar las tasas de cobertura bruta en preescolar, educación básica y media, a través de esfuerzos interinstitucionales para realizar  obras complementarias en  Infraestructura educativa  mantenida, en el Departamento del Quindío.</t>
  </si>
  <si>
    <t xml:space="preserve">índice de competitividad  en el sector de infraestructura vial </t>
  </si>
  <si>
    <t>202000363-0144</t>
  </si>
  <si>
    <t xml:space="preserve"> Mantenimiento de obras complementarias a la infraestructura vial en el Departamento del Quindío</t>
  </si>
  <si>
    <t>Incrementar en índice de competitividad  en el sector de infraestructura vial,    a través de obras físicas complementarias, garantizando condiciones de eficiencia, seguridad y confort a los a sus usuarios</t>
  </si>
  <si>
    <t xml:space="preserve">Servicio de asistencia técnica y jurídica en saneamiento y titulación de predios </t>
  </si>
  <si>
    <t>400100100</t>
  </si>
  <si>
    <t>Entidades territoriales asistidas técnica y jurídicamente</t>
  </si>
  <si>
    <t>202000363-0145</t>
  </si>
  <si>
    <t xml:space="preserve">Apoyo en la formulación y ejecución de proyectos de vivienda en el Departamento del Quindío  </t>
  </si>
  <si>
    <t>Disminuir en déficit cualitativo cuantitativo  de viviendas por hogares, a través de procesos de apoyo  en la formulación y ejecución de proyectos de vivienda,  con el ánimo de garantizar el derecho a la salud, a entornos saludables de los hogares de menores ingresos y a mejorar la calidad de vida de los quindianos.</t>
  </si>
  <si>
    <t>Déficit cuantitativo de viviendas por hogares</t>
  </si>
  <si>
    <t xml:space="preserve">Viviendas de Interés Prioritario urbanas construidas </t>
  </si>
  <si>
    <t>400101700</t>
  </si>
  <si>
    <t>Viviendas de Interés Prioritario urbanas construidas</t>
  </si>
  <si>
    <t xml:space="preserve">Viviendas de Interés Prioritario urbanas mejoradas </t>
  </si>
  <si>
    <t>400101800</t>
  </si>
  <si>
    <t>Viviendas de Interés Prioritario urbanas mejoradas</t>
  </si>
  <si>
    <t>Estudios de preinversión e inversión</t>
  </si>
  <si>
    <t>400103000</t>
  </si>
  <si>
    <t>Servicio de apoyo financiero para adquisición de vivienda</t>
  </si>
  <si>
    <t>Equipamientos construidos</t>
  </si>
  <si>
    <t>4001014</t>
  </si>
  <si>
    <t>Viviendas de Interés Social urbanas construidas</t>
  </si>
  <si>
    <t>400101400</t>
  </si>
  <si>
    <t>4001015</t>
  </si>
  <si>
    <t>321 INSTITUTO DEPARTAMENTAL DE TRANSITO</t>
  </si>
  <si>
    <t>Seguridad de Transporte. "Tú y yo seguros en la vía"</t>
  </si>
  <si>
    <t>Tasa de lesionados por siniestros viales por cada 100 habitantes.
Tasa de fallecidos por siniestros viales por cada 100 habitantes.</t>
  </si>
  <si>
    <t>Formular e Implementar una estrategia de movilidad saludable, segura y sostenible.</t>
  </si>
  <si>
    <t>Servicio de promoción y difusión para la seguridad de transporte</t>
  </si>
  <si>
    <t xml:space="preserve">Estrategia de movilidad saludable, segura y sostenible  formulada e implementada </t>
  </si>
  <si>
    <t xml:space="preserve">Estrategias implementadas </t>
  </si>
  <si>
    <t>202000363-0149</t>
  </si>
  <si>
    <t>Implementación del programa de seguridad vial en el Departamento del Quindío  "TU Y YO POR LA SEGURIDAD VIAL"</t>
  </si>
  <si>
    <t>Disminuir las tasa de lesionados por siniestros viales y fallecidos por siniestros viales  a través de acciones de fortalecimiento de la seguridad vial en el Departamento del Quindío.</t>
  </si>
  <si>
    <t>Formular e Implementar un programa de formación en normas de tránsito y fomento de cultura  de la seguridad en la vía.</t>
  </si>
  <si>
    <t xml:space="preserve">Servicio de educación informal en seguridad vial </t>
  </si>
  <si>
    <t>Programa de formación cultural  de la seguridad en la vía formulado e implementado.</t>
  </si>
  <si>
    <t>Programa de control y atención del tránsito y en transporte formulado e implementado</t>
  </si>
  <si>
    <t>Diseñar e Implementar un programa de señalización y demarcación en los municipios y vías de jurisdicción del IDTQ.</t>
  </si>
  <si>
    <t>Vías con dispositivos de control y señalización</t>
  </si>
  <si>
    <t>Programa de Señalización y demarcación en los municipios y vías de jurisdicción del IDTQ diseñado e Implementado</t>
  </si>
  <si>
    <t xml:space="preserve">Demarcación horizontal longitudinal realizada </t>
  </si>
  <si>
    <t>TOTAL ENTIDADES DESCENTRALIZADAS</t>
  </si>
  <si>
    <t>TOTAL POAI:</t>
  </si>
  <si>
    <t>TOTAL PRESUPUESTADO</t>
  </si>
  <si>
    <t>LINEA ESTRATEGICA</t>
  </si>
  <si>
    <t>307 SECREATRÍA DE HACIENDA</t>
  </si>
  <si>
    <t>CODIGO</t>
  </si>
  <si>
    <t>RECURSO ORDINARIO</t>
  </si>
  <si>
    <t>COFINANCIACION NACION</t>
  </si>
  <si>
    <t>SGP APSB</t>
  </si>
  <si>
    <t>RECURSOS ORDINARIO</t>
  </si>
  <si>
    <t>FONDO DE SEGURIDAD</t>
  </si>
  <si>
    <t>IVA TELEFONIA</t>
  </si>
  <si>
    <t>IMPUESTO AL REGISTRO</t>
  </si>
  <si>
    <t>MONOPOLIO</t>
  </si>
  <si>
    <t>SGP EDUCACION PS</t>
  </si>
  <si>
    <t>SGP EDUCACION AP</t>
  </si>
  <si>
    <t>FONDO RECURSO PAE</t>
  </si>
  <si>
    <t>SGP SALUD</t>
  </si>
  <si>
    <t>OTROS RECURSOS</t>
  </si>
  <si>
    <t>RECURSOS NACION</t>
  </si>
  <si>
    <t>PROPIOS</t>
  </si>
  <si>
    <t>No.</t>
  </si>
  <si>
    <t>SUB TOTAL SECTOR CENTRAL</t>
  </si>
  <si>
    <t>SUB TOTAL DESCENTRALIZADOS</t>
  </si>
  <si>
    <t>TOTAL DEPARTAMENTO QUINDIO</t>
  </si>
  <si>
    <t>TOTAL</t>
  </si>
  <si>
    <t>VALOR DEL PROYECTO</t>
  </si>
  <si>
    <t>Implementación del Modelo Integrado de Planeación y de Gestión MIPG de la Administración Departamental del Quindío (Dimensiones de Talento humano, Información y Comunicación y Gestión del Conocimiento).</t>
  </si>
  <si>
    <t xml:space="preserve">Implementación de un programa de modernización de la gestión Administrativa de la Administración Departamental del Quindío. "TÚ y YO SOMOS QUINDÍO" </t>
  </si>
  <si>
    <t xml:space="preserve">Fortalecimiento del Consejo Territorial de Planeación del Departamento del Quindío. "TÚ y YO SOMOS QUINDIO" </t>
  </si>
  <si>
    <t xml:space="preserve"> Implementación de eventos de Rendición Pública de Cuentas de divulgación de gestión de la Administración Departamental “TU Y YO SOMOS QUINDIO" </t>
  </si>
  <si>
    <t xml:space="preserve"> Implementación   de instrumentos de planificación para el Ordenamiento y la Gestión Territorial Departamental del Quindío “TU Y YO SOMOS QUINDIO" </t>
  </si>
  <si>
    <t xml:space="preserve">  Implementación del Observatorio Económico de la Administración Departamental del Quindío "TU Y YO SOMOS QUINDIO"</t>
  </si>
  <si>
    <t>Fortalecimiento del Banco de Programas y Proyectos de la administración departamental “TÚ Y YO SOMOS QUINDIO"</t>
  </si>
  <si>
    <t>Asistencia Técnica en Instrumentos de Planificación y gestión territorial en los municipios del Departamento del Quindío.</t>
  </si>
  <si>
    <t xml:space="preserve"> Implementación del Modelo Integrado de Planeación y de Gestión MIPG en la Administración Departamental del   Quindío</t>
  </si>
  <si>
    <t xml:space="preserve">Implementación de un programa para en cumplimiento de las políticas y prácticas contables de la administración departamental    del Quindío.    </t>
  </si>
  <si>
    <t>Mantenimiento de las instituciones públicas y/o de seguridad y justicia del estado en el Departamento Quindío</t>
  </si>
  <si>
    <t>Mejoramiento de la infraestructura física de las instituciones de salud pública y bienestar social del departamento en el Departamento del Quindío</t>
  </si>
  <si>
    <t xml:space="preserve"> Mantenimiento de la infraestructura Educativa en el Departamento del Quindío. </t>
  </si>
  <si>
    <t xml:space="preserve">Mantenimiento, mejoramiento y/o rehabilitación de obras físicas de infraestructura deportiva y recreativa en el Departamento del Quindío  </t>
  </si>
  <si>
    <t>Mantenimiento, mejoramiento, rehabilitación y/o atención de las vías para garantizar la movilidad y competitividad del departamento del Quindío.</t>
  </si>
  <si>
    <t>Construcción, mantenimiento y/o mejoramiento de obras de estabilización de Taludes en el Departamento del Quindío</t>
  </si>
  <si>
    <t xml:space="preserve"> Construcción, mantenimiento y/o mejoramiento de obras de infraestructura para la mitigación y atención de desastres en los municipios del departamento del Quindío </t>
  </si>
  <si>
    <t>Mantenimiento de la infraestructura institucional o de edificios públicos en el Departamento del Quindío</t>
  </si>
  <si>
    <t xml:space="preserve">309 SECRETARÍA DEL INTERIOR </t>
  </si>
  <si>
    <t>Implementación de acciones con los entes municipales, para la reducción de los delitos en el Departamento del Quindío</t>
  </si>
  <si>
    <t xml:space="preserve">  Implementación de métodos para la resolución de conflictos y el fortalecimiento de la seguridad de los ciudadanos en el Departamento del Quindío  </t>
  </si>
  <si>
    <t xml:space="preserve">Implementación de acciones de apoyo para la resocialización de las personas privadas de la libertad en las Instituciones Penitenciarias del Departamento del Quindío. </t>
  </si>
  <si>
    <t xml:space="preserve"> Implementación y/o fortalecimiento de los planes para la gestión del riesgo y desastres en las Instituciones Educativas Oficiales del Departamento </t>
  </si>
  <si>
    <t>Asistencia, atención y capacitación a la población excombatiente en el Departamento del Quindío</t>
  </si>
  <si>
    <t xml:space="preserve"> Fortalecimiento de los organismos de seguridad del Departamento del Quindío, para mejorar la convivencia, preservación del orden público y la seguridad ciudadana. </t>
  </si>
  <si>
    <t xml:space="preserve"> Implementación del Plan Integral de prevención de vulneraciones de los Derechos Humanos DDHH e infracciones al Derecho Internacional Humanitario DIH en el Departamento del Quindío </t>
  </si>
  <si>
    <t>Fortalecimiento institucional de las entidades municipales para la consolidación de la convivencia, el orden público y la seguridad ciudadana en el departamento del Quindío</t>
  </si>
  <si>
    <t>Fortalecimiento de los procesos de planificación del territorio para en conocimiento y reducción del riesgo en el Departamento del Quindío.</t>
  </si>
  <si>
    <t xml:space="preserve"> Fortalecimiento de la participación ciudadana, veedurías y organizaciones comunales para el cumplimiento, protección y restablecimiento de los derechos contemplados en la Constitución Política.   </t>
  </si>
  <si>
    <t xml:space="preserve">Implementación de la "Ruta de la felicidad y la identidad quindiana", para el fortalecimiento y visibilizarían de los procesos artísticos y culturales en el Departamento del Quindío  </t>
  </si>
  <si>
    <t xml:space="preserve">Implementación del programa "Tú y Yo Somos Cultura", para el fortalecimiento a la lectura, escritura y bibliotecas en el Departamento del Quindío   </t>
  </si>
  <si>
    <t xml:space="preserve"> Apoyo artistas y gestores culturales del departamento del Quindío con el beneficio de la Seguridad Social.  </t>
  </si>
  <si>
    <t xml:space="preserve">Fortalecimiento de la competitividad y productividad en el departamento del Quindío </t>
  </si>
  <si>
    <t xml:space="preserve"> Fortalecimiento del sector empresarial para el acceso a nuevos mercados en el departamento del Quindío </t>
  </si>
  <si>
    <t xml:space="preserve"> Mejoramiento de la competitividad del departamento como destino turístico sostenible y de calidad.</t>
  </si>
  <si>
    <t xml:space="preserve"> Fortalecimiento de la promoción turística del destino Quindío a nivel nacional e internacional </t>
  </si>
  <si>
    <t xml:space="preserve"> Fortalecimiento e implementación de procesos de mercadeo y comercialización agropecuaria en el Departamento del Quindío.                </t>
  </si>
  <si>
    <t xml:space="preserve"> Servicio de apoyo en la formulación y estructuración de proyectos de Desarrollo Rural e inclusión productiva campesina en el Departamento del Quindío  </t>
  </si>
  <si>
    <t xml:space="preserve"> Fortalecimiento de eventos y ferias para la competitividad productiva y empresarial del sector rural en el Departamento del Quindío </t>
  </si>
  <si>
    <t xml:space="preserve"> Implementación de procesos de sanidad e inocuidad alimentaria en el departamento del Quindío. </t>
  </si>
  <si>
    <t xml:space="preserve"> Fortalecimiento de nuevos emprendimientos e iniciativas clúster de las cadenas promisorias agropecuarias en el Departamento del Quindío.                     </t>
  </si>
  <si>
    <t xml:space="preserve">Fortalecimiento de los procesos de Gestión Ambiental Urbana y Rural para la protección del Paisaje y la Biodiversidad en el departamento del   Quindío  </t>
  </si>
  <si>
    <t xml:space="preserve"> Apoyo a la generación de entornos amigables para los animales domésticos y silvestres, en el departamento del Quindío </t>
  </si>
  <si>
    <t xml:space="preserve">Realización de campañas de sensibilización y apropiación del patrimonio ambiental del paisaje, la biodiversidad y sus servicios ecosistémicos en el Departamento del Quindío </t>
  </si>
  <si>
    <t xml:space="preserve">Implementación de un programa de protección del patrimonio ambiental, en paisaje, la biodiversidad y sus servicios ecosistémicos en el Departamento del Quindío  </t>
  </si>
  <si>
    <t>Implementar la Política de Transparencia, Acceso a la Información Pública y Lucha Contra la Corrupción del Modelo Integrado de Planificación y Gestión MIPG, articulada con el "Pacto por la Integridad, Transparencia y Legalidad” en el departamento del Quindío</t>
  </si>
  <si>
    <t>Desarrollo e implementación de una estrategia de comunicaciones de la gestión institucional de la Administración Departamental del Quindío "Hacia un gobierno abierto".</t>
  </si>
  <si>
    <t>Fortalecimiento de las capacidades institucionales de la administración departamental del Quindío, para generar condiciones de gobernanza territorial, participación, administración eficiente y transparente.</t>
  </si>
  <si>
    <t>Fortalecimiento de las Tecnologías de Información y Comunicación TIC, para una innovación educativa de calidad en el departamento del Quindío.</t>
  </si>
  <si>
    <t>Fortalecimiento de estrategias para en acceso y la permanencia de los estudiantes egresados de los Establecimientos Educativos Oficiales a la educación superior o terciaria en el Departamento del Quindío.</t>
  </si>
  <si>
    <t>Implementación y fortalecimiento de las estrategias qué fomenten la ciencia, la tecnología y la innovación en las Instituciones Educativas Oficiales del Departamento.</t>
  </si>
  <si>
    <t xml:space="preserve">Diseño e implementación de campañas para la promoción de la vida y prevención del consumo de sustancias psicoactivas en el Departamento del Quindío, “TU Y YO UNIDOS POR LA VIDA".  </t>
  </si>
  <si>
    <t xml:space="preserve"> Implementación acciones de fortalecimiento de los entornos protectores de los jóvenes en barrios vulnerables de los municipios, del Departamento del Quindío. </t>
  </si>
  <si>
    <t>Diseño e implementación de un Modelo de Atención Integral a la Primera Infancia a través de las Rutas Integrales de Atención RIAS en el departamento del Quindío</t>
  </si>
  <si>
    <t xml:space="preserve"> Implementación de la política pública de Familia para la promoción del desarrollo integral de la población del Departamento del Quindío. </t>
  </si>
  <si>
    <t xml:space="preserve"> Revisión, ajuste e implementación de la política pública de primera infancia, infancia y adolescencia en el Departamento del Quindío  </t>
  </si>
  <si>
    <t xml:space="preserve"> Implementación de la política pública de juventud en el Departamento del Quindío  </t>
  </si>
  <si>
    <t xml:space="preserve"> Diseño e implementación de programa de acompañamiento familiar y comunitario con enfoque preventivo en los tipos de violencias en el Departamento del Quindío "TU Y YO COMPROMETIDOS CON LA FAMILIA" </t>
  </si>
  <si>
    <t xml:space="preserve"> Servicio de atención Post egreso de adolescentes y jóvenes, en los servicios de restablecimiento en la administración de justicia, con enfoque pedagógico y restaurativo encaminados a la inclusión social en el Departamento del   Quindío.</t>
  </si>
  <si>
    <t xml:space="preserve">  Fortalecimiento de unidades productivas colectivas juveniles para la generación de ingresos en el departamento del Quindío  </t>
  </si>
  <si>
    <t xml:space="preserve">  Formulación e Implementación del programa departamental para atención al ciudadano migrante y de repatriación.  </t>
  </si>
  <si>
    <t xml:space="preserve">   Desarrollo de un programa de acompañamiento familiar y comunitario en procesos de Inclusión social y productivos para el emprendimiento de alternativas de generación de ingresos en el departamento del Quindío  </t>
  </si>
  <si>
    <t xml:space="preserve">  Formulación e implementación   de proyectos productivos dirigidos a la población en condición de discapacidad y sus familias para la generación de ingresos y fortalecimiento del entorno familiar.  </t>
  </si>
  <si>
    <t xml:space="preserve">  Apoyo en la construcción e Implementación de los Planes de Vida de los Cabildos y Resguardos indígenas asentados en el Departamento del Quindío "TU Y YO UNIDOS CON DIGNIDAD".  </t>
  </si>
  <si>
    <t xml:space="preserve">   Apoyo en la articulación de la oferta social para la población habitante de calle del Departamento del Quindío  </t>
  </si>
  <si>
    <t xml:space="preserve">    Implementación de la política pública de diversidad sexual en el Departamento del Quindío 2019-2029  </t>
  </si>
  <si>
    <t xml:space="preserve"> Servicio de atención integral e inclusión para el bienestar de los adultos mayores del departamento del Quindío </t>
  </si>
  <si>
    <t xml:space="preserve">  Revisar y ajustar la política pública de discapacidad del departamento del Quindío  </t>
  </si>
  <si>
    <t xml:space="preserve">Implementación de la Casa de la Mujer Empoderada para la promoción a la participación ciudadana de Mujeres en escenarios sociales, políticos y en fortalecimiento de la asociatividad en el departamento del Quindío " TU Y YO CON LAS MUJERES EMPODERADAS." </t>
  </si>
  <si>
    <t xml:space="preserve"> Implementación de estrategias de acompañamiento y asesoría a las asociaciones de mujeres del departamento del Quindío</t>
  </si>
  <si>
    <t>Desarrollo de jornadas de capacitación, sensibilización y prevención del trabajo infantil y protección del adolescente en el departamento del Quindío.</t>
  </si>
  <si>
    <t xml:space="preserve"> Implementación del programa de liderazgo para la participación femenina en escenarios sociales y políticos del departamento del Quindío</t>
  </si>
  <si>
    <t>Formulación de la política pública de adulto mayor en el Departamento del Quindío.</t>
  </si>
  <si>
    <t xml:space="preserve"> Implementación de programas de promoción social en poblaciones especiales en el Departamento del Quindío </t>
  </si>
  <si>
    <t xml:space="preserve"> Fortalecimiento de las actividades de vigilancia y control del laboratorio de salud pública en el Departamento del Quindío  </t>
  </si>
  <si>
    <t xml:space="preserve"> Aprovechamiento biológico y consumo de alimentos inocuos en el Departamento del Quindío </t>
  </si>
  <si>
    <t>Control en Salud Ambiental para la consecución de un estado de vida saludable de la población del Departamento del Quindío.</t>
  </si>
  <si>
    <t>Prestación de Servicios a la Población no Afiliada al Sistema General de Seguridad Social en Salud y en los no POS a la Población del Régimen Subsidiado.</t>
  </si>
  <si>
    <t>324 SECRETARÍA TECNOLÓGIAS DE LA INFORMACIÓN Y COMUNICACIÓN</t>
  </si>
  <si>
    <t xml:space="preserve"> Fortalecimiento y apoyo a las tecnologías de la información y las comunicaciones en el departamento del Quindío.</t>
  </si>
  <si>
    <t xml:space="preserve">  Implementación y divulgación de la estrategia    "Quindío innovador y competitivo"   </t>
  </si>
  <si>
    <t xml:space="preserve"> Fortalecimiento de la estrategia de gobierno digital en la Administración Departamental y los Entes Territoriales del departamento del Quindío  </t>
  </si>
  <si>
    <t>TOTAL SECTOR CENTRAL</t>
  </si>
  <si>
    <t>202000363-0009</t>
  </si>
  <si>
    <t>202000363-0010</t>
  </si>
  <si>
    <t>202000363-0013</t>
  </si>
  <si>
    <t>Desarrollo de los XXII JUEGOS DEPORTIVOS NACIONALES Y VI JUEGOS PARANACIONALES   2023</t>
  </si>
  <si>
    <t>Mantenimiento de obras complementarias de la infraestructura deportiva y recreativa en el Departamento del Quindío.</t>
  </si>
  <si>
    <t xml:space="preserve">  Mantenimiento de obras complementarias a la infraestructura vial en el Departamento del Quindío </t>
  </si>
  <si>
    <t xml:space="preserve"> Apoyo en la formulación y ejecución de proyectos de vivienda en el Departamento del Quindío   </t>
  </si>
  <si>
    <t>202000363-0146</t>
  </si>
  <si>
    <t>Implementación del programa de seguridad vial en el Departamento del Quindío “TU Y YO POR LA SEGURIDAD VIAL"</t>
  </si>
  <si>
    <t>TOTAL DESCENTRALIZADOS</t>
  </si>
  <si>
    <t>TOTAL INVERSION DEPARTAMENTAL</t>
  </si>
  <si>
    <t xml:space="preserve">Programa de saneamiento fiscal y financiero ejecutado </t>
  </si>
  <si>
    <t>José Ignacio Rojas Sepúlveda</t>
  </si>
  <si>
    <t>Rendición de cuentas realizadas</t>
  </si>
  <si>
    <t>Programa de saneamiento fiscal y financiero ejecutado</t>
  </si>
  <si>
    <t>Mantenimiento  de la infraestructura institucional o de edificios públicos en el Departamento del Quindío</t>
  </si>
  <si>
    <t xml:space="preserve"> Implementación  de acciones con los Entes Municipales, para la reducción de los delitos en el Departamento del Quindío</t>
  </si>
  <si>
    <t xml:space="preserve">Fortalecimiento institucional de la entidades municipales para la consolidación de la convivencia, el orden público  y la seguridad ciudadana  en el departamento del Quindío  </t>
  </si>
  <si>
    <t>Gestión del riesgo de desastres y emergencias. "Tú y yo preparados en gestión del riesgo"</t>
  </si>
  <si>
    <t>Municipios con organismos de Acción Comunal fortalecidos.</t>
  </si>
  <si>
    <t xml:space="preserve">Servicio de información para el sector artístico y cultural </t>
  </si>
  <si>
    <t>Sistema de información del sector artístico cultural en operación</t>
  </si>
  <si>
    <t>Servicio de asistencia técnica a las MiPymes para el acceso a nuevos mercados</t>
  </si>
  <si>
    <t>Servicio de educación informal en el marco de la conservación de la biodiversidad y los Servicio ecosistémicos</t>
  </si>
  <si>
    <t>Calidad y fomento de la Educación "Tú y yo preparados para la educación superior"</t>
  </si>
  <si>
    <t>Ciencia, Tecnología e Innovación</t>
  </si>
  <si>
    <t xml:space="preserve"> Diseño e implementación de un  Modelo de  atención integral a la primera infancia  a través de las Rutas Integrales de Atención  RIA en el Departamento del  Quindío </t>
  </si>
  <si>
    <t>Formulación de la política pública de adulto mayor en el Departamento del Quindío</t>
  </si>
  <si>
    <t>Disminuir Tasa de Suicidio  y Violencia Intrafamiliar, además del aumento de la Cobertura a los grupos de adulto mayor, a través de la formulación de la política pública de este grupo de población en el Departamento del Quindío.</t>
  </si>
  <si>
    <t>Yenny Alexandra Trujillo Álzate</t>
  </si>
  <si>
    <t>Fomento del desarrollo de aplicaciones, software y contenidos para impulsar la apropiación de las Tecnologías de la Información y las Comunicaciones (TIC) "Quindío paraíso empresarial TIC-Quindío TIC"</t>
  </si>
  <si>
    <t>Estrategias de promoción de la cultura ciudadana implementadas</t>
  </si>
  <si>
    <t>Formular e Implementar un programa de control, prevención y atención del tránsito y el transporte en los municipios y vías de jurisdicción del IDTQ.</t>
  </si>
  <si>
    <t>MARZO  31  DE  2021</t>
  </si>
  <si>
    <t xml:space="preserve">Secretaría de las Tecnológias de la Información y las Comunicaciones </t>
  </si>
  <si>
    <t xml:space="preserve"> INDEPORTES QUINDÍO </t>
  </si>
  <si>
    <t>Promotora de Vivienda</t>
  </si>
  <si>
    <t>Instituto Departamental de Tránsito</t>
  </si>
  <si>
    <t>Gloria Elcy Roa Jaramillo</t>
  </si>
  <si>
    <t>DEFINITIVO</t>
  </si>
  <si>
    <t>COMPROMISOS</t>
  </si>
  <si>
    <t>OBLIGACIONES</t>
  </si>
  <si>
    <t>PLAN OPERATIVO ANUAL DE INVERSIÓN POAI  2021 - PLAN DE DESARROLLO 2020-2023 "TÚ Y YO SOMOS QUINDIO"
MARZO 31 DE 2021</t>
  </si>
  <si>
    <t>META  VIGENCIA
2021</t>
  </si>
  <si>
    <t xml:space="preserve">PROGRAMADA </t>
  </si>
  <si>
    <t>EJECUTADA</t>
  </si>
  <si>
    <t>PRESUPUESTADO</t>
  </si>
  <si>
    <t>F-PLA-43</t>
  </si>
  <si>
    <t xml:space="preserve"> 1 de 1</t>
  </si>
  <si>
    <t>SEGUIMIENTO PLAN OPERATIVO ANUAL DE INVERSIÓN POAI 2021 
PLAN DE DESARROLLO 2020-2023 "TÚ Y YO SOMOS QUINDIO "</t>
  </si>
  <si>
    <t>COMPROMISO</t>
  </si>
  <si>
    <t>OBLIGACIÓN</t>
  </si>
  <si>
    <t xml:space="preserve"> Banco de Programas y Proyectos del Departamento  con procesos de fortalecimiento</t>
  </si>
  <si>
    <t>SOBRETASA ACPM</t>
  </si>
  <si>
    <t>ESTAMPILLA PRO CULTURA</t>
  </si>
  <si>
    <t>ESTAMILLA PRO DESARROLLO</t>
  </si>
  <si>
    <t xml:space="preserve">COFINANCIACIÓN NACIÓN </t>
  </si>
  <si>
    <t>ESTAMPILLA PRO ADULTO MAYOR</t>
  </si>
  <si>
    <t>COFINANCIACIÓN NACIÓN</t>
  </si>
  <si>
    <t>ESTAMPILLA PRODESARROLLO</t>
  </si>
  <si>
    <t>PLAN OPERATIVO ANUAL DE INVERSIONES 2021
DEPARTAMENTO DEL QUINDIO
RECURSOS POR LINEA ESTRATÉGICA
MARZO 31 DE 2021</t>
  </si>
  <si>
    <t>% OBLIG</t>
  </si>
  <si>
    <t>% COMPR</t>
  </si>
  <si>
    <t>PLAN OPERATIVO ANUAL DE INVERSIONES 2021
SECTOR CENTRAL ADMINISTRACION DEPARTAMENTAL
RECURSOS POR LINEA ESTRATÉGICA
A MARZO 31 DE 2021</t>
  </si>
  <si>
    <t>PLAN OPERATIVO ANUAL DE INVERSIONES 2021
ENTES DESCENTRALIZADOS
RECURSOS POR LINEA ESTRATÉGICA
A MARZO 31 DE 2021</t>
  </si>
  <si>
    <t>% OBLIGACIONES</t>
  </si>
  <si>
    <t>% OBLI</t>
  </si>
  <si>
    <t>% COMPROMIOS</t>
  </si>
  <si>
    <t>ESTADO DE EJECUCIÓN DE PROYECTOS DE INVERSION PUBLICA DEPARTAMENTAL VIABILIZADOS, PRIORIZADOS Y APROBADOS 
A MARZO  2021</t>
  </si>
  <si>
    <t xml:space="preserve">
PLAN OPERATIVO ANUAL DE INVERSIÓN POAI  2021  
PLAN DE DESARROLLO 2020-2023 "TÚ Y YO SOMOS QUINDIO" 
A MARZO 31 DE 2020</t>
  </si>
  <si>
    <t xml:space="preserve">SGP PRESTACIÓN DE SERVICIOS - EDUCACIÓN  - Y CONECTIVIDAD
(29-09-188)
</t>
  </si>
  <si>
    <t>Registros sanitarios expedidos</t>
  </si>
  <si>
    <t>}</t>
  </si>
  <si>
    <t>María Aleyda  Marín Betancourt</t>
  </si>
  <si>
    <t>Gilberto Gutierrez Caro</t>
  </si>
  <si>
    <t>Ximena Escobar Mejìa</t>
  </si>
  <si>
    <t>Jorge Ivan Zapata Botero</t>
  </si>
  <si>
    <t>Jaime Andrés Pérez Cotrino</t>
  </si>
  <si>
    <t xml:space="preserve"> MONOPOLIO</t>
  </si>
  <si>
    <t xml:space="preserve">FONDO LOCAL 
RENTAS CEDIDAS </t>
  </si>
  <si>
    <t>Maria Teresa Ramírez León</t>
  </si>
  <si>
    <t>PLAN OPERATIVO ANUAL DE INVERSIONES
ENTES DESCENTRALIZADOS
MARZO 31 DE 2021</t>
  </si>
  <si>
    <t>PLAN OPERATIVO ANUAL DE INVERSIONES
SECTOR CENTRAL ADMINISTRACION DEPARTAMENTAL
MARZO 31 DE 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</si>
</sst>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21">
    <numFmt numFmtId="44" formatCode="_(&quot;$&quot;\ * #,##0.00_);_(&quot;$&quot;\ * \(#,##0.00\);_(&quot;$&quot;\ * &quot;-&quot;??_);_(@_)"/>
    <numFmt numFmtId="43" formatCode="_(* #,##0.00_);_(* \(#,##0.00\);_(* &quot;-&quot;??_);_(@_)"/>
    <numFmt numFmtId="164" formatCode="_-&quot;$&quot;\ * #,##0_-;\-&quot;$&quot;\ * #,##0_-;_-&quot;$&quot;\ * &quot;-&quot;_-;_-@_-"/>
    <numFmt numFmtId="165" formatCode="_-* #,##0_-;\-* #,##0_-;_-* &quot;-&quot;_-;_-@_-"/>
    <numFmt numFmtId="166" formatCode="_-&quot;$&quot;\ * #,##0.00_-;\-&quot;$&quot;\ * #,##0.00_-;_-&quot;$&quot;\ * &quot;-&quot;??_-;_-@_-"/>
    <numFmt numFmtId="167" formatCode="_-* #,##0.00_-;\-* #,##0.00_-;_-* &quot;-&quot;??_-;_-@_-"/>
    <numFmt numFmtId="168" formatCode="_-&quot;$&quot;* #,##0_-;\-&quot;$&quot;* #,##0_-;_-&quot;$&quot;* &quot;-&quot;_-;_-@_-"/>
    <numFmt numFmtId="169" formatCode="_-&quot;$&quot;* #,##0.00_-;\-&quot;$&quot;* #,##0.00_-;_-&quot;$&quot;* &quot;-&quot;??_-;_-@_-"/>
    <numFmt numFmtId="170" formatCode="_([$$-240A]\ * #,##0.00_);_([$$-240A]\ * \(#,##0.00\);_([$$-240A]\ * &quot;-&quot;??_);_(@_)"/>
    <numFmt numFmtId="171" formatCode="00"/>
    <numFmt numFmtId="172" formatCode="_(* #,##0_);_(* \(#,##0\);_(* &quot;-&quot;??_);_(@_)"/>
    <numFmt numFmtId="173" formatCode="_-* #,##0_-;\-* #,##0_-;_-* &quot;-&quot;??_-;_-@_-"/>
    <numFmt numFmtId="174" formatCode="_-* #,##0.00_-;\-* #,##0.00_-;_-* &quot;-&quot;_-;_-@_-"/>
    <numFmt numFmtId="175" formatCode="_-&quot;$&quot;\ * #,##0.00_-;\-&quot;$&quot;\ * #,##0.00_-;_-&quot;$&quot;\ * &quot;-&quot;_-;_-@_-"/>
    <numFmt numFmtId="176" formatCode="_(&quot;$&quot;\ * #,##0_);_(&quot;$&quot;\ * \(#,##0\);_(&quot;$&quot;\ * &quot;-&quot;??_);_(@_)"/>
    <numFmt numFmtId="177" formatCode="_-[$$-240A]\ * #,##0.00_-;\-[$$-240A]\ * #,##0.00_-;_-[$$-240A]\ * &quot;-&quot;??_-;_-@_-"/>
    <numFmt numFmtId="178" formatCode="_-* #,##0.00\ _€_-;\-* #,##0.00\ _€_-;_-* &quot;-&quot;??\ _€_-;_-@_-"/>
    <numFmt numFmtId="179" formatCode="_ [$€-2]\ * #,##0.00_ ;_ [$€-2]\ * \-#,##0.00_ ;_ [$€-2]\ * &quot;-&quot;??_ "/>
    <numFmt numFmtId="180" formatCode="_-&quot;$&quot;* #,##0.00_-;\-&quot;$&quot;* #,##0.00_-;_-&quot;$&quot;* &quot;-&quot;_-;_-@_-"/>
    <numFmt numFmtId="181" formatCode="#,##0."/>
    <numFmt numFmtId="182" formatCode="_ * #,##0.00_ ;_ * \-#,##0.00_ ;_ * &quot;-&quot;??_ ;_ @_ "/>
  </numFmts>
  <fonts count="61" x14ac:knownFonts="1">
    <font>
      <sz val="11"/>
      <color theme="1"/>
      <name val="Calibri"/>
      <family val="2"/>
      <scheme val="minor"/>
    </font>
    <font>
      <sz val="11"/>
      <color theme="1"/>
      <name val="Calibri"/>
      <family val="2"/>
      <scheme val="minor"/>
    </font>
    <font>
      <sz val="12"/>
      <name val="Arial"/>
      <family val="2"/>
    </font>
    <font>
      <b/>
      <sz val="12"/>
      <name val="Arial"/>
      <family val="2"/>
    </font>
    <font>
      <b/>
      <sz val="10"/>
      <name val="Arial"/>
      <family val="2"/>
    </font>
    <font>
      <sz val="11"/>
      <color indexed="8"/>
      <name val="Calibri"/>
      <family val="2"/>
    </font>
    <font>
      <sz val="12"/>
      <color theme="1"/>
      <name val="Arial"/>
      <family val="2"/>
    </font>
    <font>
      <b/>
      <sz val="11"/>
      <color rgb="FF6F6F6E"/>
      <name val="Calibri"/>
      <family val="2"/>
      <scheme val="minor"/>
    </font>
    <font>
      <sz val="10"/>
      <name val="Arial"/>
      <family val="2"/>
    </font>
    <font>
      <sz val="8"/>
      <name val="Calibri"/>
      <family val="2"/>
      <scheme val="minor"/>
    </font>
    <font>
      <b/>
      <sz val="11"/>
      <color theme="0"/>
      <name val="Calibri"/>
      <family val="2"/>
      <scheme val="minor"/>
    </font>
    <font>
      <sz val="11"/>
      <color rgb="FF000000"/>
      <name val="Calibri"/>
      <family val="2"/>
    </font>
    <font>
      <sz val="12"/>
      <color theme="1"/>
      <name val="Arial"/>
      <family val="2"/>
    </font>
    <font>
      <b/>
      <sz val="12"/>
      <color theme="0"/>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sz val="18"/>
      <color theme="3"/>
      <name val="Calibri Light"/>
      <family val="2"/>
      <scheme val="major"/>
    </font>
    <font>
      <sz val="10"/>
      <color theme="1"/>
      <name val="Arial"/>
      <family val="2"/>
    </font>
    <font>
      <sz val="12"/>
      <color theme="0"/>
      <name val="Arial"/>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
      <color indexed="8"/>
      <name val="Courier"/>
      <family val="3"/>
    </font>
    <font>
      <b/>
      <sz val="1"/>
      <color indexed="8"/>
      <name val="Courier"/>
      <family val="3"/>
    </font>
    <font>
      <b/>
      <i/>
      <sz val="1"/>
      <color indexed="8"/>
      <name val="Courier"/>
      <family val="3"/>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5"/>
      <color indexed="56"/>
      <name val="Calibri"/>
      <family val="2"/>
    </font>
    <font>
      <b/>
      <sz val="13"/>
      <color indexed="56"/>
      <name val="Calibri"/>
      <family val="2"/>
    </font>
    <font>
      <b/>
      <sz val="18"/>
      <color indexed="56"/>
      <name val="Cambria"/>
      <family val="2"/>
    </font>
    <font>
      <b/>
      <sz val="11"/>
      <color indexed="8"/>
      <name val="Calibri"/>
      <family val="2"/>
    </font>
    <font>
      <sz val="10"/>
      <name val="Arial"/>
      <family val="2"/>
      <charset val="1"/>
    </font>
    <font>
      <sz val="11"/>
      <color rgb="FFFFFFFF"/>
      <name val="Arial"/>
      <family val="2"/>
      <charset val="1"/>
    </font>
    <font>
      <b/>
      <sz val="10"/>
      <color theme="0"/>
      <name val="Arial"/>
      <family val="2"/>
    </font>
    <font>
      <b/>
      <sz val="12"/>
      <color rgb="FFFFFFFF"/>
      <name val="Arial"/>
      <family val="2"/>
    </font>
    <font>
      <sz val="12"/>
      <color rgb="FF000000"/>
      <name val="Arial"/>
      <family val="2"/>
    </font>
    <font>
      <b/>
      <sz val="12"/>
      <color theme="1"/>
      <name val="Arial"/>
      <family val="2"/>
    </font>
    <font>
      <b/>
      <sz val="12"/>
      <color rgb="FF000000"/>
      <name val="Arial"/>
      <family val="2"/>
    </font>
    <font>
      <sz val="12"/>
      <color rgb="FF000000"/>
      <name val="Arial"/>
      <family val="2"/>
    </font>
    <font>
      <b/>
      <sz val="11"/>
      <color theme="1"/>
      <name val="Arial"/>
      <family val="2"/>
    </font>
    <font>
      <b/>
      <sz val="11"/>
      <color indexed="8"/>
      <name val="Arial"/>
      <family val="2"/>
    </font>
    <font>
      <sz val="11"/>
      <color theme="1"/>
      <name val="Arial"/>
      <family val="2"/>
    </font>
  </fonts>
  <fills count="74">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92D050"/>
        <bgColor indexed="64"/>
      </patternFill>
    </fill>
    <fill>
      <patternFill patternType="solid">
        <fgColor rgb="FF002060"/>
        <bgColor indexed="64"/>
      </patternFill>
    </fill>
    <fill>
      <patternFill patternType="solid">
        <fgColor rgb="FFFFC000"/>
        <bgColor indexed="64"/>
      </patternFill>
    </fill>
    <fill>
      <patternFill patternType="solid">
        <fgColor rgb="FF00B0F0"/>
        <bgColor indexed="64"/>
      </patternFill>
    </fill>
    <fill>
      <patternFill patternType="solid">
        <fgColor rgb="FFECECEC"/>
        <bgColor indexed="64"/>
      </patternFill>
    </fill>
    <fill>
      <patternFill patternType="solid">
        <fgColor theme="4" tint="0.39997558519241921"/>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FFFFFF"/>
        <bgColor indexed="64"/>
      </patternFill>
    </fill>
    <fill>
      <patternFill patternType="solid">
        <fgColor rgb="FF522B57"/>
        <bgColor indexed="64"/>
      </patternFill>
    </fill>
    <fill>
      <patternFill patternType="solid">
        <fgColor theme="0"/>
        <bgColor rgb="FF000000"/>
      </patternFill>
    </fill>
    <fill>
      <patternFill patternType="solid">
        <fgColor rgb="FF8EA9DB"/>
        <bgColor indexed="64"/>
      </patternFill>
    </fill>
    <fill>
      <patternFill patternType="solid">
        <fgColor theme="3" tint="0.59999389629810485"/>
        <bgColor indexed="64"/>
      </patternFill>
    </fill>
    <fill>
      <patternFill patternType="solid">
        <fgColor theme="3" tint="0.39997558519241921"/>
        <bgColor indexed="64"/>
      </patternFill>
    </fill>
    <fill>
      <patternFill patternType="solid">
        <fgColor theme="9" tint="0.39997558519241921"/>
        <bgColor indexed="64"/>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6" tint="0.39997558519241921"/>
        <bgColor indexed="64"/>
      </patternFill>
    </fill>
    <fill>
      <patternFill patternType="solid">
        <fgColor theme="0" tint="-4.9989318521683403E-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rgb="FFFF6600"/>
        <bgColor rgb="FFFF9900"/>
      </patternFill>
    </fill>
  </fills>
  <borders count="84">
    <border>
      <left/>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522B57"/>
      </left>
      <right style="thin">
        <color rgb="FF522B57"/>
      </right>
      <top style="thin">
        <color rgb="FF522B57"/>
      </top>
      <bottom style="thin">
        <color rgb="FF522B57"/>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medium">
        <color rgb="FFECECEC"/>
      </left>
      <right style="medium">
        <color rgb="FFECECEC"/>
      </right>
      <top style="medium">
        <color rgb="FFECECEC"/>
      </top>
      <bottom style="medium">
        <color rgb="FFECECEC"/>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indexed="64"/>
      </bottom>
      <diagonal/>
    </border>
    <border>
      <left style="thin">
        <color indexed="64"/>
      </left>
      <right/>
      <top style="thin">
        <color rgb="FF000000"/>
      </top>
      <bottom style="thin">
        <color indexed="64"/>
      </bottom>
      <diagonal/>
    </border>
    <border>
      <left/>
      <right style="thin">
        <color rgb="FF000000"/>
      </right>
      <top style="thin">
        <color rgb="FF000000"/>
      </top>
      <bottom/>
      <diagonal/>
    </border>
    <border>
      <left/>
      <right/>
      <top style="thin">
        <color rgb="FF000000"/>
      </top>
      <bottom/>
      <diagonal/>
    </border>
    <border>
      <left style="thin">
        <color rgb="FF000000"/>
      </left>
      <right style="thin">
        <color rgb="FF000000"/>
      </right>
      <top/>
      <bottom/>
      <diagonal/>
    </border>
    <border>
      <left style="thin">
        <color rgb="FF000000"/>
      </left>
      <right style="thin">
        <color indexed="64"/>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indexed="64"/>
      </left>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right/>
      <top style="thin">
        <color theme="4"/>
      </top>
      <bottom/>
      <diagonal/>
    </border>
    <border>
      <left style="thin">
        <color rgb="FF000000"/>
      </left>
      <right/>
      <top style="thin">
        <color theme="4"/>
      </top>
      <bottom style="thin">
        <color indexed="64"/>
      </bottom>
      <diagonal/>
    </border>
    <border>
      <left/>
      <right style="thin">
        <color rgb="FF000000"/>
      </right>
      <top style="thin">
        <color theme="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style="thin">
        <color indexed="64"/>
      </right>
      <top style="thin">
        <color rgb="FF000000"/>
      </top>
      <bottom style="thin">
        <color indexed="64"/>
      </bottom>
      <diagonal/>
    </border>
    <border>
      <left/>
      <right/>
      <top style="thin">
        <color rgb="FF000000"/>
      </top>
      <bottom style="thin">
        <color indexed="64"/>
      </bottom>
      <diagonal/>
    </border>
    <border>
      <left style="thin">
        <color rgb="FF000000"/>
      </left>
      <right style="thin">
        <color rgb="FF000000"/>
      </right>
      <top style="thin">
        <color indexed="64"/>
      </top>
      <bottom style="thin">
        <color rgb="FF00000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rgb="FF000000"/>
      </left>
      <right/>
      <top style="thin">
        <color rgb="FF000000"/>
      </top>
      <bottom style="thin">
        <color theme="4" tint="0.39997558519241921"/>
      </bottom>
      <diagonal/>
    </border>
    <border>
      <left style="thin">
        <color rgb="FF000000"/>
      </left>
      <right style="thin">
        <color rgb="FF000000"/>
      </right>
      <top/>
      <bottom style="thin">
        <color indexed="64"/>
      </bottom>
      <diagonal/>
    </border>
    <border>
      <left style="thin">
        <color indexed="64"/>
      </left>
      <right style="thin">
        <color indexed="64"/>
      </right>
      <top style="thin">
        <color indexed="64"/>
      </top>
      <bottom/>
      <diagonal/>
    </border>
    <border>
      <left style="thin">
        <color rgb="FF000000"/>
      </left>
      <right/>
      <top/>
      <bottom/>
      <diagonal/>
    </border>
    <border>
      <left/>
      <right style="thin">
        <color rgb="FF000000"/>
      </right>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top/>
      <bottom style="medium">
        <color rgb="FF000000"/>
      </bottom>
      <diagonal/>
    </border>
    <border>
      <left style="medium">
        <color rgb="FF000000"/>
      </left>
      <right style="medium">
        <color rgb="FF000000"/>
      </right>
      <top/>
      <bottom style="medium">
        <color rgb="FF000000"/>
      </bottom>
      <diagonal/>
    </border>
    <border>
      <left style="medium">
        <color rgb="FF000000"/>
      </left>
      <right/>
      <top style="medium">
        <color indexed="64"/>
      </top>
      <bottom style="medium">
        <color rgb="FF000000"/>
      </bottom>
      <diagonal/>
    </border>
    <border>
      <left/>
      <right/>
      <top style="medium">
        <color indexed="64"/>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medium">
        <color rgb="FF000000"/>
      </left>
      <right style="medium">
        <color rgb="FF000000"/>
      </right>
      <top/>
      <bottom/>
      <diagonal/>
    </border>
    <border>
      <left style="medium">
        <color indexed="64"/>
      </left>
      <right style="medium">
        <color indexed="64"/>
      </right>
      <top style="medium">
        <color indexed="64"/>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rgb="FF000000"/>
      </bottom>
      <diagonal/>
    </border>
    <border>
      <left/>
      <right style="thin">
        <color indexed="64"/>
      </right>
      <top style="thin">
        <color rgb="FF000000"/>
      </top>
      <bottom style="thin">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393">
    <xf numFmtId="170" fontId="0" fillId="0" borderId="0"/>
    <xf numFmtId="167" fontId="1" fillId="0" borderId="0" applyFont="0" applyFill="0" applyBorder="0" applyAlignment="0" applyProtection="0"/>
    <xf numFmtId="165" fontId="1" fillId="0" borderId="0" applyFont="0" applyFill="0" applyBorder="0" applyAlignment="0" applyProtection="0"/>
    <xf numFmtId="169" fontId="1" fillId="0" borderId="0" applyFont="0" applyFill="0" applyBorder="0" applyAlignment="0" applyProtection="0"/>
    <xf numFmtId="168" fontId="1" fillId="0" borderId="0" applyFont="0" applyFill="0" applyBorder="0" applyAlignment="0" applyProtection="0"/>
    <xf numFmtId="43" fontId="5" fillId="0" borderId="0" applyFont="0" applyFill="0" applyBorder="0" applyAlignment="0" applyProtection="0"/>
    <xf numFmtId="170" fontId="7" fillId="8" borderId="10">
      <alignment horizontal="center" vertical="center" wrapText="1"/>
    </xf>
    <xf numFmtId="0" fontId="1" fillId="0" borderId="0"/>
    <xf numFmtId="43" fontId="1" fillId="0" borderId="0" applyFont="0" applyFill="0" applyBorder="0" applyAlignment="0" applyProtection="0"/>
    <xf numFmtId="0" fontId="7" fillId="8" borderId="10">
      <alignment horizontal="center" vertical="center" wrapText="1"/>
    </xf>
    <xf numFmtId="170" fontId="8" fillId="0" borderId="0"/>
    <xf numFmtId="166" fontId="1" fillId="0" borderId="0" applyFont="0" applyFill="0" applyBorder="0" applyAlignment="0" applyProtection="0"/>
    <xf numFmtId="167" fontId="1" fillId="0" borderId="0" applyFont="0" applyFill="0" applyBorder="0" applyAlignment="0" applyProtection="0"/>
    <xf numFmtId="44" fontId="1" fillId="0" borderId="0" applyFont="0" applyFill="0" applyBorder="0" applyAlignment="0" applyProtection="0"/>
    <xf numFmtId="0" fontId="10" fillId="13" borderId="14">
      <alignment horizontal="center" vertical="center" wrapText="1"/>
    </xf>
    <xf numFmtId="0" fontId="8" fillId="0" borderId="0"/>
    <xf numFmtId="0" fontId="11" fillId="0" borderId="0"/>
    <xf numFmtId="0" fontId="8" fillId="0" borderId="0"/>
    <xf numFmtId="0" fontId="1" fillId="0" borderId="0"/>
    <xf numFmtId="0" fontId="1" fillId="0" borderId="0"/>
    <xf numFmtId="0" fontId="14" fillId="0" borderId="42" applyNumberFormat="0" applyFill="0" applyAlignment="0" applyProtection="0"/>
    <xf numFmtId="0" fontId="15" fillId="0" borderId="43" applyNumberFormat="0" applyFill="0" applyAlignment="0" applyProtection="0"/>
    <xf numFmtId="0" fontId="16" fillId="0" borderId="44" applyNumberFormat="0" applyFill="0" applyAlignment="0" applyProtection="0"/>
    <xf numFmtId="0" fontId="16" fillId="0" borderId="0" applyNumberFormat="0" applyFill="0" applyBorder="0" applyAlignment="0" applyProtection="0"/>
    <xf numFmtId="0" fontId="17" fillId="19" borderId="0" applyNumberFormat="0" applyBorder="0" applyAlignment="0" applyProtection="0"/>
    <xf numFmtId="0" fontId="18" fillId="20" borderId="0" applyNumberFormat="0" applyBorder="0" applyAlignment="0" applyProtection="0"/>
    <xf numFmtId="0" fontId="19" fillId="21" borderId="45" applyNumberFormat="0" applyAlignment="0" applyProtection="0"/>
    <xf numFmtId="0" fontId="20" fillId="22" borderId="46" applyNumberFormat="0" applyAlignment="0" applyProtection="0"/>
    <xf numFmtId="0" fontId="21" fillId="22" borderId="45" applyNumberFormat="0" applyAlignment="0" applyProtection="0"/>
    <xf numFmtId="0" fontId="22" fillId="0" borderId="47" applyNumberFormat="0" applyFill="0" applyAlignment="0" applyProtection="0"/>
    <xf numFmtId="0" fontId="10" fillId="23" borderId="48" applyNumberFormat="0" applyAlignment="0" applyProtection="0"/>
    <xf numFmtId="0" fontId="23" fillId="0" borderId="0" applyNumberFormat="0" applyFill="0" applyBorder="0" applyAlignment="0" applyProtection="0"/>
    <xf numFmtId="0" fontId="1" fillId="24" borderId="49" applyNumberFormat="0" applyFont="0" applyAlignment="0" applyProtection="0"/>
    <xf numFmtId="0" fontId="24" fillId="0" borderId="0" applyNumberFormat="0" applyFill="0" applyBorder="0" applyAlignment="0" applyProtection="0"/>
    <xf numFmtId="0" fontId="25" fillId="0" borderId="50" applyNumberFormat="0" applyFill="0" applyAlignment="0" applyProtection="0"/>
    <xf numFmtId="0" fontId="26"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6" fillId="28" borderId="0" applyNumberFormat="0" applyBorder="0" applyAlignment="0" applyProtection="0"/>
    <xf numFmtId="0" fontId="26"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6" fillId="32" borderId="0" applyNumberFormat="0" applyBorder="0" applyAlignment="0" applyProtection="0"/>
    <xf numFmtId="0" fontId="26"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26" fillId="36" borderId="0" applyNumberFormat="0" applyBorder="0" applyAlignment="0" applyProtection="0"/>
    <xf numFmtId="0" fontId="26"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26" fillId="40" borderId="0" applyNumberFormat="0" applyBorder="0" applyAlignment="0" applyProtection="0"/>
    <xf numFmtId="0" fontId="26" fillId="41"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26" fillId="44" borderId="0" applyNumberFormat="0" applyBorder="0" applyAlignment="0" applyProtection="0"/>
    <xf numFmtId="0" fontId="26" fillId="45" borderId="0" applyNumberFormat="0" applyBorder="0" applyAlignment="0" applyProtection="0"/>
    <xf numFmtId="0" fontId="1" fillId="46" borderId="0" applyNumberFormat="0" applyBorder="0" applyAlignment="0" applyProtection="0"/>
    <xf numFmtId="0" fontId="1" fillId="47" borderId="0" applyNumberFormat="0" applyBorder="0" applyAlignment="0" applyProtection="0"/>
    <xf numFmtId="0" fontId="26" fillId="48" borderId="0" applyNumberFormat="0" applyBorder="0" applyAlignment="0" applyProtection="0"/>
    <xf numFmtId="0" fontId="1" fillId="0" borderId="0"/>
    <xf numFmtId="170" fontId="1" fillId="0" borderId="0"/>
    <xf numFmtId="179" fontId="1" fillId="34" borderId="0" applyNumberFormat="0" applyBorder="0" applyAlignment="0" applyProtection="0"/>
    <xf numFmtId="179" fontId="1" fillId="0" borderId="0"/>
    <xf numFmtId="170" fontId="1" fillId="0" borderId="0"/>
    <xf numFmtId="0" fontId="28" fillId="0" borderId="0" applyNumberFormat="0" applyFill="0" applyBorder="0" applyAlignment="0" applyProtection="0"/>
    <xf numFmtId="179" fontId="15" fillId="0" borderId="43" applyNumberFormat="0" applyFill="0" applyAlignment="0" applyProtection="0"/>
    <xf numFmtId="179" fontId="1" fillId="0" borderId="0"/>
    <xf numFmtId="179" fontId="1" fillId="47" borderId="0" applyNumberFormat="0" applyBorder="0" applyAlignment="0" applyProtection="0"/>
    <xf numFmtId="179" fontId="10" fillId="23" borderId="48" applyNumberFormat="0" applyAlignment="0" applyProtection="0"/>
    <xf numFmtId="179" fontId="21" fillId="22" borderId="45" applyNumberFormat="0" applyAlignment="0" applyProtection="0"/>
    <xf numFmtId="179" fontId="1" fillId="0" borderId="0"/>
    <xf numFmtId="170" fontId="1" fillId="0" borderId="0"/>
    <xf numFmtId="179" fontId="26" fillId="36" borderId="0" applyNumberFormat="0" applyBorder="0" applyAlignment="0" applyProtection="0"/>
    <xf numFmtId="179" fontId="1" fillId="0" borderId="0"/>
    <xf numFmtId="179" fontId="1" fillId="0" borderId="0"/>
    <xf numFmtId="179" fontId="1" fillId="0" borderId="0"/>
    <xf numFmtId="170" fontId="1" fillId="0" borderId="0"/>
    <xf numFmtId="179" fontId="18" fillId="20" borderId="0" applyNumberFormat="0" applyBorder="0" applyAlignment="0" applyProtection="0"/>
    <xf numFmtId="179" fontId="1" fillId="0" borderId="0"/>
    <xf numFmtId="170" fontId="1" fillId="0" borderId="0"/>
    <xf numFmtId="179" fontId="26" fillId="48" borderId="0" applyNumberFormat="0" applyBorder="0" applyAlignment="0" applyProtection="0"/>
    <xf numFmtId="170" fontId="1" fillId="0" borderId="0"/>
    <xf numFmtId="179" fontId="1" fillId="0" borderId="0"/>
    <xf numFmtId="179"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7" fontId="1" fillId="0" borderId="0" applyFont="0" applyFill="0" applyBorder="0" applyAlignment="0" applyProtection="0"/>
    <xf numFmtId="9" fontId="5" fillId="0" borderId="0" applyFont="0" applyFill="0" applyBorder="0" applyAlignment="0" applyProtection="0"/>
    <xf numFmtId="165" fontId="1" fillId="0" borderId="0" applyFont="0" applyFill="0" applyBorder="0" applyAlignment="0" applyProtection="0"/>
    <xf numFmtId="9" fontId="1" fillId="0" borderId="0" applyFont="0" applyFill="0" applyBorder="0" applyAlignment="0" applyProtection="0"/>
    <xf numFmtId="0" fontId="1" fillId="0" borderId="0"/>
    <xf numFmtId="169" fontId="1" fillId="0" borderId="0" applyFont="0" applyFill="0" applyBorder="0" applyAlignment="0" applyProtection="0"/>
    <xf numFmtId="168" fontId="1" fillId="0" borderId="0" applyFont="0" applyFill="0" applyBorder="0" applyAlignment="0" applyProtection="0"/>
    <xf numFmtId="166" fontId="1" fillId="0" borderId="0" applyFont="0" applyFill="0" applyBorder="0" applyAlignment="0" applyProtection="0"/>
    <xf numFmtId="167" fontId="5"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7" fontId="1" fillId="0" borderId="0" applyFont="0" applyFill="0" applyBorder="0" applyAlignment="0" applyProtection="0"/>
    <xf numFmtId="0" fontId="1" fillId="0" borderId="0"/>
    <xf numFmtId="0" fontId="29" fillId="0" borderId="0"/>
    <xf numFmtId="169" fontId="1" fillId="0" borderId="0" applyFont="0" applyFill="0" applyBorder="0" applyAlignment="0" applyProtection="0"/>
    <xf numFmtId="0" fontId="8" fillId="0" borderId="0"/>
    <xf numFmtId="167" fontId="5" fillId="0" borderId="0" applyFont="0" applyFill="0" applyBorder="0" applyAlignment="0" applyProtection="0"/>
    <xf numFmtId="167" fontId="1" fillId="0" borderId="0" applyFont="0" applyFill="0" applyBorder="0" applyAlignment="0" applyProtection="0"/>
    <xf numFmtId="167" fontId="5" fillId="0" borderId="0" applyFont="0" applyFill="0" applyBorder="0" applyAlignment="0" applyProtection="0"/>
    <xf numFmtId="165" fontId="1" fillId="0" borderId="0" applyFont="0" applyFill="0" applyBorder="0" applyAlignment="0" applyProtection="0"/>
    <xf numFmtId="178" fontId="1" fillId="0" borderId="0" applyFont="0" applyFill="0" applyBorder="0" applyAlignment="0" applyProtection="0"/>
    <xf numFmtId="168" fontId="8" fillId="0" borderId="0" applyFont="0" applyFill="0" applyBorder="0" applyAlignment="0" applyProtection="0"/>
    <xf numFmtId="179" fontId="1" fillId="0" borderId="0"/>
    <xf numFmtId="0" fontId="1" fillId="0" borderId="0"/>
    <xf numFmtId="0" fontId="1" fillId="0" borderId="0"/>
    <xf numFmtId="9" fontId="1" fillId="0" borderId="0" applyFont="0" applyFill="0" applyBorder="0" applyAlignment="0" applyProtection="0"/>
    <xf numFmtId="44" fontId="1" fillId="0" borderId="0" applyFont="0" applyFill="0" applyBorder="0" applyAlignment="0" applyProtection="0"/>
    <xf numFmtId="166" fontId="1" fillId="0" borderId="0" applyFont="0" applyFill="0" applyBorder="0" applyAlignment="0" applyProtection="0"/>
    <xf numFmtId="170" fontId="8" fillId="0" borderId="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7" fontId="1" fillId="0" borderId="0" applyFont="0" applyFill="0" applyBorder="0" applyAlignment="0" applyProtection="0"/>
    <xf numFmtId="165" fontId="1" fillId="0" borderId="0" applyFont="0" applyFill="0" applyBorder="0" applyAlignment="0" applyProtection="0"/>
    <xf numFmtId="0" fontId="1" fillId="0" borderId="0"/>
    <xf numFmtId="169" fontId="1" fillId="0" borderId="0" applyFont="0" applyFill="0" applyBorder="0" applyAlignment="0" applyProtection="0"/>
    <xf numFmtId="168" fontId="1" fillId="0" borderId="0" applyFont="0" applyFill="0" applyBorder="0" applyAlignment="0" applyProtection="0"/>
    <xf numFmtId="165" fontId="1" fillId="0" borderId="0" applyFont="0" applyFill="0" applyBorder="0" applyAlignment="0" applyProtection="0"/>
    <xf numFmtId="0" fontId="1" fillId="0" borderId="0"/>
    <xf numFmtId="167" fontId="5" fillId="0" borderId="0" applyFont="0" applyFill="0" applyBorder="0" applyAlignment="0" applyProtection="0"/>
    <xf numFmtId="0" fontId="29" fillId="0" borderId="0"/>
    <xf numFmtId="164" fontId="1" fillId="0" borderId="0" applyFont="0" applyFill="0" applyBorder="0" applyAlignment="0" applyProtection="0"/>
    <xf numFmtId="0" fontId="1" fillId="0" borderId="0"/>
    <xf numFmtId="170" fontId="1" fillId="0" borderId="0"/>
    <xf numFmtId="179" fontId="22" fillId="0" borderId="47" applyNumberFormat="0" applyFill="0" applyAlignment="0" applyProtection="0"/>
    <xf numFmtId="170" fontId="1" fillId="0" borderId="0"/>
    <xf numFmtId="179" fontId="26" fillId="33" borderId="0" applyNumberFormat="0" applyBorder="0" applyAlignment="0" applyProtection="0"/>
    <xf numFmtId="179" fontId="1" fillId="0" borderId="0"/>
    <xf numFmtId="170" fontId="1" fillId="0" borderId="0"/>
    <xf numFmtId="179" fontId="1" fillId="0" borderId="0"/>
    <xf numFmtId="179" fontId="1" fillId="0" borderId="0"/>
    <xf numFmtId="179" fontId="1" fillId="0" borderId="0"/>
    <xf numFmtId="179" fontId="1" fillId="0" borderId="0"/>
    <xf numFmtId="179" fontId="1" fillId="0" borderId="0"/>
    <xf numFmtId="179" fontId="19" fillId="21" borderId="45" applyNumberFormat="0" applyAlignment="0" applyProtection="0"/>
    <xf numFmtId="170" fontId="1" fillId="0" borderId="0"/>
    <xf numFmtId="179" fontId="1" fillId="0" borderId="0"/>
    <xf numFmtId="179" fontId="26" fillId="29" borderId="0" applyNumberFormat="0" applyBorder="0" applyAlignment="0" applyProtection="0"/>
    <xf numFmtId="179" fontId="1" fillId="0" borderId="0"/>
    <xf numFmtId="179" fontId="1" fillId="0" borderId="0"/>
    <xf numFmtId="179" fontId="1" fillId="0" borderId="0"/>
    <xf numFmtId="179" fontId="26" fillId="37" borderId="0" applyNumberFormat="0" applyBorder="0" applyAlignment="0" applyProtection="0"/>
    <xf numFmtId="179" fontId="1" fillId="0" borderId="0"/>
    <xf numFmtId="179" fontId="16" fillId="0" borderId="44" applyNumberFormat="0" applyFill="0" applyAlignment="0" applyProtection="0"/>
    <xf numFmtId="170" fontId="1" fillId="0" borderId="0"/>
    <xf numFmtId="179" fontId="27" fillId="0" borderId="0" applyNumberFormat="0" applyFill="0" applyBorder="0" applyAlignment="0" applyProtection="0"/>
    <xf numFmtId="179" fontId="1" fillId="0" borderId="0"/>
    <xf numFmtId="179" fontId="1" fillId="0" borderId="0"/>
    <xf numFmtId="170" fontId="1" fillId="0" borderId="0"/>
    <xf numFmtId="179" fontId="1" fillId="27" borderId="0" applyNumberFormat="0" applyBorder="0" applyAlignment="0" applyProtection="0"/>
    <xf numFmtId="179" fontId="29" fillId="0" borderId="0"/>
    <xf numFmtId="179" fontId="1" fillId="0" borderId="0"/>
    <xf numFmtId="170" fontId="1" fillId="0" borderId="0"/>
    <xf numFmtId="179" fontId="1" fillId="0" borderId="0"/>
    <xf numFmtId="179" fontId="16" fillId="0" borderId="0" applyNumberFormat="0" applyFill="0" applyBorder="0" applyAlignment="0" applyProtection="0"/>
    <xf numFmtId="179" fontId="1" fillId="0" borderId="0"/>
    <xf numFmtId="179" fontId="1" fillId="24" borderId="49" applyNumberFormat="0" applyFont="0" applyAlignment="0" applyProtection="0"/>
    <xf numFmtId="179" fontId="1" fillId="0" borderId="0"/>
    <xf numFmtId="179" fontId="20" fillId="22" borderId="46" applyNumberFormat="0" applyAlignment="0" applyProtection="0"/>
    <xf numFmtId="170" fontId="1" fillId="0" borderId="0"/>
    <xf numFmtId="170" fontId="1" fillId="0" borderId="0"/>
    <xf numFmtId="179" fontId="1" fillId="0" borderId="0"/>
    <xf numFmtId="179" fontId="1" fillId="0" borderId="0"/>
    <xf numFmtId="179" fontId="1" fillId="0" borderId="0"/>
    <xf numFmtId="170" fontId="1" fillId="0" borderId="0"/>
    <xf numFmtId="179" fontId="8" fillId="0" borderId="0"/>
    <xf numFmtId="179" fontId="26" fillId="28" borderId="0" applyNumberFormat="0" applyBorder="0" applyAlignment="0" applyProtection="0"/>
    <xf numFmtId="170" fontId="1" fillId="0" borderId="0"/>
    <xf numFmtId="179" fontId="1" fillId="46" borderId="0" applyNumberFormat="0" applyBorder="0" applyAlignment="0" applyProtection="0"/>
    <xf numFmtId="179" fontId="1" fillId="0" borderId="0"/>
    <xf numFmtId="179" fontId="1" fillId="0" borderId="0"/>
    <xf numFmtId="179" fontId="1" fillId="39" borderId="0" applyNumberFormat="0" applyBorder="0" applyAlignment="0" applyProtection="0"/>
    <xf numFmtId="170" fontId="1" fillId="0" borderId="0"/>
    <xf numFmtId="179" fontId="25" fillId="0" borderId="50" applyNumberFormat="0" applyFill="0" applyAlignment="0" applyProtection="0"/>
    <xf numFmtId="179" fontId="8" fillId="0" borderId="0"/>
    <xf numFmtId="179" fontId="1" fillId="0" borderId="0"/>
    <xf numFmtId="179" fontId="1" fillId="42" borderId="0" applyNumberFormat="0" applyBorder="0" applyAlignment="0" applyProtection="0"/>
    <xf numFmtId="179" fontId="26" fillId="25" borderId="0" applyNumberFormat="0" applyBorder="0" applyAlignment="0" applyProtection="0"/>
    <xf numFmtId="179" fontId="1" fillId="0" borderId="0"/>
    <xf numFmtId="170" fontId="1" fillId="0" borderId="0"/>
    <xf numFmtId="179" fontId="1" fillId="0" borderId="0"/>
    <xf numFmtId="170" fontId="1" fillId="0" borderId="0"/>
    <xf numFmtId="170" fontId="1" fillId="0" borderId="0"/>
    <xf numFmtId="179" fontId="8" fillId="0" borderId="0"/>
    <xf numFmtId="179" fontId="28" fillId="0" borderId="0" applyNumberFormat="0" applyFill="0" applyBorder="0" applyAlignment="0" applyProtection="0"/>
    <xf numFmtId="179" fontId="1" fillId="0" borderId="0"/>
    <xf numFmtId="179" fontId="1" fillId="26" borderId="0" applyNumberFormat="0" applyBorder="0" applyAlignment="0" applyProtection="0"/>
    <xf numFmtId="179" fontId="1" fillId="0" borderId="0"/>
    <xf numFmtId="179" fontId="26" fillId="44" borderId="0" applyNumberFormat="0" applyBorder="0" applyAlignment="0" applyProtection="0"/>
    <xf numFmtId="179" fontId="1" fillId="0" borderId="0"/>
    <xf numFmtId="179" fontId="26" fillId="40" borderId="0" applyNumberFormat="0" applyBorder="0" applyAlignment="0" applyProtection="0"/>
    <xf numFmtId="179" fontId="1" fillId="0" borderId="0"/>
    <xf numFmtId="179" fontId="1" fillId="0" borderId="0"/>
    <xf numFmtId="179" fontId="1" fillId="0" borderId="0"/>
    <xf numFmtId="179" fontId="1" fillId="0" borderId="0"/>
    <xf numFmtId="179" fontId="26" fillId="32" borderId="0" applyNumberFormat="0" applyBorder="0" applyAlignment="0" applyProtection="0"/>
    <xf numFmtId="179" fontId="1" fillId="0" borderId="0"/>
    <xf numFmtId="179" fontId="8" fillId="0" borderId="0"/>
    <xf numFmtId="179" fontId="1" fillId="0" borderId="0"/>
    <xf numFmtId="179" fontId="11" fillId="0" borderId="0"/>
    <xf numFmtId="179" fontId="1" fillId="0" borderId="0"/>
    <xf numFmtId="179" fontId="26" fillId="45" borderId="0" applyNumberFormat="0" applyBorder="0" applyAlignment="0" applyProtection="0"/>
    <xf numFmtId="179" fontId="23" fillId="0" borderId="0" applyNumberFormat="0" applyFill="0" applyBorder="0" applyAlignment="0" applyProtection="0"/>
    <xf numFmtId="179" fontId="1" fillId="43" borderId="0" applyNumberFormat="0" applyBorder="0" applyAlignment="0" applyProtection="0"/>
    <xf numFmtId="179" fontId="1" fillId="31" borderId="0" applyNumberFormat="0" applyBorder="0" applyAlignment="0" applyProtection="0"/>
    <xf numFmtId="179" fontId="24" fillId="0" borderId="0" applyNumberFormat="0" applyFill="0" applyBorder="0" applyAlignment="0" applyProtection="0"/>
    <xf numFmtId="179" fontId="1" fillId="30" borderId="0" applyNumberFormat="0" applyBorder="0" applyAlignment="0" applyProtection="0"/>
    <xf numFmtId="179" fontId="17" fillId="19" borderId="0" applyNumberFormat="0" applyBorder="0" applyAlignment="0" applyProtection="0"/>
    <xf numFmtId="170" fontId="1" fillId="0" borderId="0"/>
    <xf numFmtId="170" fontId="1" fillId="0" borderId="0"/>
    <xf numFmtId="179" fontId="1" fillId="38" borderId="0" applyNumberFormat="0" applyBorder="0" applyAlignment="0" applyProtection="0"/>
    <xf numFmtId="179" fontId="1" fillId="0" borderId="0"/>
    <xf numFmtId="179" fontId="1" fillId="0" borderId="0"/>
    <xf numFmtId="179" fontId="1" fillId="35" borderId="0" applyNumberFormat="0" applyBorder="0" applyAlignment="0" applyProtection="0"/>
    <xf numFmtId="179" fontId="7" fillId="8" borderId="10">
      <alignment horizontal="center" vertical="center" wrapText="1"/>
    </xf>
    <xf numFmtId="179" fontId="1" fillId="0" borderId="0"/>
    <xf numFmtId="179" fontId="7" fillId="8" borderId="10">
      <alignment horizontal="center" vertical="center" wrapText="1"/>
    </xf>
    <xf numFmtId="179" fontId="1" fillId="0" borderId="0"/>
    <xf numFmtId="179" fontId="26" fillId="41" borderId="0" applyNumberFormat="0" applyBorder="0" applyAlignment="0" applyProtection="0"/>
    <xf numFmtId="170" fontId="1" fillId="0" borderId="0"/>
    <xf numFmtId="179" fontId="1" fillId="0" borderId="0"/>
    <xf numFmtId="179" fontId="1" fillId="0" borderId="0"/>
    <xf numFmtId="179" fontId="14" fillId="0" borderId="42" applyNumberFormat="0" applyFill="0" applyAlignment="0" applyProtection="0"/>
    <xf numFmtId="179" fontId="29" fillId="0" borderId="0"/>
    <xf numFmtId="179" fontId="1" fillId="0" borderId="0"/>
    <xf numFmtId="179" fontId="1" fillId="0" borderId="0"/>
    <xf numFmtId="179" fontId="1" fillId="0" borderId="0"/>
    <xf numFmtId="170" fontId="1" fillId="0" borderId="0"/>
    <xf numFmtId="179" fontId="1" fillId="0" borderId="0"/>
    <xf numFmtId="179" fontId="1" fillId="0" borderId="0"/>
    <xf numFmtId="0" fontId="8" fillId="0" borderId="0"/>
    <xf numFmtId="179" fontId="1" fillId="0" borderId="0"/>
    <xf numFmtId="179" fontId="1" fillId="0" borderId="0"/>
    <xf numFmtId="179" fontId="1" fillId="0" borderId="0"/>
    <xf numFmtId="170" fontId="1" fillId="0" borderId="0"/>
    <xf numFmtId="9" fontId="1" fillId="0" borderId="0" applyFont="0" applyFill="0" applyBorder="0" applyAlignment="0" applyProtection="0"/>
    <xf numFmtId="0" fontId="1" fillId="0" borderId="0"/>
    <xf numFmtId="0" fontId="8" fillId="0" borderId="0"/>
    <xf numFmtId="0" fontId="5" fillId="51" borderId="0" applyNumberFormat="0" applyBorder="0" applyAlignment="0" applyProtection="0"/>
    <xf numFmtId="0" fontId="5" fillId="51" borderId="0" applyNumberFormat="0" applyBorder="0" applyAlignment="0" applyProtection="0"/>
    <xf numFmtId="0" fontId="5" fillId="51" borderId="0" applyNumberFormat="0" applyBorder="0" applyAlignment="0" applyProtection="0"/>
    <xf numFmtId="0" fontId="5" fillId="52" borderId="0" applyNumberFormat="0" applyBorder="0" applyAlignment="0" applyProtection="0"/>
    <xf numFmtId="0" fontId="5" fillId="52" borderId="0" applyNumberFormat="0" applyBorder="0" applyAlignment="0" applyProtection="0"/>
    <xf numFmtId="0" fontId="5" fillId="52" borderId="0" applyNumberFormat="0" applyBorder="0" applyAlignment="0" applyProtection="0"/>
    <xf numFmtId="0" fontId="5" fillId="53" borderId="0" applyNumberFormat="0" applyBorder="0" applyAlignment="0" applyProtection="0"/>
    <xf numFmtId="0" fontId="5" fillId="53"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5" fillId="54" borderId="0" applyNumberFormat="0" applyBorder="0" applyAlignment="0" applyProtection="0"/>
    <xf numFmtId="0" fontId="5" fillId="54" borderId="0" applyNumberFormat="0" applyBorder="0" applyAlignment="0" applyProtection="0"/>
    <xf numFmtId="0" fontId="5" fillId="55" borderId="0" applyNumberFormat="0" applyBorder="0" applyAlignment="0" applyProtection="0"/>
    <xf numFmtId="0" fontId="5" fillId="55" borderId="0" applyNumberFormat="0" applyBorder="0" applyAlignment="0" applyProtection="0"/>
    <xf numFmtId="0" fontId="5" fillId="55" borderId="0" applyNumberFormat="0" applyBorder="0" applyAlignment="0" applyProtection="0"/>
    <xf numFmtId="0" fontId="5" fillId="56" borderId="0" applyNumberFormat="0" applyBorder="0" applyAlignment="0" applyProtection="0"/>
    <xf numFmtId="0" fontId="5" fillId="56" borderId="0" applyNumberFormat="0" applyBorder="0" applyAlignment="0" applyProtection="0"/>
    <xf numFmtId="0" fontId="5" fillId="56" borderId="0" applyNumberFormat="0" applyBorder="0" applyAlignment="0" applyProtection="0"/>
    <xf numFmtId="0" fontId="5" fillId="57" borderId="0" applyNumberFormat="0" applyBorder="0" applyAlignment="0" applyProtection="0"/>
    <xf numFmtId="0" fontId="5" fillId="57"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0" fontId="5" fillId="58" borderId="0" applyNumberFormat="0" applyBorder="0" applyAlignment="0" applyProtection="0"/>
    <xf numFmtId="0" fontId="5" fillId="58" borderId="0" applyNumberFormat="0" applyBorder="0" applyAlignment="0" applyProtection="0"/>
    <xf numFmtId="0" fontId="5" fillId="59" borderId="0" applyNumberFormat="0" applyBorder="0" applyAlignment="0" applyProtection="0"/>
    <xf numFmtId="0" fontId="5" fillId="59" borderId="0" applyNumberFormat="0" applyBorder="0" applyAlignment="0" applyProtection="0"/>
    <xf numFmtId="0" fontId="5" fillId="59" borderId="0" applyNumberFormat="0" applyBorder="0" applyAlignment="0" applyProtection="0"/>
    <xf numFmtId="0" fontId="5" fillId="54" borderId="0" applyNumberFormat="0" applyBorder="0" applyAlignment="0" applyProtection="0"/>
    <xf numFmtId="0" fontId="5" fillId="54" borderId="0" applyNumberFormat="0" applyBorder="0" applyAlignment="0" applyProtection="0"/>
    <xf numFmtId="0" fontId="5" fillId="54" borderId="0" applyNumberFormat="0" applyBorder="0" applyAlignment="0" applyProtection="0"/>
    <xf numFmtId="0" fontId="5" fillId="57" borderId="0" applyNumberFormat="0" applyBorder="0" applyAlignment="0" applyProtection="0"/>
    <xf numFmtId="0" fontId="5" fillId="57" borderId="0" applyNumberFormat="0" applyBorder="0" applyAlignment="0" applyProtection="0"/>
    <xf numFmtId="0" fontId="5" fillId="57" borderId="0" applyNumberFormat="0" applyBorder="0" applyAlignment="0" applyProtection="0"/>
    <xf numFmtId="0" fontId="5" fillId="60" borderId="0" applyNumberFormat="0" applyBorder="0" applyAlignment="0" applyProtection="0"/>
    <xf numFmtId="0" fontId="5" fillId="60" borderId="0" applyNumberFormat="0" applyBorder="0" applyAlignment="0" applyProtection="0"/>
    <xf numFmtId="0" fontId="5" fillId="60" borderId="0" applyNumberFormat="0" applyBorder="0" applyAlignment="0" applyProtection="0"/>
    <xf numFmtId="0" fontId="31" fillId="61" borderId="0" applyNumberFormat="0" applyBorder="0" applyAlignment="0" applyProtection="0"/>
    <xf numFmtId="0" fontId="31" fillId="58" borderId="0" applyNumberFormat="0" applyBorder="0" applyAlignment="0" applyProtection="0"/>
    <xf numFmtId="0" fontId="31" fillId="59" borderId="0" applyNumberFormat="0" applyBorder="0" applyAlignment="0" applyProtection="0"/>
    <xf numFmtId="0" fontId="31" fillId="62" borderId="0" applyNumberFormat="0" applyBorder="0" applyAlignment="0" applyProtection="0"/>
    <xf numFmtId="0" fontId="31" fillId="63" borderId="0" applyNumberFormat="0" applyBorder="0" applyAlignment="0" applyProtection="0"/>
    <xf numFmtId="0" fontId="31" fillId="64" borderId="0" applyNumberFormat="0" applyBorder="0" applyAlignment="0" applyProtection="0"/>
    <xf numFmtId="0" fontId="32" fillId="53" borderId="0" applyNumberFormat="0" applyBorder="0" applyAlignment="0" applyProtection="0"/>
    <xf numFmtId="0" fontId="33" fillId="65" borderId="51" applyNumberFormat="0" applyAlignment="0" applyProtection="0"/>
    <xf numFmtId="0" fontId="34" fillId="66" borderId="52" applyNumberFormat="0" applyAlignment="0" applyProtection="0"/>
    <xf numFmtId="0" fontId="35" fillId="0" borderId="53" applyNumberFormat="0" applyFill="0" applyAlignment="0" applyProtection="0"/>
    <xf numFmtId="0" fontId="36" fillId="0" borderId="0" applyNumberFormat="0" applyFill="0" applyBorder="0" applyAlignment="0" applyProtection="0"/>
    <xf numFmtId="0" fontId="31" fillId="67" borderId="0" applyNumberFormat="0" applyBorder="0" applyAlignment="0" applyProtection="0"/>
    <xf numFmtId="0" fontId="31" fillId="68" borderId="0" applyNumberFormat="0" applyBorder="0" applyAlignment="0" applyProtection="0"/>
    <xf numFmtId="0" fontId="31" fillId="69" borderId="0" applyNumberFormat="0" applyBorder="0" applyAlignment="0" applyProtection="0"/>
    <xf numFmtId="0" fontId="31" fillId="62" borderId="0" applyNumberFormat="0" applyBorder="0" applyAlignment="0" applyProtection="0"/>
    <xf numFmtId="0" fontId="31" fillId="63" borderId="0" applyNumberFormat="0" applyBorder="0" applyAlignment="0" applyProtection="0"/>
    <xf numFmtId="0" fontId="31" fillId="70" borderId="0" applyNumberFormat="0" applyBorder="0" applyAlignment="0" applyProtection="0"/>
    <xf numFmtId="0" fontId="37" fillId="56" borderId="51" applyNumberFormat="0" applyAlignment="0" applyProtection="0"/>
    <xf numFmtId="179" fontId="8" fillId="0" borderId="0" applyFont="0" applyFill="0" applyBorder="0" applyAlignment="0" applyProtection="0"/>
    <xf numFmtId="179" fontId="8" fillId="0" borderId="0" applyFont="0" applyFill="0" applyBorder="0" applyAlignment="0" applyProtection="0"/>
    <xf numFmtId="181" fontId="38" fillId="0" borderId="0">
      <protection locked="0"/>
    </xf>
    <xf numFmtId="181" fontId="38" fillId="0" borderId="0">
      <protection locked="0"/>
    </xf>
    <xf numFmtId="181" fontId="38" fillId="0" borderId="0">
      <protection locked="0"/>
    </xf>
    <xf numFmtId="181" fontId="39" fillId="0" borderId="0">
      <protection locked="0"/>
    </xf>
    <xf numFmtId="181" fontId="40" fillId="0" borderId="0">
      <protection locked="0"/>
    </xf>
    <xf numFmtId="181" fontId="39" fillId="0" borderId="0">
      <protection locked="0"/>
    </xf>
    <xf numFmtId="181" fontId="40" fillId="0" borderId="0">
      <protection locked="0"/>
    </xf>
    <xf numFmtId="0" fontId="41" fillId="52" borderId="0" applyNumberFormat="0" applyBorder="0" applyAlignment="0" applyProtection="0"/>
    <xf numFmtId="182" fontId="8" fillId="0" borderId="0" applyFont="0" applyFill="0" applyBorder="0" applyAlignment="0" applyProtection="0"/>
    <xf numFmtId="0" fontId="42" fillId="71" borderId="0" applyNumberFormat="0" applyBorder="0" applyAlignment="0" applyProtection="0"/>
    <xf numFmtId="0" fontId="8" fillId="0" borderId="0"/>
    <xf numFmtId="179" fontId="5" fillId="0" borderId="0"/>
    <xf numFmtId="0" fontId="8" fillId="0" borderId="0"/>
    <xf numFmtId="179" fontId="5" fillId="0" borderId="0"/>
    <xf numFmtId="0" fontId="8" fillId="0" borderId="0"/>
    <xf numFmtId="179" fontId="5" fillId="0" borderId="0"/>
    <xf numFmtId="0" fontId="8" fillId="0" borderId="0"/>
    <xf numFmtId="0" fontId="8" fillId="0" borderId="0"/>
    <xf numFmtId="179" fontId="5" fillId="0" borderId="0"/>
    <xf numFmtId="179" fontId="5" fillId="0" borderId="0"/>
    <xf numFmtId="0" fontId="8" fillId="0" borderId="0"/>
    <xf numFmtId="0" fontId="8" fillId="0" borderId="0"/>
    <xf numFmtId="0" fontId="8" fillId="0" borderId="0"/>
    <xf numFmtId="179" fontId="5" fillId="0" borderId="0"/>
    <xf numFmtId="179" fontId="5" fillId="0" borderId="0"/>
    <xf numFmtId="179" fontId="5" fillId="0" borderId="0"/>
    <xf numFmtId="0" fontId="8" fillId="0" borderId="0"/>
    <xf numFmtId="0" fontId="1" fillId="0" borderId="0"/>
    <xf numFmtId="179" fontId="5" fillId="0" borderId="0"/>
    <xf numFmtId="179" fontId="5" fillId="0" borderId="0"/>
    <xf numFmtId="0" fontId="8" fillId="0" borderId="0"/>
    <xf numFmtId="0" fontId="8" fillId="0" borderId="0"/>
    <xf numFmtId="0" fontId="8" fillId="0" borderId="0"/>
    <xf numFmtId="0" fontId="50" fillId="0" borderId="0"/>
    <xf numFmtId="0" fontId="8" fillId="0" borderId="0"/>
    <xf numFmtId="0" fontId="8" fillId="0" borderId="0"/>
    <xf numFmtId="0" fontId="8" fillId="72" borderId="55" applyNumberFormat="0" applyFont="0" applyAlignment="0" applyProtection="0"/>
    <xf numFmtId="0" fontId="8" fillId="72" borderId="55" applyNumberFormat="0" applyFont="0" applyAlignment="0" applyProtection="0"/>
    <xf numFmtId="0" fontId="43" fillId="65" borderId="56" applyNumberFormat="0" applyAlignment="0" applyProtection="0"/>
    <xf numFmtId="0" fontId="51" fillId="73" borderId="0"/>
    <xf numFmtId="0" fontId="44" fillId="0" borderId="0" applyNumberFormat="0" applyFill="0" applyBorder="0" applyAlignment="0" applyProtection="0"/>
    <xf numFmtId="0" fontId="45" fillId="0" borderId="0" applyNumberFormat="0" applyFill="0" applyBorder="0" applyAlignment="0" applyProtection="0"/>
    <xf numFmtId="0" fontId="46" fillId="0" borderId="54" applyNumberFormat="0" applyFill="0" applyAlignment="0" applyProtection="0"/>
    <xf numFmtId="0" fontId="47" fillId="0" borderId="57" applyNumberFormat="0" applyFill="0" applyAlignment="0" applyProtection="0"/>
    <xf numFmtId="0" fontId="36" fillId="0" borderId="58" applyNumberFormat="0" applyFill="0" applyAlignment="0" applyProtection="0"/>
    <xf numFmtId="0" fontId="48" fillId="0" borderId="0" applyNumberFormat="0" applyFill="0" applyBorder="0" applyAlignment="0" applyProtection="0"/>
    <xf numFmtId="0" fontId="49" fillId="0" borderId="59" applyNumberFormat="0" applyFill="0" applyAlignment="0" applyProtection="0"/>
    <xf numFmtId="0" fontId="8" fillId="0" borderId="0"/>
    <xf numFmtId="0" fontId="1" fillId="0" borderId="0"/>
    <xf numFmtId="43" fontId="1" fillId="0" borderId="0" applyFont="0" applyFill="0" applyBorder="0" applyAlignment="0" applyProtection="0"/>
    <xf numFmtId="170" fontId="1" fillId="0" borderId="0"/>
    <xf numFmtId="44" fontId="1" fillId="0" borderId="0" applyFont="0" applyFill="0" applyBorder="0" applyAlignment="0" applyProtection="0"/>
  </cellStyleXfs>
  <cellXfs count="988">
    <xf numFmtId="170" fontId="0" fillId="0" borderId="0" xfId="0"/>
    <xf numFmtId="170" fontId="2" fillId="0" borderId="0" xfId="0" applyFont="1"/>
    <xf numFmtId="170" fontId="2" fillId="0" borderId="2" xfId="0" applyFont="1" applyBorder="1"/>
    <xf numFmtId="170" fontId="3" fillId="0" borderId="3" xfId="0" applyFont="1" applyBorder="1" applyAlignment="1">
      <alignment vertical="center"/>
    </xf>
    <xf numFmtId="170" fontId="2" fillId="2" borderId="0" xfId="0" applyFont="1" applyFill="1"/>
    <xf numFmtId="170" fontId="3" fillId="0" borderId="3" xfId="0" applyFont="1" applyBorder="1" applyAlignment="1">
      <alignment horizontal="left" vertical="center"/>
    </xf>
    <xf numFmtId="170" fontId="4" fillId="2" borderId="0" xfId="0" applyFont="1" applyFill="1" applyAlignment="1">
      <alignment horizontal="center" vertical="center"/>
    </xf>
    <xf numFmtId="170" fontId="4" fillId="0" borderId="0" xfId="0" applyFont="1" applyAlignment="1">
      <alignment horizontal="center" vertical="center"/>
    </xf>
    <xf numFmtId="170" fontId="3" fillId="2" borderId="0" xfId="0" applyFont="1" applyFill="1" applyAlignment="1">
      <alignment vertical="center"/>
    </xf>
    <xf numFmtId="170" fontId="3" fillId="0" borderId="0" xfId="0" applyFont="1" applyAlignment="1">
      <alignment vertical="center"/>
    </xf>
    <xf numFmtId="0" fontId="3" fillId="0" borderId="6" xfId="0" applyNumberFormat="1" applyFont="1" applyBorder="1" applyAlignment="1">
      <alignment horizontal="center" vertical="center" wrapText="1"/>
    </xf>
    <xf numFmtId="170" fontId="6" fillId="0" borderId="0" xfId="0" applyFont="1"/>
    <xf numFmtId="0" fontId="2" fillId="0" borderId="0" xfId="0" applyNumberFormat="1" applyFont="1" applyAlignment="1">
      <alignment horizontal="left" vertical="center"/>
    </xf>
    <xf numFmtId="0" fontId="2" fillId="0" borderId="0" xfId="0" applyNumberFormat="1" applyFont="1" applyAlignment="1">
      <alignment horizontal="center" vertical="center"/>
    </xf>
    <xf numFmtId="170" fontId="2" fillId="0" borderId="0" xfId="0" applyFont="1" applyAlignment="1">
      <alignment horizontal="center"/>
    </xf>
    <xf numFmtId="0" fontId="2" fillId="0" borderId="0" xfId="0" applyNumberFormat="1" applyFont="1" applyAlignment="1">
      <alignment horizontal="justify" vertical="center" wrapText="1"/>
    </xf>
    <xf numFmtId="0" fontId="2" fillId="0" borderId="0" xfId="0" applyNumberFormat="1" applyFont="1" applyAlignment="1">
      <alignment horizontal="center" vertical="center" wrapText="1"/>
    </xf>
    <xf numFmtId="170" fontId="2" fillId="0" borderId="0" xfId="0" applyFont="1" applyAlignment="1">
      <alignment horizontal="justify" vertical="center" wrapText="1"/>
    </xf>
    <xf numFmtId="170" fontId="6" fillId="2" borderId="0" xfId="0" applyFont="1" applyFill="1"/>
    <xf numFmtId="173" fontId="2" fillId="0" borderId="0" xfId="8" applyNumberFormat="1" applyFont="1" applyAlignment="1">
      <alignment horizontal="center"/>
    </xf>
    <xf numFmtId="170" fontId="2" fillId="2" borderId="0" xfId="0" applyFont="1" applyFill="1" applyAlignment="1">
      <alignment vertical="center"/>
    </xf>
    <xf numFmtId="170" fontId="2" fillId="0" borderId="0" xfId="0" applyFont="1" applyAlignment="1">
      <alignment vertical="center"/>
    </xf>
    <xf numFmtId="43" fontId="3" fillId="2" borderId="0" xfId="0" applyNumberFormat="1" applyFont="1" applyFill="1" applyAlignment="1">
      <alignment vertical="center"/>
    </xf>
    <xf numFmtId="175" fontId="2" fillId="2" borderId="0" xfId="4" applyNumberFormat="1" applyFont="1" applyFill="1" applyBorder="1"/>
    <xf numFmtId="175" fontId="2" fillId="0" borderId="0" xfId="4" applyNumberFormat="1" applyFont="1" applyFill="1" applyBorder="1"/>
    <xf numFmtId="43" fontId="2" fillId="2" borderId="0" xfId="5" applyFont="1" applyFill="1" applyBorder="1" applyAlignment="1">
      <alignment horizontal="justify" vertical="center"/>
    </xf>
    <xf numFmtId="170" fontId="2" fillId="0" borderId="0" xfId="0" applyFont="1" applyAlignment="1">
      <alignment horizontal="left" vertical="center" wrapText="1"/>
    </xf>
    <xf numFmtId="170" fontId="3" fillId="2" borderId="0" xfId="0" applyFont="1" applyFill="1"/>
    <xf numFmtId="170" fontId="3" fillId="0" borderId="0" xfId="0" applyFont="1"/>
    <xf numFmtId="170" fontId="3" fillId="0" borderId="2" xfId="0" applyFont="1" applyBorder="1" applyAlignment="1">
      <alignment horizontal="center" vertical="center" wrapText="1"/>
    </xf>
    <xf numFmtId="170" fontId="3" fillId="0" borderId="4" xfId="0" applyFont="1" applyBorder="1" applyAlignment="1">
      <alignment horizontal="center" vertical="center" wrapText="1"/>
    </xf>
    <xf numFmtId="170" fontId="3" fillId="0" borderId="5" xfId="0" applyFont="1" applyBorder="1" applyAlignment="1">
      <alignment horizontal="center" vertical="center" wrapText="1"/>
    </xf>
    <xf numFmtId="170" fontId="3" fillId="0" borderId="6" xfId="0" applyFont="1" applyBorder="1" applyAlignment="1">
      <alignment horizontal="center" vertical="center" wrapText="1"/>
    </xf>
    <xf numFmtId="0" fontId="3" fillId="0" borderId="0" xfId="0" applyNumberFormat="1" applyFont="1" applyFill="1" applyAlignment="1">
      <alignment horizontal="left" vertical="center"/>
    </xf>
    <xf numFmtId="0" fontId="3" fillId="0" borderId="0" xfId="0" applyNumberFormat="1" applyFont="1" applyFill="1" applyAlignment="1">
      <alignment horizontal="center" vertical="center"/>
    </xf>
    <xf numFmtId="170" fontId="3" fillId="0" borderId="0" xfId="0" applyFont="1" applyFill="1" applyAlignment="1">
      <alignment horizontal="center"/>
    </xf>
    <xf numFmtId="170" fontId="3" fillId="0" borderId="0" xfId="0" applyFont="1" applyFill="1"/>
    <xf numFmtId="0" fontId="3" fillId="0" borderId="2" xfId="0" applyNumberFormat="1" applyFont="1" applyBorder="1" applyAlignment="1">
      <alignment horizontal="center" vertical="center" wrapText="1"/>
    </xf>
    <xf numFmtId="170" fontId="3" fillId="0" borderId="1" xfId="0" applyFont="1" applyBorder="1" applyAlignment="1">
      <alignment vertical="center"/>
    </xf>
    <xf numFmtId="170" fontId="3" fillId="0" borderId="2" xfId="0" applyFont="1" applyBorder="1" applyAlignment="1">
      <alignment vertical="center"/>
    </xf>
    <xf numFmtId="0" fontId="13" fillId="5" borderId="13" xfId="0" applyNumberFormat="1" applyFont="1" applyFill="1" applyBorder="1" applyAlignment="1">
      <alignment vertical="center"/>
    </xf>
    <xf numFmtId="0" fontId="13" fillId="5" borderId="13" xfId="0" applyNumberFormat="1" applyFont="1" applyFill="1" applyBorder="1" applyAlignment="1">
      <alignment horizontal="left" vertical="center"/>
    </xf>
    <xf numFmtId="0" fontId="13" fillId="5" borderId="13" xfId="0" applyNumberFormat="1" applyFont="1" applyFill="1" applyBorder="1" applyAlignment="1">
      <alignment horizontal="center" vertical="center"/>
    </xf>
    <xf numFmtId="170" fontId="13" fillId="5" borderId="13" xfId="0" applyFont="1" applyFill="1" applyBorder="1" applyAlignment="1">
      <alignment horizontal="center" vertical="center"/>
    </xf>
    <xf numFmtId="170" fontId="2" fillId="0" borderId="0" xfId="0" applyFont="1" applyFill="1"/>
    <xf numFmtId="0" fontId="13" fillId="5" borderId="19" xfId="0" applyNumberFormat="1" applyFont="1" applyFill="1" applyBorder="1" applyAlignment="1">
      <alignment horizontal="left" vertical="center"/>
    </xf>
    <xf numFmtId="0" fontId="13" fillId="5" borderId="19" xfId="0" applyNumberFormat="1" applyFont="1" applyFill="1" applyBorder="1" applyAlignment="1">
      <alignment horizontal="center" vertical="center"/>
    </xf>
    <xf numFmtId="170" fontId="13" fillId="5" borderId="19" xfId="0" applyFont="1" applyFill="1" applyBorder="1" applyAlignment="1">
      <alignment horizontal="center" vertical="center"/>
    </xf>
    <xf numFmtId="43" fontId="3" fillId="0" borderId="0" xfId="0" applyNumberFormat="1" applyFont="1" applyFill="1" applyAlignment="1">
      <alignment vertical="center"/>
    </xf>
    <xf numFmtId="170" fontId="3" fillId="0" borderId="0" xfId="0" applyFont="1" applyFill="1" applyAlignment="1">
      <alignment vertical="center"/>
    </xf>
    <xf numFmtId="170" fontId="6" fillId="0" borderId="0" xfId="0" applyFont="1" applyFill="1"/>
    <xf numFmtId="170" fontId="6" fillId="2" borderId="0" xfId="0" applyFont="1" applyFill="1" applyAlignment="1">
      <alignment vertical="center"/>
    </xf>
    <xf numFmtId="170" fontId="12" fillId="0" borderId="0" xfId="0" applyFont="1"/>
    <xf numFmtId="170" fontId="2" fillId="2" borderId="0" xfId="0" applyFont="1" applyFill="1" applyBorder="1"/>
    <xf numFmtId="170" fontId="4" fillId="2" borderId="0" xfId="0" applyFont="1" applyFill="1" applyBorder="1" applyAlignment="1">
      <alignment horizontal="center" vertical="center"/>
    </xf>
    <xf numFmtId="170" fontId="3" fillId="2" borderId="0" xfId="0" applyFont="1" applyFill="1" applyBorder="1" applyAlignment="1">
      <alignment vertical="center"/>
    </xf>
    <xf numFmtId="170" fontId="2" fillId="0" borderId="0" xfId="0" applyFont="1" applyFill="1" applyBorder="1"/>
    <xf numFmtId="170" fontId="6" fillId="2" borderId="0" xfId="0" applyFont="1" applyFill="1" applyBorder="1"/>
    <xf numFmtId="170" fontId="2" fillId="0" borderId="0" xfId="0" applyFont="1" applyBorder="1"/>
    <xf numFmtId="170" fontId="3" fillId="0" borderId="0" xfId="0" applyFont="1" applyFill="1" applyBorder="1" applyAlignment="1">
      <alignment vertical="center"/>
    </xf>
    <xf numFmtId="170" fontId="6" fillId="0" borderId="0" xfId="0" applyFont="1" applyFill="1" applyBorder="1"/>
    <xf numFmtId="170" fontId="3" fillId="2" borderId="0" xfId="0" applyFont="1" applyFill="1" applyBorder="1"/>
    <xf numFmtId="170" fontId="3" fillId="0" borderId="0" xfId="0" applyFont="1" applyFill="1" applyBorder="1"/>
    <xf numFmtId="170" fontId="13" fillId="5" borderId="15" xfId="0" applyFont="1" applyFill="1" applyBorder="1" applyAlignment="1">
      <alignment horizontal="center" vertical="center"/>
    </xf>
    <xf numFmtId="170" fontId="3" fillId="0" borderId="2" xfId="0" applyFont="1" applyBorder="1" applyAlignment="1">
      <alignment horizontal="justify" vertical="center" wrapText="1"/>
    </xf>
    <xf numFmtId="170" fontId="3" fillId="0" borderId="6" xfId="0" applyFont="1" applyBorder="1" applyAlignment="1">
      <alignment horizontal="justify" vertical="center" wrapText="1"/>
    </xf>
    <xf numFmtId="0" fontId="3" fillId="0" borderId="2" xfId="0" applyNumberFormat="1" applyFont="1" applyBorder="1" applyAlignment="1">
      <alignment horizontal="justify" vertical="center" wrapText="1"/>
    </xf>
    <xf numFmtId="0" fontId="3" fillId="0" borderId="6" xfId="0" applyNumberFormat="1" applyFont="1" applyBorder="1" applyAlignment="1">
      <alignment horizontal="justify" vertical="center" wrapText="1"/>
    </xf>
    <xf numFmtId="170" fontId="2" fillId="2" borderId="13" xfId="0" applyFont="1" applyFill="1" applyBorder="1"/>
    <xf numFmtId="170" fontId="2" fillId="2" borderId="0" xfId="0" applyFont="1" applyFill="1" applyAlignment="1">
      <alignment horizontal="left" vertical="center" wrapText="1"/>
    </xf>
    <xf numFmtId="4" fontId="2" fillId="0" borderId="13" xfId="0" applyNumberFormat="1" applyFont="1" applyBorder="1" applyAlignment="1">
      <alignment horizontal="center" vertical="center"/>
    </xf>
    <xf numFmtId="170" fontId="2" fillId="2" borderId="0" xfId="0" applyFont="1" applyFill="1" applyAlignment="1">
      <alignment horizontal="center"/>
    </xf>
    <xf numFmtId="43" fontId="2" fillId="0" borderId="13" xfId="0" applyNumberFormat="1" applyFont="1" applyBorder="1" applyAlignment="1">
      <alignment horizontal="center" vertical="center"/>
    </xf>
    <xf numFmtId="0" fontId="4" fillId="4" borderId="7" xfId="0" applyNumberFormat="1" applyFont="1" applyFill="1" applyBorder="1" applyAlignment="1">
      <alignment horizontal="center" vertical="center" wrapText="1"/>
    </xf>
    <xf numFmtId="0" fontId="3" fillId="6" borderId="13" xfId="0" applyNumberFormat="1" applyFont="1" applyFill="1" applyBorder="1" applyAlignment="1">
      <alignment vertical="center"/>
    </xf>
    <xf numFmtId="0" fontId="3" fillId="16" borderId="13" xfId="0" applyNumberFormat="1" applyFont="1" applyFill="1" applyBorder="1" applyAlignment="1">
      <alignment horizontal="left" vertical="center"/>
    </xf>
    <xf numFmtId="0" fontId="3" fillId="6" borderId="13" xfId="0" applyNumberFormat="1" applyFont="1" applyFill="1" applyBorder="1" applyAlignment="1">
      <alignment horizontal="left" vertical="center"/>
    </xf>
    <xf numFmtId="0" fontId="3" fillId="16" borderId="13" xfId="0" applyNumberFormat="1" applyFont="1" applyFill="1" applyBorder="1" applyAlignment="1">
      <alignment horizontal="center" vertical="center" wrapText="1"/>
    </xf>
    <xf numFmtId="170" fontId="13" fillId="5" borderId="13" xfId="0" applyFont="1" applyFill="1" applyBorder="1" applyAlignment="1">
      <alignment horizontal="justify" vertical="center"/>
    </xf>
    <xf numFmtId="170" fontId="2" fillId="2" borderId="0" xfId="0" applyFont="1" applyFill="1" applyAlignment="1">
      <alignment horizontal="justify" vertical="center"/>
    </xf>
    <xf numFmtId="170" fontId="13" fillId="5" borderId="19" xfId="0" applyFont="1" applyFill="1" applyBorder="1" applyAlignment="1">
      <alignment horizontal="justify" vertical="center"/>
    </xf>
    <xf numFmtId="170" fontId="3" fillId="7" borderId="15" xfId="0" applyFont="1" applyFill="1" applyBorder="1" applyAlignment="1">
      <alignment vertical="center"/>
    </xf>
    <xf numFmtId="0" fontId="2" fillId="0" borderId="13" xfId="0" applyNumberFormat="1" applyFont="1" applyFill="1" applyBorder="1" applyAlignment="1">
      <alignment horizontal="center" vertical="center" wrapText="1"/>
    </xf>
    <xf numFmtId="0" fontId="3" fillId="0" borderId="13" xfId="0" applyNumberFormat="1" applyFont="1" applyFill="1" applyBorder="1" applyAlignment="1">
      <alignment horizontal="left" vertical="center" wrapText="1"/>
    </xf>
    <xf numFmtId="0" fontId="2" fillId="2" borderId="13" xfId="0" applyNumberFormat="1" applyFont="1" applyFill="1" applyBorder="1" applyAlignment="1">
      <alignment horizontal="center" vertical="center" wrapText="1"/>
    </xf>
    <xf numFmtId="0" fontId="2" fillId="0" borderId="13" xfId="6" applyNumberFormat="1" applyFont="1" applyFill="1" applyBorder="1" applyAlignment="1">
      <alignment horizontal="center" vertical="center" wrapText="1"/>
    </xf>
    <xf numFmtId="0" fontId="2" fillId="0" borderId="13" xfId="8" applyNumberFormat="1" applyFont="1" applyFill="1" applyBorder="1" applyAlignment="1">
      <alignment horizontal="center" vertical="center" wrapText="1"/>
    </xf>
    <xf numFmtId="0" fontId="3" fillId="0" borderId="13" xfId="0" applyNumberFormat="1" applyFont="1" applyBorder="1" applyAlignment="1">
      <alignment horizontal="center" vertical="center" wrapText="1"/>
    </xf>
    <xf numFmtId="170" fontId="2" fillId="2" borderId="13" xfId="0" applyFont="1" applyFill="1" applyBorder="1" applyAlignment="1">
      <alignment horizontal="justify" vertical="center"/>
    </xf>
    <xf numFmtId="0" fontId="2" fillId="0" borderId="13" xfId="0" applyNumberFormat="1" applyFont="1" applyBorder="1" applyAlignment="1">
      <alignment horizontal="center" vertical="center"/>
    </xf>
    <xf numFmtId="0" fontId="2" fillId="2" borderId="13" xfId="6" applyNumberFormat="1" applyFont="1" applyFill="1" applyBorder="1" applyAlignment="1">
      <alignment horizontal="center" vertical="center" wrapText="1"/>
    </xf>
    <xf numFmtId="0" fontId="3" fillId="0" borderId="13" xfId="0" applyNumberFormat="1" applyFont="1" applyBorder="1" applyAlignment="1">
      <alignment horizontal="left" vertical="center" wrapText="1"/>
    </xf>
    <xf numFmtId="0" fontId="2" fillId="0" borderId="13" xfId="6" applyNumberFormat="1" applyFont="1" applyFill="1" applyBorder="1" applyAlignment="1">
      <alignment horizontal="center" vertical="center"/>
    </xf>
    <xf numFmtId="0" fontId="2" fillId="0" borderId="13" xfId="7" applyFont="1" applyFill="1" applyBorder="1" applyAlignment="1">
      <alignment horizontal="justify" vertical="center" wrapText="1"/>
    </xf>
    <xf numFmtId="170" fontId="2" fillId="2" borderId="13" xfId="0" applyFont="1" applyFill="1" applyBorder="1" applyAlignment="1">
      <alignment vertical="center" wrapText="1"/>
    </xf>
    <xf numFmtId="170" fontId="2" fillId="0" borderId="13" xfId="0" applyFont="1" applyFill="1" applyBorder="1" applyAlignment="1">
      <alignment vertical="center" wrapText="1"/>
    </xf>
    <xf numFmtId="0" fontId="2" fillId="0" borderId="13" xfId="0" applyNumberFormat="1" applyFont="1" applyBorder="1" applyAlignment="1">
      <alignment horizontal="left" vertical="center"/>
    </xf>
    <xf numFmtId="170" fontId="2" fillId="0" borderId="13" xfId="0" applyFont="1" applyBorder="1" applyAlignment="1">
      <alignment horizontal="justify" vertical="center"/>
    </xf>
    <xf numFmtId="0" fontId="2" fillId="0" borderId="13" xfId="0" applyNumberFormat="1" applyFont="1" applyBorder="1" applyAlignment="1">
      <alignment horizontal="justify" vertical="center"/>
    </xf>
    <xf numFmtId="0" fontId="2" fillId="0" borderId="13" xfId="8" applyNumberFormat="1" applyFont="1" applyFill="1" applyBorder="1" applyAlignment="1">
      <alignment horizontal="justify" vertical="center" wrapText="1"/>
    </xf>
    <xf numFmtId="0" fontId="2" fillId="0" borderId="13" xfId="0" applyNumberFormat="1" applyFont="1" applyBorder="1" applyAlignment="1">
      <alignment horizontal="left" vertical="center" wrapText="1"/>
    </xf>
    <xf numFmtId="0" fontId="2" fillId="0" borderId="13" xfId="0" applyNumberFormat="1" applyFont="1" applyBorder="1" applyAlignment="1" applyProtection="1">
      <alignment horizontal="center" vertical="center" wrapText="1"/>
      <protection locked="0"/>
    </xf>
    <xf numFmtId="170" fontId="2" fillId="0" borderId="13" xfId="0" applyFont="1" applyFill="1" applyBorder="1" applyAlignment="1" applyProtection="1">
      <alignment horizontal="justify" vertical="center" wrapText="1"/>
      <protection locked="0"/>
    </xf>
    <xf numFmtId="0" fontId="2" fillId="12" borderId="13" xfId="6" applyNumberFormat="1" applyFont="1" applyFill="1" applyBorder="1" applyAlignment="1">
      <alignment horizontal="center" vertical="center" wrapText="1"/>
    </xf>
    <xf numFmtId="0" fontId="2" fillId="0" borderId="13" xfId="0" applyNumberFormat="1" applyFont="1" applyFill="1" applyBorder="1" applyAlignment="1" applyProtection="1">
      <alignment horizontal="justify" vertical="center" wrapText="1"/>
      <protection locked="0"/>
    </xf>
    <xf numFmtId="0" fontId="2" fillId="0" borderId="13" xfId="7" applyNumberFormat="1" applyFont="1" applyBorder="1" applyAlignment="1">
      <alignment horizontal="center" vertical="center" wrapText="1"/>
    </xf>
    <xf numFmtId="0" fontId="2" fillId="2" borderId="17" xfId="0" applyNumberFormat="1" applyFont="1" applyFill="1" applyBorder="1" applyAlignment="1">
      <alignment horizontal="center" vertical="center" wrapText="1"/>
    </xf>
    <xf numFmtId="0" fontId="2" fillId="2" borderId="13" xfId="8" applyNumberFormat="1" applyFont="1" applyFill="1" applyBorder="1" applyAlignment="1">
      <alignment horizontal="center" vertical="center" wrapText="1"/>
    </xf>
    <xf numFmtId="170" fontId="2" fillId="2" borderId="13" xfId="0" applyFont="1" applyFill="1" applyBorder="1" applyAlignment="1">
      <alignment horizontal="center" vertical="center" wrapText="1"/>
    </xf>
    <xf numFmtId="0" fontId="3" fillId="2" borderId="13" xfId="0" applyNumberFormat="1" applyFont="1" applyFill="1" applyBorder="1" applyAlignment="1">
      <alignment horizontal="left" vertical="center" wrapText="1"/>
    </xf>
    <xf numFmtId="170" fontId="2" fillId="2" borderId="13" xfId="6" applyFont="1" applyFill="1" applyBorder="1" applyAlignment="1">
      <alignment horizontal="justify" vertical="center" wrapText="1"/>
    </xf>
    <xf numFmtId="0" fontId="2" fillId="2" borderId="13" xfId="6" applyNumberFormat="1" applyFont="1" applyFill="1" applyBorder="1" applyAlignment="1">
      <alignment horizontal="justify" vertical="center" wrapText="1"/>
    </xf>
    <xf numFmtId="0" fontId="3" fillId="2" borderId="13" xfId="0" applyNumberFormat="1" applyFont="1" applyFill="1" applyBorder="1" applyAlignment="1">
      <alignment horizontal="center" vertical="center" wrapText="1"/>
    </xf>
    <xf numFmtId="0" fontId="2" fillId="2" borderId="13" xfId="7" applyNumberFormat="1" applyFont="1" applyFill="1" applyBorder="1" applyAlignment="1">
      <alignment horizontal="center" vertical="center" wrapText="1"/>
    </xf>
    <xf numFmtId="0" fontId="2" fillId="2" borderId="13" xfId="0" applyNumberFormat="1" applyFont="1" applyFill="1" applyBorder="1" applyAlignment="1">
      <alignment horizontal="center" vertical="center"/>
    </xf>
    <xf numFmtId="170" fontId="2" fillId="2" borderId="13" xfId="0" applyFont="1" applyFill="1" applyBorder="1" applyAlignment="1">
      <alignment horizontal="center" vertical="center"/>
    </xf>
    <xf numFmtId="170" fontId="2" fillId="0" borderId="15" xfId="0" applyFont="1" applyBorder="1" applyAlignment="1">
      <alignment horizontal="center" vertical="center" wrapText="1"/>
    </xf>
    <xf numFmtId="0" fontId="2" fillId="0" borderId="19" xfId="6" applyNumberFormat="1" applyFont="1" applyFill="1" applyBorder="1" applyAlignment="1">
      <alignment horizontal="center" vertical="center" wrapText="1"/>
    </xf>
    <xf numFmtId="0" fontId="2" fillId="2" borderId="13" xfId="0" applyNumberFormat="1" applyFont="1" applyFill="1" applyBorder="1" applyAlignment="1" applyProtection="1">
      <alignment horizontal="center" vertical="center" wrapText="1"/>
      <protection locked="0"/>
    </xf>
    <xf numFmtId="170" fontId="2" fillId="2" borderId="13" xfId="0" applyFont="1" applyFill="1" applyBorder="1" applyAlignment="1" applyProtection="1">
      <alignment horizontal="justify" vertical="center" wrapText="1"/>
      <protection locked="0"/>
    </xf>
    <xf numFmtId="170" fontId="2" fillId="0" borderId="13" xfId="0" applyFont="1" applyBorder="1" applyAlignment="1">
      <alignment horizontal="left" vertical="center" wrapText="1"/>
    </xf>
    <xf numFmtId="170" fontId="3" fillId="7" borderId="30" xfId="0" applyFont="1" applyFill="1" applyBorder="1" applyAlignment="1">
      <alignment vertical="center"/>
    </xf>
    <xf numFmtId="0" fontId="2" fillId="0" borderId="19" xfId="0" applyNumberFormat="1" applyFont="1" applyBorder="1" applyAlignment="1">
      <alignment horizontal="center" vertical="center" wrapText="1"/>
    </xf>
    <xf numFmtId="0" fontId="2" fillId="0" borderId="13" xfId="0" applyNumberFormat="1" applyFont="1" applyBorder="1" applyAlignment="1" applyProtection="1">
      <alignment horizontal="justify" vertical="center" wrapText="1"/>
      <protection locked="0"/>
    </xf>
    <xf numFmtId="0" fontId="2" fillId="2" borderId="13" xfId="0" applyNumberFormat="1" applyFont="1" applyFill="1" applyBorder="1" applyAlignment="1" applyProtection="1">
      <alignment horizontal="justify" vertical="center" wrapText="1"/>
      <protection locked="0"/>
    </xf>
    <xf numFmtId="0" fontId="2" fillId="2" borderId="13" xfId="7" applyFont="1" applyFill="1" applyBorder="1" applyAlignment="1">
      <alignment horizontal="center" vertical="center" wrapText="1"/>
    </xf>
    <xf numFmtId="43" fontId="2" fillId="0" borderId="15" xfId="0" applyNumberFormat="1" applyFont="1" applyBorder="1" applyAlignment="1">
      <alignment horizontal="center" vertical="center"/>
    </xf>
    <xf numFmtId="43" fontId="2" fillId="2" borderId="13" xfId="5" applyFont="1" applyFill="1" applyBorder="1" applyAlignment="1">
      <alignment horizontal="justify" vertical="center"/>
    </xf>
    <xf numFmtId="43" fontId="2" fillId="0" borderId="3" xfId="0" applyNumberFormat="1" applyFont="1" applyBorder="1" applyAlignment="1">
      <alignment horizontal="center" vertical="center"/>
    </xf>
    <xf numFmtId="172" fontId="4" fillId="4" borderId="3" xfId="5" applyNumberFormat="1" applyFont="1" applyFill="1" applyBorder="1" applyAlignment="1">
      <alignment horizontal="center" vertical="center" wrapText="1"/>
    </xf>
    <xf numFmtId="170" fontId="3" fillId="0" borderId="13" xfId="0" applyFont="1" applyBorder="1" applyAlignment="1">
      <alignment vertical="center"/>
    </xf>
    <xf numFmtId="0" fontId="3" fillId="6" borderId="13" xfId="0" applyNumberFormat="1" applyFont="1" applyFill="1" applyBorder="1" applyAlignment="1">
      <alignment horizontal="center" vertical="center" wrapText="1"/>
    </xf>
    <xf numFmtId="0" fontId="3" fillId="6" borderId="13" xfId="0" applyNumberFormat="1" applyFont="1" applyFill="1" applyBorder="1" applyAlignment="1">
      <alignment horizontal="justify" vertical="center" wrapText="1"/>
    </xf>
    <xf numFmtId="170" fontId="3" fillId="6" borderId="13" xfId="0" applyFont="1" applyFill="1" applyBorder="1" applyAlignment="1">
      <alignment horizontal="justify" vertical="center" wrapText="1"/>
    </xf>
    <xf numFmtId="43" fontId="3" fillId="6" borderId="13" xfId="0" applyNumberFormat="1" applyFont="1" applyFill="1" applyBorder="1" applyAlignment="1">
      <alignment vertical="center"/>
    </xf>
    <xf numFmtId="0" fontId="3" fillId="16" borderId="15" xfId="0" applyNumberFormat="1" applyFont="1" applyFill="1" applyBorder="1" applyAlignment="1">
      <alignment horizontal="left" vertical="center"/>
    </xf>
    <xf numFmtId="0" fontId="3" fillId="16" borderId="18" xfId="0" applyNumberFormat="1" applyFont="1" applyFill="1" applyBorder="1" applyAlignment="1">
      <alignment horizontal="left" vertical="center"/>
    </xf>
    <xf numFmtId="0" fontId="2" fillId="16" borderId="18" xfId="0" applyNumberFormat="1" applyFont="1" applyFill="1" applyBorder="1" applyAlignment="1">
      <alignment horizontal="center" vertical="center"/>
    </xf>
    <xf numFmtId="0" fontId="3" fillId="16" borderId="18" xfId="0" applyNumberFormat="1" applyFont="1" applyFill="1" applyBorder="1" applyAlignment="1">
      <alignment horizontal="justify" vertical="center" wrapText="1"/>
    </xf>
    <xf numFmtId="0" fontId="3" fillId="16" borderId="18" xfId="0" applyNumberFormat="1" applyFont="1" applyFill="1" applyBorder="1" applyAlignment="1">
      <alignment horizontal="center" vertical="center" wrapText="1"/>
    </xf>
    <xf numFmtId="170" fontId="3" fillId="16" borderId="18" xfId="0" applyFont="1" applyFill="1" applyBorder="1" applyAlignment="1">
      <alignment horizontal="justify" vertical="center" wrapText="1"/>
    </xf>
    <xf numFmtId="170" fontId="2" fillId="16" borderId="18" xfId="0" applyFont="1" applyFill="1" applyBorder="1" applyAlignment="1">
      <alignment vertical="center"/>
    </xf>
    <xf numFmtId="170" fontId="3" fillId="16" borderId="18" xfId="0" applyFont="1" applyFill="1" applyBorder="1" applyAlignment="1">
      <alignment horizontal="center" vertical="center"/>
    </xf>
    <xf numFmtId="170" fontId="3" fillId="16" borderId="13" xfId="0" applyFont="1" applyFill="1" applyBorder="1" applyAlignment="1">
      <alignment horizontal="justify" vertical="center" wrapText="1"/>
    </xf>
    <xf numFmtId="43" fontId="3" fillId="16" borderId="13" xfId="0" applyNumberFormat="1" applyFont="1" applyFill="1" applyBorder="1" applyAlignment="1">
      <alignment vertical="center"/>
    </xf>
    <xf numFmtId="170" fontId="2" fillId="0" borderId="13" xfId="0" applyFont="1" applyBorder="1"/>
    <xf numFmtId="0" fontId="3" fillId="7" borderId="13" xfId="0" applyNumberFormat="1" applyFont="1" applyFill="1" applyBorder="1" applyAlignment="1">
      <alignment horizontal="center" vertical="center"/>
    </xf>
    <xf numFmtId="170" fontId="3" fillId="7" borderId="13" xfId="0" applyFont="1" applyFill="1" applyBorder="1" applyAlignment="1">
      <alignment horizontal="justify" vertical="center" wrapText="1"/>
    </xf>
    <xf numFmtId="43" fontId="3" fillId="7" borderId="13" xfId="0" applyNumberFormat="1" applyFont="1" applyFill="1" applyBorder="1" applyAlignment="1">
      <alignment vertical="center"/>
    </xf>
    <xf numFmtId="0" fontId="2" fillId="0" borderId="13" xfId="6" applyNumberFormat="1" applyFont="1" applyFill="1" applyBorder="1">
      <alignment horizontal="center" vertical="center" wrapText="1"/>
    </xf>
    <xf numFmtId="43" fontId="2" fillId="0" borderId="13" xfId="5" applyFont="1" applyFill="1" applyBorder="1" applyAlignment="1">
      <alignment horizontal="justify" vertical="center"/>
    </xf>
    <xf numFmtId="43" fontId="2" fillId="0" borderId="13" xfId="0" applyNumberFormat="1" applyFont="1" applyBorder="1" applyAlignment="1">
      <alignment vertical="center"/>
    </xf>
    <xf numFmtId="170" fontId="2" fillId="0" borderId="13" xfId="3" applyNumberFormat="1" applyFont="1" applyFill="1" applyBorder="1" applyAlignment="1">
      <alignment vertical="center"/>
    </xf>
    <xf numFmtId="0" fontId="3" fillId="7" borderId="13" xfId="0" applyNumberFormat="1" applyFont="1" applyFill="1" applyBorder="1" applyAlignment="1">
      <alignment horizontal="justify" vertical="center" wrapText="1"/>
    </xf>
    <xf numFmtId="0" fontId="3" fillId="7" borderId="13" xfId="0" applyNumberFormat="1" applyFont="1" applyFill="1" applyBorder="1" applyAlignment="1">
      <alignment horizontal="center" vertical="center" wrapText="1"/>
    </xf>
    <xf numFmtId="170" fontId="3" fillId="7" borderId="13" xfId="0" applyFont="1" applyFill="1" applyBorder="1" applyAlignment="1">
      <alignment horizontal="center" vertical="center"/>
    </xf>
    <xf numFmtId="43" fontId="3" fillId="7" borderId="13" xfId="0" applyNumberFormat="1" applyFont="1" applyFill="1" applyBorder="1" applyAlignment="1">
      <alignment horizontal="center" vertical="center"/>
    </xf>
    <xf numFmtId="0" fontId="2" fillId="0" borderId="13" xfId="7" applyFont="1" applyBorder="1" applyAlignment="1">
      <alignment horizontal="justify" vertical="center"/>
    </xf>
    <xf numFmtId="43" fontId="3" fillId="6" borderId="13" xfId="8" applyFont="1" applyFill="1" applyBorder="1" applyAlignment="1">
      <alignment horizontal="center" vertical="center"/>
    </xf>
    <xf numFmtId="170" fontId="3" fillId="7" borderId="18" xfId="0" applyFont="1" applyFill="1" applyBorder="1" applyAlignment="1">
      <alignment vertical="justify"/>
    </xf>
    <xf numFmtId="43" fontId="3" fillId="7" borderId="13" xfId="8" applyFont="1" applyFill="1" applyBorder="1" applyAlignment="1">
      <alignment horizontal="center" vertical="center"/>
    </xf>
    <xf numFmtId="43" fontId="2" fillId="0" borderId="13" xfId="8" applyFont="1" applyFill="1" applyBorder="1" applyAlignment="1">
      <alignment horizontal="right" vertical="center" wrapText="1"/>
    </xf>
    <xf numFmtId="0" fontId="2" fillId="2" borderId="13" xfId="7" applyNumberFormat="1" applyFont="1" applyFill="1" applyBorder="1" applyAlignment="1">
      <alignment horizontal="justify" vertical="center"/>
    </xf>
    <xf numFmtId="172" fontId="2" fillId="0" borderId="13" xfId="5" applyNumberFormat="1" applyFont="1" applyFill="1" applyBorder="1" applyAlignment="1">
      <alignment horizontal="center" vertical="center" wrapText="1"/>
    </xf>
    <xf numFmtId="43" fontId="2" fillId="2" borderId="13" xfId="8" applyFont="1" applyFill="1" applyBorder="1" applyAlignment="1">
      <alignment horizontal="right" vertical="center" wrapText="1"/>
    </xf>
    <xf numFmtId="43" fontId="2" fillId="2" borderId="13" xfId="8" applyNumberFormat="1" applyFont="1" applyFill="1" applyBorder="1" applyAlignment="1">
      <alignment horizontal="right" vertical="center" wrapText="1"/>
    </xf>
    <xf numFmtId="172" fontId="2" fillId="2" borderId="13" xfId="5" applyNumberFormat="1" applyFont="1" applyFill="1" applyBorder="1" applyAlignment="1">
      <alignment horizontal="center" vertical="center" wrapText="1"/>
    </xf>
    <xf numFmtId="172" fontId="2" fillId="2" borderId="15" xfId="5" applyNumberFormat="1" applyFont="1" applyFill="1" applyBorder="1" applyAlignment="1">
      <alignment horizontal="center" vertical="center" wrapText="1"/>
    </xf>
    <xf numFmtId="43" fontId="3" fillId="6" borderId="13" xfId="0" applyNumberFormat="1" applyFont="1" applyFill="1" applyBorder="1" applyAlignment="1">
      <alignment horizontal="center" vertical="center"/>
    </xf>
    <xf numFmtId="43" fontId="3" fillId="16" borderId="13" xfId="0" applyNumberFormat="1" applyFont="1" applyFill="1" applyBorder="1" applyAlignment="1">
      <alignment horizontal="center" vertical="center"/>
    </xf>
    <xf numFmtId="43" fontId="3" fillId="0" borderId="13" xfId="0" applyNumberFormat="1" applyFont="1" applyBorder="1" applyAlignment="1">
      <alignment horizontal="left" vertical="center"/>
    </xf>
    <xf numFmtId="43" fontId="2" fillId="2" borderId="13" xfId="0" applyNumberFormat="1" applyFont="1" applyFill="1" applyBorder="1" applyAlignment="1">
      <alignment horizontal="left" vertical="center"/>
    </xf>
    <xf numFmtId="4" fontId="2" fillId="0" borderId="13" xfId="0" applyNumberFormat="1" applyFont="1" applyBorder="1" applyAlignment="1">
      <alignment horizontal="right" vertical="center" wrapText="1"/>
    </xf>
    <xf numFmtId="0" fontId="3" fillId="6" borderId="13" xfId="0" applyNumberFormat="1" applyFont="1" applyFill="1" applyBorder="1" applyAlignment="1">
      <alignment horizontal="left" vertical="center" wrapText="1"/>
    </xf>
    <xf numFmtId="174" fontId="2" fillId="0" borderId="13" xfId="2" applyNumberFormat="1" applyFont="1" applyFill="1" applyBorder="1" applyAlignment="1">
      <alignment horizontal="right" vertical="center"/>
    </xf>
    <xf numFmtId="43" fontId="2" fillId="0" borderId="13" xfId="5" applyFont="1" applyFill="1" applyBorder="1"/>
    <xf numFmtId="43" fontId="2" fillId="0" borderId="13" xfId="0" applyNumberFormat="1" applyFont="1" applyBorder="1" applyAlignment="1">
      <alignment horizontal="justify" vertical="center"/>
    </xf>
    <xf numFmtId="174" fontId="2" fillId="2" borderId="13" xfId="2" applyNumberFormat="1" applyFont="1" applyFill="1" applyBorder="1" applyAlignment="1">
      <alignment horizontal="right" vertical="center"/>
    </xf>
    <xf numFmtId="170" fontId="2" fillId="0" borderId="13" xfId="3" applyNumberFormat="1" applyFont="1" applyFill="1" applyBorder="1" applyAlignment="1">
      <alignment horizontal="center" vertical="center" wrapText="1"/>
    </xf>
    <xf numFmtId="167" fontId="2" fillId="2" borderId="13" xfId="0" applyNumberFormat="1" applyFont="1" applyFill="1" applyBorder="1" applyAlignment="1">
      <alignment vertical="center"/>
    </xf>
    <xf numFmtId="0" fontId="3" fillId="6" borderId="15" xfId="0" applyNumberFormat="1" applyFont="1" applyFill="1" applyBorder="1" applyAlignment="1">
      <alignment vertical="center"/>
    </xf>
    <xf numFmtId="0" fontId="2" fillId="6" borderId="18" xfId="0" applyNumberFormat="1" applyFont="1" applyFill="1" applyBorder="1" applyAlignment="1">
      <alignment horizontal="center" vertical="center"/>
    </xf>
    <xf numFmtId="0" fontId="3" fillId="6" borderId="18" xfId="0" applyNumberFormat="1" applyFont="1" applyFill="1" applyBorder="1" applyAlignment="1">
      <alignment horizontal="justify" vertical="center" wrapText="1"/>
    </xf>
    <xf numFmtId="0" fontId="3" fillId="6" borderId="18" xfId="0" applyNumberFormat="1" applyFont="1" applyFill="1" applyBorder="1" applyAlignment="1">
      <alignment horizontal="center" vertical="center" wrapText="1"/>
    </xf>
    <xf numFmtId="170" fontId="3" fillId="6" borderId="18" xfId="0" applyFont="1" applyFill="1" applyBorder="1" applyAlignment="1">
      <alignment horizontal="justify" vertical="center" wrapText="1"/>
    </xf>
    <xf numFmtId="170" fontId="2" fillId="6" borderId="18" xfId="0" applyFont="1" applyFill="1" applyBorder="1" applyAlignment="1">
      <alignment vertical="center"/>
    </xf>
    <xf numFmtId="170" fontId="3" fillId="6" borderId="16" xfId="0" applyFont="1" applyFill="1" applyBorder="1" applyAlignment="1">
      <alignment horizontal="justify" vertical="center" wrapText="1"/>
    </xf>
    <xf numFmtId="43" fontId="3" fillId="16" borderId="16" xfId="0" applyNumberFormat="1" applyFont="1" applyFill="1" applyBorder="1" applyAlignment="1">
      <alignment vertical="center"/>
    </xf>
    <xf numFmtId="170" fontId="3" fillId="7" borderId="16" xfId="0" applyFont="1" applyFill="1" applyBorder="1" applyAlignment="1">
      <alignment vertical="center"/>
    </xf>
    <xf numFmtId="170" fontId="3" fillId="7" borderId="27" xfId="0" applyFont="1" applyFill="1" applyBorder="1" applyAlignment="1">
      <alignment horizontal="justify" vertical="center" wrapText="1"/>
    </xf>
    <xf numFmtId="170" fontId="3" fillId="7" borderId="28" xfId="0" applyFont="1" applyFill="1" applyBorder="1" applyAlignment="1">
      <alignment horizontal="justify" vertical="center" wrapText="1"/>
    </xf>
    <xf numFmtId="0" fontId="2" fillId="2" borderId="13" xfId="9" applyFont="1" applyFill="1" applyBorder="1">
      <alignment horizontal="center" vertical="center" wrapText="1"/>
    </xf>
    <xf numFmtId="43" fontId="2" fillId="0" borderId="13" xfId="8" applyFont="1" applyFill="1" applyBorder="1" applyAlignment="1">
      <alignment horizontal="center" vertical="center" wrapText="1"/>
    </xf>
    <xf numFmtId="174" fontId="2" fillId="0" borderId="13" xfId="2" applyNumberFormat="1" applyFont="1" applyFill="1" applyBorder="1" applyAlignment="1">
      <alignment horizontal="right" vertical="center" wrapText="1"/>
    </xf>
    <xf numFmtId="170" fontId="3" fillId="7" borderId="18" xfId="0" applyFont="1" applyFill="1" applyBorder="1" applyAlignment="1">
      <alignment vertical="center"/>
    </xf>
    <xf numFmtId="0" fontId="2" fillId="0" borderId="13" xfId="7" applyFont="1" applyBorder="1" applyAlignment="1">
      <alignment horizontal="center" vertical="center" wrapText="1"/>
    </xf>
    <xf numFmtId="165" fontId="2" fillId="0" borderId="13" xfId="2" applyFont="1" applyFill="1" applyBorder="1" applyAlignment="1">
      <alignment horizontal="right" vertical="center" wrapText="1"/>
    </xf>
    <xf numFmtId="170" fontId="2" fillId="0" borderId="13" xfId="0" applyFont="1" applyBorder="1" applyAlignment="1">
      <alignment vertical="center" wrapText="1"/>
    </xf>
    <xf numFmtId="0" fontId="2" fillId="0" borderId="13" xfId="9" applyNumberFormat="1" applyFont="1" applyFill="1" applyBorder="1" applyAlignment="1">
      <alignment horizontal="center" vertical="center" wrapText="1"/>
    </xf>
    <xf numFmtId="0" fontId="2" fillId="2" borderId="13" xfId="9" applyFont="1" applyFill="1" applyBorder="1" applyAlignment="1">
      <alignment horizontal="justify" vertical="center" wrapText="1"/>
    </xf>
    <xf numFmtId="0" fontId="2" fillId="0" borderId="13" xfId="9" applyFont="1" applyFill="1" applyBorder="1">
      <alignment horizontal="center" vertical="center" wrapText="1"/>
    </xf>
    <xf numFmtId="0" fontId="3" fillId="16" borderId="13" xfId="0" applyNumberFormat="1" applyFont="1" applyFill="1" applyBorder="1" applyAlignment="1">
      <alignment horizontal="left" vertical="center" wrapText="1"/>
    </xf>
    <xf numFmtId="167" fontId="2" fillId="0" borderId="13" xfId="0" applyNumberFormat="1" applyFont="1" applyBorder="1" applyAlignment="1">
      <alignment vertical="center"/>
    </xf>
    <xf numFmtId="165" fontId="2" fillId="0" borderId="13" xfId="2" applyFont="1" applyFill="1" applyBorder="1" applyAlignment="1">
      <alignment vertical="center"/>
    </xf>
    <xf numFmtId="170" fontId="3" fillId="16" borderId="16" xfId="0" applyFont="1" applyFill="1" applyBorder="1" applyAlignment="1">
      <alignment horizontal="center" vertical="center"/>
    </xf>
    <xf numFmtId="167" fontId="3" fillId="7" borderId="13" xfId="1" applyFont="1" applyFill="1" applyBorder="1" applyAlignment="1">
      <alignment horizontal="left" vertical="center"/>
    </xf>
    <xf numFmtId="43" fontId="3" fillId="7" borderId="13" xfId="0" applyNumberFormat="1" applyFont="1" applyFill="1" applyBorder="1" applyAlignment="1">
      <alignment horizontal="left" vertical="center"/>
    </xf>
    <xf numFmtId="43" fontId="2" fillId="0" borderId="13" xfId="8" applyFont="1" applyFill="1" applyBorder="1" applyAlignment="1">
      <alignment horizontal="center" vertical="center"/>
    </xf>
    <xf numFmtId="43" fontId="3" fillId="7" borderId="19" xfId="0" applyNumberFormat="1" applyFont="1" applyFill="1" applyBorder="1" applyAlignment="1">
      <alignment vertical="center"/>
    </xf>
    <xf numFmtId="3" fontId="2" fillId="0" borderId="13" xfId="0" applyNumberFormat="1" applyFont="1" applyBorder="1" applyAlignment="1">
      <alignment horizontal="center" vertical="center" wrapText="1"/>
    </xf>
    <xf numFmtId="43" fontId="2" fillId="0" borderId="13" xfId="5" applyFont="1" applyFill="1" applyBorder="1" applyAlignment="1">
      <alignment vertical="center"/>
    </xf>
    <xf numFmtId="167" fontId="3" fillId="7" borderId="13" xfId="1" applyFont="1" applyFill="1" applyBorder="1" applyAlignment="1">
      <alignment vertical="center"/>
    </xf>
    <xf numFmtId="170" fontId="2" fillId="12" borderId="13" xfId="0" applyFont="1" applyFill="1" applyBorder="1" applyAlignment="1">
      <alignment horizontal="justify" vertical="center"/>
    </xf>
    <xf numFmtId="43" fontId="2" fillId="0" borderId="13" xfId="8" applyFont="1" applyFill="1" applyBorder="1" applyAlignment="1">
      <alignment vertical="center"/>
    </xf>
    <xf numFmtId="43" fontId="3" fillId="7" borderId="13" xfId="0" applyNumberFormat="1" applyFont="1" applyFill="1" applyBorder="1" applyAlignment="1">
      <alignment horizontal="justify" vertical="center" wrapText="1"/>
    </xf>
    <xf numFmtId="43" fontId="3" fillId="7" borderId="13" xfId="0" applyNumberFormat="1" applyFont="1" applyFill="1" applyBorder="1" applyAlignment="1">
      <alignment horizontal="center" vertical="center" wrapText="1"/>
    </xf>
    <xf numFmtId="170" fontId="2" fillId="0" borderId="13" xfId="0" applyFont="1" applyBorder="1" applyAlignment="1">
      <alignment horizontal="center" vertical="center"/>
    </xf>
    <xf numFmtId="172" fontId="2" fillId="0" borderId="13" xfId="8" applyNumberFormat="1" applyFont="1" applyFill="1" applyBorder="1" applyAlignment="1">
      <alignment horizontal="right" vertical="center" wrapText="1"/>
    </xf>
    <xf numFmtId="43" fontId="2" fillId="0" borderId="13" xfId="8" applyFont="1" applyFill="1" applyBorder="1" applyAlignment="1">
      <alignment horizontal="left" vertical="center" wrapText="1"/>
    </xf>
    <xf numFmtId="0" fontId="3" fillId="7" borderId="17" xfId="0" applyNumberFormat="1" applyFont="1" applyFill="1" applyBorder="1" applyAlignment="1">
      <alignment horizontal="center" vertical="center" wrapText="1"/>
    </xf>
    <xf numFmtId="0" fontId="2" fillId="2" borderId="19" xfId="7" applyFont="1" applyFill="1" applyBorder="1" applyAlignment="1">
      <alignment horizontal="center" vertical="center" wrapText="1"/>
    </xf>
    <xf numFmtId="0" fontId="2" fillId="2" borderId="13" xfId="7" applyFont="1" applyFill="1" applyBorder="1" applyAlignment="1">
      <alignment horizontal="justify" vertical="center" wrapText="1"/>
    </xf>
    <xf numFmtId="43" fontId="2" fillId="2" borderId="13" xfId="0" applyNumberFormat="1" applyFont="1" applyFill="1" applyBorder="1" applyAlignment="1">
      <alignment vertical="center"/>
    </xf>
    <xf numFmtId="43" fontId="2" fillId="2" borderId="13" xfId="0" applyNumberFormat="1" applyFont="1" applyFill="1" applyBorder="1" applyAlignment="1">
      <alignment horizontal="center" vertical="center"/>
    </xf>
    <xf numFmtId="1" fontId="2" fillId="2" borderId="13" xfId="13" applyNumberFormat="1" applyFont="1" applyFill="1" applyBorder="1" applyAlignment="1">
      <alignment horizontal="center" vertical="center"/>
    </xf>
    <xf numFmtId="167" fontId="2" fillId="0" borderId="13" xfId="1" applyFont="1" applyFill="1" applyBorder="1" applyAlignment="1">
      <alignment horizontal="center" vertical="center" wrapText="1"/>
    </xf>
    <xf numFmtId="167" fontId="2" fillId="0" borderId="13" xfId="1" applyFont="1" applyFill="1" applyBorder="1" applyAlignment="1">
      <alignment horizontal="right" vertical="center" wrapText="1"/>
    </xf>
    <xf numFmtId="0" fontId="2" fillId="0" borderId="13" xfId="1" applyNumberFormat="1" applyFont="1" applyBorder="1" applyAlignment="1">
      <alignment horizontal="center" vertical="center" wrapText="1"/>
    </xf>
    <xf numFmtId="0" fontId="2" fillId="0" borderId="13" xfId="1" applyNumberFormat="1" applyFont="1" applyFill="1" applyBorder="1" applyAlignment="1">
      <alignment horizontal="center" vertical="center" wrapText="1"/>
    </xf>
    <xf numFmtId="167" fontId="2" fillId="0" borderId="13" xfId="1" applyFont="1" applyFill="1" applyBorder="1" applyAlignment="1">
      <alignment horizontal="justify" vertical="center"/>
    </xf>
    <xf numFmtId="167" fontId="2" fillId="0" borderId="13" xfId="1" applyFont="1" applyFill="1" applyBorder="1" applyAlignment="1">
      <alignment horizontal="left" vertical="center" wrapText="1"/>
    </xf>
    <xf numFmtId="0" fontId="3" fillId="6" borderId="13" xfId="0" applyNumberFormat="1" applyFont="1" applyFill="1" applyBorder="1" applyAlignment="1">
      <alignment horizontal="center" vertical="center"/>
    </xf>
    <xf numFmtId="43" fontId="2" fillId="0" borderId="13" xfId="5" applyFont="1" applyBorder="1" applyAlignment="1">
      <alignment horizontal="justify" vertical="center"/>
    </xf>
    <xf numFmtId="43" fontId="2" fillId="0" borderId="13" xfId="8" applyFont="1" applyBorder="1" applyAlignment="1">
      <alignment horizontal="right" vertical="center" wrapText="1"/>
    </xf>
    <xf numFmtId="0" fontId="2" fillId="2" borderId="13" xfId="9" applyNumberFormat="1" applyFont="1" applyFill="1" applyBorder="1" applyAlignment="1">
      <alignment horizontal="center" vertical="center" wrapText="1"/>
    </xf>
    <xf numFmtId="170" fontId="2" fillId="0" borderId="13" xfId="0" applyFont="1" applyBorder="1" applyAlignment="1">
      <alignment vertical="center"/>
    </xf>
    <xf numFmtId="170" fontId="2" fillId="0" borderId="17" xfId="0" applyFont="1" applyFill="1" applyBorder="1" applyAlignment="1">
      <alignment vertical="center" wrapText="1"/>
    </xf>
    <xf numFmtId="43" fontId="2" fillId="2" borderId="13" xfId="8" applyFont="1" applyFill="1" applyBorder="1" applyAlignment="1">
      <alignment horizontal="center" vertical="center"/>
    </xf>
    <xf numFmtId="3" fontId="2" fillId="2" borderId="13" xfId="0" applyNumberFormat="1" applyFont="1" applyFill="1" applyBorder="1" applyAlignment="1">
      <alignment horizontal="center" vertical="center" wrapText="1"/>
    </xf>
    <xf numFmtId="175" fontId="2" fillId="0" borderId="13" xfId="4" applyNumberFormat="1" applyFont="1" applyFill="1" applyBorder="1" applyAlignment="1">
      <alignment horizontal="center" vertical="center" wrapText="1"/>
    </xf>
    <xf numFmtId="175" fontId="2" fillId="0" borderId="13" xfId="4" applyNumberFormat="1" applyFont="1" applyFill="1" applyBorder="1" applyAlignment="1">
      <alignment horizontal="center" vertical="center"/>
    </xf>
    <xf numFmtId="175" fontId="2" fillId="0" borderId="13" xfId="4" applyNumberFormat="1" applyFont="1" applyFill="1" applyBorder="1" applyAlignment="1">
      <alignment horizontal="justify" vertical="center"/>
    </xf>
    <xf numFmtId="0" fontId="2" fillId="2" borderId="17" xfId="7" applyFont="1" applyFill="1" applyBorder="1" applyAlignment="1">
      <alignment horizontal="center" vertical="center" wrapText="1"/>
    </xf>
    <xf numFmtId="170" fontId="2" fillId="0" borderId="15" xfId="0" applyFont="1" applyBorder="1" applyAlignment="1">
      <alignment horizontal="center" vertical="center"/>
    </xf>
    <xf numFmtId="175" fontId="2" fillId="2" borderId="13" xfId="4" applyNumberFormat="1" applyFont="1" applyFill="1" applyBorder="1" applyAlignment="1">
      <alignment horizontal="center" vertical="center" wrapText="1"/>
    </xf>
    <xf numFmtId="170" fontId="2" fillId="7" borderId="13" xfId="0" applyFont="1" applyFill="1" applyBorder="1" applyAlignment="1">
      <alignment horizontal="justify" vertical="center" wrapText="1"/>
    </xf>
    <xf numFmtId="43" fontId="2" fillId="7" borderId="13" xfId="5" applyFont="1" applyFill="1" applyBorder="1" applyAlignment="1">
      <alignment horizontal="justify" vertical="center"/>
    </xf>
    <xf numFmtId="43" fontId="3" fillId="7" borderId="13" xfId="5" applyFont="1" applyFill="1" applyBorder="1" applyAlignment="1">
      <alignment horizontal="justify" vertical="center"/>
    </xf>
    <xf numFmtId="43" fontId="3" fillId="7" borderId="13" xfId="5" applyFont="1" applyFill="1" applyBorder="1" applyAlignment="1">
      <alignment horizontal="center" vertical="center"/>
    </xf>
    <xf numFmtId="170" fontId="2" fillId="0" borderId="13" xfId="0" applyFont="1" applyBorder="1" applyAlignment="1">
      <alignment horizontal="center"/>
    </xf>
    <xf numFmtId="0" fontId="3" fillId="0" borderId="13" xfId="0" applyNumberFormat="1" applyFont="1" applyBorder="1" applyAlignment="1">
      <alignment horizontal="center" vertical="center"/>
    </xf>
    <xf numFmtId="170" fontId="3" fillId="0" borderId="13" xfId="0" applyFont="1" applyBorder="1" applyAlignment="1">
      <alignment horizontal="center" vertical="center"/>
    </xf>
    <xf numFmtId="0" fontId="2" fillId="0" borderId="13" xfId="7" applyFont="1" applyFill="1" applyBorder="1" applyAlignment="1">
      <alignment horizontal="center" vertical="center" wrapText="1"/>
    </xf>
    <xf numFmtId="43" fontId="3" fillId="0" borderId="13" xfId="0" applyNumberFormat="1" applyFont="1" applyBorder="1" applyAlignment="1">
      <alignment vertical="center"/>
    </xf>
    <xf numFmtId="175" fontId="2" fillId="2" borderId="13" xfId="4" applyNumberFormat="1" applyFont="1" applyFill="1" applyBorder="1" applyAlignment="1">
      <alignment horizontal="center" vertical="center"/>
    </xf>
    <xf numFmtId="0" fontId="2" fillId="2" borderId="13" xfId="7" applyFont="1" applyFill="1" applyBorder="1" applyAlignment="1">
      <alignment horizontal="center" vertical="center"/>
    </xf>
    <xf numFmtId="0" fontId="2" fillId="0" borderId="13" xfId="7" applyFont="1" applyBorder="1" applyAlignment="1">
      <alignment horizontal="center" vertical="center"/>
    </xf>
    <xf numFmtId="170" fontId="3" fillId="0" borderId="13" xfId="0" applyFont="1" applyBorder="1" applyAlignment="1">
      <alignment horizontal="left" vertical="center"/>
    </xf>
    <xf numFmtId="176" fontId="2" fillId="0" borderId="13" xfId="3" applyNumberFormat="1" applyFont="1" applyFill="1" applyBorder="1" applyAlignment="1">
      <alignment vertical="center" wrapText="1"/>
    </xf>
    <xf numFmtId="0" fontId="2" fillId="2" borderId="13" xfId="1" applyNumberFormat="1" applyFont="1" applyFill="1" applyBorder="1" applyAlignment="1">
      <alignment horizontal="center" vertical="center" wrapText="1"/>
    </xf>
    <xf numFmtId="43" fontId="2" fillId="2" borderId="15" xfId="5" applyFont="1" applyFill="1" applyBorder="1" applyAlignment="1">
      <alignment horizontal="justify" vertical="center"/>
    </xf>
    <xf numFmtId="43" fontId="2" fillId="2" borderId="16" xfId="5" applyFont="1" applyFill="1" applyBorder="1" applyAlignment="1">
      <alignment horizontal="justify" vertical="center"/>
    </xf>
    <xf numFmtId="43" fontId="2" fillId="0" borderId="15" xfId="5" applyFont="1" applyFill="1" applyBorder="1" applyAlignment="1">
      <alignment horizontal="justify" vertical="center"/>
    </xf>
    <xf numFmtId="43" fontId="2" fillId="0" borderId="16" xfId="5" applyFont="1" applyFill="1" applyBorder="1" applyAlignment="1">
      <alignment horizontal="justify" vertical="center"/>
    </xf>
    <xf numFmtId="0" fontId="2" fillId="0" borderId="15" xfId="7" applyFont="1" applyBorder="1" applyAlignment="1">
      <alignment horizontal="center" vertical="center" wrapText="1"/>
    </xf>
    <xf numFmtId="1" fontId="2" fillId="0" borderId="13" xfId="0" applyNumberFormat="1" applyFont="1" applyFill="1" applyBorder="1" applyAlignment="1">
      <alignment horizontal="center" vertical="center" wrapText="1"/>
    </xf>
    <xf numFmtId="0" fontId="3" fillId="7" borderId="15" xfId="7" applyFont="1" applyFill="1" applyBorder="1" applyAlignment="1">
      <alignment vertical="center"/>
    </xf>
    <xf numFmtId="49" fontId="2" fillId="2" borderId="33" xfId="0" applyNumberFormat="1" applyFont="1" applyFill="1" applyBorder="1" applyAlignment="1">
      <alignment horizontal="center" vertical="center" wrapText="1"/>
    </xf>
    <xf numFmtId="170" fontId="2" fillId="0" borderId="13" xfId="0" applyFont="1" applyBorder="1" applyAlignment="1" applyProtection="1">
      <alignment horizontal="justify" vertical="center" wrapText="1"/>
      <protection locked="0"/>
    </xf>
    <xf numFmtId="43" fontId="3" fillId="7" borderId="15" xfId="8" applyFont="1" applyFill="1" applyBorder="1" applyAlignment="1">
      <alignment horizontal="center" vertical="center"/>
    </xf>
    <xf numFmtId="43" fontId="3" fillId="7" borderId="16" xfId="8" applyFont="1" applyFill="1" applyBorder="1" applyAlignment="1">
      <alignment horizontal="center" vertical="center"/>
    </xf>
    <xf numFmtId="170" fontId="2" fillId="0" borderId="17" xfId="0" applyFont="1" applyBorder="1"/>
    <xf numFmtId="0" fontId="3" fillId="0" borderId="17" xfId="0" applyNumberFormat="1" applyFont="1" applyBorder="1" applyAlignment="1">
      <alignment horizontal="left" vertical="center" wrapText="1"/>
    </xf>
    <xf numFmtId="170" fontId="3" fillId="7" borderId="22" xfId="0" applyFont="1" applyFill="1" applyBorder="1" applyAlignment="1">
      <alignment vertical="center"/>
    </xf>
    <xf numFmtId="0" fontId="2" fillId="7" borderId="17" xfId="0" applyNumberFormat="1" applyFont="1" applyFill="1" applyBorder="1" applyAlignment="1">
      <alignment horizontal="center" vertical="center"/>
    </xf>
    <xf numFmtId="0" fontId="3" fillId="7" borderId="17" xfId="0" applyNumberFormat="1" applyFont="1" applyFill="1" applyBorder="1" applyAlignment="1">
      <alignment horizontal="justify" vertical="center" wrapText="1"/>
    </xf>
    <xf numFmtId="170" fontId="3" fillId="7" borderId="17" xfId="0" applyFont="1" applyFill="1" applyBorder="1" applyAlignment="1">
      <alignment horizontal="justify" vertical="center" wrapText="1"/>
    </xf>
    <xf numFmtId="170" fontId="2" fillId="7" borderId="17" xfId="0" applyFont="1" applyFill="1" applyBorder="1" applyAlignment="1">
      <alignment vertical="center"/>
    </xf>
    <xf numFmtId="170" fontId="3" fillId="7" borderId="17" xfId="0" applyFont="1" applyFill="1" applyBorder="1" applyAlignment="1">
      <alignment horizontal="center" vertical="center"/>
    </xf>
    <xf numFmtId="43" fontId="3" fillId="7" borderId="17" xfId="8" applyFont="1" applyFill="1" applyBorder="1" applyAlignment="1">
      <alignment horizontal="center" vertical="center"/>
    </xf>
    <xf numFmtId="170" fontId="2" fillId="0" borderId="19" xfId="0" applyFont="1" applyBorder="1"/>
    <xf numFmtId="0" fontId="3" fillId="0" borderId="19" xfId="0" applyNumberFormat="1" applyFont="1" applyBorder="1" applyAlignment="1">
      <alignment horizontal="left" vertical="center" wrapText="1"/>
    </xf>
    <xf numFmtId="170" fontId="2" fillId="0" borderId="19" xfId="0" applyFont="1" applyBorder="1" applyAlignment="1">
      <alignment horizontal="center" vertical="center"/>
    </xf>
    <xf numFmtId="0" fontId="2" fillId="2" borderId="19" xfId="6" applyNumberFormat="1" applyFont="1" applyFill="1" applyBorder="1" applyAlignment="1">
      <alignment horizontal="center" vertical="center" wrapText="1"/>
    </xf>
    <xf numFmtId="0" fontId="2" fillId="0" borderId="19" xfId="7" applyFont="1" applyBorder="1" applyAlignment="1">
      <alignment horizontal="justify" vertical="center" wrapText="1"/>
    </xf>
    <xf numFmtId="0" fontId="2" fillId="0" borderId="19" xfId="7" applyFont="1" applyBorder="1" applyAlignment="1">
      <alignment horizontal="center" vertical="center" wrapText="1"/>
    </xf>
    <xf numFmtId="43" fontId="2" fillId="0" borderId="19" xfId="5" applyFont="1" applyFill="1" applyBorder="1" applyAlignment="1">
      <alignment horizontal="justify" vertical="center"/>
    </xf>
    <xf numFmtId="43" fontId="2" fillId="0" borderId="26" xfId="5" applyFont="1" applyFill="1" applyBorder="1" applyAlignment="1">
      <alignment horizontal="justify" vertical="center"/>
    </xf>
    <xf numFmtId="43" fontId="2" fillId="0" borderId="28" xfId="5" applyFont="1" applyFill="1" applyBorder="1" applyAlignment="1">
      <alignment horizontal="justify" vertical="center"/>
    </xf>
    <xf numFmtId="43" fontId="2" fillId="0" borderId="19" xfId="8" applyFont="1" applyFill="1" applyBorder="1" applyAlignment="1">
      <alignment horizontal="right" vertical="center" wrapText="1"/>
    </xf>
    <xf numFmtId="43" fontId="2" fillId="0" borderId="19" xfId="0" applyNumberFormat="1" applyFont="1" applyBorder="1" applyAlignment="1">
      <alignment vertical="center"/>
    </xf>
    <xf numFmtId="43" fontId="2" fillId="0" borderId="19" xfId="0" applyNumberFormat="1" applyFont="1" applyBorder="1" applyAlignment="1">
      <alignment horizontal="center" vertical="center"/>
    </xf>
    <xf numFmtId="0" fontId="3" fillId="7" borderId="32" xfId="0" applyNumberFormat="1" applyFont="1" applyFill="1" applyBorder="1" applyAlignment="1">
      <alignment horizontal="justify" vertical="center" wrapText="1"/>
    </xf>
    <xf numFmtId="49" fontId="2" fillId="2" borderId="33" xfId="0" applyNumberFormat="1" applyFont="1" applyFill="1" applyBorder="1" applyAlignment="1">
      <alignment horizontal="center" vertical="center"/>
    </xf>
    <xf numFmtId="49" fontId="2" fillId="2" borderId="13" xfId="7" applyNumberFormat="1" applyFont="1" applyFill="1" applyBorder="1" applyAlignment="1">
      <alignment horizontal="justify" vertical="center" wrapText="1"/>
    </xf>
    <xf numFmtId="169" fontId="2" fillId="0" borderId="15" xfId="3" applyFont="1" applyFill="1" applyBorder="1" applyAlignment="1">
      <alignment horizontal="center" vertical="center"/>
    </xf>
    <xf numFmtId="167" fontId="2" fillId="2" borderId="13" xfId="1" applyFont="1" applyFill="1" applyBorder="1" applyAlignment="1">
      <alignment vertical="center"/>
    </xf>
    <xf numFmtId="43" fontId="2" fillId="0" borderId="15" xfId="8" applyFont="1" applyFill="1" applyBorder="1" applyAlignment="1">
      <alignment horizontal="center" vertical="center"/>
    </xf>
    <xf numFmtId="167" fontId="3" fillId="7" borderId="13" xfId="0" applyNumberFormat="1" applyFont="1" applyFill="1" applyBorder="1" applyAlignment="1">
      <alignment vertical="center"/>
    </xf>
    <xf numFmtId="167" fontId="3" fillId="7" borderId="15" xfId="0" applyNumberFormat="1" applyFont="1" applyFill="1" applyBorder="1" applyAlignment="1">
      <alignment vertical="center"/>
    </xf>
    <xf numFmtId="167" fontId="3" fillId="7" borderId="16" xfId="0" applyNumberFormat="1" applyFont="1" applyFill="1" applyBorder="1" applyAlignment="1">
      <alignment vertical="center"/>
    </xf>
    <xf numFmtId="167" fontId="3" fillId="7" borderId="13" xfId="0" applyNumberFormat="1" applyFont="1" applyFill="1" applyBorder="1" applyAlignment="1">
      <alignment horizontal="center" vertical="center"/>
    </xf>
    <xf numFmtId="43" fontId="2" fillId="2" borderId="13" xfId="5" applyFont="1" applyFill="1" applyBorder="1" applyAlignment="1">
      <alignment horizontal="right" vertical="center"/>
    </xf>
    <xf numFmtId="43" fontId="2" fillId="2" borderId="13" xfId="0" applyNumberFormat="1" applyFont="1" applyFill="1" applyBorder="1" applyAlignment="1">
      <alignment horizontal="right" vertical="center" wrapText="1"/>
    </xf>
    <xf numFmtId="170" fontId="2" fillId="0" borderId="15" xfId="0" applyFont="1" applyBorder="1"/>
    <xf numFmtId="43" fontId="2" fillId="0" borderId="25" xfId="0" applyNumberFormat="1" applyFont="1" applyBorder="1" applyAlignment="1">
      <alignment horizontal="center" vertical="center"/>
    </xf>
    <xf numFmtId="43" fontId="2" fillId="0" borderId="15" xfId="5" applyFont="1" applyFill="1" applyBorder="1" applyAlignment="1">
      <alignment horizontal="right" vertical="center"/>
    </xf>
    <xf numFmtId="43" fontId="3" fillId="7" borderId="15" xfId="0" applyNumberFormat="1" applyFont="1" applyFill="1" applyBorder="1" applyAlignment="1">
      <alignment vertical="center"/>
    </xf>
    <xf numFmtId="43" fontId="3" fillId="7" borderId="16" xfId="0" applyNumberFormat="1" applyFont="1" applyFill="1" applyBorder="1" applyAlignment="1">
      <alignment vertical="center"/>
    </xf>
    <xf numFmtId="43" fontId="2" fillId="2" borderId="15" xfId="8" applyFont="1" applyFill="1" applyBorder="1" applyAlignment="1">
      <alignment horizontal="center" vertical="center"/>
    </xf>
    <xf numFmtId="43" fontId="2" fillId="0" borderId="15" xfId="8" applyFont="1" applyFill="1" applyBorder="1" applyAlignment="1">
      <alignment vertical="center"/>
    </xf>
    <xf numFmtId="167" fontId="3" fillId="6" borderId="13" xfId="0" applyNumberFormat="1" applyFont="1" applyFill="1" applyBorder="1" applyAlignment="1">
      <alignment vertical="center"/>
    </xf>
    <xf numFmtId="167" fontId="3" fillId="6" borderId="13" xfId="0" applyNumberFormat="1" applyFont="1" applyFill="1" applyBorder="1" applyAlignment="1">
      <alignment horizontal="center" vertical="center"/>
    </xf>
    <xf numFmtId="170" fontId="3" fillId="7" borderId="13" xfId="0" applyFont="1" applyFill="1" applyBorder="1" applyAlignment="1">
      <alignment horizontal="justify" vertical="center"/>
    </xf>
    <xf numFmtId="43" fontId="2" fillId="0" borderId="15" xfId="0" applyNumberFormat="1" applyFont="1" applyBorder="1" applyAlignment="1">
      <alignment vertical="center"/>
    </xf>
    <xf numFmtId="43" fontId="2" fillId="0" borderId="16" xfId="0" applyNumberFormat="1" applyFont="1" applyBorder="1" applyAlignment="1">
      <alignment vertical="center"/>
    </xf>
    <xf numFmtId="43" fontId="2" fillId="2" borderId="15" xfId="0" applyNumberFormat="1" applyFont="1" applyFill="1" applyBorder="1" applyAlignment="1">
      <alignment vertical="center"/>
    </xf>
    <xf numFmtId="43" fontId="2" fillId="2" borderId="16" xfId="0" applyNumberFormat="1" applyFont="1" applyFill="1" applyBorder="1" applyAlignment="1">
      <alignment vertical="center"/>
    </xf>
    <xf numFmtId="43" fontId="2" fillId="0" borderId="15" xfId="8" applyFont="1" applyFill="1" applyBorder="1" applyAlignment="1">
      <alignment horizontal="right" vertical="center"/>
    </xf>
    <xf numFmtId="43" fontId="2" fillId="0" borderId="13" xfId="5" applyFont="1" applyFill="1" applyBorder="1" applyAlignment="1">
      <alignment horizontal="center" vertical="center" wrapText="1"/>
    </xf>
    <xf numFmtId="167" fontId="2" fillId="0" borderId="13" xfId="12" applyFont="1" applyFill="1" applyBorder="1" applyAlignment="1">
      <alignment horizontal="center" vertical="center"/>
    </xf>
    <xf numFmtId="167" fontId="2" fillId="0" borderId="13" xfId="12" applyFont="1" applyFill="1" applyBorder="1" applyAlignment="1">
      <alignment horizontal="right" vertical="center"/>
    </xf>
    <xf numFmtId="0" fontId="3" fillId="7" borderId="13" xfId="0" applyNumberFormat="1" applyFont="1" applyFill="1" applyBorder="1" applyAlignment="1">
      <alignment horizontal="left" vertical="center" wrapText="1"/>
    </xf>
    <xf numFmtId="43" fontId="3" fillId="7" borderId="3" xfId="0" applyNumberFormat="1" applyFont="1" applyFill="1" applyBorder="1" applyAlignment="1">
      <alignment horizontal="center" vertical="center"/>
    </xf>
    <xf numFmtId="0" fontId="2" fillId="0" borderId="13" xfId="12" applyNumberFormat="1" applyFont="1" applyFill="1" applyBorder="1" applyAlignment="1">
      <alignment horizontal="center" vertical="center" wrapText="1"/>
    </xf>
    <xf numFmtId="3" fontId="2" fillId="0" borderId="13" xfId="0" applyNumberFormat="1" applyFont="1" applyBorder="1" applyAlignment="1">
      <alignment horizontal="justify" vertical="center" wrapText="1"/>
    </xf>
    <xf numFmtId="0" fontId="2" fillId="2" borderId="13" xfId="12" applyNumberFormat="1" applyFont="1" applyFill="1" applyBorder="1" applyAlignment="1">
      <alignment horizontal="center" vertical="center" wrapText="1"/>
    </xf>
    <xf numFmtId="43" fontId="3" fillId="6" borderId="13" xfId="0" applyNumberFormat="1" applyFont="1" applyFill="1" applyBorder="1" applyAlignment="1">
      <alignment vertical="center" wrapText="1"/>
    </xf>
    <xf numFmtId="43" fontId="3" fillId="6" borderId="13" xfId="0" applyNumberFormat="1" applyFont="1" applyFill="1" applyBorder="1" applyAlignment="1">
      <alignment horizontal="center" vertical="center" wrapText="1"/>
    </xf>
    <xf numFmtId="0" fontId="3" fillId="0" borderId="13" xfId="0" applyNumberFormat="1" applyFont="1" applyBorder="1" applyAlignment="1">
      <alignment horizontal="left" vertical="center"/>
    </xf>
    <xf numFmtId="43" fontId="3" fillId="7" borderId="13" xfId="0" applyNumberFormat="1" applyFont="1" applyFill="1" applyBorder="1" applyAlignment="1">
      <alignment vertical="center" wrapText="1"/>
    </xf>
    <xf numFmtId="0" fontId="3" fillId="7" borderId="15" xfId="0" applyNumberFormat="1" applyFont="1" applyFill="1" applyBorder="1" applyAlignment="1">
      <alignment vertical="center"/>
    </xf>
    <xf numFmtId="0" fontId="2" fillId="0" borderId="13" xfId="0" applyNumberFormat="1" applyFont="1" applyBorder="1" applyAlignment="1" applyProtection="1">
      <alignment horizontal="center" vertical="center"/>
      <protection locked="0"/>
    </xf>
    <xf numFmtId="0" fontId="3" fillId="10" borderId="13" xfId="0" applyNumberFormat="1" applyFont="1" applyFill="1" applyBorder="1" applyAlignment="1">
      <alignment horizontal="left" vertical="center"/>
    </xf>
    <xf numFmtId="170" fontId="3" fillId="10" borderId="13" xfId="0" applyFont="1" applyFill="1" applyBorder="1" applyAlignment="1">
      <alignment horizontal="justify" vertical="center" wrapText="1"/>
    </xf>
    <xf numFmtId="43" fontId="3" fillId="0" borderId="13" xfId="5" applyFont="1" applyFill="1" applyBorder="1" applyAlignment="1">
      <alignment horizontal="justify" vertical="center"/>
    </xf>
    <xf numFmtId="43" fontId="2" fillId="0" borderId="16" xfId="8" applyFont="1" applyFill="1" applyBorder="1" applyAlignment="1">
      <alignment vertical="center"/>
    </xf>
    <xf numFmtId="170" fontId="2" fillId="0" borderId="13" xfId="0" applyFont="1" applyFill="1" applyBorder="1"/>
    <xf numFmtId="0" fontId="3" fillId="0" borderId="13" xfId="0" applyNumberFormat="1" applyFont="1" applyFill="1" applyBorder="1" applyAlignment="1">
      <alignment horizontal="center" vertical="center" wrapText="1"/>
    </xf>
    <xf numFmtId="43" fontId="2" fillId="0" borderId="13" xfId="0" applyNumberFormat="1" applyFont="1" applyFill="1" applyBorder="1" applyAlignment="1">
      <alignment vertical="center"/>
    </xf>
    <xf numFmtId="43" fontId="2" fillId="0" borderId="13" xfId="0" applyNumberFormat="1" applyFont="1" applyFill="1" applyBorder="1" applyAlignment="1">
      <alignment horizontal="justify" vertical="center"/>
    </xf>
    <xf numFmtId="43" fontId="2" fillId="0" borderId="13" xfId="0" applyNumberFormat="1" applyFont="1" applyFill="1" applyBorder="1" applyAlignment="1">
      <alignment horizontal="center" vertical="center"/>
    </xf>
    <xf numFmtId="0" fontId="2" fillId="0" borderId="13" xfId="0" applyNumberFormat="1" applyFont="1" applyFill="1" applyBorder="1" applyAlignment="1">
      <alignment horizontal="center" vertical="center"/>
    </xf>
    <xf numFmtId="0" fontId="2" fillId="0" borderId="13" xfId="7" applyFont="1" applyFill="1" applyBorder="1" applyAlignment="1">
      <alignment horizontal="center" vertical="center"/>
    </xf>
    <xf numFmtId="43" fontId="2" fillId="0" borderId="13" xfId="0" applyNumberFormat="1" applyFont="1" applyFill="1" applyBorder="1" applyAlignment="1">
      <alignment horizontal="justify" vertical="center" wrapText="1"/>
    </xf>
    <xf numFmtId="43" fontId="2" fillId="0" borderId="15" xfId="0" applyNumberFormat="1" applyFont="1" applyFill="1" applyBorder="1" applyAlignment="1">
      <alignment horizontal="justify" vertical="center" wrapText="1"/>
    </xf>
    <xf numFmtId="43" fontId="2" fillId="0" borderId="13" xfId="5" applyFont="1" applyFill="1" applyBorder="1" applyAlignment="1">
      <alignment horizontal="justify" vertical="center" wrapText="1"/>
    </xf>
    <xf numFmtId="43" fontId="2" fillId="0" borderId="13" xfId="0" applyNumberFormat="1" applyFont="1" applyFill="1" applyBorder="1" applyAlignment="1">
      <alignment horizontal="right" vertical="center"/>
    </xf>
    <xf numFmtId="43" fontId="2" fillId="0" borderId="16" xfId="0" applyNumberFormat="1" applyFont="1" applyFill="1" applyBorder="1" applyAlignment="1">
      <alignment horizontal="justify" vertical="center" wrapText="1"/>
    </xf>
    <xf numFmtId="170" fontId="2" fillId="0" borderId="13" xfId="0" applyFont="1" applyFill="1" applyBorder="1" applyAlignment="1">
      <alignment horizontal="left" vertical="center" wrapText="1"/>
    </xf>
    <xf numFmtId="170" fontId="2" fillId="0" borderId="0" xfId="0" applyFont="1" applyFill="1" applyAlignment="1">
      <alignment horizontal="left" vertical="center" wrapText="1"/>
    </xf>
    <xf numFmtId="0" fontId="3" fillId="0" borderId="13" xfId="0" applyNumberFormat="1" applyFont="1" applyFill="1" applyBorder="1" applyAlignment="1">
      <alignment horizontal="left" vertical="center"/>
    </xf>
    <xf numFmtId="167" fontId="2" fillId="0" borderId="13" xfId="0" applyNumberFormat="1" applyFont="1" applyFill="1" applyBorder="1" applyAlignment="1">
      <alignment vertical="center"/>
    </xf>
    <xf numFmtId="0" fontId="3" fillId="0" borderId="13" xfId="0" applyNumberFormat="1" applyFont="1" applyFill="1" applyBorder="1" applyAlignment="1">
      <alignment horizontal="center" vertical="center"/>
    </xf>
    <xf numFmtId="0" fontId="3" fillId="0" borderId="3" xfId="0" applyNumberFormat="1" applyFont="1" applyFill="1" applyBorder="1" applyAlignment="1">
      <alignment horizontal="justify" vertical="center" wrapText="1"/>
    </xf>
    <xf numFmtId="0" fontId="3" fillId="0" borderId="3" xfId="0" applyNumberFormat="1" applyFont="1" applyFill="1" applyBorder="1" applyAlignment="1">
      <alignment horizontal="center" vertical="center" wrapText="1"/>
    </xf>
    <xf numFmtId="170" fontId="3" fillId="0" borderId="3" xfId="0" applyFont="1" applyFill="1" applyBorder="1" applyAlignment="1">
      <alignment horizontal="justify" vertical="center" wrapText="1"/>
    </xf>
    <xf numFmtId="170" fontId="2" fillId="11" borderId="3" xfId="0" applyFont="1" applyFill="1" applyBorder="1" applyAlignment="1">
      <alignment horizontal="justify" vertical="center" wrapText="1"/>
    </xf>
    <xf numFmtId="170" fontId="3" fillId="0" borderId="13" xfId="0" applyFont="1" applyFill="1" applyBorder="1" applyAlignment="1">
      <alignment horizontal="justify" vertical="center" wrapText="1"/>
    </xf>
    <xf numFmtId="0" fontId="3" fillId="18" borderId="36" xfId="0" applyNumberFormat="1" applyFont="1" applyFill="1" applyBorder="1" applyAlignment="1">
      <alignment horizontal="left" vertical="center"/>
    </xf>
    <xf numFmtId="0" fontId="3" fillId="18" borderId="37" xfId="0" applyNumberFormat="1" applyFont="1" applyFill="1" applyBorder="1" applyAlignment="1">
      <alignment horizontal="center" vertical="center"/>
    </xf>
    <xf numFmtId="0" fontId="2" fillId="18" borderId="37" xfId="0" applyNumberFormat="1" applyFont="1" applyFill="1" applyBorder="1" applyAlignment="1">
      <alignment horizontal="center" vertical="center"/>
    </xf>
    <xf numFmtId="170" fontId="2" fillId="18" borderId="37" xfId="0" applyFont="1" applyFill="1" applyBorder="1" applyAlignment="1">
      <alignment horizontal="center"/>
    </xf>
    <xf numFmtId="170" fontId="3" fillId="18" borderId="38" xfId="0" applyFont="1" applyFill="1" applyBorder="1" applyAlignment="1">
      <alignment horizontal="center" vertical="center"/>
    </xf>
    <xf numFmtId="170" fontId="3" fillId="0" borderId="13" xfId="0" applyFont="1" applyFill="1" applyBorder="1" applyAlignment="1">
      <alignment horizontal="justify" vertical="center"/>
    </xf>
    <xf numFmtId="0" fontId="3" fillId="9" borderId="32" xfId="0" applyNumberFormat="1" applyFont="1" applyFill="1" applyBorder="1" applyAlignment="1">
      <alignment horizontal="left" vertical="center" wrapText="1"/>
    </xf>
    <xf numFmtId="0" fontId="3" fillId="9" borderId="32" xfId="0" applyNumberFormat="1" applyFont="1" applyFill="1" applyBorder="1" applyAlignment="1">
      <alignment horizontal="center" vertical="center" wrapText="1"/>
    </xf>
    <xf numFmtId="0" fontId="3" fillId="9" borderId="32" xfId="0" applyNumberFormat="1" applyFont="1" applyFill="1" applyBorder="1" applyAlignment="1">
      <alignment horizontal="justify" vertical="center" wrapText="1"/>
    </xf>
    <xf numFmtId="170" fontId="3" fillId="9" borderId="32" xfId="0" applyFont="1" applyFill="1" applyBorder="1" applyAlignment="1">
      <alignment horizontal="justify" vertical="center" wrapText="1"/>
    </xf>
    <xf numFmtId="170" fontId="3" fillId="9" borderId="32" xfId="0" applyFont="1" applyFill="1" applyBorder="1" applyAlignment="1">
      <alignment horizontal="center" vertical="center" wrapText="1"/>
    </xf>
    <xf numFmtId="170" fontId="3" fillId="9" borderId="32" xfId="0" applyFont="1" applyFill="1" applyBorder="1" applyAlignment="1">
      <alignment horizontal="center" vertical="center"/>
    </xf>
    <xf numFmtId="43" fontId="3" fillId="15" borderId="39" xfId="0" applyNumberFormat="1" applyFont="1" applyFill="1" applyBorder="1" applyAlignment="1">
      <alignment horizontal="center" vertical="center"/>
    </xf>
    <xf numFmtId="43" fontId="3" fillId="7" borderId="39" xfId="8" applyFont="1" applyFill="1" applyBorder="1" applyAlignment="1">
      <alignment horizontal="center" vertical="center"/>
    </xf>
    <xf numFmtId="0" fontId="2" fillId="2" borderId="3" xfId="7" applyFont="1" applyFill="1" applyBorder="1" applyAlignment="1">
      <alignment horizontal="center" vertical="center" wrapText="1"/>
    </xf>
    <xf numFmtId="0" fontId="3" fillId="4" borderId="36" xfId="0" applyNumberFormat="1" applyFont="1" applyFill="1" applyBorder="1" applyAlignment="1">
      <alignment horizontal="left" vertical="center"/>
    </xf>
    <xf numFmtId="0" fontId="3" fillId="4" borderId="37" xfId="0" applyNumberFormat="1" applyFont="1" applyFill="1" applyBorder="1" applyAlignment="1">
      <alignment horizontal="center" vertical="center"/>
    </xf>
    <xf numFmtId="170" fontId="3" fillId="4" borderId="37" xfId="0" applyFont="1" applyFill="1" applyBorder="1" applyAlignment="1">
      <alignment horizontal="center"/>
    </xf>
    <xf numFmtId="170" fontId="3" fillId="4" borderId="38" xfId="0" applyFont="1" applyFill="1" applyBorder="1" applyAlignment="1">
      <alignment horizontal="center" vertical="center"/>
    </xf>
    <xf numFmtId="0" fontId="4" fillId="4" borderId="21" xfId="0" applyNumberFormat="1" applyFont="1" applyFill="1" applyBorder="1" applyAlignment="1">
      <alignment horizontal="center" vertical="center" wrapText="1"/>
    </xf>
    <xf numFmtId="170" fontId="2" fillId="0" borderId="0" xfId="0" applyFont="1" applyFill="1" applyAlignment="1">
      <alignment horizontal="center"/>
    </xf>
    <xf numFmtId="170" fontId="6" fillId="0" borderId="0" xfId="0" applyFont="1" applyAlignment="1">
      <alignment horizontal="center"/>
    </xf>
    <xf numFmtId="4" fontId="6" fillId="0" borderId="0" xfId="0" applyNumberFormat="1" applyFont="1" applyAlignment="1">
      <alignment horizontal="center"/>
    </xf>
    <xf numFmtId="170" fontId="6" fillId="0" borderId="0" xfId="0" applyFont="1" applyAlignment="1">
      <alignment wrapText="1"/>
    </xf>
    <xf numFmtId="170" fontId="6" fillId="0" borderId="0" xfId="0" applyFont="1" applyAlignment="1">
      <alignment horizontal="center" vertical="center"/>
    </xf>
    <xf numFmtId="0" fontId="13" fillId="5" borderId="41" xfId="0" applyNumberFormat="1" applyFont="1" applyFill="1" applyBorder="1" applyAlignment="1">
      <alignment horizontal="center" vertical="center"/>
    </xf>
    <xf numFmtId="0" fontId="13" fillId="5" borderId="41" xfId="0" applyNumberFormat="1" applyFont="1" applyFill="1" applyBorder="1" applyAlignment="1">
      <alignment horizontal="left" vertical="center"/>
    </xf>
    <xf numFmtId="0" fontId="13" fillId="5" borderId="13" xfId="0" applyNumberFormat="1" applyFont="1" applyFill="1" applyBorder="1" applyAlignment="1">
      <alignment horizontal="justify" vertical="center" wrapText="1"/>
    </xf>
    <xf numFmtId="43" fontId="13" fillId="5" borderId="13" xfId="0" applyNumberFormat="1" applyFont="1" applyFill="1" applyBorder="1" applyAlignment="1">
      <alignment horizontal="left" vertical="center"/>
    </xf>
    <xf numFmtId="43" fontId="13" fillId="5" borderId="13" xfId="0" applyNumberFormat="1" applyFont="1" applyFill="1" applyBorder="1" applyAlignment="1">
      <alignment horizontal="center" vertical="center"/>
    </xf>
    <xf numFmtId="0" fontId="30" fillId="5" borderId="13" xfId="0" applyNumberFormat="1" applyFont="1" applyFill="1" applyBorder="1" applyAlignment="1">
      <alignment horizontal="center" vertical="center"/>
    </xf>
    <xf numFmtId="0" fontId="13" fillId="5" borderId="13" xfId="0" applyNumberFormat="1" applyFont="1" applyFill="1" applyBorder="1" applyAlignment="1">
      <alignment horizontal="center" vertical="center" wrapText="1"/>
    </xf>
    <xf numFmtId="170" fontId="13" fillId="5" borderId="13" xfId="0" applyFont="1" applyFill="1" applyBorder="1" applyAlignment="1">
      <alignment horizontal="justify" vertical="center" wrapText="1"/>
    </xf>
    <xf numFmtId="170" fontId="30" fillId="5" borderId="13" xfId="0" applyFont="1" applyFill="1" applyBorder="1" applyAlignment="1">
      <alignment horizontal="center" vertical="center"/>
    </xf>
    <xf numFmtId="170" fontId="30" fillId="2" borderId="0" xfId="0" applyFont="1" applyFill="1"/>
    <xf numFmtId="170" fontId="30" fillId="0" borderId="0" xfId="0" applyFont="1"/>
    <xf numFmtId="0" fontId="3" fillId="6" borderId="18" xfId="0" applyNumberFormat="1" applyFont="1" applyFill="1" applyBorder="1" applyAlignment="1">
      <alignment vertical="center"/>
    </xf>
    <xf numFmtId="0" fontId="3" fillId="16" borderId="16" xfId="0" applyNumberFormat="1" applyFont="1" applyFill="1" applyBorder="1" applyAlignment="1">
      <alignment horizontal="left" vertical="center"/>
    </xf>
    <xf numFmtId="170" fontId="13" fillId="5" borderId="41" xfId="0" applyFont="1" applyFill="1" applyBorder="1" applyAlignment="1">
      <alignment horizontal="center" vertical="center"/>
    </xf>
    <xf numFmtId="0" fontId="13" fillId="5" borderId="41" xfId="0" applyNumberFormat="1" applyFont="1" applyFill="1" applyBorder="1" applyAlignment="1">
      <alignment horizontal="justify" vertical="center" wrapText="1"/>
    </xf>
    <xf numFmtId="0" fontId="30" fillId="5" borderId="41" xfId="0" applyNumberFormat="1" applyFont="1" applyFill="1" applyBorder="1" applyAlignment="1">
      <alignment horizontal="center" vertical="center"/>
    </xf>
    <xf numFmtId="0" fontId="13" fillId="5" borderId="41" xfId="0" applyNumberFormat="1" applyFont="1" applyFill="1" applyBorder="1" applyAlignment="1">
      <alignment horizontal="center" vertical="center" wrapText="1"/>
    </xf>
    <xf numFmtId="170" fontId="13" fillId="5" borderId="41" xfId="0" applyFont="1" applyFill="1" applyBorder="1" applyAlignment="1">
      <alignment horizontal="justify" vertical="center" wrapText="1"/>
    </xf>
    <xf numFmtId="170" fontId="30" fillId="5" borderId="41" xfId="0" applyFont="1" applyFill="1" applyBorder="1" applyAlignment="1">
      <alignment horizontal="center" vertical="center"/>
    </xf>
    <xf numFmtId="43" fontId="13" fillId="5" borderId="41" xfId="0" applyNumberFormat="1" applyFont="1" applyFill="1" applyBorder="1" applyAlignment="1">
      <alignment horizontal="left" vertical="center"/>
    </xf>
    <xf numFmtId="43" fontId="13" fillId="5" borderId="41" xfId="0" applyNumberFormat="1" applyFont="1" applyFill="1" applyBorder="1" applyAlignment="1">
      <alignment horizontal="center" vertical="center"/>
    </xf>
    <xf numFmtId="170" fontId="13" fillId="2" borderId="0" xfId="0" applyFont="1" applyFill="1" applyAlignment="1">
      <alignment vertical="center"/>
    </xf>
    <xf numFmtId="170" fontId="13" fillId="0" borderId="0" xfId="0" applyFont="1" applyAlignment="1">
      <alignment vertical="center"/>
    </xf>
    <xf numFmtId="43" fontId="13" fillId="5" borderId="13" xfId="8" applyFont="1" applyFill="1" applyBorder="1" applyAlignment="1">
      <alignment horizontal="center" vertical="center"/>
    </xf>
    <xf numFmtId="0" fontId="3" fillId="49" borderId="13" xfId="0" applyNumberFormat="1" applyFont="1" applyFill="1" applyBorder="1" applyAlignment="1">
      <alignment horizontal="center" vertical="center" wrapText="1"/>
    </xf>
    <xf numFmtId="0" fontId="2" fillId="0" borderId="17" xfId="7" applyFont="1" applyFill="1" applyBorder="1" applyAlignment="1">
      <alignment horizontal="center" vertical="center" wrapText="1"/>
    </xf>
    <xf numFmtId="49" fontId="2" fillId="0" borderId="0" xfId="0" applyNumberFormat="1" applyFont="1" applyFill="1" applyBorder="1" applyAlignment="1">
      <alignment horizontal="center" vertical="center" wrapText="1"/>
    </xf>
    <xf numFmtId="49" fontId="2" fillId="0" borderId="33" xfId="0" applyNumberFormat="1" applyFont="1" applyFill="1" applyBorder="1" applyAlignment="1">
      <alignment horizontal="center" vertical="center"/>
    </xf>
    <xf numFmtId="49" fontId="2" fillId="0" borderId="34" xfId="0" applyNumberFormat="1" applyFont="1" applyFill="1" applyBorder="1" applyAlignment="1">
      <alignment horizontal="center" vertical="center"/>
    </xf>
    <xf numFmtId="0" fontId="2" fillId="0" borderId="32" xfId="0" applyNumberFormat="1" applyFont="1" applyFill="1" applyBorder="1" applyAlignment="1" applyProtection="1">
      <alignment horizontal="justify" vertical="center" wrapText="1"/>
      <protection locked="0"/>
    </xf>
    <xf numFmtId="49" fontId="2" fillId="0" borderId="35" xfId="0" applyNumberFormat="1" applyFont="1" applyFill="1" applyBorder="1" applyAlignment="1">
      <alignment horizontal="center" vertical="center"/>
    </xf>
    <xf numFmtId="0" fontId="2" fillId="0" borderId="13" xfId="7" applyNumberFormat="1" applyFont="1" applyFill="1" applyBorder="1" applyAlignment="1">
      <alignment horizontal="center" vertical="center" wrapText="1"/>
    </xf>
    <xf numFmtId="172" fontId="2" fillId="0" borderId="15" xfId="5" applyNumberFormat="1" applyFont="1" applyFill="1" applyBorder="1" applyAlignment="1">
      <alignment horizontal="center" vertical="center" wrapText="1"/>
    </xf>
    <xf numFmtId="0" fontId="2" fillId="0" borderId="13" xfId="7" applyFont="1" applyFill="1" applyBorder="1" applyAlignment="1">
      <alignment horizontal="justify" vertical="center"/>
    </xf>
    <xf numFmtId="170" fontId="13" fillId="5" borderId="0" xfId="0" applyFont="1" applyFill="1"/>
    <xf numFmtId="170" fontId="13" fillId="5" borderId="0" xfId="0" applyFont="1" applyFill="1" applyAlignment="1">
      <alignment horizontal="center"/>
    </xf>
    <xf numFmtId="180" fontId="13" fillId="5" borderId="13" xfId="4" applyNumberFormat="1" applyFont="1" applyFill="1" applyBorder="1" applyAlignment="1">
      <alignment vertical="center"/>
    </xf>
    <xf numFmtId="9" fontId="13" fillId="5" borderId="13" xfId="0" applyNumberFormat="1" applyFont="1" applyFill="1" applyBorder="1" applyAlignment="1">
      <alignment horizontal="center" vertical="center"/>
    </xf>
    <xf numFmtId="0" fontId="2" fillId="50" borderId="13" xfId="0" applyNumberFormat="1" applyFont="1" applyFill="1" applyBorder="1" applyAlignment="1">
      <alignment horizontal="center" vertical="center" wrapText="1"/>
    </xf>
    <xf numFmtId="0" fontId="2" fillId="50" borderId="13" xfId="0" applyNumberFormat="1" applyFont="1" applyFill="1" applyBorder="1" applyAlignment="1">
      <alignment vertical="center"/>
    </xf>
    <xf numFmtId="180" fontId="2" fillId="50" borderId="13" xfId="4" applyNumberFormat="1" applyFont="1" applyFill="1" applyBorder="1" applyAlignment="1">
      <alignment vertical="center"/>
    </xf>
    <xf numFmtId="180" fontId="3" fillId="6" borderId="13" xfId="4" applyNumberFormat="1" applyFont="1" applyFill="1" applyBorder="1" applyAlignment="1">
      <alignment vertical="center"/>
    </xf>
    <xf numFmtId="0" fontId="2" fillId="50" borderId="13" xfId="0" applyNumberFormat="1" applyFont="1" applyFill="1" applyBorder="1" applyAlignment="1">
      <alignment vertical="center" wrapText="1"/>
    </xf>
    <xf numFmtId="0" fontId="2" fillId="50" borderId="13" xfId="0" applyNumberFormat="1" applyFont="1" applyFill="1" applyBorder="1" applyAlignment="1">
      <alignment horizontal="justify" vertical="center" wrapText="1"/>
    </xf>
    <xf numFmtId="0" fontId="2" fillId="50" borderId="13" xfId="0" applyNumberFormat="1" applyFont="1" applyFill="1" applyBorder="1" applyAlignment="1">
      <alignment horizontal="justify" vertical="center"/>
    </xf>
    <xf numFmtId="180" fontId="3" fillId="4" borderId="13" xfId="4" applyNumberFormat="1" applyFont="1" applyFill="1" applyBorder="1" applyAlignment="1">
      <alignment vertical="center"/>
    </xf>
    <xf numFmtId="0" fontId="2" fillId="0" borderId="16" xfId="0" applyNumberFormat="1" applyFont="1" applyFill="1" applyBorder="1" applyAlignment="1">
      <alignment horizontal="center" vertical="center" wrapText="1"/>
    </xf>
    <xf numFmtId="167" fontId="2" fillId="0" borderId="13" xfId="1" applyFont="1" applyFill="1" applyBorder="1"/>
    <xf numFmtId="167" fontId="2" fillId="0" borderId="13" xfId="1" applyFont="1" applyFill="1" applyBorder="1" applyAlignment="1">
      <alignment vertical="center" wrapText="1"/>
    </xf>
    <xf numFmtId="4" fontId="2" fillId="0" borderId="15" xfId="0" applyNumberFormat="1" applyFont="1" applyFill="1" applyBorder="1" applyAlignment="1">
      <alignment vertical="center"/>
    </xf>
    <xf numFmtId="3" fontId="6" fillId="0" borderId="60" xfId="0" applyNumberFormat="1" applyFont="1" applyFill="1" applyBorder="1" applyAlignment="1">
      <alignment horizontal="right" vertical="center" wrapText="1"/>
    </xf>
    <xf numFmtId="0" fontId="3" fillId="7" borderId="32" xfId="0" applyNumberFormat="1" applyFont="1" applyFill="1" applyBorder="1" applyAlignment="1">
      <alignment horizontal="center" vertical="center" wrapText="1"/>
    </xf>
    <xf numFmtId="43" fontId="3" fillId="7" borderId="32" xfId="8" applyFont="1" applyFill="1" applyBorder="1" applyAlignment="1">
      <alignment horizontal="center" vertical="center"/>
    </xf>
    <xf numFmtId="0" fontId="2" fillId="0" borderId="3" xfId="9" applyNumberFormat="1" applyFont="1" applyFill="1" applyBorder="1" applyAlignment="1">
      <alignment horizontal="center" vertical="center" wrapText="1"/>
    </xf>
    <xf numFmtId="0" fontId="2" fillId="2" borderId="17" xfId="6" applyNumberFormat="1" applyFont="1" applyFill="1" applyBorder="1" applyAlignment="1">
      <alignment horizontal="center" vertical="center" wrapText="1"/>
    </xf>
    <xf numFmtId="49" fontId="2" fillId="0" borderId="61" xfId="0" applyNumberFormat="1" applyFont="1" applyFill="1" applyBorder="1" applyAlignment="1">
      <alignment horizontal="center" vertical="center" wrapText="1"/>
    </xf>
    <xf numFmtId="49" fontId="2" fillId="2" borderId="3" xfId="0" applyNumberFormat="1" applyFont="1" applyFill="1" applyBorder="1" applyAlignment="1">
      <alignment horizontal="center" vertical="center" wrapText="1"/>
    </xf>
    <xf numFmtId="0" fontId="2" fillId="2" borderId="18" xfId="0" applyNumberFormat="1" applyFont="1" applyFill="1" applyBorder="1" applyAlignment="1">
      <alignment horizontal="justify" vertical="center" wrapText="1"/>
    </xf>
    <xf numFmtId="0" fontId="2" fillId="2" borderId="15" xfId="0" applyNumberFormat="1" applyFont="1" applyFill="1" applyBorder="1" applyAlignment="1" applyProtection="1">
      <alignment horizontal="justify" vertical="center" wrapText="1"/>
      <protection locked="0"/>
    </xf>
    <xf numFmtId="0" fontId="2" fillId="2" borderId="15" xfId="0" applyNumberFormat="1" applyFont="1" applyFill="1" applyBorder="1" applyAlignment="1">
      <alignment horizontal="justify" vertical="center" wrapText="1"/>
    </xf>
    <xf numFmtId="170" fontId="2" fillId="5" borderId="0" xfId="0" applyFont="1" applyFill="1"/>
    <xf numFmtId="0" fontId="3" fillId="5" borderId="2" xfId="0" applyNumberFormat="1" applyFont="1" applyFill="1" applyBorder="1" applyAlignment="1">
      <alignment horizontal="center" vertical="center" wrapText="1"/>
    </xf>
    <xf numFmtId="170" fontId="2" fillId="5" borderId="2" xfId="0" applyFont="1" applyFill="1" applyBorder="1" applyAlignment="1">
      <alignment horizontal="justify" vertical="center" wrapText="1"/>
    </xf>
    <xf numFmtId="0" fontId="3" fillId="6" borderId="15" xfId="0" applyNumberFormat="1" applyFont="1" applyFill="1" applyBorder="1" applyAlignment="1">
      <alignment horizontal="center" vertical="center" wrapText="1"/>
    </xf>
    <xf numFmtId="0" fontId="3" fillId="6" borderId="15" xfId="0" applyNumberFormat="1" applyFont="1" applyFill="1" applyBorder="1" applyAlignment="1">
      <alignment vertical="center" wrapText="1"/>
    </xf>
    <xf numFmtId="0" fontId="3" fillId="6" borderId="18" xfId="0" applyNumberFormat="1" applyFont="1" applyFill="1" applyBorder="1" applyAlignment="1">
      <alignment vertical="center" wrapText="1"/>
    </xf>
    <xf numFmtId="170" fontId="30" fillId="5" borderId="19" xfId="0" applyFont="1" applyFill="1" applyBorder="1" applyAlignment="1">
      <alignment horizontal="center" vertical="center"/>
    </xf>
    <xf numFmtId="0" fontId="13" fillId="5" borderId="19" xfId="0" applyNumberFormat="1" applyFont="1" applyFill="1" applyBorder="1" applyAlignment="1">
      <alignment horizontal="center" vertical="center" wrapText="1"/>
    </xf>
    <xf numFmtId="43" fontId="13" fillId="5" borderId="19" xfId="0" applyNumberFormat="1" applyFont="1" applyFill="1" applyBorder="1" applyAlignment="1">
      <alignment horizontal="center" vertical="center"/>
    </xf>
    <xf numFmtId="0" fontId="2" fillId="0" borderId="0" xfId="0" applyNumberFormat="1" applyFont="1" applyFill="1" applyBorder="1" applyAlignment="1">
      <alignment horizontal="center" vertical="center" wrapText="1"/>
    </xf>
    <xf numFmtId="0" fontId="2" fillId="0" borderId="32" xfId="0" applyNumberFormat="1" applyFont="1" applyFill="1" applyBorder="1" applyAlignment="1">
      <alignment horizontal="center" vertical="center" wrapText="1"/>
    </xf>
    <xf numFmtId="0" fontId="2" fillId="0" borderId="17" xfId="0" applyNumberFormat="1" applyFont="1" applyFill="1" applyBorder="1" applyAlignment="1">
      <alignment horizontal="center" vertical="center" wrapText="1"/>
    </xf>
    <xf numFmtId="0" fontId="13" fillId="5" borderId="19" xfId="0" applyNumberFormat="1" applyFont="1" applyFill="1" applyBorder="1" applyAlignment="1">
      <alignment horizontal="justify" vertical="center" wrapText="1"/>
    </xf>
    <xf numFmtId="0" fontId="2" fillId="0" borderId="13" xfId="0" applyNumberFormat="1" applyFont="1" applyFill="1" applyBorder="1" applyAlignment="1" applyProtection="1">
      <alignment horizontal="center" vertical="center" wrapText="1"/>
      <protection locked="0"/>
    </xf>
    <xf numFmtId="0" fontId="2" fillId="0" borderId="19" xfId="0" applyNumberFormat="1" applyFont="1" applyFill="1" applyBorder="1" applyAlignment="1">
      <alignment horizontal="center" vertical="center" wrapText="1"/>
    </xf>
    <xf numFmtId="0" fontId="2" fillId="0" borderId="25" xfId="0" applyNumberFormat="1" applyFont="1" applyFill="1" applyBorder="1" applyAlignment="1">
      <alignment horizontal="justify" vertical="center" wrapText="1"/>
    </xf>
    <xf numFmtId="0" fontId="2" fillId="2" borderId="25" xfId="0" applyNumberFormat="1" applyFont="1" applyFill="1" applyBorder="1" applyAlignment="1" applyProtection="1">
      <alignment horizontal="justify" vertical="center" wrapText="1"/>
      <protection locked="0"/>
    </xf>
    <xf numFmtId="0" fontId="2" fillId="0" borderId="3" xfId="7" applyFont="1" applyFill="1" applyBorder="1" applyAlignment="1">
      <alignment horizontal="center" vertical="center" wrapText="1"/>
    </xf>
    <xf numFmtId="49" fontId="2" fillId="0" borderId="13" xfId="7" applyNumberFormat="1" applyFont="1" applyFill="1" applyBorder="1" applyAlignment="1">
      <alignment horizontal="justify" vertical="center" wrapText="1"/>
    </xf>
    <xf numFmtId="0" fontId="4" fillId="0" borderId="0" xfId="0" applyNumberFormat="1" applyFont="1" applyFill="1" applyBorder="1" applyAlignment="1">
      <alignment horizontal="center" vertical="center" wrapText="1"/>
    </xf>
    <xf numFmtId="170" fontId="4" fillId="0" borderId="27" xfId="0" applyFont="1" applyFill="1" applyBorder="1" applyAlignment="1">
      <alignment horizontal="center" vertical="center" wrapText="1"/>
    </xf>
    <xf numFmtId="170" fontId="4" fillId="0" borderId="0" xfId="0" applyFont="1" applyFill="1" applyBorder="1" applyAlignment="1">
      <alignment horizontal="center" vertical="center" wrapText="1"/>
    </xf>
    <xf numFmtId="172" fontId="4" fillId="0" borderId="0" xfId="5" applyNumberFormat="1" applyFont="1" applyFill="1" applyBorder="1" applyAlignment="1">
      <alignment horizontal="center" vertical="center" wrapText="1"/>
    </xf>
    <xf numFmtId="170" fontId="4" fillId="0" borderId="0" xfId="0" applyFont="1" applyFill="1" applyAlignment="1">
      <alignment horizontal="center" vertical="center"/>
    </xf>
    <xf numFmtId="170" fontId="2" fillId="0" borderId="17" xfId="0" applyFont="1" applyBorder="1" applyAlignment="1">
      <alignment horizontal="center" vertical="center" wrapText="1"/>
    </xf>
    <xf numFmtId="170" fontId="2" fillId="0" borderId="24" xfId="0" applyFont="1" applyBorder="1" applyAlignment="1">
      <alignment horizontal="center" vertical="center" wrapText="1"/>
    </xf>
    <xf numFmtId="170" fontId="2" fillId="0" borderId="19" xfId="0" applyFont="1" applyBorder="1" applyAlignment="1">
      <alignment horizontal="center" vertical="center" wrapText="1"/>
    </xf>
    <xf numFmtId="0" fontId="3" fillId="0" borderId="24" xfId="0" applyNumberFormat="1" applyFont="1" applyBorder="1" applyAlignment="1">
      <alignment horizontal="left" vertical="center" wrapText="1"/>
    </xf>
    <xf numFmtId="170" fontId="3" fillId="0" borderId="30" xfId="0" applyFont="1" applyBorder="1" applyAlignment="1">
      <alignment vertical="center"/>
    </xf>
    <xf numFmtId="0" fontId="3" fillId="0" borderId="22" xfId="0" applyNumberFormat="1" applyFont="1" applyFill="1" applyBorder="1" applyAlignment="1">
      <alignment horizontal="left" vertical="center" wrapText="1"/>
    </xf>
    <xf numFmtId="170" fontId="3" fillId="0" borderId="63" xfId="0" applyFont="1" applyBorder="1" applyAlignment="1">
      <alignment vertical="center"/>
    </xf>
    <xf numFmtId="0" fontId="3" fillId="0" borderId="64" xfId="0" applyNumberFormat="1" applyFont="1" applyBorder="1" applyAlignment="1">
      <alignment horizontal="left" vertical="center" wrapText="1"/>
    </xf>
    <xf numFmtId="170" fontId="2" fillId="0" borderId="63" xfId="0" applyFont="1" applyBorder="1"/>
    <xf numFmtId="170" fontId="2" fillId="0" borderId="26" xfId="0" applyFont="1" applyBorder="1"/>
    <xf numFmtId="0" fontId="3" fillId="0" borderId="28" xfId="0" applyNumberFormat="1" applyFont="1" applyBorder="1" applyAlignment="1">
      <alignment horizontal="left" vertical="center" wrapText="1"/>
    </xf>
    <xf numFmtId="0" fontId="3" fillId="6" borderId="17" xfId="0" applyNumberFormat="1" applyFont="1" applyFill="1" applyBorder="1" applyAlignment="1">
      <alignment horizontal="center" vertical="center" wrapText="1"/>
    </xf>
    <xf numFmtId="0" fontId="3" fillId="0" borderId="62" xfId="0" applyNumberFormat="1" applyFont="1" applyFill="1" applyBorder="1" applyAlignment="1">
      <alignment horizontal="left" vertical="center" wrapText="1"/>
    </xf>
    <xf numFmtId="0" fontId="3" fillId="0" borderId="65" xfId="0" applyNumberFormat="1" applyFont="1" applyBorder="1" applyAlignment="1">
      <alignment horizontal="left" vertical="center" wrapText="1"/>
    </xf>
    <xf numFmtId="0" fontId="3" fillId="0" borderId="12" xfId="0" applyNumberFormat="1" applyFont="1" applyBorder="1" applyAlignment="1">
      <alignment horizontal="left" vertical="center" wrapText="1"/>
    </xf>
    <xf numFmtId="170" fontId="54" fillId="12" borderId="68" xfId="0" applyFont="1" applyFill="1" applyBorder="1" applyAlignment="1">
      <alignment horizontal="center" vertical="center" wrapText="1"/>
    </xf>
    <xf numFmtId="170" fontId="54" fillId="0" borderId="68" xfId="0" applyFont="1" applyBorder="1" applyAlignment="1">
      <alignment horizontal="center" vertical="center" wrapText="1"/>
    </xf>
    <xf numFmtId="170" fontId="6" fillId="0" borderId="68" xfId="0" applyFont="1" applyBorder="1" applyAlignment="1">
      <alignment horizontal="center" vertical="center" wrapText="1"/>
    </xf>
    <xf numFmtId="170" fontId="54" fillId="12" borderId="68" xfId="0" applyFont="1" applyFill="1" applyBorder="1" applyAlignment="1">
      <alignment horizontal="center" vertical="center"/>
    </xf>
    <xf numFmtId="170" fontId="54" fillId="0" borderId="68" xfId="0" applyFont="1" applyBorder="1" applyAlignment="1">
      <alignment horizontal="center" vertical="center"/>
    </xf>
    <xf numFmtId="170" fontId="6" fillId="0" borderId="68" xfId="0" applyFont="1" applyBorder="1" applyAlignment="1">
      <alignment horizontal="center" vertical="center"/>
    </xf>
    <xf numFmtId="1" fontId="54" fillId="12" borderId="68" xfId="0" applyNumberFormat="1" applyFont="1" applyFill="1" applyBorder="1" applyAlignment="1">
      <alignment horizontal="center" vertical="center"/>
    </xf>
    <xf numFmtId="170" fontId="54" fillId="0" borderId="67" xfId="0" applyFont="1" applyBorder="1" applyAlignment="1">
      <alignment horizontal="justify" vertical="center" wrapText="1"/>
    </xf>
    <xf numFmtId="170" fontId="6" fillId="0" borderId="67" xfId="0" applyFont="1" applyBorder="1" applyAlignment="1">
      <alignment horizontal="justify" vertical="center" wrapText="1"/>
    </xf>
    <xf numFmtId="170" fontId="54" fillId="12" borderId="67" xfId="0" applyFont="1" applyFill="1" applyBorder="1" applyAlignment="1">
      <alignment horizontal="justify" vertical="center" wrapText="1"/>
    </xf>
    <xf numFmtId="0" fontId="6" fillId="0" borderId="67" xfId="0" applyNumberFormat="1" applyFont="1" applyBorder="1" applyAlignment="1">
      <alignment horizontal="justify" vertical="center" wrapText="1"/>
    </xf>
    <xf numFmtId="170" fontId="54" fillId="12" borderId="73" xfId="0" applyFont="1" applyFill="1" applyBorder="1" applyAlignment="1">
      <alignment horizontal="center" vertical="center"/>
    </xf>
    <xf numFmtId="170" fontId="54" fillId="0" borderId="0" xfId="0" applyFont="1" applyBorder="1" applyAlignment="1">
      <alignment horizontal="justify" vertical="center" wrapText="1"/>
    </xf>
    <xf numFmtId="170" fontId="13" fillId="5" borderId="66" xfId="0" applyFont="1" applyFill="1" applyBorder="1" applyAlignment="1">
      <alignment vertical="center"/>
    </xf>
    <xf numFmtId="170" fontId="6" fillId="0" borderId="66" xfId="0" applyFont="1" applyBorder="1" applyAlignment="1">
      <alignment vertical="center"/>
    </xf>
    <xf numFmtId="170" fontId="6" fillId="0" borderId="74" xfId="0" applyFont="1" applyBorder="1" applyAlignment="1">
      <alignment vertical="center"/>
    </xf>
    <xf numFmtId="170" fontId="3" fillId="4" borderId="38" xfId="0" applyFont="1" applyFill="1" applyBorder="1" applyAlignment="1">
      <alignment vertical="center"/>
    </xf>
    <xf numFmtId="170" fontId="6" fillId="0" borderId="0" xfId="0" applyFont="1" applyAlignment="1">
      <alignment vertical="center"/>
    </xf>
    <xf numFmtId="170" fontId="3" fillId="17" borderId="38" xfId="0" applyFont="1" applyFill="1" applyBorder="1" applyAlignment="1">
      <alignment vertical="center"/>
    </xf>
    <xf numFmtId="170" fontId="3" fillId="6" borderId="13" xfId="0" applyNumberFormat="1" applyFont="1" applyFill="1" applyBorder="1" applyAlignment="1">
      <alignment vertical="center"/>
    </xf>
    <xf numFmtId="177" fontId="3" fillId="6" borderId="13" xfId="0" applyNumberFormat="1" applyFont="1" applyFill="1" applyBorder="1" applyAlignment="1">
      <alignment vertical="center"/>
    </xf>
    <xf numFmtId="0" fontId="3" fillId="16" borderId="13" xfId="0" applyNumberFormat="1" applyFont="1" applyFill="1" applyBorder="1" applyAlignment="1">
      <alignment vertical="center"/>
    </xf>
    <xf numFmtId="170" fontId="3" fillId="16" borderId="13" xfId="0" applyNumberFormat="1" applyFont="1" applyFill="1" applyBorder="1" applyAlignment="1">
      <alignment vertical="center"/>
    </xf>
    <xf numFmtId="177" fontId="3" fillId="16" borderId="13" xfId="0" applyNumberFormat="1" applyFont="1" applyFill="1" applyBorder="1" applyAlignment="1">
      <alignment vertical="center"/>
    </xf>
    <xf numFmtId="170" fontId="3" fillId="0" borderId="13" xfId="0" applyFont="1" applyFill="1" applyBorder="1" applyAlignment="1">
      <alignment horizontal="left" vertical="center"/>
    </xf>
    <xf numFmtId="170" fontId="3" fillId="0" borderId="13" xfId="0" applyFont="1" applyFill="1" applyBorder="1" applyAlignment="1">
      <alignment vertical="center"/>
    </xf>
    <xf numFmtId="0" fontId="2" fillId="0" borderId="0" xfId="0" applyNumberFormat="1" applyFont="1" applyBorder="1" applyAlignment="1">
      <alignment horizontal="center" vertical="center"/>
    </xf>
    <xf numFmtId="170" fontId="2" fillId="0" borderId="0" xfId="0" applyFont="1" applyBorder="1" applyAlignment="1">
      <alignment horizontal="center"/>
    </xf>
    <xf numFmtId="0" fontId="3" fillId="16" borderId="15" xfId="0" applyNumberFormat="1" applyFont="1" applyFill="1" applyBorder="1" applyAlignment="1">
      <alignment horizontal="center" vertical="center" wrapText="1"/>
    </xf>
    <xf numFmtId="0" fontId="3" fillId="16" borderId="16" xfId="0" applyNumberFormat="1" applyFont="1" applyFill="1" applyBorder="1" applyAlignment="1">
      <alignment vertical="center"/>
    </xf>
    <xf numFmtId="0" fontId="3" fillId="16" borderId="25" xfId="0" applyNumberFormat="1" applyFont="1" applyFill="1" applyBorder="1" applyAlignment="1">
      <alignment horizontal="center" vertical="center" wrapText="1"/>
    </xf>
    <xf numFmtId="0" fontId="3" fillId="16" borderId="29" xfId="0" applyNumberFormat="1" applyFont="1" applyFill="1" applyBorder="1" applyAlignment="1">
      <alignment horizontal="center" vertical="center" wrapText="1"/>
    </xf>
    <xf numFmtId="0" fontId="3" fillId="6" borderId="13" xfId="0" applyNumberFormat="1" applyFont="1" applyFill="1" applyBorder="1" applyAlignment="1">
      <alignment horizontal="justify" vertical="center"/>
    </xf>
    <xf numFmtId="0" fontId="3" fillId="16" borderId="13" xfId="0" applyNumberFormat="1" applyFont="1" applyFill="1" applyBorder="1" applyAlignment="1">
      <alignment horizontal="justify" vertical="center"/>
    </xf>
    <xf numFmtId="170" fontId="6" fillId="0" borderId="13" xfId="0" applyFont="1" applyBorder="1"/>
    <xf numFmtId="170" fontId="6" fillId="0" borderId="13" xfId="0" applyFont="1" applyFill="1" applyBorder="1"/>
    <xf numFmtId="0" fontId="3" fillId="0" borderId="13" xfId="7" applyFont="1" applyFill="1" applyBorder="1" applyAlignment="1">
      <alignment horizontal="justify" vertical="center" wrapText="1"/>
    </xf>
    <xf numFmtId="0" fontId="3" fillId="0" borderId="13" xfId="7" applyFont="1" applyFill="1" applyBorder="1" applyAlignment="1">
      <alignment horizontal="left" vertical="center"/>
    </xf>
    <xf numFmtId="0" fontId="3" fillId="0" borderId="17" xfId="0" applyNumberFormat="1" applyFont="1" applyFill="1" applyBorder="1" applyAlignment="1">
      <alignment horizontal="center" vertical="center" wrapText="1"/>
    </xf>
    <xf numFmtId="0" fontId="3" fillId="16" borderId="17" xfId="0" applyNumberFormat="1" applyFont="1" applyFill="1" applyBorder="1" applyAlignment="1">
      <alignment horizontal="center" vertical="center" wrapText="1"/>
    </xf>
    <xf numFmtId="0" fontId="3" fillId="16" borderId="17" xfId="0" applyNumberFormat="1" applyFont="1" applyFill="1" applyBorder="1" applyAlignment="1">
      <alignment horizontal="left" vertical="center"/>
    </xf>
    <xf numFmtId="0" fontId="3" fillId="16" borderId="17" xfId="0" applyNumberFormat="1" applyFont="1" applyFill="1" applyBorder="1" applyAlignment="1">
      <alignment vertical="center"/>
    </xf>
    <xf numFmtId="170" fontId="3" fillId="16" borderId="17" xfId="0" applyNumberFormat="1" applyFont="1" applyFill="1" applyBorder="1" applyAlignment="1">
      <alignment vertical="center"/>
    </xf>
    <xf numFmtId="177" fontId="3" fillId="16" borderId="17" xfId="0" applyNumberFormat="1" applyFont="1" applyFill="1" applyBorder="1" applyAlignment="1">
      <alignment vertical="center"/>
    </xf>
    <xf numFmtId="170" fontId="2" fillId="0" borderId="3" xfId="0" applyFont="1" applyBorder="1"/>
    <xf numFmtId="0" fontId="3" fillId="2" borderId="3" xfId="0" applyNumberFormat="1" applyFont="1" applyFill="1" applyBorder="1" applyAlignment="1">
      <alignment horizontal="center" vertical="center" wrapText="1"/>
    </xf>
    <xf numFmtId="170" fontId="3" fillId="0" borderId="3" xfId="0" applyFont="1" applyFill="1" applyBorder="1" applyAlignment="1">
      <alignment horizontal="left" vertical="center"/>
    </xf>
    <xf numFmtId="170" fontId="3" fillId="2" borderId="3" xfId="0" applyNumberFormat="1" applyFont="1" applyFill="1" applyBorder="1" applyAlignment="1">
      <alignment vertical="center"/>
    </xf>
    <xf numFmtId="177" fontId="3" fillId="2" borderId="3" xfId="0" applyNumberFormat="1" applyFont="1" applyFill="1" applyBorder="1" applyAlignment="1">
      <alignment vertical="center"/>
    </xf>
    <xf numFmtId="0" fontId="3" fillId="2" borderId="3" xfId="0" applyNumberFormat="1" applyFont="1" applyFill="1" applyBorder="1" applyAlignment="1">
      <alignment vertical="center"/>
    </xf>
    <xf numFmtId="0" fontId="3" fillId="9" borderId="13" xfId="0" applyNumberFormat="1" applyFont="1" applyFill="1" applyBorder="1" applyAlignment="1">
      <alignment horizontal="left" vertical="center"/>
    </xf>
    <xf numFmtId="0" fontId="3" fillId="9" borderId="13" xfId="0" applyNumberFormat="1" applyFont="1" applyFill="1" applyBorder="1" applyAlignment="1">
      <alignment horizontal="center" vertical="center"/>
    </xf>
    <xf numFmtId="0" fontId="3" fillId="9" borderId="13" xfId="0" applyNumberFormat="1" applyFont="1" applyFill="1" applyBorder="1" applyAlignment="1">
      <alignment horizontal="left" vertical="center" wrapText="1"/>
    </xf>
    <xf numFmtId="170" fontId="3" fillId="9" borderId="13" xfId="0" applyNumberFormat="1" applyFont="1" applyFill="1" applyBorder="1" applyAlignment="1">
      <alignment horizontal="left" vertical="center" wrapText="1"/>
    </xf>
    <xf numFmtId="0" fontId="3" fillId="16" borderId="16" xfId="0" applyNumberFormat="1" applyFont="1" applyFill="1" applyBorder="1" applyAlignment="1">
      <alignment horizontal="center" vertical="center" wrapText="1"/>
    </xf>
    <xf numFmtId="0" fontId="3" fillId="0" borderId="13" xfId="0" applyNumberFormat="1" applyFont="1" applyFill="1" applyBorder="1" applyAlignment="1">
      <alignment horizontal="justify" vertical="center" wrapText="1"/>
    </xf>
    <xf numFmtId="0" fontId="3" fillId="0" borderId="13" xfId="0" applyNumberFormat="1" applyFont="1" applyFill="1" applyBorder="1" applyAlignment="1">
      <alignment horizontal="justify" vertical="center"/>
    </xf>
    <xf numFmtId="0" fontId="3" fillId="16" borderId="15" xfId="0" applyNumberFormat="1" applyFont="1" applyFill="1" applyBorder="1" applyAlignment="1">
      <alignment vertical="center"/>
    </xf>
    <xf numFmtId="170" fontId="3" fillId="9" borderId="13" xfId="0" applyNumberFormat="1" applyFont="1" applyFill="1" applyBorder="1" applyAlignment="1">
      <alignment horizontal="left" vertical="center"/>
    </xf>
    <xf numFmtId="170" fontId="3" fillId="9" borderId="13" xfId="0" applyFont="1" applyFill="1" applyBorder="1" applyAlignment="1">
      <alignment horizontal="left" vertical="center"/>
    </xf>
    <xf numFmtId="170" fontId="4" fillId="4" borderId="21" xfId="0" applyFont="1" applyFill="1" applyBorder="1" applyAlignment="1">
      <alignment horizontal="center" vertical="center" wrapText="1"/>
    </xf>
    <xf numFmtId="0" fontId="4" fillId="4" borderId="20" xfId="0" applyNumberFormat="1" applyFont="1" applyFill="1" applyBorder="1" applyAlignment="1">
      <alignment horizontal="center" vertical="center" wrapText="1"/>
    </xf>
    <xf numFmtId="170" fontId="2" fillId="0" borderId="0" xfId="0" applyFont="1" applyBorder="1" applyAlignment="1">
      <alignment horizontal="justify"/>
    </xf>
    <xf numFmtId="170" fontId="3" fillId="16" borderId="13" xfId="0" applyNumberFormat="1" applyFont="1" applyFill="1" applyBorder="1" applyAlignment="1">
      <alignment horizontal="left" vertical="center"/>
    </xf>
    <xf numFmtId="170" fontId="3" fillId="16" borderId="16" xfId="0" applyNumberFormat="1" applyFont="1" applyFill="1" applyBorder="1" applyAlignment="1">
      <alignment vertical="center"/>
    </xf>
    <xf numFmtId="170" fontId="3" fillId="16" borderId="13" xfId="0" applyFont="1" applyFill="1" applyBorder="1" applyAlignment="1">
      <alignment horizontal="left" vertical="center"/>
    </xf>
    <xf numFmtId="0" fontId="3" fillId="16" borderId="18" xfId="0" applyNumberFormat="1" applyFont="1" applyFill="1" applyBorder="1" applyAlignment="1">
      <alignment horizontal="left" vertical="center" wrapText="1"/>
    </xf>
    <xf numFmtId="170" fontId="3" fillId="17" borderId="13" xfId="0" applyFont="1" applyFill="1" applyBorder="1" applyAlignment="1">
      <alignment horizontal="left" vertical="center"/>
    </xf>
    <xf numFmtId="170" fontId="3" fillId="0" borderId="15" xfId="0" applyFont="1" applyFill="1" applyBorder="1" applyAlignment="1">
      <alignment vertical="center"/>
    </xf>
    <xf numFmtId="0" fontId="3" fillId="9" borderId="7" xfId="0" applyNumberFormat="1" applyFont="1" applyFill="1" applyBorder="1" applyAlignment="1">
      <alignment horizontal="left" vertical="center"/>
    </xf>
    <xf numFmtId="0" fontId="3" fillId="9" borderId="8" xfId="0" applyNumberFormat="1" applyFont="1" applyFill="1" applyBorder="1" applyAlignment="1">
      <alignment horizontal="left" vertical="center"/>
    </xf>
    <xf numFmtId="170" fontId="3" fillId="9" borderId="9" xfId="0" applyNumberFormat="1" applyFont="1" applyFill="1" applyBorder="1" applyAlignment="1">
      <alignment horizontal="left" vertical="center"/>
    </xf>
    <xf numFmtId="0" fontId="3" fillId="50" borderId="13" xfId="0" applyNumberFormat="1" applyFont="1" applyFill="1" applyBorder="1" applyAlignment="1">
      <alignment horizontal="center" vertical="center" wrapText="1"/>
    </xf>
    <xf numFmtId="0" fontId="3" fillId="50" borderId="13" xfId="0" applyNumberFormat="1" applyFont="1" applyFill="1" applyBorder="1" applyAlignment="1">
      <alignment vertical="center"/>
    </xf>
    <xf numFmtId="10" fontId="3" fillId="50" borderId="13" xfId="282" applyNumberFormat="1" applyFont="1" applyFill="1" applyBorder="1" applyAlignment="1">
      <alignment horizontal="center" vertical="center"/>
    </xf>
    <xf numFmtId="170" fontId="2" fillId="0" borderId="13" xfId="0" applyFont="1" applyFill="1" applyBorder="1" applyAlignment="1">
      <alignment horizontal="center" vertical="center"/>
    </xf>
    <xf numFmtId="170" fontId="2" fillId="0" borderId="13" xfId="0" applyFont="1" applyFill="1" applyBorder="1" applyAlignment="1">
      <alignment horizontal="justify" vertical="center" wrapText="1"/>
    </xf>
    <xf numFmtId="1" fontId="2" fillId="0" borderId="13" xfId="0" applyNumberFormat="1" applyFont="1" applyBorder="1" applyAlignment="1">
      <alignment horizontal="center" vertical="center"/>
    </xf>
    <xf numFmtId="170" fontId="2" fillId="0" borderId="13" xfId="0" applyFont="1" applyBorder="1" applyAlignment="1">
      <alignment horizontal="justify" vertical="center" wrapText="1"/>
    </xf>
    <xf numFmtId="0" fontId="2" fillId="0" borderId="13" xfId="0" applyNumberFormat="1" applyFont="1" applyBorder="1" applyAlignment="1">
      <alignment horizontal="justify" vertical="center" wrapText="1"/>
    </xf>
    <xf numFmtId="170" fontId="2" fillId="12" borderId="13" xfId="0" applyFont="1" applyFill="1" applyBorder="1" applyAlignment="1">
      <alignment horizontal="center" vertical="center"/>
    </xf>
    <xf numFmtId="172" fontId="2" fillId="0" borderId="13" xfId="0" applyNumberFormat="1" applyFont="1" applyFill="1" applyBorder="1" applyAlignment="1">
      <alignment horizontal="justify" vertical="center" wrapText="1"/>
    </xf>
    <xf numFmtId="0" fontId="2" fillId="0" borderId="13" xfId="0" applyNumberFormat="1" applyFont="1" applyFill="1" applyBorder="1" applyAlignment="1">
      <alignment horizontal="justify" vertical="center" wrapText="1"/>
    </xf>
    <xf numFmtId="0" fontId="2" fillId="0" borderId="19" xfId="0" applyNumberFormat="1" applyFont="1" applyBorder="1" applyAlignment="1">
      <alignment horizontal="justify" vertical="center" wrapText="1"/>
    </xf>
    <xf numFmtId="0" fontId="2" fillId="0" borderId="13" xfId="0" applyNumberFormat="1" applyFont="1" applyBorder="1" applyAlignment="1">
      <alignment horizontal="center" vertical="center" wrapText="1"/>
    </xf>
    <xf numFmtId="170" fontId="2" fillId="2" borderId="13" xfId="0" applyFont="1" applyFill="1" applyBorder="1" applyAlignment="1">
      <alignment horizontal="justify" vertical="center" wrapText="1"/>
    </xf>
    <xf numFmtId="170" fontId="2" fillId="0" borderId="13" xfId="0" applyFont="1" applyBorder="1" applyAlignment="1">
      <alignment horizontal="center" vertical="center" wrapText="1"/>
    </xf>
    <xf numFmtId="170" fontId="2" fillId="0" borderId="13" xfId="0" applyFont="1" applyFill="1" applyBorder="1" applyAlignment="1">
      <alignment horizontal="center" vertical="center" wrapText="1"/>
    </xf>
    <xf numFmtId="0" fontId="2" fillId="2" borderId="13" xfId="0" applyNumberFormat="1" applyFont="1" applyFill="1" applyBorder="1" applyAlignment="1">
      <alignment horizontal="justify" vertical="center" wrapText="1"/>
    </xf>
    <xf numFmtId="170" fontId="2" fillId="12" borderId="13" xfId="0" applyFont="1" applyFill="1" applyBorder="1" applyAlignment="1">
      <alignment horizontal="center" vertical="center" wrapText="1"/>
    </xf>
    <xf numFmtId="170" fontId="2" fillId="0" borderId="19" xfId="0" applyFont="1" applyFill="1" applyBorder="1" applyAlignment="1">
      <alignment horizontal="center" vertical="center" wrapText="1"/>
    </xf>
    <xf numFmtId="0" fontId="2" fillId="0" borderId="13" xfId="6" applyNumberFormat="1" applyFont="1" applyFill="1" applyBorder="1" applyAlignment="1">
      <alignment horizontal="justify" vertical="center" wrapText="1"/>
    </xf>
    <xf numFmtId="170" fontId="2" fillId="14" borderId="13" xfId="0" applyFont="1" applyFill="1" applyBorder="1" applyAlignment="1">
      <alignment horizontal="center" vertical="center" wrapText="1"/>
    </xf>
    <xf numFmtId="170" fontId="2" fillId="12" borderId="13" xfId="0" applyFont="1" applyFill="1" applyBorder="1" applyAlignment="1">
      <alignment horizontal="justify" vertical="center" wrapText="1"/>
    </xf>
    <xf numFmtId="0" fontId="2" fillId="0" borderId="13" xfId="7" applyFont="1" applyBorder="1" applyAlignment="1">
      <alignment horizontal="justify" vertical="center" wrapText="1"/>
    </xf>
    <xf numFmtId="0" fontId="2" fillId="2" borderId="19" xfId="0" applyNumberFormat="1" applyFont="1" applyFill="1" applyBorder="1" applyAlignment="1">
      <alignment horizontal="justify" vertical="center" wrapText="1"/>
    </xf>
    <xf numFmtId="0" fontId="3" fillId="6" borderId="15" xfId="0" applyNumberFormat="1" applyFont="1" applyFill="1" applyBorder="1" applyAlignment="1">
      <alignment horizontal="left" vertical="center" wrapText="1"/>
    </xf>
    <xf numFmtId="43" fontId="2" fillId="0" borderId="17" xfId="5" applyFont="1" applyFill="1" applyBorder="1" applyAlignment="1">
      <alignment horizontal="justify" vertical="center"/>
    </xf>
    <xf numFmtId="4" fontId="2" fillId="0" borderId="13" xfId="0" applyNumberFormat="1" applyFont="1" applyFill="1" applyBorder="1" applyAlignment="1">
      <alignment horizontal="right" vertical="center" wrapText="1"/>
    </xf>
    <xf numFmtId="167" fontId="2" fillId="0" borderId="13" xfId="8" applyNumberFormat="1" applyFont="1" applyFill="1" applyBorder="1" applyAlignment="1">
      <alignment vertical="center"/>
    </xf>
    <xf numFmtId="43" fontId="2" fillId="0" borderId="16" xfId="0" applyNumberFormat="1" applyFont="1" applyFill="1" applyBorder="1" applyAlignment="1">
      <alignment vertical="center"/>
    </xf>
    <xf numFmtId="43" fontId="2" fillId="0" borderId="13" xfId="0" applyNumberFormat="1" applyFont="1" applyFill="1" applyBorder="1" applyAlignment="1">
      <alignment vertical="center" wrapText="1"/>
    </xf>
    <xf numFmtId="43" fontId="2" fillId="0" borderId="13" xfId="0" applyNumberFormat="1" applyFont="1" applyFill="1" applyBorder="1" applyAlignment="1">
      <alignment horizontal="center" vertical="center" wrapText="1"/>
    </xf>
    <xf numFmtId="170" fontId="2" fillId="0" borderId="13" xfId="0" applyFont="1" applyBorder="1" applyAlignment="1">
      <alignment horizontal="justify" vertical="center" wrapText="1"/>
    </xf>
    <xf numFmtId="43" fontId="2" fillId="0" borderId="16" xfId="0" applyNumberFormat="1" applyFont="1" applyBorder="1" applyAlignment="1">
      <alignment horizontal="center" vertical="center"/>
    </xf>
    <xf numFmtId="43" fontId="3" fillId="7" borderId="17" xfId="0" applyNumberFormat="1" applyFont="1" applyFill="1" applyBorder="1" applyAlignment="1">
      <alignment vertical="center"/>
    </xf>
    <xf numFmtId="170" fontId="2" fillId="0" borderId="13" xfId="0" applyFont="1" applyBorder="1" applyAlignment="1">
      <alignment horizontal="justify" vertical="center" wrapText="1"/>
    </xf>
    <xf numFmtId="0" fontId="2" fillId="0" borderId="13" xfId="0" applyNumberFormat="1" applyFont="1" applyBorder="1" applyAlignment="1">
      <alignment horizontal="center" vertical="center" wrapText="1"/>
    </xf>
    <xf numFmtId="170" fontId="3" fillId="0" borderId="0" xfId="0" applyFont="1" applyBorder="1" applyAlignment="1">
      <alignment horizontal="center" vertical="center" wrapText="1"/>
    </xf>
    <xf numFmtId="0" fontId="2" fillId="0" borderId="17" xfId="9" applyFont="1" applyFill="1" applyBorder="1">
      <alignment horizontal="center" vertical="center" wrapText="1"/>
    </xf>
    <xf numFmtId="0" fontId="2" fillId="0" borderId="19" xfId="9" applyFont="1" applyFill="1" applyBorder="1">
      <alignment horizontal="center" vertical="center" wrapText="1"/>
    </xf>
    <xf numFmtId="0" fontId="2" fillId="2" borderId="0" xfId="7" applyFont="1" applyFill="1" applyBorder="1" applyAlignment="1">
      <alignment horizontal="center" vertical="center" wrapText="1"/>
    </xf>
    <xf numFmtId="43" fontId="2" fillId="2" borderId="15" xfId="5" applyFont="1" applyFill="1" applyBorder="1" applyAlignment="1">
      <alignment horizontal="right" vertical="center"/>
    </xf>
    <xf numFmtId="43" fontId="2" fillId="2" borderId="15" xfId="0" applyNumberFormat="1" applyFont="1" applyFill="1" applyBorder="1" applyAlignment="1">
      <alignment horizontal="right" vertical="center" wrapText="1"/>
    </xf>
    <xf numFmtId="4" fontId="2" fillId="0" borderId="30" xfId="0" applyNumberFormat="1" applyFont="1" applyFill="1" applyBorder="1" applyAlignment="1">
      <alignment vertical="center"/>
    </xf>
    <xf numFmtId="3" fontId="6" fillId="0" borderId="30" xfId="0" applyNumberFormat="1" applyFont="1" applyFill="1" applyBorder="1" applyAlignment="1">
      <alignment horizontal="right" vertical="center" wrapText="1"/>
    </xf>
    <xf numFmtId="43" fontId="3" fillId="0" borderId="16" xfId="5" applyFont="1" applyFill="1" applyBorder="1" applyAlignment="1">
      <alignment horizontal="justify" vertical="center"/>
    </xf>
    <xf numFmtId="43" fontId="2" fillId="0" borderId="16" xfId="8" applyFont="1" applyFill="1" applyBorder="1" applyAlignment="1">
      <alignment horizontal="center" vertical="center"/>
    </xf>
    <xf numFmtId="43" fontId="2" fillId="0" borderId="15" xfId="8" applyFont="1" applyFill="1" applyBorder="1" applyAlignment="1">
      <alignment horizontal="right" vertical="center" wrapText="1"/>
    </xf>
    <xf numFmtId="170" fontId="57" fillId="0" borderId="16" xfId="0" applyFont="1" applyFill="1" applyBorder="1" applyAlignment="1">
      <alignment horizontal="center" vertical="center" wrapText="1"/>
    </xf>
    <xf numFmtId="172" fontId="4" fillId="0" borderId="27" xfId="5" applyNumberFormat="1" applyFont="1" applyFill="1" applyBorder="1" applyAlignment="1">
      <alignment horizontal="center" vertical="center" wrapText="1"/>
    </xf>
    <xf numFmtId="167" fontId="3" fillId="0" borderId="13" xfId="1" applyFont="1" applyFill="1" applyBorder="1" applyAlignment="1">
      <alignment horizontal="left" vertical="center"/>
    </xf>
    <xf numFmtId="167" fontId="3" fillId="0" borderId="13" xfId="1" applyFont="1" applyFill="1" applyBorder="1" applyAlignment="1">
      <alignment vertical="center"/>
    </xf>
    <xf numFmtId="172" fontId="4" fillId="4" borderId="7" xfId="5" applyNumberFormat="1" applyFont="1" applyFill="1" applyBorder="1" applyAlignment="1">
      <alignment horizontal="center" vertical="center" wrapText="1"/>
    </xf>
    <xf numFmtId="167" fontId="2" fillId="0" borderId="13" xfId="1" applyFont="1" applyFill="1" applyBorder="1" applyAlignment="1">
      <alignment horizontal="center" vertical="center"/>
    </xf>
    <xf numFmtId="167" fontId="3" fillId="7" borderId="13" xfId="1" applyFont="1" applyFill="1" applyBorder="1" applyAlignment="1">
      <alignment horizontal="justify" vertical="center"/>
    </xf>
    <xf numFmtId="167" fontId="3" fillId="16" borderId="13" xfId="1" applyFont="1" applyFill="1" applyBorder="1" applyAlignment="1">
      <alignment vertical="center"/>
    </xf>
    <xf numFmtId="167" fontId="3" fillId="6" borderId="13" xfId="1" applyFont="1" applyFill="1" applyBorder="1" applyAlignment="1">
      <alignment vertical="center"/>
    </xf>
    <xf numFmtId="167" fontId="2" fillId="2" borderId="13" xfId="1" applyFont="1" applyFill="1" applyBorder="1" applyAlignment="1">
      <alignment horizontal="center" vertical="center" wrapText="1"/>
    </xf>
    <xf numFmtId="167" fontId="2" fillId="2" borderId="13" xfId="1" applyFont="1" applyFill="1" applyBorder="1" applyAlignment="1">
      <alignment horizontal="center" vertical="center"/>
    </xf>
    <xf numFmtId="167" fontId="57" fillId="0" borderId="13" xfId="1" applyFont="1" applyFill="1" applyBorder="1" applyAlignment="1">
      <alignment horizontal="center" vertical="center" wrapText="1"/>
    </xf>
    <xf numFmtId="167" fontId="3" fillId="6" borderId="15" xfId="0" applyNumberFormat="1" applyFont="1" applyFill="1" applyBorder="1" applyAlignment="1">
      <alignment vertical="center"/>
    </xf>
    <xf numFmtId="43" fontId="3" fillId="16" borderId="15" xfId="0" applyNumberFormat="1" applyFont="1" applyFill="1" applyBorder="1" applyAlignment="1">
      <alignment vertical="center"/>
    </xf>
    <xf numFmtId="43" fontId="3" fillId="6" borderId="15" xfId="0" applyNumberFormat="1" applyFont="1" applyFill="1" applyBorder="1" applyAlignment="1">
      <alignment vertical="center"/>
    </xf>
    <xf numFmtId="170" fontId="2" fillId="2" borderId="9" xfId="0" applyFont="1" applyFill="1" applyBorder="1" applyAlignment="1">
      <alignment horizontal="left" vertical="center" wrapText="1"/>
    </xf>
    <xf numFmtId="43" fontId="3" fillId="7" borderId="64" xfId="0" applyNumberFormat="1" applyFont="1" applyFill="1" applyBorder="1" applyAlignment="1">
      <alignment vertical="center"/>
    </xf>
    <xf numFmtId="167" fontId="3" fillId="6" borderId="28" xfId="0" applyNumberFormat="1" applyFont="1" applyFill="1" applyBorder="1" applyAlignment="1">
      <alignment vertical="center"/>
    </xf>
    <xf numFmtId="43" fontId="3" fillId="6" borderId="16" xfId="0" applyNumberFormat="1" applyFont="1" applyFill="1" applyBorder="1" applyAlignment="1">
      <alignment vertical="center"/>
    </xf>
    <xf numFmtId="43" fontId="3" fillId="15" borderId="40" xfId="0" applyNumberFormat="1" applyFont="1" applyFill="1" applyBorder="1" applyAlignment="1">
      <alignment vertical="center"/>
    </xf>
    <xf numFmtId="43" fontId="2" fillId="0" borderId="3" xfId="0" applyNumberFormat="1" applyFont="1" applyBorder="1" applyAlignment="1">
      <alignment vertical="center"/>
    </xf>
    <xf numFmtId="43" fontId="3" fillId="7" borderId="3" xfId="0" applyNumberFormat="1" applyFont="1" applyFill="1" applyBorder="1" applyAlignment="1">
      <alignment vertical="center"/>
    </xf>
    <xf numFmtId="43" fontId="2" fillId="2" borderId="3" xfId="0" applyNumberFormat="1" applyFont="1" applyFill="1" applyBorder="1" applyAlignment="1">
      <alignment vertical="center"/>
    </xf>
    <xf numFmtId="167" fontId="3" fillId="6" borderId="3" xfId="0" applyNumberFormat="1" applyFont="1" applyFill="1" applyBorder="1" applyAlignment="1">
      <alignment vertical="center"/>
    </xf>
    <xf numFmtId="43" fontId="3" fillId="16" borderId="3" xfId="0" applyNumberFormat="1" applyFont="1" applyFill="1" applyBorder="1" applyAlignment="1">
      <alignment vertical="center"/>
    </xf>
    <xf numFmtId="43" fontId="3" fillId="6" borderId="3" xfId="0" applyNumberFormat="1" applyFont="1" applyFill="1" applyBorder="1" applyAlignment="1">
      <alignment vertical="center"/>
    </xf>
    <xf numFmtId="43" fontId="3" fillId="15" borderId="3" xfId="0" applyNumberFormat="1" applyFont="1" applyFill="1" applyBorder="1" applyAlignment="1">
      <alignment vertical="center"/>
    </xf>
    <xf numFmtId="167" fontId="2" fillId="0" borderId="13" xfId="1" applyFont="1" applyBorder="1" applyAlignment="1">
      <alignment horizontal="justify" vertical="center" wrapText="1"/>
    </xf>
    <xf numFmtId="170" fontId="3" fillId="10" borderId="13" xfId="0" applyFont="1" applyFill="1" applyBorder="1" applyAlignment="1">
      <alignment horizontal="center" vertical="center"/>
    </xf>
    <xf numFmtId="167" fontId="3" fillId="10" borderId="13" xfId="0" applyNumberFormat="1" applyFont="1" applyFill="1" applyBorder="1" applyAlignment="1">
      <alignment vertical="center"/>
    </xf>
    <xf numFmtId="167" fontId="3" fillId="10" borderId="13" xfId="0" applyNumberFormat="1" applyFont="1" applyFill="1" applyBorder="1" applyAlignment="1">
      <alignment horizontal="center" vertical="center"/>
    </xf>
    <xf numFmtId="170" fontId="3" fillId="10" borderId="0" xfId="0" applyFont="1" applyFill="1" applyAlignment="1">
      <alignment vertical="center"/>
    </xf>
    <xf numFmtId="167" fontId="3" fillId="11" borderId="9" xfId="0" applyNumberFormat="1" applyFont="1" applyFill="1" applyBorder="1" applyAlignment="1">
      <alignment vertical="center"/>
    </xf>
    <xf numFmtId="167" fontId="3" fillId="11" borderId="3" xfId="0" applyNumberFormat="1" applyFont="1" applyFill="1" applyBorder="1" applyAlignment="1">
      <alignment vertical="center"/>
    </xf>
    <xf numFmtId="167" fontId="3" fillId="11" borderId="7" xfId="0" applyNumberFormat="1" applyFont="1" applyFill="1" applyBorder="1" applyAlignment="1">
      <alignment vertical="center"/>
    </xf>
    <xf numFmtId="167" fontId="3" fillId="11" borderId="13" xfId="0" applyNumberFormat="1" applyFont="1" applyFill="1" applyBorder="1" applyAlignment="1">
      <alignment vertical="center"/>
    </xf>
    <xf numFmtId="167" fontId="3" fillId="11" borderId="3" xfId="0" applyNumberFormat="1" applyFont="1" applyFill="1" applyBorder="1" applyAlignment="1">
      <alignment horizontal="center" vertical="center"/>
    </xf>
    <xf numFmtId="170" fontId="2" fillId="11" borderId="0" xfId="0" applyFont="1" applyFill="1" applyAlignment="1">
      <alignment vertical="center"/>
    </xf>
    <xf numFmtId="0" fontId="3" fillId="6" borderId="18" xfId="0" applyNumberFormat="1" applyFont="1" applyFill="1" applyBorder="1" applyAlignment="1">
      <alignment horizontal="left" vertical="center" wrapText="1"/>
    </xf>
    <xf numFmtId="0" fontId="2" fillId="2" borderId="17" xfId="0" applyNumberFormat="1" applyFont="1" applyFill="1" applyBorder="1" applyAlignment="1">
      <alignment horizontal="justify" vertical="center" wrapText="1"/>
    </xf>
    <xf numFmtId="0" fontId="2" fillId="2" borderId="24" xfId="0" applyNumberFormat="1" applyFont="1" applyFill="1" applyBorder="1" applyAlignment="1">
      <alignment horizontal="justify" vertical="center" wrapText="1"/>
    </xf>
    <xf numFmtId="0" fontId="2" fillId="2" borderId="19" xfId="0" applyNumberFormat="1" applyFont="1" applyFill="1" applyBorder="1" applyAlignment="1">
      <alignment horizontal="justify" vertical="center" wrapText="1"/>
    </xf>
    <xf numFmtId="0" fontId="2" fillId="0" borderId="17" xfId="0" applyNumberFormat="1" applyFont="1" applyBorder="1" applyAlignment="1">
      <alignment horizontal="justify" vertical="center" wrapText="1"/>
    </xf>
    <xf numFmtId="0" fontId="2" fillId="0" borderId="19" xfId="0" applyNumberFormat="1" applyFont="1" applyBorder="1" applyAlignment="1">
      <alignment horizontal="justify" vertical="center" wrapText="1"/>
    </xf>
    <xf numFmtId="170" fontId="2" fillId="0" borderId="17" xfId="0" applyFont="1" applyFill="1" applyBorder="1" applyAlignment="1">
      <alignment horizontal="center" vertical="center" wrapText="1"/>
    </xf>
    <xf numFmtId="170" fontId="2" fillId="0" borderId="19" xfId="0" applyFont="1" applyFill="1" applyBorder="1" applyAlignment="1">
      <alignment horizontal="center" vertical="center" wrapText="1"/>
    </xf>
    <xf numFmtId="170" fontId="2" fillId="0" borderId="17" xfId="0" applyFont="1" applyBorder="1" applyAlignment="1">
      <alignment horizontal="justify" vertical="center" wrapText="1"/>
    </xf>
    <xf numFmtId="170" fontId="2" fillId="0" borderId="19" xfId="0" applyFont="1" applyBorder="1" applyAlignment="1">
      <alignment horizontal="justify" vertical="center" wrapText="1"/>
    </xf>
    <xf numFmtId="170" fontId="2" fillId="0" borderId="19" xfId="0" applyFont="1" applyFill="1" applyBorder="1" applyAlignment="1">
      <alignment horizontal="justify" vertical="center" wrapText="1"/>
    </xf>
    <xf numFmtId="0" fontId="2" fillId="0" borderId="24" xfId="0" applyNumberFormat="1" applyFont="1" applyBorder="1" applyAlignment="1">
      <alignment horizontal="justify" vertical="center" wrapText="1"/>
    </xf>
    <xf numFmtId="170" fontId="3" fillId="7" borderId="18" xfId="0" applyFont="1" applyFill="1" applyBorder="1" applyAlignment="1">
      <alignment horizontal="left" vertical="center"/>
    </xf>
    <xf numFmtId="172" fontId="4" fillId="4" borderId="9" xfId="5" applyNumberFormat="1" applyFont="1" applyFill="1" applyBorder="1" applyAlignment="1">
      <alignment horizontal="center" vertical="center" wrapText="1"/>
    </xf>
    <xf numFmtId="172" fontId="4" fillId="4" borderId="3" xfId="5" applyNumberFormat="1" applyFont="1" applyFill="1" applyBorder="1" applyAlignment="1">
      <alignment horizontal="center" vertical="center" wrapText="1"/>
    </xf>
    <xf numFmtId="0" fontId="4" fillId="4" borderId="2" xfId="0" applyNumberFormat="1" applyFont="1" applyFill="1" applyBorder="1" applyAlignment="1">
      <alignment horizontal="center" vertical="center" wrapText="1"/>
    </xf>
    <xf numFmtId="0" fontId="4" fillId="4" borderId="0" xfId="0" applyNumberFormat="1" applyFont="1" applyFill="1" applyBorder="1" applyAlignment="1">
      <alignment horizontal="center" vertical="center" wrapText="1"/>
    </xf>
    <xf numFmtId="170" fontId="13" fillId="5" borderId="15" xfId="0" applyFont="1" applyFill="1" applyBorder="1" applyAlignment="1">
      <alignment horizontal="center" vertical="center"/>
    </xf>
    <xf numFmtId="170" fontId="13" fillId="5" borderId="16" xfId="0" applyFont="1" applyFill="1" applyBorder="1" applyAlignment="1">
      <alignment horizontal="center" vertical="center"/>
    </xf>
    <xf numFmtId="170" fontId="3" fillId="4" borderId="37" xfId="0" applyFont="1" applyFill="1" applyBorder="1" applyAlignment="1">
      <alignment horizontal="center" vertical="center"/>
    </xf>
    <xf numFmtId="172" fontId="4" fillId="4" borderId="3" xfId="5" applyNumberFormat="1" applyFont="1" applyFill="1" applyBorder="1" applyAlignment="1">
      <alignment horizontal="center" vertical="center" wrapText="1"/>
    </xf>
    <xf numFmtId="0" fontId="4" fillId="4" borderId="23" xfId="0" applyNumberFormat="1" applyFont="1" applyFill="1" applyBorder="1" applyAlignment="1">
      <alignment horizontal="center" vertical="center" wrapText="1"/>
    </xf>
    <xf numFmtId="170" fontId="4" fillId="4" borderId="23" xfId="0" applyFont="1" applyFill="1" applyBorder="1" applyAlignment="1">
      <alignment horizontal="center" vertical="center" wrapText="1"/>
    </xf>
    <xf numFmtId="0" fontId="4" fillId="4" borderId="30" xfId="0" applyNumberFormat="1" applyFont="1" applyFill="1" applyBorder="1" applyAlignment="1">
      <alignment horizontal="center" vertical="center" wrapText="1"/>
    </xf>
    <xf numFmtId="0" fontId="3" fillId="9" borderId="15" xfId="0" applyNumberFormat="1" applyFont="1" applyFill="1" applyBorder="1" applyAlignment="1">
      <alignment vertical="center"/>
    </xf>
    <xf numFmtId="0" fontId="3" fillId="9" borderId="18" xfId="0" applyNumberFormat="1" applyFont="1" applyFill="1" applyBorder="1" applyAlignment="1">
      <alignment vertical="center"/>
    </xf>
    <xf numFmtId="0" fontId="3" fillId="9" borderId="16" xfId="0" applyNumberFormat="1" applyFont="1" applyFill="1" applyBorder="1" applyAlignment="1">
      <alignment vertical="center"/>
    </xf>
    <xf numFmtId="170" fontId="3" fillId="9" borderId="3" xfId="0" applyNumberFormat="1" applyFont="1" applyFill="1" applyBorder="1" applyAlignment="1">
      <alignment horizontal="left" vertical="center"/>
    </xf>
    <xf numFmtId="170" fontId="13" fillId="5" borderId="12" xfId="0" applyFont="1" applyFill="1" applyBorder="1" applyAlignment="1">
      <alignment horizontal="center" vertical="center" wrapText="1"/>
    </xf>
    <xf numFmtId="10" fontId="13" fillId="5" borderId="13" xfId="0" applyNumberFormat="1" applyFont="1" applyFill="1" applyBorder="1" applyAlignment="1">
      <alignment horizontal="center" vertical="center"/>
    </xf>
    <xf numFmtId="167" fontId="3" fillId="50" borderId="13" xfId="1" applyFont="1" applyFill="1" applyBorder="1" applyAlignment="1">
      <alignment vertical="center"/>
    </xf>
    <xf numFmtId="167" fontId="13" fillId="5" borderId="13" xfId="1" applyFont="1" applyFill="1" applyBorder="1" applyAlignment="1">
      <alignment vertical="center"/>
    </xf>
    <xf numFmtId="9" fontId="3" fillId="6" borderId="13" xfId="282" applyFont="1" applyFill="1" applyBorder="1" applyAlignment="1">
      <alignment horizontal="center" vertical="center"/>
    </xf>
    <xf numFmtId="9" fontId="2" fillId="50" borderId="13" xfId="282" applyFont="1" applyFill="1" applyBorder="1" applyAlignment="1">
      <alignment horizontal="center" vertical="center"/>
    </xf>
    <xf numFmtId="9" fontId="3" fillId="4" borderId="13" xfId="282" applyFont="1" applyFill="1" applyBorder="1" applyAlignment="1">
      <alignment horizontal="center" vertical="center"/>
    </xf>
    <xf numFmtId="9" fontId="13" fillId="5" borderId="13" xfId="282" applyFont="1" applyFill="1" applyBorder="1" applyAlignment="1">
      <alignment horizontal="center" vertical="center"/>
    </xf>
    <xf numFmtId="0" fontId="3" fillId="6" borderId="13" xfId="282" applyNumberFormat="1" applyFont="1" applyFill="1" applyBorder="1" applyAlignment="1">
      <alignment horizontal="center" vertical="center"/>
    </xf>
    <xf numFmtId="170" fontId="54" fillId="0" borderId="68" xfId="0" applyFont="1" applyFill="1" applyBorder="1" applyAlignment="1">
      <alignment horizontal="center" vertical="center" wrapText="1"/>
    </xf>
    <xf numFmtId="170" fontId="6" fillId="0" borderId="68" xfId="0" applyFont="1" applyFill="1" applyBorder="1" applyAlignment="1">
      <alignment horizontal="center" vertical="center" wrapText="1"/>
    </xf>
    <xf numFmtId="170" fontId="56" fillId="4" borderId="80" xfId="0" applyFont="1" applyFill="1" applyBorder="1" applyAlignment="1">
      <alignment horizontal="center" vertical="center" wrapText="1"/>
    </xf>
    <xf numFmtId="10" fontId="13" fillId="5" borderId="66" xfId="282" applyNumberFormat="1" applyFont="1" applyFill="1" applyBorder="1" applyAlignment="1">
      <alignment horizontal="center" vertical="center"/>
    </xf>
    <xf numFmtId="10" fontId="6" fillId="0" borderId="66" xfId="282" applyNumberFormat="1" applyFont="1" applyBorder="1" applyAlignment="1">
      <alignment horizontal="center" vertical="center"/>
    </xf>
    <xf numFmtId="10" fontId="55" fillId="4" borderId="66" xfId="282" applyNumberFormat="1" applyFont="1" applyFill="1" applyBorder="1" applyAlignment="1">
      <alignment horizontal="center" vertical="center"/>
    </xf>
    <xf numFmtId="10" fontId="3" fillId="17" borderId="66" xfId="282" applyNumberFormat="1" applyFont="1" applyFill="1" applyBorder="1" applyAlignment="1">
      <alignment horizontal="center" vertical="center"/>
    </xf>
    <xf numFmtId="10" fontId="56" fillId="4" borderId="80" xfId="0" applyNumberFormat="1" applyFont="1" applyFill="1" applyBorder="1" applyAlignment="1">
      <alignment horizontal="center" vertical="center" wrapText="1"/>
    </xf>
    <xf numFmtId="10" fontId="30" fillId="5" borderId="66" xfId="282" applyNumberFormat="1" applyFont="1" applyFill="1" applyBorder="1" applyAlignment="1">
      <alignment horizontal="center" vertical="center"/>
    </xf>
    <xf numFmtId="0" fontId="2" fillId="6" borderId="18" xfId="0" applyNumberFormat="1" applyFont="1" applyFill="1" applyBorder="1" applyAlignment="1">
      <alignment horizontal="center" vertical="center" wrapText="1"/>
    </xf>
    <xf numFmtId="170" fontId="3" fillId="16" borderId="16" xfId="0" applyFont="1" applyFill="1" applyBorder="1" applyAlignment="1">
      <alignment horizontal="justify" vertical="center" wrapText="1"/>
    </xf>
    <xf numFmtId="170" fontId="3" fillId="7" borderId="18" xfId="0" applyFont="1" applyFill="1" applyBorder="1" applyAlignment="1">
      <alignment horizontal="justify" vertical="center" wrapText="1"/>
    </xf>
    <xf numFmtId="0" fontId="3" fillId="7" borderId="18" xfId="0" applyNumberFormat="1" applyFont="1" applyFill="1" applyBorder="1" applyAlignment="1">
      <alignment horizontal="center" vertical="center" wrapText="1"/>
    </xf>
    <xf numFmtId="170" fontId="3" fillId="7" borderId="16" xfId="0" applyFont="1" applyFill="1" applyBorder="1" applyAlignment="1">
      <alignment horizontal="justify" vertical="center" wrapText="1"/>
    </xf>
    <xf numFmtId="170" fontId="3" fillId="7" borderId="16" xfId="0" applyFont="1" applyFill="1" applyBorder="1" applyAlignment="1">
      <alignment horizontal="center" vertical="center" wrapText="1"/>
    </xf>
    <xf numFmtId="0" fontId="3" fillId="7" borderId="18" xfId="0" applyNumberFormat="1" applyFont="1" applyFill="1" applyBorder="1" applyAlignment="1">
      <alignment vertical="center"/>
    </xf>
    <xf numFmtId="0" fontId="3" fillId="7" borderId="18" xfId="0" applyNumberFormat="1" applyFont="1" applyFill="1" applyBorder="1" applyAlignment="1">
      <alignment horizontal="justify" vertical="center" wrapText="1"/>
    </xf>
    <xf numFmtId="0" fontId="2" fillId="7" borderId="18" xfId="0" applyNumberFormat="1" applyFont="1" applyFill="1" applyBorder="1" applyAlignment="1">
      <alignment horizontal="center" vertical="center" wrapText="1"/>
    </xf>
    <xf numFmtId="170" fontId="2" fillId="7" borderId="18" xfId="0" applyFont="1" applyFill="1" applyBorder="1" applyAlignment="1">
      <alignment vertical="center" wrapText="1"/>
    </xf>
    <xf numFmtId="0" fontId="3" fillId="7" borderId="16" xfId="0" applyNumberFormat="1" applyFont="1" applyFill="1" applyBorder="1" applyAlignment="1">
      <alignment horizontal="center" vertical="center" wrapText="1"/>
    </xf>
    <xf numFmtId="170" fontId="3" fillId="6" borderId="16" xfId="0" applyFont="1" applyFill="1" applyBorder="1" applyAlignment="1">
      <alignment horizontal="center" vertical="center" wrapText="1"/>
    </xf>
    <xf numFmtId="170" fontId="2" fillId="6" borderId="18" xfId="0" applyFont="1" applyFill="1" applyBorder="1" applyAlignment="1">
      <alignment vertical="center" wrapText="1"/>
    </xf>
    <xf numFmtId="0" fontId="3" fillId="6" borderId="16" xfId="0" applyNumberFormat="1" applyFont="1" applyFill="1" applyBorder="1" applyAlignment="1">
      <alignment horizontal="center" vertical="center" wrapText="1"/>
    </xf>
    <xf numFmtId="0" fontId="13" fillId="5" borderId="18" xfId="0" applyNumberFormat="1" applyFont="1" applyFill="1" applyBorder="1" applyAlignment="1">
      <alignment horizontal="justify" vertical="center" wrapText="1"/>
    </xf>
    <xf numFmtId="0" fontId="30" fillId="5" borderId="18" xfId="0" applyNumberFormat="1" applyFont="1" applyFill="1" applyBorder="1" applyAlignment="1">
      <alignment horizontal="center" vertical="center"/>
    </xf>
    <xf numFmtId="170" fontId="13" fillId="5" borderId="18" xfId="0" applyFont="1" applyFill="1" applyBorder="1" applyAlignment="1">
      <alignment horizontal="justify" vertical="center" wrapText="1"/>
    </xf>
    <xf numFmtId="0" fontId="13" fillId="5" borderId="18" xfId="0" applyNumberFormat="1" applyFont="1" applyFill="1" applyBorder="1" applyAlignment="1">
      <alignment horizontal="center" vertical="center" wrapText="1"/>
    </xf>
    <xf numFmtId="170" fontId="30" fillId="5" borderId="18" xfId="0" applyFont="1" applyFill="1" applyBorder="1" applyAlignment="1">
      <alignment horizontal="center" vertical="center"/>
    </xf>
    <xf numFmtId="0" fontId="13" fillId="5" borderId="16" xfId="0" applyNumberFormat="1" applyFont="1" applyFill="1" applyBorder="1" applyAlignment="1">
      <alignment horizontal="center" vertical="center" wrapText="1"/>
    </xf>
    <xf numFmtId="0" fontId="3" fillId="10" borderId="15" xfId="0" applyNumberFormat="1" applyFont="1" applyFill="1" applyBorder="1" applyAlignment="1">
      <alignment horizontal="left" vertical="center"/>
    </xf>
    <xf numFmtId="0" fontId="3" fillId="10" borderId="18" xfId="0" applyNumberFormat="1" applyFont="1" applyFill="1" applyBorder="1" applyAlignment="1">
      <alignment horizontal="center" vertical="center"/>
    </xf>
    <xf numFmtId="170" fontId="3" fillId="10" borderId="18" xfId="0" applyFont="1" applyFill="1" applyBorder="1" applyAlignment="1">
      <alignment horizontal="center" vertical="center"/>
    </xf>
    <xf numFmtId="0" fontId="3" fillId="10" borderId="18" xfId="0" applyNumberFormat="1" applyFont="1" applyFill="1" applyBorder="1" applyAlignment="1">
      <alignment horizontal="justify" vertical="center" wrapText="1"/>
    </xf>
    <xf numFmtId="170" fontId="3" fillId="10" borderId="18" xfId="0" applyFont="1" applyFill="1" applyBorder="1" applyAlignment="1">
      <alignment horizontal="justify" vertical="center" wrapText="1"/>
    </xf>
    <xf numFmtId="0" fontId="3" fillId="10" borderId="18" xfId="0" applyNumberFormat="1" applyFont="1" applyFill="1" applyBorder="1" applyAlignment="1">
      <alignment horizontal="center" vertical="center" wrapText="1"/>
    </xf>
    <xf numFmtId="0" fontId="3" fillId="10" borderId="16" xfId="0" applyNumberFormat="1" applyFont="1" applyFill="1" applyBorder="1" applyAlignment="1">
      <alignment horizontal="center" vertical="center" wrapText="1"/>
    </xf>
    <xf numFmtId="0" fontId="3" fillId="11" borderId="7" xfId="0" applyNumberFormat="1" applyFont="1" applyFill="1" applyBorder="1" applyAlignment="1">
      <alignment horizontal="left" vertical="center"/>
    </xf>
    <xf numFmtId="170" fontId="2" fillId="11" borderId="9" xfId="0" applyFont="1" applyFill="1" applyBorder="1" applyAlignment="1">
      <alignment horizontal="center" vertical="center"/>
    </xf>
    <xf numFmtId="0" fontId="2" fillId="11" borderId="15" xfId="0" applyNumberFormat="1" applyFont="1" applyFill="1" applyBorder="1" applyAlignment="1">
      <alignment horizontal="left" vertical="center"/>
    </xf>
    <xf numFmtId="0" fontId="2" fillId="11" borderId="18" xfId="0" applyNumberFormat="1" applyFont="1" applyFill="1" applyBorder="1" applyAlignment="1">
      <alignment horizontal="left" vertical="center"/>
    </xf>
    <xf numFmtId="0" fontId="2" fillId="11" borderId="18" xfId="0" applyNumberFormat="1" applyFont="1" applyFill="1" applyBorder="1" applyAlignment="1">
      <alignment horizontal="center" vertical="center"/>
    </xf>
    <xf numFmtId="170" fontId="2" fillId="11" borderId="18" xfId="0" applyFont="1" applyFill="1" applyBorder="1" applyAlignment="1">
      <alignment horizontal="center" vertical="center"/>
    </xf>
    <xf numFmtId="0" fontId="2" fillId="11" borderId="18" xfId="0" applyNumberFormat="1" applyFont="1" applyFill="1" applyBorder="1" applyAlignment="1">
      <alignment horizontal="justify" vertical="center" wrapText="1"/>
    </xf>
    <xf numFmtId="170" fontId="2" fillId="11" borderId="18" xfId="0" applyFont="1" applyFill="1" applyBorder="1" applyAlignment="1">
      <alignment horizontal="justify" vertical="center" wrapText="1"/>
    </xf>
    <xf numFmtId="0" fontId="2" fillId="11" borderId="18" xfId="0" applyNumberFormat="1" applyFont="1" applyFill="1" applyBorder="1" applyAlignment="1">
      <alignment horizontal="center" vertical="center" wrapText="1"/>
    </xf>
    <xf numFmtId="0" fontId="2" fillId="11" borderId="16" xfId="0" applyNumberFormat="1" applyFont="1" applyFill="1" applyBorder="1" applyAlignment="1">
      <alignment horizontal="center" vertical="center" wrapText="1"/>
    </xf>
    <xf numFmtId="43" fontId="3" fillId="7" borderId="18" xfId="0" applyNumberFormat="1" applyFont="1" applyFill="1" applyBorder="1" applyAlignment="1">
      <alignment horizontal="justify" vertical="center" wrapText="1"/>
    </xf>
    <xf numFmtId="43" fontId="2" fillId="7" borderId="18" xfId="0" applyNumberFormat="1" applyFont="1" applyFill="1" applyBorder="1" applyAlignment="1">
      <alignment vertical="center" wrapText="1"/>
    </xf>
    <xf numFmtId="43" fontId="3" fillId="7" borderId="16" xfId="0" applyNumberFormat="1" applyFont="1" applyFill="1" applyBorder="1" applyAlignment="1">
      <alignment horizontal="center" vertical="center" wrapText="1"/>
    </xf>
    <xf numFmtId="0" fontId="2" fillId="7" borderId="18" xfId="0" applyNumberFormat="1" applyFont="1" applyFill="1" applyBorder="1" applyAlignment="1">
      <alignment horizontal="center" vertical="center"/>
    </xf>
    <xf numFmtId="170" fontId="2" fillId="7" borderId="18" xfId="0" applyFont="1" applyFill="1" applyBorder="1" applyAlignment="1">
      <alignment vertical="center"/>
    </xf>
    <xf numFmtId="170" fontId="3" fillId="7" borderId="16" xfId="0" applyFont="1" applyFill="1" applyBorder="1" applyAlignment="1">
      <alignment horizontal="center" vertical="center"/>
    </xf>
    <xf numFmtId="170" fontId="3" fillId="6" borderId="16" xfId="0" applyFont="1" applyFill="1" applyBorder="1" applyAlignment="1">
      <alignment horizontal="center" vertical="center"/>
    </xf>
    <xf numFmtId="0" fontId="2" fillId="7" borderId="18" xfId="0" applyNumberFormat="1" applyFont="1" applyFill="1" applyBorder="1" applyAlignment="1">
      <alignment horizontal="justify" vertical="center" wrapText="1"/>
    </xf>
    <xf numFmtId="170" fontId="2" fillId="7" borderId="18" xfId="0" applyFont="1" applyFill="1" applyBorder="1" applyAlignment="1">
      <alignment horizontal="justify" vertical="center" wrapText="1"/>
    </xf>
    <xf numFmtId="170" fontId="2" fillId="7" borderId="18" xfId="0" applyFont="1" applyFill="1" applyBorder="1" applyAlignment="1">
      <alignment horizontal="center" vertical="center"/>
    </xf>
    <xf numFmtId="170" fontId="2" fillId="7" borderId="16" xfId="0" applyFont="1" applyFill="1" applyBorder="1" applyAlignment="1">
      <alignment horizontal="center" vertical="center"/>
    </xf>
    <xf numFmtId="170" fontId="3" fillId="7" borderId="18" xfId="0" applyFont="1" applyFill="1" applyBorder="1" applyAlignment="1">
      <alignment horizontal="justify" vertical="center"/>
    </xf>
    <xf numFmtId="0" fontId="3" fillId="7" borderId="18" xfId="0" applyNumberFormat="1" applyFont="1" applyFill="1" applyBorder="1" applyAlignment="1">
      <alignment horizontal="center" vertical="center"/>
    </xf>
    <xf numFmtId="0" fontId="3" fillId="7" borderId="15" xfId="0" applyNumberFormat="1" applyFont="1" applyFill="1" applyBorder="1" applyAlignment="1">
      <alignment horizontal="justify" vertical="center" wrapText="1"/>
    </xf>
    <xf numFmtId="0" fontId="2" fillId="0" borderId="12" xfId="9" applyNumberFormat="1" applyFont="1" applyFill="1" applyBorder="1" applyAlignment="1">
      <alignment horizontal="center" vertical="center" wrapText="1"/>
    </xf>
    <xf numFmtId="43" fontId="2" fillId="7" borderId="18" xfId="8" applyFont="1" applyFill="1" applyBorder="1" applyAlignment="1">
      <alignment horizontal="center" vertical="center"/>
    </xf>
    <xf numFmtId="170" fontId="2" fillId="7" borderId="18" xfId="0" applyFont="1" applyFill="1" applyBorder="1" applyAlignment="1">
      <alignment horizontal="right" vertical="center"/>
    </xf>
    <xf numFmtId="0" fontId="3" fillId="7" borderId="18" xfId="7" applyFont="1" applyFill="1" applyBorder="1" applyAlignment="1">
      <alignment vertical="center"/>
    </xf>
    <xf numFmtId="0" fontId="13" fillId="5" borderId="15" xfId="0" applyNumberFormat="1" applyFont="1" applyFill="1" applyBorder="1" applyAlignment="1">
      <alignment horizontal="justify" vertical="center" wrapText="1"/>
    </xf>
    <xf numFmtId="0" fontId="3" fillId="7" borderId="18" xfId="0" applyNumberFormat="1" applyFont="1" applyFill="1" applyBorder="1" applyAlignment="1">
      <alignment horizontal="justify" vertical="center"/>
    </xf>
    <xf numFmtId="0" fontId="3" fillId="7" borderId="18" xfId="0" applyNumberFormat="1" applyFont="1" applyFill="1" applyBorder="1" applyAlignment="1">
      <alignment horizontal="left" vertical="center"/>
    </xf>
    <xf numFmtId="0" fontId="2" fillId="0" borderId="17" xfId="0" applyNumberFormat="1" applyFont="1" applyFill="1" applyBorder="1" applyAlignment="1">
      <alignment horizontal="justify" vertical="center" wrapText="1"/>
    </xf>
    <xf numFmtId="0" fontId="2" fillId="0" borderId="17" xfId="7" applyFont="1" applyFill="1" applyBorder="1" applyAlignment="1">
      <alignment horizontal="justify" vertical="center" wrapText="1"/>
    </xf>
    <xf numFmtId="0" fontId="2" fillId="0" borderId="17" xfId="7" applyFont="1" applyFill="1" applyBorder="1" applyAlignment="1">
      <alignment horizontal="center" vertical="center"/>
    </xf>
    <xf numFmtId="0" fontId="3" fillId="7" borderId="15" xfId="0" applyNumberFormat="1" applyFont="1" applyFill="1" applyBorder="1" applyAlignment="1">
      <alignment horizontal="center" vertical="center" wrapText="1"/>
    </xf>
    <xf numFmtId="0" fontId="3" fillId="7" borderId="18" xfId="0" applyNumberFormat="1" applyFont="1" applyFill="1" applyBorder="1" applyAlignment="1">
      <alignment vertical="center" wrapText="1"/>
    </xf>
    <xf numFmtId="170" fontId="3" fillId="7" borderId="18" xfId="0" applyFont="1" applyFill="1" applyBorder="1" applyAlignment="1">
      <alignment vertical="center" wrapText="1"/>
    </xf>
    <xf numFmtId="170" fontId="3" fillId="7" borderId="16" xfId="0" applyFont="1" applyFill="1" applyBorder="1" applyAlignment="1">
      <alignment vertical="center" wrapText="1"/>
    </xf>
    <xf numFmtId="170" fontId="2" fillId="7" borderId="16" xfId="0" applyFont="1" applyFill="1" applyBorder="1" applyAlignment="1">
      <alignment horizontal="center" vertical="center" wrapText="1"/>
    </xf>
    <xf numFmtId="170" fontId="2" fillId="6" borderId="18" xfId="0" applyFont="1" applyFill="1" applyBorder="1" applyAlignment="1">
      <alignment horizontal="center" vertical="center"/>
    </xf>
    <xf numFmtId="170" fontId="13" fillId="5" borderId="17" xfId="0" applyFont="1" applyFill="1" applyBorder="1" applyAlignment="1">
      <alignment horizontal="center" vertical="center"/>
    </xf>
    <xf numFmtId="0" fontId="13" fillId="5" borderId="17" xfId="0" applyNumberFormat="1" applyFont="1" applyFill="1" applyBorder="1" applyAlignment="1">
      <alignment horizontal="justify" vertical="center" wrapText="1"/>
    </xf>
    <xf numFmtId="0" fontId="30" fillId="5" borderId="17" xfId="0" applyNumberFormat="1" applyFont="1" applyFill="1" applyBorder="1" applyAlignment="1">
      <alignment horizontal="center" vertical="center"/>
    </xf>
    <xf numFmtId="170" fontId="13" fillId="5" borderId="17" xfId="0" applyFont="1" applyFill="1" applyBorder="1" applyAlignment="1">
      <alignment horizontal="justify" vertical="center" wrapText="1"/>
    </xf>
    <xf numFmtId="0" fontId="13" fillId="5" borderId="17" xfId="0" applyNumberFormat="1" applyFont="1" applyFill="1" applyBorder="1" applyAlignment="1">
      <alignment horizontal="center" vertical="center" wrapText="1"/>
    </xf>
    <xf numFmtId="170" fontId="30" fillId="5" borderId="17" xfId="0" applyFont="1" applyFill="1" applyBorder="1" applyAlignment="1">
      <alignment horizontal="center" vertical="center"/>
    </xf>
    <xf numFmtId="0" fontId="13" fillId="5" borderId="15" xfId="0" applyNumberFormat="1" applyFont="1" applyFill="1" applyBorder="1" applyAlignment="1">
      <alignment horizontal="center" vertical="center"/>
    </xf>
    <xf numFmtId="170" fontId="13" fillId="5" borderId="16" xfId="0" applyFont="1" applyFill="1" applyBorder="1" applyAlignment="1">
      <alignment horizontal="justify" vertical="center" wrapText="1"/>
    </xf>
    <xf numFmtId="170" fontId="13" fillId="5" borderId="7" xfId="0" applyFont="1" applyFill="1" applyBorder="1" applyAlignment="1">
      <alignment horizontal="center" vertical="center"/>
    </xf>
    <xf numFmtId="0" fontId="13" fillId="5" borderId="8" xfId="0" applyNumberFormat="1" applyFont="1" applyFill="1" applyBorder="1" applyAlignment="1">
      <alignment horizontal="justify" vertical="center" wrapText="1"/>
    </xf>
    <xf numFmtId="0" fontId="30" fillId="5" borderId="8" xfId="0" applyNumberFormat="1" applyFont="1" applyFill="1" applyBorder="1" applyAlignment="1">
      <alignment horizontal="center" vertical="center"/>
    </xf>
    <xf numFmtId="170" fontId="13" fillId="5" borderId="8" xfId="0" applyFont="1" applyFill="1" applyBorder="1" applyAlignment="1">
      <alignment horizontal="justify" vertical="center" wrapText="1"/>
    </xf>
    <xf numFmtId="0" fontId="13" fillId="5" borderId="8" xfId="0" applyNumberFormat="1" applyFont="1" applyFill="1" applyBorder="1" applyAlignment="1">
      <alignment horizontal="center" vertical="center" wrapText="1"/>
    </xf>
    <xf numFmtId="170" fontId="30" fillId="5" borderId="8" xfId="0" applyFont="1" applyFill="1" applyBorder="1" applyAlignment="1">
      <alignment horizontal="center" vertical="center"/>
    </xf>
    <xf numFmtId="170" fontId="13" fillId="5" borderId="9" xfId="0" applyFont="1" applyFill="1" applyBorder="1" applyAlignment="1">
      <alignment horizontal="center" vertical="center"/>
    </xf>
    <xf numFmtId="0" fontId="3" fillId="6" borderId="7" xfId="0" applyNumberFormat="1" applyFont="1" applyFill="1" applyBorder="1" applyAlignment="1">
      <alignment vertical="center"/>
    </xf>
    <xf numFmtId="0" fontId="3" fillId="6" borderId="8" xfId="0" applyNumberFormat="1" applyFont="1" applyFill="1" applyBorder="1" applyAlignment="1">
      <alignment vertical="center"/>
    </xf>
    <xf numFmtId="0" fontId="3" fillId="6" borderId="8" xfId="0" applyNumberFormat="1" applyFont="1" applyFill="1" applyBorder="1" applyAlignment="1">
      <alignment horizontal="justify" vertical="center" wrapText="1"/>
    </xf>
    <xf numFmtId="0" fontId="2" fillId="6" borderId="8" xfId="0" applyNumberFormat="1" applyFont="1" applyFill="1" applyBorder="1" applyAlignment="1">
      <alignment horizontal="center" vertical="center"/>
    </xf>
    <xf numFmtId="170" fontId="3" fillId="6" borderId="8" xfId="0" applyFont="1" applyFill="1" applyBorder="1" applyAlignment="1">
      <alignment horizontal="justify" vertical="center" wrapText="1"/>
    </xf>
    <xf numFmtId="0" fontId="3" fillId="6" borderId="8" xfId="0" applyNumberFormat="1" applyFont="1" applyFill="1" applyBorder="1" applyAlignment="1">
      <alignment horizontal="center" vertical="center" wrapText="1"/>
    </xf>
    <xf numFmtId="170" fontId="2" fillId="6" borderId="8" xfId="0" applyFont="1" applyFill="1" applyBorder="1" applyAlignment="1">
      <alignment horizontal="center" vertical="center"/>
    </xf>
    <xf numFmtId="170" fontId="3" fillId="6" borderId="9" xfId="0" applyFont="1" applyFill="1" applyBorder="1" applyAlignment="1">
      <alignment horizontal="center" vertical="center"/>
    </xf>
    <xf numFmtId="0" fontId="3" fillId="16" borderId="7" xfId="0" applyNumberFormat="1" applyFont="1" applyFill="1" applyBorder="1" applyAlignment="1">
      <alignment horizontal="left" vertical="center"/>
    </xf>
    <xf numFmtId="0" fontId="3" fillId="16" borderId="8" xfId="0" applyNumberFormat="1" applyFont="1" applyFill="1" applyBorder="1" applyAlignment="1">
      <alignment horizontal="left" vertical="center"/>
    </xf>
    <xf numFmtId="0" fontId="3" fillId="16" borderId="8" xfId="0" applyNumberFormat="1" applyFont="1" applyFill="1" applyBorder="1" applyAlignment="1">
      <alignment horizontal="justify" vertical="center" wrapText="1"/>
    </xf>
    <xf numFmtId="0" fontId="2" fillId="16" borderId="8" xfId="0" applyNumberFormat="1" applyFont="1" applyFill="1" applyBorder="1" applyAlignment="1">
      <alignment horizontal="center" vertical="center"/>
    </xf>
    <xf numFmtId="170" fontId="3" fillId="16" borderId="8" xfId="0" applyFont="1" applyFill="1" applyBorder="1" applyAlignment="1">
      <alignment horizontal="justify" vertical="center" wrapText="1"/>
    </xf>
    <xf numFmtId="0" fontId="3" fillId="16" borderId="8" xfId="0" applyNumberFormat="1" applyFont="1" applyFill="1" applyBorder="1" applyAlignment="1">
      <alignment horizontal="center" vertical="center" wrapText="1"/>
    </xf>
    <xf numFmtId="170" fontId="2" fillId="16" borderId="8" xfId="0" applyFont="1" applyFill="1" applyBorder="1" applyAlignment="1">
      <alignment vertical="center"/>
    </xf>
    <xf numFmtId="170" fontId="3" fillId="16" borderId="9" xfId="0" applyFont="1" applyFill="1" applyBorder="1" applyAlignment="1">
      <alignment horizontal="center" vertical="center"/>
    </xf>
    <xf numFmtId="170" fontId="3" fillId="7" borderId="7" xfId="0" applyFont="1" applyFill="1" applyBorder="1" applyAlignment="1">
      <alignment vertical="center"/>
    </xf>
    <xf numFmtId="170" fontId="3" fillId="7" borderId="8" xfId="0" applyFont="1" applyFill="1" applyBorder="1" applyAlignment="1">
      <alignment vertical="center"/>
    </xf>
    <xf numFmtId="0" fontId="3" fillId="7" borderId="8" xfId="0" applyNumberFormat="1" applyFont="1" applyFill="1" applyBorder="1" applyAlignment="1">
      <alignment horizontal="justify" vertical="center" wrapText="1"/>
    </xf>
    <xf numFmtId="0" fontId="2" fillId="7" borderId="8" xfId="0" applyNumberFormat="1" applyFont="1" applyFill="1" applyBorder="1" applyAlignment="1">
      <alignment horizontal="center" vertical="center"/>
    </xf>
    <xf numFmtId="170" fontId="3" fillId="7" borderId="8" xfId="0" applyFont="1" applyFill="1" applyBorder="1" applyAlignment="1">
      <alignment horizontal="justify" vertical="center" wrapText="1"/>
    </xf>
    <xf numFmtId="0" fontId="3" fillId="7" borderId="8" xfId="0" applyNumberFormat="1" applyFont="1" applyFill="1" applyBorder="1" applyAlignment="1">
      <alignment horizontal="center" vertical="center" wrapText="1"/>
    </xf>
    <xf numFmtId="170" fontId="2" fillId="7" borderId="8" xfId="0" applyFont="1" applyFill="1" applyBorder="1" applyAlignment="1">
      <alignment horizontal="center" vertical="center"/>
    </xf>
    <xf numFmtId="170" fontId="3" fillId="7" borderId="9" xfId="0" applyFont="1" applyFill="1" applyBorder="1" applyAlignment="1">
      <alignment horizontal="center" vertical="center"/>
    </xf>
    <xf numFmtId="0" fontId="2" fillId="0" borderId="19" xfId="6" applyNumberFormat="1" applyFont="1" applyFill="1" applyBorder="1" applyAlignment="1">
      <alignment horizontal="justify" vertical="center" wrapText="1"/>
    </xf>
    <xf numFmtId="170" fontId="2" fillId="7" borderId="8" xfId="0" applyFont="1" applyFill="1" applyBorder="1" applyAlignment="1">
      <alignment vertical="center"/>
    </xf>
    <xf numFmtId="170" fontId="2" fillId="0" borderId="17" xfId="0" applyFont="1" applyBorder="1" applyAlignment="1">
      <alignment vertical="center" wrapText="1"/>
    </xf>
    <xf numFmtId="0" fontId="2" fillId="0" borderId="17" xfId="6" applyNumberFormat="1" applyFont="1" applyFill="1" applyBorder="1" applyAlignment="1">
      <alignment horizontal="justify" vertical="center" wrapText="1"/>
    </xf>
    <xf numFmtId="0" fontId="2" fillId="0" borderId="17" xfId="6" applyNumberFormat="1" applyFont="1" applyFill="1" applyBorder="1" applyAlignment="1">
      <alignment horizontal="center" vertical="center" wrapText="1"/>
    </xf>
    <xf numFmtId="0" fontId="2" fillId="0" borderId="17" xfId="9" applyNumberFormat="1" applyFont="1" applyFill="1" applyBorder="1" applyAlignment="1">
      <alignment horizontal="center" vertical="center" wrapText="1"/>
    </xf>
    <xf numFmtId="0" fontId="2" fillId="2" borderId="17" xfId="9" applyFont="1" applyFill="1" applyBorder="1" applyAlignment="1">
      <alignment horizontal="justify" vertical="center" wrapText="1"/>
    </xf>
    <xf numFmtId="0" fontId="2" fillId="2" borderId="17" xfId="9" applyFont="1" applyFill="1" applyBorder="1">
      <alignment horizontal="center" vertical="center" wrapText="1"/>
    </xf>
    <xf numFmtId="170" fontId="2" fillId="2" borderId="24" xfId="0" applyFont="1" applyFill="1" applyBorder="1" applyAlignment="1">
      <alignment horizontal="center" vertical="center" wrapText="1"/>
    </xf>
    <xf numFmtId="0" fontId="2" fillId="0" borderId="24" xfId="0" applyNumberFormat="1" applyFont="1" applyFill="1" applyBorder="1" applyAlignment="1">
      <alignment horizontal="center" vertical="center" wrapText="1"/>
    </xf>
    <xf numFmtId="0" fontId="2" fillId="2" borderId="24" xfId="6" applyNumberFormat="1" applyFont="1" applyFill="1" applyBorder="1" applyAlignment="1">
      <alignment horizontal="center" vertical="center" wrapText="1"/>
    </xf>
    <xf numFmtId="170" fontId="2" fillId="0" borderId="24" xfId="0" applyFont="1" applyBorder="1" applyAlignment="1">
      <alignment horizontal="justify" vertical="center" wrapText="1"/>
    </xf>
    <xf numFmtId="0" fontId="2" fillId="2" borderId="24" xfId="7" applyFont="1" applyFill="1" applyBorder="1" applyAlignment="1">
      <alignment horizontal="center" vertical="center" wrapText="1"/>
    </xf>
    <xf numFmtId="170" fontId="2" fillId="0" borderId="24" xfId="0" applyFont="1" applyFill="1" applyBorder="1" applyAlignment="1">
      <alignment horizontal="center" vertical="center" wrapText="1"/>
    </xf>
    <xf numFmtId="170" fontId="2" fillId="6" borderId="8" xfId="0" applyFont="1" applyFill="1" applyBorder="1" applyAlignment="1">
      <alignment vertical="center"/>
    </xf>
    <xf numFmtId="170" fontId="3" fillId="16" borderId="8" xfId="0" applyFont="1" applyFill="1" applyBorder="1" applyAlignment="1">
      <alignment horizontal="center" vertical="center"/>
    </xf>
    <xf numFmtId="170" fontId="3" fillId="16" borderId="9" xfId="0" applyFont="1" applyFill="1" applyBorder="1" applyAlignment="1">
      <alignment horizontal="justify" vertical="center" wrapText="1"/>
    </xf>
    <xf numFmtId="0" fontId="2" fillId="7" borderId="8" xfId="0" applyNumberFormat="1" applyFont="1" applyFill="1" applyBorder="1" applyAlignment="1">
      <alignment horizontal="justify" vertical="justify"/>
    </xf>
    <xf numFmtId="0" fontId="2" fillId="2" borderId="19" xfId="0" applyNumberFormat="1" applyFont="1" applyFill="1" applyBorder="1" applyAlignment="1">
      <alignment horizontal="center" vertical="center" wrapText="1"/>
    </xf>
    <xf numFmtId="170" fontId="2" fillId="2" borderId="19" xfId="0" applyFont="1" applyFill="1" applyBorder="1" applyAlignment="1">
      <alignment horizontal="justify" vertical="center" wrapText="1"/>
    </xf>
    <xf numFmtId="170" fontId="2" fillId="2" borderId="19" xfId="0" applyFont="1" applyFill="1" applyBorder="1" applyAlignment="1">
      <alignment horizontal="center" vertical="center" wrapText="1"/>
    </xf>
    <xf numFmtId="0" fontId="2" fillId="2" borderId="19" xfId="9" applyFont="1" applyFill="1" applyBorder="1" applyAlignment="1">
      <alignment horizontal="center" vertical="center" wrapText="1"/>
    </xf>
    <xf numFmtId="0" fontId="2" fillId="0" borderId="17" xfId="7" applyFont="1" applyBorder="1" applyAlignment="1">
      <alignment horizontal="center" vertical="center" wrapText="1"/>
    </xf>
    <xf numFmtId="0" fontId="2" fillId="0" borderId="24" xfId="8" applyNumberFormat="1" applyFont="1" applyFill="1" applyBorder="1" applyAlignment="1">
      <alignment horizontal="center" vertical="center" wrapText="1"/>
    </xf>
    <xf numFmtId="0" fontId="2" fillId="0" borderId="24" xfId="7" applyNumberFormat="1" applyFont="1" applyBorder="1" applyAlignment="1">
      <alignment horizontal="center" vertical="center" wrapText="1"/>
    </xf>
    <xf numFmtId="0" fontId="2" fillId="0" borderId="24" xfId="7" applyFont="1" applyBorder="1" applyAlignment="1">
      <alignment horizontal="justify" vertical="center" wrapText="1"/>
    </xf>
    <xf numFmtId="0" fontId="2" fillId="16" borderId="7" xfId="0" applyNumberFormat="1" applyFont="1" applyFill="1" applyBorder="1" applyAlignment="1">
      <alignment horizontal="center" vertical="center"/>
    </xf>
    <xf numFmtId="0" fontId="2" fillId="2" borderId="19" xfId="6" applyNumberFormat="1" applyFont="1" applyFill="1" applyBorder="1" applyAlignment="1">
      <alignment horizontal="justify" vertical="center" wrapText="1"/>
    </xf>
    <xf numFmtId="0" fontId="2" fillId="2" borderId="24" xfId="6" applyNumberFormat="1" applyFont="1" applyFill="1" applyBorder="1" applyAlignment="1">
      <alignment horizontal="justify" vertical="center" wrapText="1"/>
    </xf>
    <xf numFmtId="0" fontId="2" fillId="2" borderId="24" xfId="0" applyNumberFormat="1" applyFont="1" applyFill="1" applyBorder="1" applyAlignment="1">
      <alignment horizontal="center" vertical="center" wrapText="1"/>
    </xf>
    <xf numFmtId="170" fontId="2" fillId="0" borderId="19" xfId="0" applyFont="1" applyBorder="1" applyAlignment="1">
      <alignment horizontal="justify" vertical="center"/>
    </xf>
    <xf numFmtId="0" fontId="2" fillId="0" borderId="24" xfId="0" applyNumberFormat="1" applyFont="1" applyBorder="1" applyAlignment="1">
      <alignment horizontal="center" vertical="center" wrapText="1"/>
    </xf>
    <xf numFmtId="0" fontId="2" fillId="0" borderId="24" xfId="6" applyNumberFormat="1" applyFont="1" applyFill="1" applyBorder="1" applyAlignment="1">
      <alignment horizontal="center" vertical="center" wrapText="1"/>
    </xf>
    <xf numFmtId="0" fontId="2" fillId="0" borderId="24" xfId="6" applyNumberFormat="1" applyFont="1" applyFill="1" applyBorder="1" applyAlignment="1">
      <alignment horizontal="justify" vertical="center" wrapText="1"/>
    </xf>
    <xf numFmtId="170" fontId="3" fillId="7" borderId="8" xfId="0" applyFont="1" applyFill="1" applyBorder="1" applyAlignment="1">
      <alignment vertical="justify"/>
    </xf>
    <xf numFmtId="0" fontId="2" fillId="0" borderId="24" xfId="0" applyNumberFormat="1" applyFont="1" applyFill="1" applyBorder="1" applyAlignment="1">
      <alignment horizontal="justify" vertical="center" wrapText="1"/>
    </xf>
    <xf numFmtId="0" fontId="2" fillId="0" borderId="24" xfId="9" applyFont="1" applyFill="1" applyBorder="1" applyAlignment="1">
      <alignment horizontal="justify" vertical="center" wrapText="1"/>
    </xf>
    <xf numFmtId="0" fontId="2" fillId="0" borderId="24" xfId="9" applyNumberFormat="1" applyFont="1" applyFill="1" applyBorder="1" applyAlignment="1">
      <alignment horizontal="center" vertical="center" wrapText="1"/>
    </xf>
    <xf numFmtId="0" fontId="2" fillId="0" borderId="24" xfId="6" applyNumberFormat="1" applyFont="1" applyFill="1" applyBorder="1">
      <alignment horizontal="center" vertical="center" wrapText="1"/>
    </xf>
    <xf numFmtId="0" fontId="2" fillId="0" borderId="24" xfId="7" applyFont="1" applyFill="1" applyBorder="1" applyAlignment="1">
      <alignment horizontal="center" vertical="center" wrapText="1"/>
    </xf>
    <xf numFmtId="170" fontId="2" fillId="0" borderId="13" xfId="0" applyFont="1" applyBorder="1" applyAlignment="1">
      <alignment horizontal="justify" vertical="center" wrapText="1"/>
    </xf>
    <xf numFmtId="170" fontId="58" fillId="0" borderId="3" xfId="0" applyFont="1" applyBorder="1" applyAlignment="1">
      <alignment horizontal="center" vertical="center"/>
    </xf>
    <xf numFmtId="171" fontId="60" fillId="0" borderId="3" xfId="0" applyNumberFormat="1" applyFont="1" applyBorder="1" applyAlignment="1">
      <alignment horizontal="left" vertical="center"/>
    </xf>
    <xf numFmtId="14" fontId="60" fillId="0" borderId="3" xfId="0" applyNumberFormat="1" applyFont="1" applyFill="1" applyBorder="1" applyAlignment="1">
      <alignment horizontal="left" vertical="center"/>
    </xf>
    <xf numFmtId="3" fontId="59" fillId="3" borderId="3" xfId="0" applyNumberFormat="1" applyFont="1" applyFill="1" applyBorder="1" applyAlignment="1">
      <alignment horizontal="center" vertical="center" wrapText="1"/>
    </xf>
    <xf numFmtId="167" fontId="2" fillId="0" borderId="13" xfId="1" applyFont="1" applyFill="1" applyBorder="1" applyAlignment="1">
      <alignment vertical="center"/>
    </xf>
    <xf numFmtId="167" fontId="2" fillId="0" borderId="13" xfId="1" applyFont="1" applyFill="1" applyBorder="1" applyAlignment="1">
      <alignment horizontal="right" vertical="center"/>
    </xf>
    <xf numFmtId="170" fontId="2" fillId="0" borderId="13" xfId="0" applyFont="1" applyFill="1" applyBorder="1" applyAlignment="1">
      <alignment horizontal="center" vertical="center" wrapText="1"/>
    </xf>
    <xf numFmtId="0" fontId="2" fillId="0" borderId="13" xfId="0" applyNumberFormat="1" applyFont="1" applyFill="1" applyBorder="1" applyAlignment="1">
      <alignment horizontal="justify" vertical="center" wrapText="1"/>
    </xf>
    <xf numFmtId="0" fontId="2" fillId="2" borderId="32" xfId="7" applyNumberFormat="1" applyFont="1" applyFill="1" applyBorder="1" applyAlignment="1">
      <alignment horizontal="center" vertical="center" wrapText="1"/>
    </xf>
    <xf numFmtId="0" fontId="2" fillId="0" borderId="19" xfId="7" applyFont="1" applyFill="1" applyBorder="1" applyAlignment="1">
      <alignment horizontal="center" vertical="center" wrapText="1"/>
    </xf>
    <xf numFmtId="4" fontId="2" fillId="0" borderId="13" xfId="0" applyNumberFormat="1" applyFont="1" applyFill="1" applyBorder="1" applyAlignment="1">
      <alignment vertical="center" wrapText="1"/>
    </xf>
    <xf numFmtId="43" fontId="2" fillId="0" borderId="16" xfId="0" applyNumberFormat="1" applyFont="1" applyFill="1" applyBorder="1" applyAlignment="1">
      <alignment horizontal="right" vertical="center"/>
    </xf>
    <xf numFmtId="167" fontId="2" fillId="2" borderId="15" xfId="1" applyFont="1" applyFill="1" applyBorder="1" applyAlignment="1">
      <alignment vertical="center"/>
    </xf>
    <xf numFmtId="167" fontId="57" fillId="0" borderId="16" xfId="1" applyFont="1" applyFill="1" applyBorder="1" applyAlignment="1">
      <alignment horizontal="center" vertical="center" wrapText="1"/>
    </xf>
    <xf numFmtId="43" fontId="2" fillId="0" borderId="12" xfId="5" applyFont="1" applyFill="1" applyBorder="1" applyAlignment="1" applyProtection="1">
      <alignment horizontal="right" vertical="center"/>
      <protection locked="0"/>
    </xf>
    <xf numFmtId="43" fontId="2" fillId="0" borderId="3" xfId="5" applyFont="1" applyFill="1" applyBorder="1" applyAlignment="1" applyProtection="1">
      <alignment horizontal="right" vertical="center"/>
      <protection locked="0"/>
    </xf>
    <xf numFmtId="0" fontId="2" fillId="0" borderId="32" xfId="9" applyFont="1" applyFill="1" applyBorder="1">
      <alignment horizontal="center" vertical="center" wrapText="1"/>
    </xf>
    <xf numFmtId="0" fontId="2" fillId="0" borderId="13" xfId="0" applyNumberFormat="1" applyFont="1" applyFill="1" applyBorder="1" applyAlignment="1">
      <alignment horizontal="justify" vertical="center" wrapText="1"/>
    </xf>
    <xf numFmtId="170" fontId="2" fillId="0" borderId="13" xfId="0" applyFont="1" applyFill="1" applyBorder="1" applyAlignment="1">
      <alignment horizontal="justify" vertical="center" wrapText="1"/>
    </xf>
    <xf numFmtId="0" fontId="2" fillId="0" borderId="13" xfId="7" applyNumberFormat="1" applyFont="1" applyFill="1" applyBorder="1" applyAlignment="1">
      <alignment horizontal="justify" vertical="center" wrapText="1"/>
    </xf>
    <xf numFmtId="170" fontId="3" fillId="4" borderId="66" xfId="0" applyFont="1" applyFill="1" applyBorder="1" applyAlignment="1">
      <alignment horizontal="center" vertical="center"/>
    </xf>
    <xf numFmtId="0" fontId="2" fillId="0" borderId="13" xfId="6" applyNumberFormat="1" applyFont="1" applyFill="1" applyBorder="1" applyAlignment="1">
      <alignment horizontal="justify" vertical="center" wrapText="1"/>
    </xf>
    <xf numFmtId="43" fontId="2" fillId="0" borderId="13" xfId="0" applyNumberFormat="1" applyFont="1" applyBorder="1" applyAlignment="1">
      <alignment horizontal="left" vertical="center" wrapText="1"/>
    </xf>
    <xf numFmtId="43" fontId="3" fillId="16" borderId="13" xfId="0" applyNumberFormat="1" applyFont="1" applyFill="1" applyBorder="1" applyAlignment="1">
      <alignment horizontal="left" vertical="center" wrapText="1"/>
    </xf>
    <xf numFmtId="43" fontId="3" fillId="7" borderId="13" xfId="0" applyNumberFormat="1" applyFont="1" applyFill="1" applyBorder="1" applyAlignment="1">
      <alignment horizontal="left" vertical="center" wrapText="1"/>
    </xf>
    <xf numFmtId="43" fontId="2" fillId="0" borderId="15" xfId="0" applyNumberFormat="1" applyFont="1" applyBorder="1" applyAlignment="1">
      <alignment horizontal="left" vertical="center" wrapText="1"/>
    </xf>
    <xf numFmtId="43" fontId="3" fillId="7" borderId="17" xfId="0" applyNumberFormat="1" applyFont="1" applyFill="1" applyBorder="1" applyAlignment="1">
      <alignment horizontal="center" vertical="center"/>
    </xf>
    <xf numFmtId="170" fontId="60" fillId="0" borderId="3" xfId="0" applyFont="1" applyBorder="1" applyAlignment="1">
      <alignment vertical="center"/>
    </xf>
    <xf numFmtId="170" fontId="2" fillId="0" borderId="19" xfId="0" applyFont="1" applyFill="1" applyBorder="1" applyAlignment="1">
      <alignment horizontal="center" vertical="center" wrapText="1"/>
    </xf>
    <xf numFmtId="170" fontId="2" fillId="0" borderId="13" xfId="0" applyFont="1" applyFill="1" applyBorder="1" applyAlignment="1">
      <alignment horizontal="center" vertical="center" wrapText="1"/>
    </xf>
    <xf numFmtId="170" fontId="2" fillId="0" borderId="17" xfId="0" applyFont="1" applyFill="1" applyBorder="1" applyAlignment="1">
      <alignment horizontal="center" vertical="center" wrapText="1"/>
    </xf>
    <xf numFmtId="170" fontId="2" fillId="12" borderId="13" xfId="0" applyFont="1" applyFill="1" applyBorder="1" applyAlignment="1">
      <alignment horizontal="center" vertical="center"/>
    </xf>
    <xf numFmtId="170" fontId="2" fillId="12" borderId="13" xfId="0" applyFont="1" applyFill="1" applyBorder="1" applyAlignment="1">
      <alignment horizontal="center" vertical="center" wrapText="1"/>
    </xf>
    <xf numFmtId="170" fontId="2" fillId="0" borderId="13" xfId="0" applyFont="1" applyFill="1" applyBorder="1" applyAlignment="1">
      <alignment horizontal="center" vertical="center"/>
    </xf>
    <xf numFmtId="170" fontId="2" fillId="0" borderId="13" xfId="0" applyFont="1" applyFill="1" applyBorder="1" applyAlignment="1">
      <alignment horizontal="justify" vertical="center" wrapText="1"/>
    </xf>
    <xf numFmtId="0" fontId="2" fillId="0" borderId="13" xfId="6" applyNumberFormat="1" applyFont="1" applyFill="1" applyBorder="1" applyAlignment="1">
      <alignment horizontal="justify" vertical="center" wrapText="1"/>
    </xf>
    <xf numFmtId="170" fontId="2" fillId="14" borderId="13" xfId="0" applyFont="1" applyFill="1" applyBorder="1" applyAlignment="1">
      <alignment horizontal="center" vertical="center" wrapText="1"/>
    </xf>
    <xf numFmtId="170" fontId="2" fillId="12" borderId="13" xfId="0" applyFont="1" applyFill="1" applyBorder="1" applyAlignment="1">
      <alignment horizontal="justify" vertical="center" wrapText="1"/>
    </xf>
    <xf numFmtId="170" fontId="2" fillId="12" borderId="19" xfId="0" applyFont="1" applyFill="1" applyBorder="1" applyAlignment="1">
      <alignment horizontal="center" vertical="center" wrapText="1"/>
    </xf>
    <xf numFmtId="170" fontId="2" fillId="2" borderId="13" xfId="0" applyFont="1" applyFill="1" applyBorder="1" applyAlignment="1">
      <alignment horizontal="justify" vertical="center" wrapText="1"/>
    </xf>
    <xf numFmtId="170" fontId="2" fillId="0" borderId="13" xfId="0" applyFont="1" applyBorder="1" applyAlignment="1">
      <alignment horizontal="justify" vertical="center" wrapText="1"/>
    </xf>
    <xf numFmtId="1" fontId="2" fillId="0" borderId="13" xfId="0" applyNumberFormat="1" applyFont="1" applyBorder="1" applyAlignment="1">
      <alignment horizontal="center" vertical="center"/>
    </xf>
    <xf numFmtId="0" fontId="2" fillId="0" borderId="13" xfId="0" applyNumberFormat="1" applyFont="1" applyBorder="1" applyAlignment="1">
      <alignment horizontal="justify" vertical="center" wrapText="1"/>
    </xf>
    <xf numFmtId="170" fontId="2" fillId="0" borderId="13" xfId="0" applyFont="1" applyBorder="1" applyAlignment="1">
      <alignment horizontal="center" vertical="center" wrapText="1"/>
    </xf>
    <xf numFmtId="170" fontId="2" fillId="0" borderId="17" xfId="0" applyFont="1" applyFill="1" applyBorder="1" applyAlignment="1">
      <alignment horizontal="justify" vertical="center" wrapText="1"/>
    </xf>
    <xf numFmtId="170" fontId="2" fillId="0" borderId="19" xfId="0" applyFont="1" applyFill="1" applyBorder="1" applyAlignment="1">
      <alignment horizontal="justify" vertical="center" wrapText="1"/>
    </xf>
    <xf numFmtId="49" fontId="2" fillId="0" borderId="13" xfId="0" applyNumberFormat="1" applyFont="1" applyBorder="1" applyAlignment="1">
      <alignment horizontal="justify" vertical="center" wrapText="1"/>
    </xf>
    <xf numFmtId="0" fontId="2" fillId="0" borderId="13" xfId="0" applyNumberFormat="1" applyFont="1" applyFill="1" applyBorder="1" applyAlignment="1">
      <alignment horizontal="justify" vertical="center" wrapText="1"/>
    </xf>
    <xf numFmtId="0" fontId="2" fillId="2" borderId="13" xfId="0" applyNumberFormat="1" applyFont="1" applyFill="1" applyBorder="1" applyAlignment="1">
      <alignment horizontal="justify" vertical="center" wrapText="1"/>
    </xf>
    <xf numFmtId="170" fontId="2" fillId="0" borderId="17" xfId="0" applyFont="1" applyBorder="1" applyAlignment="1">
      <alignment horizontal="justify" vertical="center" wrapText="1"/>
    </xf>
    <xf numFmtId="170" fontId="2" fillId="0" borderId="19" xfId="0" applyFont="1" applyBorder="1" applyAlignment="1">
      <alignment horizontal="justify" vertical="center" wrapText="1"/>
    </xf>
    <xf numFmtId="0" fontId="2" fillId="0" borderId="17" xfId="0" applyNumberFormat="1" applyFont="1" applyBorder="1" applyAlignment="1">
      <alignment horizontal="justify" vertical="center" wrapText="1"/>
    </xf>
    <xf numFmtId="0" fontId="2" fillId="0" borderId="19" xfId="0" applyNumberFormat="1" applyFont="1" applyBorder="1" applyAlignment="1">
      <alignment horizontal="justify" vertical="center" wrapText="1"/>
    </xf>
    <xf numFmtId="0" fontId="2" fillId="12" borderId="13" xfId="0" applyNumberFormat="1" applyFont="1" applyFill="1" applyBorder="1" applyAlignment="1">
      <alignment horizontal="justify" vertical="center" wrapText="1"/>
    </xf>
    <xf numFmtId="0" fontId="2" fillId="2" borderId="17" xfId="0" applyNumberFormat="1" applyFont="1" applyFill="1" applyBorder="1" applyAlignment="1">
      <alignment horizontal="justify" vertical="center" wrapText="1"/>
    </xf>
    <xf numFmtId="0" fontId="2" fillId="2" borderId="24" xfId="0" applyNumberFormat="1" applyFont="1" applyFill="1" applyBorder="1" applyAlignment="1">
      <alignment horizontal="justify" vertical="center" wrapText="1"/>
    </xf>
    <xf numFmtId="0" fontId="2" fillId="2" borderId="19" xfId="0" applyNumberFormat="1" applyFont="1" applyFill="1" applyBorder="1" applyAlignment="1">
      <alignment horizontal="justify" vertical="center" wrapText="1"/>
    </xf>
    <xf numFmtId="170" fontId="2" fillId="12" borderId="17" xfId="0" applyFont="1" applyFill="1" applyBorder="1" applyAlignment="1">
      <alignment horizontal="center" vertical="center" wrapText="1"/>
    </xf>
    <xf numFmtId="49" fontId="2" fillId="2" borderId="13" xfId="0" applyNumberFormat="1" applyFont="1" applyFill="1" applyBorder="1" applyAlignment="1">
      <alignment horizontal="justify" vertical="center" wrapText="1"/>
    </xf>
    <xf numFmtId="0" fontId="2" fillId="0" borderId="13" xfId="7" applyNumberFormat="1" applyFont="1" applyBorder="1" applyAlignment="1">
      <alignment horizontal="justify" vertical="center" wrapText="1"/>
    </xf>
    <xf numFmtId="0" fontId="2" fillId="0" borderId="13" xfId="7" applyFont="1" applyBorder="1" applyAlignment="1">
      <alignment horizontal="justify" vertical="center" wrapText="1"/>
    </xf>
    <xf numFmtId="43" fontId="2" fillId="0" borderId="17" xfId="0" applyNumberFormat="1" applyFont="1" applyFill="1" applyBorder="1" applyAlignment="1">
      <alignment horizontal="center" vertical="center"/>
    </xf>
    <xf numFmtId="43" fontId="2" fillId="0" borderId="24" xfId="0" applyNumberFormat="1" applyFont="1" applyFill="1" applyBorder="1" applyAlignment="1">
      <alignment horizontal="center" vertical="center"/>
    </xf>
    <xf numFmtId="43" fontId="2" fillId="0" borderId="19" xfId="0" applyNumberFormat="1" applyFont="1" applyFill="1" applyBorder="1" applyAlignment="1">
      <alignment horizontal="center" vertical="center"/>
    </xf>
    <xf numFmtId="43" fontId="2" fillId="0" borderId="17" xfId="0" applyNumberFormat="1" applyFont="1" applyFill="1" applyBorder="1" applyAlignment="1">
      <alignment horizontal="center" vertical="center" wrapText="1"/>
    </xf>
    <xf numFmtId="43" fontId="2" fillId="0" borderId="24" xfId="0" applyNumberFormat="1" applyFont="1" applyFill="1" applyBorder="1" applyAlignment="1">
      <alignment horizontal="center" vertical="center" wrapText="1"/>
    </xf>
    <xf numFmtId="43" fontId="2" fillId="0" borderId="19" xfId="0" applyNumberFormat="1" applyFont="1" applyFill="1" applyBorder="1" applyAlignment="1">
      <alignment horizontal="center" vertical="center" wrapText="1"/>
    </xf>
    <xf numFmtId="43" fontId="2" fillId="0" borderId="17" xfId="0" applyNumberFormat="1" applyFont="1" applyBorder="1" applyAlignment="1">
      <alignment horizontal="center" vertical="center"/>
    </xf>
    <xf numFmtId="43" fontId="2" fillId="0" borderId="24" xfId="0" applyNumberFormat="1" applyFont="1" applyBorder="1" applyAlignment="1">
      <alignment horizontal="center" vertical="center"/>
    </xf>
    <xf numFmtId="43" fontId="2" fillId="0" borderId="19" xfId="0" applyNumberFormat="1" applyFont="1" applyBorder="1" applyAlignment="1">
      <alignment horizontal="center" vertical="center"/>
    </xf>
    <xf numFmtId="170" fontId="52" fillId="5" borderId="3" xfId="0" applyFont="1" applyFill="1" applyBorder="1" applyAlignment="1">
      <alignment horizontal="center" vertical="center" wrapText="1"/>
    </xf>
    <xf numFmtId="0" fontId="52" fillId="5" borderId="7" xfId="0" applyNumberFormat="1" applyFont="1" applyFill="1" applyBorder="1" applyAlignment="1">
      <alignment horizontal="center" vertical="center" wrapText="1"/>
    </xf>
    <xf numFmtId="0" fontId="52" fillId="5" borderId="8" xfId="0" applyNumberFormat="1" applyFont="1" applyFill="1" applyBorder="1" applyAlignment="1">
      <alignment horizontal="center" vertical="center" wrapText="1"/>
    </xf>
    <xf numFmtId="0" fontId="52" fillId="5" borderId="9" xfId="0" applyNumberFormat="1" applyFont="1" applyFill="1" applyBorder="1" applyAlignment="1">
      <alignment horizontal="center" vertical="center" wrapText="1"/>
    </xf>
    <xf numFmtId="170" fontId="3" fillId="7" borderId="15" xfId="0" applyFont="1" applyFill="1" applyBorder="1" applyAlignment="1">
      <alignment horizontal="left" vertical="center"/>
    </xf>
    <xf numFmtId="170" fontId="3" fillId="7" borderId="18" xfId="0" applyFont="1" applyFill="1" applyBorder="1" applyAlignment="1">
      <alignment horizontal="left" vertical="center"/>
    </xf>
    <xf numFmtId="0" fontId="2" fillId="0" borderId="13" xfId="0" applyNumberFormat="1" applyFont="1" applyBorder="1" applyAlignment="1">
      <alignment horizontal="center" vertical="center" wrapText="1"/>
    </xf>
    <xf numFmtId="0" fontId="2" fillId="0" borderId="24" xfId="0" applyNumberFormat="1" applyFont="1" applyBorder="1" applyAlignment="1">
      <alignment horizontal="justify" vertical="center" wrapText="1"/>
    </xf>
    <xf numFmtId="0" fontId="3" fillId="9" borderId="20" xfId="0" applyNumberFormat="1" applyFont="1" applyFill="1" applyBorder="1" applyAlignment="1">
      <alignment horizontal="left" vertical="center" wrapText="1"/>
    </xf>
    <xf numFmtId="0" fontId="3" fillId="9" borderId="40" xfId="0" applyNumberFormat="1" applyFont="1" applyFill="1" applyBorder="1" applyAlignment="1">
      <alignment horizontal="left" vertical="center" wrapText="1"/>
    </xf>
    <xf numFmtId="0" fontId="3" fillId="9" borderId="31" xfId="0" applyNumberFormat="1" applyFont="1" applyFill="1" applyBorder="1" applyAlignment="1">
      <alignment horizontal="left" vertical="center" wrapText="1"/>
    </xf>
    <xf numFmtId="172" fontId="2" fillId="0" borderId="13" xfId="0" applyNumberFormat="1" applyFont="1" applyFill="1" applyBorder="1" applyAlignment="1">
      <alignment horizontal="justify" vertical="center" wrapText="1"/>
    </xf>
    <xf numFmtId="0" fontId="4" fillId="4" borderId="7" xfId="0" applyNumberFormat="1" applyFont="1" applyFill="1" applyBorder="1" applyAlignment="1">
      <alignment horizontal="center" vertical="center" wrapText="1"/>
    </xf>
    <xf numFmtId="0" fontId="4" fillId="4" borderId="9" xfId="0" applyNumberFormat="1" applyFont="1" applyFill="1" applyBorder="1" applyAlignment="1">
      <alignment horizontal="center" vertical="center" wrapText="1"/>
    </xf>
    <xf numFmtId="172" fontId="4" fillId="4" borderId="7" xfId="5" applyNumberFormat="1" applyFont="1" applyFill="1" applyBorder="1" applyAlignment="1">
      <alignment horizontal="center" vertical="center" wrapText="1"/>
    </xf>
    <xf numFmtId="172" fontId="4" fillId="4" borderId="8" xfId="5" applyNumberFormat="1" applyFont="1" applyFill="1" applyBorder="1" applyAlignment="1">
      <alignment horizontal="center" vertical="center" wrapText="1"/>
    </xf>
    <xf numFmtId="172" fontId="4" fillId="4" borderId="9" xfId="5" applyNumberFormat="1" applyFont="1" applyFill="1" applyBorder="1" applyAlignment="1">
      <alignment horizontal="center" vertical="center" wrapText="1"/>
    </xf>
    <xf numFmtId="172" fontId="52" fillId="5" borderId="1" xfId="5" applyNumberFormat="1" applyFont="1" applyFill="1" applyBorder="1" applyAlignment="1">
      <alignment horizontal="center" vertical="center" wrapText="1"/>
    </xf>
    <xf numFmtId="172" fontId="52" fillId="5" borderId="2" xfId="5" applyNumberFormat="1" applyFont="1" applyFill="1" applyBorder="1" applyAlignment="1">
      <alignment horizontal="center" vertical="center" wrapText="1"/>
    </xf>
    <xf numFmtId="172" fontId="52" fillId="5" borderId="76" xfId="5" applyNumberFormat="1" applyFont="1" applyFill="1" applyBorder="1" applyAlignment="1">
      <alignment horizontal="center" vertical="center" wrapText="1"/>
    </xf>
    <xf numFmtId="172" fontId="4" fillId="4" borderId="1" xfId="5" applyNumberFormat="1" applyFont="1" applyFill="1" applyBorder="1" applyAlignment="1">
      <alignment horizontal="center" vertical="center" wrapText="1"/>
    </xf>
    <xf numFmtId="172" fontId="4" fillId="4" borderId="2" xfId="5" applyNumberFormat="1" applyFont="1" applyFill="1" applyBorder="1" applyAlignment="1">
      <alignment horizontal="center" vertical="center" wrapText="1"/>
    </xf>
    <xf numFmtId="172" fontId="4" fillId="4" borderId="4" xfId="5" applyNumberFormat="1" applyFont="1" applyFill="1" applyBorder="1" applyAlignment="1">
      <alignment horizontal="center" vertical="center" wrapText="1"/>
    </xf>
    <xf numFmtId="172" fontId="4" fillId="4" borderId="0" xfId="5" applyNumberFormat="1" applyFont="1" applyFill="1" applyBorder="1" applyAlignment="1">
      <alignment horizontal="center" vertical="center" wrapText="1"/>
    </xf>
    <xf numFmtId="172" fontId="4" fillId="4" borderId="5" xfId="5" applyNumberFormat="1" applyFont="1" applyFill="1" applyBorder="1" applyAlignment="1">
      <alignment horizontal="center" vertical="center" wrapText="1"/>
    </xf>
    <xf numFmtId="172" fontId="4" fillId="4" borderId="6" xfId="5" applyNumberFormat="1" applyFont="1" applyFill="1" applyBorder="1" applyAlignment="1">
      <alignment horizontal="center" vertical="center" wrapText="1"/>
    </xf>
    <xf numFmtId="172" fontId="4" fillId="4" borderId="11" xfId="5" applyNumberFormat="1" applyFont="1" applyFill="1" applyBorder="1" applyAlignment="1">
      <alignment horizontal="center" vertical="center" wrapText="1"/>
    </xf>
    <xf numFmtId="170" fontId="4" fillId="4" borderId="3" xfId="0" applyFont="1" applyFill="1" applyBorder="1" applyAlignment="1">
      <alignment horizontal="center" vertical="center" wrapText="1"/>
    </xf>
    <xf numFmtId="172" fontId="4" fillId="4" borderId="3" xfId="5" applyNumberFormat="1" applyFont="1" applyFill="1" applyBorder="1" applyAlignment="1">
      <alignment horizontal="center" vertical="center" wrapText="1"/>
    </xf>
    <xf numFmtId="170" fontId="3" fillId="0" borderId="0" xfId="0" applyFont="1" applyAlignment="1">
      <alignment horizontal="center" vertical="center" wrapText="1"/>
    </xf>
    <xf numFmtId="170" fontId="3" fillId="0" borderId="75" xfId="0" applyFont="1" applyBorder="1" applyAlignment="1">
      <alignment horizontal="center" vertical="center" wrapText="1"/>
    </xf>
    <xf numFmtId="170" fontId="3" fillId="0" borderId="0" xfId="0" applyFont="1" applyBorder="1" applyAlignment="1">
      <alignment horizontal="center" vertical="center" wrapText="1"/>
    </xf>
    <xf numFmtId="0" fontId="4" fillId="4" borderId="3" xfId="0" applyNumberFormat="1" applyFont="1" applyFill="1" applyBorder="1" applyAlignment="1">
      <alignment horizontal="center" vertical="center" wrapText="1"/>
    </xf>
    <xf numFmtId="170" fontId="4" fillId="4" borderId="62" xfId="0" applyFont="1" applyFill="1" applyBorder="1" applyAlignment="1">
      <alignment horizontal="center" vertical="center" wrapText="1"/>
    </xf>
    <xf numFmtId="170" fontId="4" fillId="4" borderId="65" xfId="0" applyFont="1" applyFill="1" applyBorder="1" applyAlignment="1">
      <alignment horizontal="center" vertical="center" wrapText="1"/>
    </xf>
    <xf numFmtId="170" fontId="4" fillId="4" borderId="12" xfId="0" applyFont="1" applyFill="1" applyBorder="1" applyAlignment="1">
      <alignment horizontal="center" vertical="center" wrapText="1"/>
    </xf>
    <xf numFmtId="170" fontId="4" fillId="4" borderId="7" xfId="0" applyFont="1" applyFill="1" applyBorder="1" applyAlignment="1">
      <alignment horizontal="center" vertical="center" wrapText="1"/>
    </xf>
    <xf numFmtId="170" fontId="4" fillId="4" borderId="9" xfId="0" applyFont="1" applyFill="1" applyBorder="1" applyAlignment="1">
      <alignment horizontal="center" vertical="center" wrapText="1"/>
    </xf>
    <xf numFmtId="170" fontId="13" fillId="5" borderId="26" xfId="0" applyFont="1" applyFill="1" applyBorder="1" applyAlignment="1">
      <alignment horizontal="center" vertical="center"/>
    </xf>
    <xf numFmtId="170" fontId="13" fillId="5" borderId="27" xfId="0" applyFont="1" applyFill="1" applyBorder="1" applyAlignment="1">
      <alignment horizontal="center" vertical="center"/>
    </xf>
    <xf numFmtId="170" fontId="13" fillId="5" borderId="28" xfId="0" applyFont="1" applyFill="1" applyBorder="1" applyAlignment="1">
      <alignment horizontal="center" vertical="center"/>
    </xf>
    <xf numFmtId="170" fontId="13" fillId="5" borderId="77" xfId="0" applyFont="1" applyFill="1" applyBorder="1" applyAlignment="1">
      <alignment horizontal="center" vertical="center"/>
    </xf>
    <xf numFmtId="172" fontId="4" fillId="4" borderId="18" xfId="5" applyNumberFormat="1" applyFont="1" applyFill="1" applyBorder="1" applyAlignment="1">
      <alignment horizontal="center" vertical="center" wrapText="1"/>
    </xf>
    <xf numFmtId="172" fontId="4" fillId="4" borderId="16" xfId="5" applyNumberFormat="1" applyFont="1" applyFill="1" applyBorder="1" applyAlignment="1">
      <alignment horizontal="center" vertical="center" wrapText="1"/>
    </xf>
    <xf numFmtId="172" fontId="4" fillId="4" borderId="20" xfId="5" applyNumberFormat="1" applyFont="1" applyFill="1" applyBorder="1" applyAlignment="1">
      <alignment horizontal="center" vertical="center" wrapText="1"/>
    </xf>
    <xf numFmtId="172" fontId="4" fillId="4" borderId="40" xfId="5" applyNumberFormat="1" applyFont="1" applyFill="1" applyBorder="1" applyAlignment="1">
      <alignment horizontal="center" vertical="center" wrapText="1"/>
    </xf>
    <xf numFmtId="172" fontId="4" fillId="4" borderId="31" xfId="5" applyNumberFormat="1" applyFont="1" applyFill="1" applyBorder="1" applyAlignment="1">
      <alignment horizontal="center" vertical="center" wrapText="1"/>
    </xf>
    <xf numFmtId="172" fontId="4" fillId="4" borderId="21" xfId="5" applyNumberFormat="1" applyFont="1" applyFill="1" applyBorder="1" applyAlignment="1">
      <alignment horizontal="center" vertical="center" wrapText="1"/>
    </xf>
    <xf numFmtId="172" fontId="4" fillId="4" borderId="15" xfId="5" applyNumberFormat="1" applyFont="1" applyFill="1" applyBorder="1" applyAlignment="1">
      <alignment horizontal="center" vertical="center" wrapText="1"/>
    </xf>
    <xf numFmtId="172" fontId="4" fillId="4" borderId="30" xfId="5" applyNumberFormat="1" applyFont="1" applyFill="1" applyBorder="1" applyAlignment="1">
      <alignment horizontal="center" vertical="center" wrapText="1"/>
    </xf>
    <xf numFmtId="172" fontId="4" fillId="4" borderId="23" xfId="5" applyNumberFormat="1" applyFont="1" applyFill="1" applyBorder="1" applyAlignment="1">
      <alignment horizontal="center" vertical="center" wrapText="1"/>
    </xf>
    <xf numFmtId="172" fontId="4" fillId="4" borderId="22" xfId="5" applyNumberFormat="1" applyFont="1" applyFill="1" applyBorder="1" applyAlignment="1">
      <alignment horizontal="center" vertical="center" wrapText="1"/>
    </xf>
    <xf numFmtId="172" fontId="4" fillId="4" borderId="78" xfId="5" applyNumberFormat="1" applyFont="1" applyFill="1" applyBorder="1" applyAlignment="1">
      <alignment horizontal="center" vertical="center" wrapText="1"/>
    </xf>
    <xf numFmtId="172" fontId="4" fillId="4" borderId="29" xfId="5" applyNumberFormat="1" applyFont="1" applyFill="1" applyBorder="1" applyAlignment="1">
      <alignment horizontal="center" vertical="center" wrapText="1"/>
    </xf>
    <xf numFmtId="0" fontId="4" fillId="4" borderId="30" xfId="0" applyNumberFormat="1" applyFont="1" applyFill="1" applyBorder="1" applyAlignment="1">
      <alignment horizontal="center" vertical="center" wrapText="1"/>
    </xf>
    <xf numFmtId="0" fontId="4" fillId="4" borderId="26" xfId="0" applyNumberFormat="1" applyFont="1" applyFill="1" applyBorder="1" applyAlignment="1">
      <alignment horizontal="center" vertical="center" wrapText="1"/>
    </xf>
    <xf numFmtId="0" fontId="4" fillId="4" borderId="76" xfId="0" applyNumberFormat="1" applyFont="1" applyFill="1" applyBorder="1" applyAlignment="1">
      <alignment horizontal="center" vertical="center" wrapText="1"/>
    </xf>
    <xf numFmtId="0" fontId="4" fillId="4" borderId="77" xfId="0" applyNumberFormat="1" applyFont="1" applyFill="1" applyBorder="1" applyAlignment="1">
      <alignment horizontal="center" vertical="center" wrapText="1"/>
    </xf>
    <xf numFmtId="170" fontId="3" fillId="0" borderId="0" xfId="0" applyFont="1" applyBorder="1" applyAlignment="1">
      <alignment horizontal="center" vertical="top" wrapText="1"/>
    </xf>
    <xf numFmtId="170" fontId="3" fillId="0" borderId="0" xfId="0" applyFont="1" applyBorder="1" applyAlignment="1">
      <alignment horizontal="center" vertical="top"/>
    </xf>
    <xf numFmtId="0" fontId="3" fillId="4" borderId="15" xfId="0" applyNumberFormat="1" applyFont="1" applyFill="1" applyBorder="1" applyAlignment="1">
      <alignment horizontal="center" vertical="center"/>
    </xf>
    <xf numFmtId="0" fontId="3" fillId="4" borderId="16" xfId="0" applyNumberFormat="1" applyFont="1" applyFill="1" applyBorder="1" applyAlignment="1">
      <alignment horizontal="center" vertical="center"/>
    </xf>
    <xf numFmtId="170" fontId="25" fillId="4" borderId="4" xfId="0" applyFont="1" applyFill="1" applyBorder="1" applyAlignment="1">
      <alignment horizontal="center" vertical="center" wrapText="1"/>
    </xf>
    <xf numFmtId="170" fontId="25" fillId="4" borderId="0" xfId="0" applyFont="1" applyFill="1" applyBorder="1" applyAlignment="1">
      <alignment horizontal="center" vertical="center" wrapText="1"/>
    </xf>
    <xf numFmtId="170" fontId="25" fillId="4" borderId="3" xfId="0" applyFont="1" applyFill="1" applyBorder="1" applyAlignment="1">
      <alignment horizontal="center" vertical="center" wrapText="1"/>
    </xf>
    <xf numFmtId="170" fontId="53" fillId="5" borderId="71" xfId="0" applyFont="1" applyFill="1" applyBorder="1" applyAlignment="1">
      <alignment horizontal="left" vertical="center"/>
    </xf>
    <xf numFmtId="170" fontId="53" fillId="5" borderId="72" xfId="0" applyFont="1" applyFill="1" applyBorder="1" applyAlignment="1">
      <alignment horizontal="left" vertical="center"/>
    </xf>
    <xf numFmtId="170" fontId="55" fillId="4" borderId="0" xfId="0" applyFont="1" applyFill="1" applyBorder="1" applyAlignment="1">
      <alignment horizontal="center" vertical="center" wrapText="1"/>
    </xf>
    <xf numFmtId="170" fontId="55" fillId="4" borderId="79" xfId="0" applyFont="1" applyFill="1" applyBorder="1" applyAlignment="1">
      <alignment horizontal="center" vertical="center" wrapText="1"/>
    </xf>
    <xf numFmtId="170" fontId="56" fillId="4" borderId="0" xfId="0" applyFont="1" applyFill="1" applyBorder="1" applyAlignment="1">
      <alignment horizontal="center" vertical="center" wrapText="1"/>
    </xf>
    <xf numFmtId="170" fontId="56" fillId="4" borderId="79" xfId="0" applyFont="1" applyFill="1" applyBorder="1" applyAlignment="1">
      <alignment horizontal="center" vertical="center" wrapText="1"/>
    </xf>
    <xf numFmtId="170" fontId="56" fillId="4" borderId="81" xfId="0" applyFont="1" applyFill="1" applyBorder="1" applyAlignment="1">
      <alignment horizontal="center" vertical="center" wrapText="1"/>
    </xf>
    <xf numFmtId="170" fontId="56" fillId="4" borderId="82" xfId="0" applyFont="1" applyFill="1" applyBorder="1" applyAlignment="1">
      <alignment horizontal="center" vertical="center" wrapText="1"/>
    </xf>
    <xf numFmtId="170" fontId="56" fillId="4" borderId="83" xfId="0" applyFont="1" applyFill="1" applyBorder="1" applyAlignment="1">
      <alignment horizontal="center" vertical="center" wrapText="1"/>
    </xf>
    <xf numFmtId="170" fontId="55" fillId="0" borderId="36" xfId="0" applyFont="1" applyBorder="1" applyAlignment="1">
      <alignment horizontal="center" vertical="center" wrapText="1"/>
    </xf>
    <xf numFmtId="170" fontId="55" fillId="0" borderId="37" xfId="0" applyFont="1" applyBorder="1" applyAlignment="1">
      <alignment horizontal="center" vertical="center" wrapText="1"/>
    </xf>
    <xf numFmtId="170" fontId="55" fillId="0" borderId="38" xfId="0" applyFont="1" applyBorder="1" applyAlignment="1">
      <alignment horizontal="center" vertical="center" wrapText="1"/>
    </xf>
    <xf numFmtId="170" fontId="3" fillId="17" borderId="36" xfId="0" applyFont="1" applyFill="1" applyBorder="1" applyAlignment="1">
      <alignment horizontal="left" vertical="center"/>
    </xf>
    <xf numFmtId="170" fontId="3" fillId="17" borderId="37" xfId="0" applyFont="1" applyFill="1" applyBorder="1" applyAlignment="1">
      <alignment horizontal="left" vertical="center"/>
    </xf>
    <xf numFmtId="170" fontId="3" fillId="4" borderId="36" xfId="0" applyFont="1" applyFill="1" applyBorder="1" applyAlignment="1">
      <alignment horizontal="left" vertical="center"/>
    </xf>
    <xf numFmtId="170" fontId="3" fillId="4" borderId="37" xfId="0" applyFont="1" applyFill="1" applyBorder="1" applyAlignment="1">
      <alignment horizontal="left" vertical="center"/>
    </xf>
    <xf numFmtId="170" fontId="53" fillId="5" borderId="71" xfId="0" applyFont="1" applyFill="1" applyBorder="1" applyAlignment="1">
      <alignment horizontal="justify" vertical="center"/>
    </xf>
    <xf numFmtId="170" fontId="53" fillId="5" borderId="72" xfId="0" applyFont="1" applyFill="1" applyBorder="1" applyAlignment="1">
      <alignment horizontal="justify" vertical="center"/>
    </xf>
    <xf numFmtId="170" fontId="53" fillId="5" borderId="69" xfId="0" applyFont="1" applyFill="1" applyBorder="1" applyAlignment="1">
      <alignment horizontal="left" vertical="center"/>
    </xf>
    <xf numFmtId="170" fontId="53" fillId="5" borderId="70" xfId="0" applyFont="1" applyFill="1" applyBorder="1" applyAlignment="1">
      <alignment horizontal="left" vertical="center"/>
    </xf>
  </cellXfs>
  <cellStyles count="393">
    <cellStyle name="20% - Énfasis1" xfId="36" builtinId="30" customBuiltin="1"/>
    <cellStyle name="20% - Énfasis1 2" xfId="233"/>
    <cellStyle name="20% - Énfasis1 2 2" xfId="286"/>
    <cellStyle name="20% - Énfasis1 2 3" xfId="287"/>
    <cellStyle name="20% - Énfasis1 2 4" xfId="285"/>
    <cellStyle name="20% - Énfasis2" xfId="40" builtinId="34" customBuiltin="1"/>
    <cellStyle name="20% - Énfasis2 2" xfId="253"/>
    <cellStyle name="20% - Énfasis2 2 2" xfId="289"/>
    <cellStyle name="20% - Énfasis2 2 3" xfId="290"/>
    <cellStyle name="20% - Énfasis2 2 4" xfId="288"/>
    <cellStyle name="20% - Énfasis3" xfId="44" builtinId="38" customBuiltin="1"/>
    <cellStyle name="20% - Énfasis3 2" xfId="61"/>
    <cellStyle name="20% - Énfasis3 2 2" xfId="292"/>
    <cellStyle name="20% - Énfasis3 2 3" xfId="293"/>
    <cellStyle name="20% - Énfasis3 2 4" xfId="291"/>
    <cellStyle name="20% - Énfasis4" xfId="48" builtinId="42" customBuiltin="1"/>
    <cellStyle name="20% - Énfasis4 2" xfId="257"/>
    <cellStyle name="20% - Énfasis4 2 2" xfId="295"/>
    <cellStyle name="20% - Énfasis4 2 3" xfId="296"/>
    <cellStyle name="20% - Énfasis4 2 4" xfId="294"/>
    <cellStyle name="20% - Énfasis5" xfId="52" builtinId="46" customBuiltin="1"/>
    <cellStyle name="20% - Énfasis5 2" xfId="223"/>
    <cellStyle name="20% - Énfasis5 2 2" xfId="298"/>
    <cellStyle name="20% - Énfasis5 2 3" xfId="299"/>
    <cellStyle name="20% - Énfasis5 2 4" xfId="297"/>
    <cellStyle name="20% - Énfasis6" xfId="56" builtinId="50" customBuiltin="1"/>
    <cellStyle name="20% - Énfasis6 2" xfId="215"/>
    <cellStyle name="20% - Énfasis6 2 2" xfId="301"/>
    <cellStyle name="20% - Énfasis6 2 3" xfId="302"/>
    <cellStyle name="20% - Énfasis6 2 4" xfId="300"/>
    <cellStyle name="40% - Énfasis1" xfId="37" builtinId="31" customBuiltin="1"/>
    <cellStyle name="40% - Énfasis1 2" xfId="196"/>
    <cellStyle name="40% - Énfasis1 2 2" xfId="304"/>
    <cellStyle name="40% - Énfasis1 2 3" xfId="305"/>
    <cellStyle name="40% - Énfasis1 2 4" xfId="303"/>
    <cellStyle name="40% - Énfasis2" xfId="41" builtinId="35" customBuiltin="1"/>
    <cellStyle name="40% - Énfasis2 2" xfId="251"/>
    <cellStyle name="40% - Énfasis2 2 2" xfId="307"/>
    <cellStyle name="40% - Énfasis2 2 3" xfId="308"/>
    <cellStyle name="40% - Énfasis2 2 4" xfId="306"/>
    <cellStyle name="40% - Énfasis3" xfId="45" builtinId="39" customBuiltin="1"/>
    <cellStyle name="40% - Énfasis3 2" xfId="260"/>
    <cellStyle name="40% - Énfasis3 2 2" xfId="310"/>
    <cellStyle name="40% - Énfasis3 2 3" xfId="311"/>
    <cellStyle name="40% - Énfasis3 2 4" xfId="309"/>
    <cellStyle name="40% - Énfasis4" xfId="49" builtinId="43" customBuiltin="1"/>
    <cellStyle name="40% - Énfasis4 2" xfId="218"/>
    <cellStyle name="40% - Énfasis4 2 2" xfId="313"/>
    <cellStyle name="40% - Énfasis4 2 3" xfId="314"/>
    <cellStyle name="40% - Énfasis4 2 4" xfId="312"/>
    <cellStyle name="40% - Énfasis5" xfId="53" builtinId="47" customBuiltin="1"/>
    <cellStyle name="40% - Énfasis5 2" xfId="250"/>
    <cellStyle name="40% - Énfasis5 2 2" xfId="316"/>
    <cellStyle name="40% - Énfasis5 2 3" xfId="317"/>
    <cellStyle name="40% - Énfasis5 2 4" xfId="315"/>
    <cellStyle name="40% - Énfasis6" xfId="57" builtinId="51" customBuiltin="1"/>
    <cellStyle name="40% - Énfasis6 2" xfId="67"/>
    <cellStyle name="40% - Énfasis6 2 2" xfId="319"/>
    <cellStyle name="40% - Énfasis6 2 3" xfId="320"/>
    <cellStyle name="40% - Énfasis6 2 4" xfId="318"/>
    <cellStyle name="60% - Énfasis1" xfId="38" builtinId="32" customBuiltin="1"/>
    <cellStyle name="60% - Énfasis1 2" xfId="213"/>
    <cellStyle name="60% - Énfasis1 2 2" xfId="321"/>
    <cellStyle name="60% - Énfasis2" xfId="42" builtinId="36" customBuiltin="1"/>
    <cellStyle name="60% - Énfasis2 2" xfId="242"/>
    <cellStyle name="60% - Énfasis2 2 2" xfId="322"/>
    <cellStyle name="60% - Énfasis3" xfId="46" builtinId="40" customBuiltin="1"/>
    <cellStyle name="60% - Énfasis3 2" xfId="72"/>
    <cellStyle name="60% - Énfasis3 2 2" xfId="323"/>
    <cellStyle name="60% - Énfasis4" xfId="50" builtinId="44" customBuiltin="1"/>
    <cellStyle name="60% - Énfasis4 2" xfId="237"/>
    <cellStyle name="60% - Énfasis4 2 2" xfId="324"/>
    <cellStyle name="60% - Énfasis5" xfId="54" builtinId="48" customBuiltin="1"/>
    <cellStyle name="60% - Énfasis5 2" xfId="235"/>
    <cellStyle name="60% - Énfasis5 2 2" xfId="325"/>
    <cellStyle name="60% - Énfasis6" xfId="58" builtinId="52" customBuiltin="1"/>
    <cellStyle name="60% - Énfasis6 2" xfId="80"/>
    <cellStyle name="60% - Énfasis6 2 2" xfId="326"/>
    <cellStyle name="Buena 2" xfId="327"/>
    <cellStyle name="Cálculo" xfId="28" builtinId="22" customBuiltin="1"/>
    <cellStyle name="Cálculo 2" xfId="69"/>
    <cellStyle name="Cálculo 2 2" xfId="328"/>
    <cellStyle name="Celda de comprobación" xfId="30" builtinId="23" customBuiltin="1"/>
    <cellStyle name="Celda de comprobación 2" xfId="68"/>
    <cellStyle name="Celda de comprobación 2 2" xfId="329"/>
    <cellStyle name="Celda vinculada" xfId="29" builtinId="24" customBuiltin="1"/>
    <cellStyle name="Celda vinculada 2" xfId="171"/>
    <cellStyle name="Celda vinculada 2 2" xfId="330"/>
    <cellStyle name="Encabezado 1" xfId="20" builtinId="16" customBuiltin="1"/>
    <cellStyle name="Encabezado 4" xfId="23" builtinId="19" customBuiltin="1"/>
    <cellStyle name="Encabezado 4 2" xfId="201"/>
    <cellStyle name="Encabezado 4 2 2" xfId="331"/>
    <cellStyle name="Énfasis1" xfId="35" builtinId="29" customBuiltin="1"/>
    <cellStyle name="Énfasis1 2" xfId="224"/>
    <cellStyle name="Énfasis1 2 2" xfId="332"/>
    <cellStyle name="Énfasis2" xfId="39" builtinId="33" customBuiltin="1"/>
    <cellStyle name="Énfasis2 2" xfId="184"/>
    <cellStyle name="Énfasis2 2 2" xfId="333"/>
    <cellStyle name="Énfasis3" xfId="43" builtinId="37" customBuiltin="1"/>
    <cellStyle name="Énfasis3 2" xfId="173"/>
    <cellStyle name="Énfasis3 2 2" xfId="334"/>
    <cellStyle name="Énfasis4" xfId="47" builtinId="41" customBuiltin="1"/>
    <cellStyle name="Énfasis4 2" xfId="188"/>
    <cellStyle name="Énfasis4 2 2" xfId="335"/>
    <cellStyle name="Énfasis5" xfId="51" builtinId="45" customBuiltin="1"/>
    <cellStyle name="Énfasis5 2" xfId="265"/>
    <cellStyle name="Énfasis5 2 2" xfId="336"/>
    <cellStyle name="Énfasis6" xfId="55" builtinId="49" customBuiltin="1"/>
    <cellStyle name="Énfasis6 2" xfId="248"/>
    <cellStyle name="Énfasis6 2 2" xfId="337"/>
    <cellStyle name="Entrada" xfId="26" builtinId="20" customBuiltin="1"/>
    <cellStyle name="Entrada 2" xfId="181"/>
    <cellStyle name="Entrada 2 2" xfId="338"/>
    <cellStyle name="Euro" xfId="339"/>
    <cellStyle name="Euro 2" xfId="340"/>
    <cellStyle name="Excel Built-in Normal 2" xfId="119"/>
    <cellStyle name="Excel Built-in Normal 2 2" xfId="244"/>
    <cellStyle name="F2" xfId="341"/>
    <cellStyle name="F3" xfId="342"/>
    <cellStyle name="F4" xfId="343"/>
    <cellStyle name="F5" xfId="344"/>
    <cellStyle name="F6" xfId="345"/>
    <cellStyle name="F7" xfId="346"/>
    <cellStyle name="F8" xfId="347"/>
    <cellStyle name="Hipervínculo 2" xfId="192"/>
    <cellStyle name="Incorrecto" xfId="24" builtinId="27" customBuiltin="1"/>
    <cellStyle name="Incorrecto 2" xfId="254"/>
    <cellStyle name="Incorrecto 2 2" xfId="348"/>
    <cellStyle name="KPT04" xfId="6"/>
    <cellStyle name="KPT04 2" xfId="9"/>
    <cellStyle name="KPT04 2 2" xfId="261"/>
    <cellStyle name="KPT04 3" xfId="263"/>
    <cellStyle name="KPT04_Main" xfId="14"/>
    <cellStyle name="Millares" xfId="1" builtinId="3"/>
    <cellStyle name="Millares [0]" xfId="2" builtinId="6"/>
    <cellStyle name="Millares [0] 2" xfId="97"/>
    <cellStyle name="Millares [0] 2 2" xfId="160"/>
    <cellStyle name="Millares [0] 3" xfId="123"/>
    <cellStyle name="Millares [0] 4" xfId="164"/>
    <cellStyle name="Millares 2" xfId="5"/>
    <cellStyle name="Millares 2 2" xfId="8"/>
    <cellStyle name="Millares 2 2 2" xfId="12"/>
    <cellStyle name="Millares 2 2 2 2" xfId="95"/>
    <cellStyle name="Millares 2 2 2 2 2" xfId="159"/>
    <cellStyle name="Millares 2 3" xfId="349"/>
    <cellStyle name="Millares 2 4" xfId="103"/>
    <cellStyle name="Millares 2 4 2" xfId="166"/>
    <cellStyle name="Millares 3" xfId="115"/>
    <cellStyle name="Millares 3 2" xfId="124"/>
    <cellStyle name="Millares 3 3" xfId="121"/>
    <cellStyle name="Millares 3 4" xfId="390"/>
    <cellStyle name="Millares 4" xfId="120"/>
    <cellStyle name="Millares 6" xfId="122"/>
    <cellStyle name="Moneda" xfId="3" builtinId="4"/>
    <cellStyle name="Moneda [0]" xfId="4" builtinId="7"/>
    <cellStyle name="Moneda [0] 2" xfId="101"/>
    <cellStyle name="Moneda [0] 2 2" xfId="125"/>
    <cellStyle name="Moneda [0] 2 2 2" xfId="168"/>
    <cellStyle name="Moneda [0] 2 3" xfId="163"/>
    <cellStyle name="Moneda 10" xfId="139"/>
    <cellStyle name="Moneda 11" xfId="144"/>
    <cellStyle name="Moneda 12" xfId="145"/>
    <cellStyle name="Moneda 13" xfId="146"/>
    <cellStyle name="Moneda 14" xfId="147"/>
    <cellStyle name="Moneda 15" xfId="148"/>
    <cellStyle name="Moneda 16" xfId="149"/>
    <cellStyle name="Moneda 2" xfId="11"/>
    <cellStyle name="Moneda 2 2" xfId="102"/>
    <cellStyle name="Moneda 2 3" xfId="100"/>
    <cellStyle name="Moneda 2 4" xfId="131"/>
    <cellStyle name="Moneda 2 5" xfId="162"/>
    <cellStyle name="Moneda 3" xfId="13"/>
    <cellStyle name="Moneda 3 2" xfId="118"/>
    <cellStyle name="Moneda 4" xfId="130"/>
    <cellStyle name="Moneda 4 2" xfId="392"/>
    <cellStyle name="Moneda 5" xfId="134"/>
    <cellStyle name="Moneda 6" xfId="135"/>
    <cellStyle name="Moneda 7" xfId="136"/>
    <cellStyle name="Moneda 8" xfId="138"/>
    <cellStyle name="Moneda 9" xfId="137"/>
    <cellStyle name="Neutral" xfId="25" builtinId="28" customBuiltin="1"/>
    <cellStyle name="Neutral 2" xfId="77"/>
    <cellStyle name="Neutral 2 2" xfId="350"/>
    <cellStyle name="Normal" xfId="0" builtinId="0"/>
    <cellStyle name="Normal 10" xfId="94"/>
    <cellStyle name="Normal 10 2" xfId="194"/>
    <cellStyle name="Normal 10 3" xfId="388"/>
    <cellStyle name="Normal 11" xfId="107"/>
    <cellStyle name="Normal 11 2" xfId="247"/>
    <cellStyle name="Normal 12" xfId="104"/>
    <cellStyle name="Normal 12 2" xfId="208"/>
    <cellStyle name="Normal 13" xfId="90"/>
    <cellStyle name="Normal 13 2" xfId="227"/>
    <cellStyle name="Normal 14" xfId="92"/>
    <cellStyle name="Normal 14 2" xfId="238"/>
    <cellStyle name="Normal 14 3" xfId="351"/>
    <cellStyle name="Normal 15" xfId="105"/>
    <cellStyle name="Normal 15 2" xfId="216"/>
    <cellStyle name="Normal 16" xfId="88"/>
    <cellStyle name="Normal 16 2" xfId="74"/>
    <cellStyle name="Normal 17" xfId="106"/>
    <cellStyle name="Normal 17 2" xfId="178"/>
    <cellStyle name="Normal 18" xfId="87"/>
    <cellStyle name="Normal 18 2" xfId="187"/>
    <cellStyle name="Normal 19" xfId="108"/>
    <cellStyle name="Normal 19 2" xfId="204"/>
    <cellStyle name="Normal 2" xfId="7"/>
    <cellStyle name="Normal 2 2" xfId="10"/>
    <cellStyle name="Normal 2 2 10" xfId="353"/>
    <cellStyle name="Normal 2 2 2" xfId="15"/>
    <cellStyle name="Normal 2 2 2 2" xfId="132"/>
    <cellStyle name="Normal 2 2 2 2 2" xfId="230"/>
    <cellStyle name="Normal 2 2 2 2 2 2" xfId="357"/>
    <cellStyle name="Normal 2 2 2 2 2 3" xfId="356"/>
    <cellStyle name="Normal 2 2 2 2 3" xfId="355"/>
    <cellStyle name="Normal 2 2 2 3" xfId="212"/>
    <cellStyle name="Normal 2 2 2 3 2" xfId="358"/>
    <cellStyle name="Normal 2 2 2 4" xfId="359"/>
    <cellStyle name="Normal 2 2 2 5" xfId="354"/>
    <cellStyle name="Normal 2 2 3" xfId="221"/>
    <cellStyle name="Normal 2 2 3 2" xfId="360"/>
    <cellStyle name="Normal 2 2 7" xfId="361"/>
    <cellStyle name="Normal 2 2 8" xfId="362"/>
    <cellStyle name="Normal 2 2 9" xfId="363"/>
    <cellStyle name="Normal 2 3" xfId="16"/>
    <cellStyle name="Normal 2 3 2" xfId="126"/>
    <cellStyle name="Normal 2 3 2 2" xfId="365"/>
    <cellStyle name="Normal 2 3 3" xfId="167"/>
    <cellStyle name="Normal 2 3 3 2" xfId="270"/>
    <cellStyle name="Normal 2 3 3 3" xfId="366"/>
    <cellStyle name="Normal 2 3 4" xfId="246"/>
    <cellStyle name="Normal 2 3 5" xfId="364"/>
    <cellStyle name="Normal 2 4" xfId="117"/>
    <cellStyle name="Normal 2 4 2" xfId="197"/>
    <cellStyle name="Normal 2 4 3" xfId="367"/>
    <cellStyle name="Normal 2 5" xfId="368"/>
    <cellStyle name="Normal 2 6" xfId="369"/>
    <cellStyle name="Normal 2 7" xfId="352"/>
    <cellStyle name="Normal 2_FUT INGRESOS 2010 Y FLS Y TESORERIA FLS AGOSTO 26" xfId="370"/>
    <cellStyle name="Normal 20" xfId="86"/>
    <cellStyle name="Normal 20 2" xfId="234"/>
    <cellStyle name="Normal 21" xfId="91"/>
    <cellStyle name="Normal 21 2" xfId="209"/>
    <cellStyle name="Normal 22" xfId="89"/>
    <cellStyle name="Normal 22 2" xfId="193"/>
    <cellStyle name="Normal 23" xfId="109"/>
    <cellStyle name="Normal 23 2" xfId="239"/>
    <cellStyle name="Normal 24" xfId="110"/>
    <cellStyle name="Normal 24 2" xfId="268"/>
    <cellStyle name="Normal 25" xfId="111"/>
    <cellStyle name="Normal 25 2" xfId="240"/>
    <cellStyle name="Normal 26" xfId="112"/>
    <cellStyle name="Normal 26 2" xfId="258"/>
    <cellStyle name="Normal 27" xfId="113"/>
    <cellStyle name="Normal 27 2" xfId="241"/>
    <cellStyle name="Normal 28" xfId="114"/>
    <cellStyle name="Normal 28 2" xfId="78"/>
    <cellStyle name="Normal 29" xfId="116"/>
    <cellStyle name="Normal 29 2" xfId="75"/>
    <cellStyle name="Normal 3" xfId="17"/>
    <cellStyle name="Normal 3 2" xfId="127"/>
    <cellStyle name="Normal 3 2 2" xfId="210"/>
    <cellStyle name="Normal 3 2 3" xfId="371"/>
    <cellStyle name="Normal 3 3" xfId="264"/>
    <cellStyle name="Normal 3 4" xfId="277"/>
    <cellStyle name="Normal 3 5" xfId="63"/>
    <cellStyle name="Normal 30" xfId="128"/>
    <cellStyle name="Normal 30 2" xfId="176"/>
    <cellStyle name="Normal 31" xfId="142"/>
    <cellStyle name="Normal 31 2" xfId="82"/>
    <cellStyle name="Normal 32" xfId="140"/>
    <cellStyle name="Normal 32 2" xfId="73"/>
    <cellStyle name="Normal 33" xfId="141"/>
    <cellStyle name="Normal 33 2" xfId="200"/>
    <cellStyle name="Normal 34" xfId="133"/>
    <cellStyle name="Normal 34 2" xfId="180"/>
    <cellStyle name="Normal 35" xfId="143"/>
    <cellStyle name="Normal 35 2" xfId="174"/>
    <cellStyle name="Normal 36" xfId="150"/>
    <cellStyle name="Normal 36 2" xfId="198"/>
    <cellStyle name="Normal 37" xfId="158"/>
    <cellStyle name="Normal 37 2" xfId="217"/>
    <cellStyle name="Normal 38" xfId="153"/>
    <cellStyle name="Normal 38 2" xfId="243"/>
    <cellStyle name="Normal 39" xfId="161"/>
    <cellStyle name="Normal 39 2" xfId="189"/>
    <cellStyle name="Normal 4" xfId="84"/>
    <cellStyle name="Normal 4 2" xfId="262"/>
    <cellStyle name="Normal 4 2 2" xfId="373"/>
    <cellStyle name="Normal 4 3" xfId="372"/>
    <cellStyle name="Normal 40" xfId="151"/>
    <cellStyle name="Normal 40 2" xfId="179"/>
    <cellStyle name="Normal 41" xfId="165"/>
    <cellStyle name="Normal 41 2" xfId="222"/>
    <cellStyle name="Normal 42" xfId="169"/>
    <cellStyle name="Normal 42 2" xfId="272"/>
    <cellStyle name="Normal 43" xfId="157"/>
    <cellStyle name="Normal 43 2" xfId="183"/>
    <cellStyle name="Normal 44" xfId="154"/>
    <cellStyle name="Normal 44 2" xfId="185"/>
    <cellStyle name="Normal 45" xfId="155"/>
    <cellStyle name="Normal 45 2" xfId="259"/>
    <cellStyle name="Normal 46" xfId="152"/>
    <cellStyle name="Normal 46 2" xfId="236"/>
    <cellStyle name="Normal 47" xfId="156"/>
    <cellStyle name="Normal 47 2" xfId="232"/>
    <cellStyle name="Normal 48" xfId="60"/>
    <cellStyle name="Normal 49" xfId="71"/>
    <cellStyle name="Normal 5" xfId="93"/>
    <cellStyle name="Normal 5 2" xfId="186"/>
    <cellStyle name="Normal 5 3" xfId="374"/>
    <cellStyle name="Normal 50" xfId="79"/>
    <cellStyle name="Normal 51" xfId="211"/>
    <cellStyle name="Normal 52" xfId="219"/>
    <cellStyle name="Normal 53" xfId="175"/>
    <cellStyle name="Normal 54" xfId="191"/>
    <cellStyle name="Normal 55" xfId="214"/>
    <cellStyle name="Normal 56" xfId="170"/>
    <cellStyle name="Normal 57" xfId="226"/>
    <cellStyle name="Normal 58" xfId="76"/>
    <cellStyle name="Normal 59" xfId="207"/>
    <cellStyle name="Normal 6" xfId="19"/>
    <cellStyle name="Normal 6 2" xfId="70"/>
    <cellStyle name="Normal 60" xfId="228"/>
    <cellStyle name="Normal 61" xfId="195"/>
    <cellStyle name="Normal 62" xfId="182"/>
    <cellStyle name="Normal 63" xfId="81"/>
    <cellStyle name="Normal 64" xfId="172"/>
    <cellStyle name="Normal 65" xfId="199"/>
    <cellStyle name="Normal 66" xfId="206"/>
    <cellStyle name="Normal 67" xfId="229"/>
    <cellStyle name="Normal 68" xfId="256"/>
    <cellStyle name="Normal 69" xfId="266"/>
    <cellStyle name="Normal 7" xfId="18"/>
    <cellStyle name="Normal 7 2" xfId="225"/>
    <cellStyle name="Normal 7 3" xfId="375"/>
    <cellStyle name="Normal 70" xfId="267"/>
    <cellStyle name="Normal 71" xfId="245"/>
    <cellStyle name="Normal 72" xfId="202"/>
    <cellStyle name="Normal 73" xfId="278"/>
    <cellStyle name="Normal 74" xfId="271"/>
    <cellStyle name="Normal 75" xfId="280"/>
    <cellStyle name="Normal 76" xfId="66"/>
    <cellStyle name="Normal 77" xfId="275"/>
    <cellStyle name="Normal 78" xfId="276"/>
    <cellStyle name="Normal 79" xfId="273"/>
    <cellStyle name="Normal 8" xfId="85"/>
    <cellStyle name="Normal 8 2" xfId="83"/>
    <cellStyle name="Normal 8 3" xfId="376"/>
    <cellStyle name="Normal 80" xfId="279"/>
    <cellStyle name="Normal 81" xfId="177"/>
    <cellStyle name="Normal 82" xfId="274"/>
    <cellStyle name="Normal 83" xfId="255"/>
    <cellStyle name="Normal 84" xfId="281"/>
    <cellStyle name="Normal 85" xfId="59"/>
    <cellStyle name="Normal 86" xfId="283"/>
    <cellStyle name="Normal 87" xfId="391"/>
    <cellStyle name="Normal 88" xfId="389"/>
    <cellStyle name="Normal 9" xfId="99"/>
    <cellStyle name="Normal 9 2" xfId="62"/>
    <cellStyle name="Normal 9 3" xfId="284"/>
    <cellStyle name="Notas" xfId="32" builtinId="10" customBuiltin="1"/>
    <cellStyle name="Notas 2" xfId="203"/>
    <cellStyle name="Notas 2 2" xfId="377"/>
    <cellStyle name="Notas 3" xfId="378"/>
    <cellStyle name="Porcentaje" xfId="282" builtinId="5"/>
    <cellStyle name="Porcentaje 2 2" xfId="96"/>
    <cellStyle name="Porcentaje 2 2 2" xfId="98"/>
    <cellStyle name="Porcentaje 2 3" xfId="129"/>
    <cellStyle name="Salida" xfId="27" builtinId="21" customBuiltin="1"/>
    <cellStyle name="Salida 2" xfId="205"/>
    <cellStyle name="Salida 2 2" xfId="379"/>
    <cellStyle name="TableStyleLight1" xfId="380"/>
    <cellStyle name="Texto de advertencia" xfId="31" builtinId="11" customBuiltin="1"/>
    <cellStyle name="Texto de advertencia 2" xfId="249"/>
    <cellStyle name="Texto de advertencia 2 2" xfId="381"/>
    <cellStyle name="Texto explicativo" xfId="33" builtinId="53" customBuiltin="1"/>
    <cellStyle name="Texto explicativo 2" xfId="252"/>
    <cellStyle name="Texto explicativo 2 2" xfId="382"/>
    <cellStyle name="Título 1 2" xfId="269"/>
    <cellStyle name="Título 1 2 2" xfId="383"/>
    <cellStyle name="Título 2" xfId="21" builtinId="17" customBuiltin="1"/>
    <cellStyle name="Título 2 2" xfId="65"/>
    <cellStyle name="Título 2 2 2" xfId="384"/>
    <cellStyle name="Título 3" xfId="22" builtinId="18" customBuiltin="1"/>
    <cellStyle name="Título 3 2" xfId="190"/>
    <cellStyle name="Título 3 2 2" xfId="385"/>
    <cellStyle name="Título 4" xfId="64"/>
    <cellStyle name="Título 4 2" xfId="386"/>
    <cellStyle name="Título 5" xfId="231"/>
    <cellStyle name="Total" xfId="34" builtinId="25" customBuiltin="1"/>
    <cellStyle name="Total 2" xfId="220"/>
    <cellStyle name="Total 2 2" xfId="387"/>
  </cellStyles>
  <dxfs count="6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t>ESTADO DE EJECUCIÓN POAI</a:t>
            </a:r>
          </a:p>
          <a:p>
            <a:pPr>
              <a:defRPr/>
            </a:pPr>
            <a:r>
              <a:rPr lang="es-CO"/>
              <a:t>SECTOR CENTRA</a:t>
            </a:r>
          </a:p>
          <a:p>
            <a:pPr>
              <a:defRPr/>
            </a:pPr>
            <a:r>
              <a:rPr lang="es-CO"/>
              <a:t>MARZO</a:t>
            </a:r>
            <a:r>
              <a:rPr lang="es-CO" baseline="0"/>
              <a:t> 31 DE 2021</a:t>
            </a:r>
            <a:endParaRPr lang="es-CO"/>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'EJE ESTRATEGICO'!$C$3</c:f>
              <c:strCache>
                <c:ptCount val="1"/>
                <c:pt idx="0">
                  <c:v>INCLUSIÓN SOCIAL Y EQUIDAD </c:v>
                </c:pt>
              </c:strCache>
            </c:strRef>
          </c:tx>
          <c:spPr>
            <a:solidFill>
              <a:schemeClr val="accent1"/>
            </a:solidFill>
            <a:ln>
              <a:noFill/>
            </a:ln>
            <a:effectLst/>
            <a:sp3d/>
          </c:spPr>
          <c:invertIfNegative val="0"/>
          <c:cat>
            <c:strRef>
              <c:f>'EJE ESTRATEGICO'!$D$2:$H$2</c:f>
              <c:strCache>
                <c:ptCount val="5"/>
                <c:pt idx="0">
                  <c:v>PRESUPUESTADO</c:v>
                </c:pt>
                <c:pt idx="1">
                  <c:v>COMPROMISOS</c:v>
                </c:pt>
                <c:pt idx="2">
                  <c:v>% COMPR</c:v>
                </c:pt>
                <c:pt idx="3">
                  <c:v>OBLIGACIONES</c:v>
                </c:pt>
                <c:pt idx="4">
                  <c:v>% OBLIG</c:v>
                </c:pt>
              </c:strCache>
            </c:strRef>
          </c:cat>
          <c:val>
            <c:numRef>
              <c:f>'EJE ESTRATEGICO'!$D$3:$H$3</c:f>
              <c:numCache>
                <c:formatCode>_-* #,##0.00_-;\-* #,##0.00_-;_-* "-"??_-;_-@_-</c:formatCode>
                <c:ptCount val="5"/>
                <c:pt idx="0">
                  <c:v>251581979419.16003</c:v>
                </c:pt>
                <c:pt idx="1">
                  <c:v>88654882153.910004</c:v>
                </c:pt>
                <c:pt idx="2" formatCode="0.00%">
                  <c:v>0.35238963600887468</c:v>
                </c:pt>
                <c:pt idx="3">
                  <c:v>47094541164.650002</c:v>
                </c:pt>
                <c:pt idx="4" formatCode="0.00%">
                  <c:v>0.53121204405744016</c:v>
                </c:pt>
              </c:numCache>
            </c:numRef>
          </c:val>
          <c:extLst xmlns:c16r2="http://schemas.microsoft.com/office/drawing/2015/06/chart">
            <c:ext xmlns:c16="http://schemas.microsoft.com/office/drawing/2014/chart" uri="{C3380CC4-5D6E-409C-BE32-E72D297353CC}">
              <c16:uniqueId val="{00000000-193A-4AAF-822B-6C775BAB9851}"/>
            </c:ext>
          </c:extLst>
        </c:ser>
        <c:ser>
          <c:idx val="1"/>
          <c:order val="1"/>
          <c:tx>
            <c:strRef>
              <c:f>'EJE ESTRATEGICO'!$C$4</c:f>
              <c:strCache>
                <c:ptCount val="1"/>
                <c:pt idx="0">
                  <c:v>PRODUCTIVIDAD Y COMPETITIVIDAD</c:v>
                </c:pt>
              </c:strCache>
            </c:strRef>
          </c:tx>
          <c:spPr>
            <a:solidFill>
              <a:schemeClr val="accent2"/>
            </a:solidFill>
            <a:ln>
              <a:noFill/>
            </a:ln>
            <a:effectLst/>
            <a:sp3d/>
          </c:spPr>
          <c:invertIfNegative val="0"/>
          <c:cat>
            <c:strRef>
              <c:f>'EJE ESTRATEGICO'!$D$2:$H$2</c:f>
              <c:strCache>
                <c:ptCount val="5"/>
                <c:pt idx="0">
                  <c:v>PRESUPUESTADO</c:v>
                </c:pt>
                <c:pt idx="1">
                  <c:v>COMPROMISOS</c:v>
                </c:pt>
                <c:pt idx="2">
                  <c:v>% COMPR</c:v>
                </c:pt>
                <c:pt idx="3">
                  <c:v>OBLIGACIONES</c:v>
                </c:pt>
                <c:pt idx="4">
                  <c:v>% OBLIG</c:v>
                </c:pt>
              </c:strCache>
            </c:strRef>
          </c:cat>
          <c:val>
            <c:numRef>
              <c:f>'EJE ESTRATEGICO'!$D$4:$H$4</c:f>
              <c:numCache>
                <c:formatCode>_-* #,##0.00_-;\-* #,##0.00_-;_-* "-"??_-;_-@_-</c:formatCode>
                <c:ptCount val="5"/>
                <c:pt idx="0">
                  <c:v>4273728339.7600002</c:v>
                </c:pt>
                <c:pt idx="1">
                  <c:v>638140000</c:v>
                </c:pt>
                <c:pt idx="2" formatCode="0.00%">
                  <c:v>0.14931693108875424</c:v>
                </c:pt>
                <c:pt idx="3">
                  <c:v>72795000</c:v>
                </c:pt>
                <c:pt idx="4" formatCode="0.00%">
                  <c:v>0.11407371423198671</c:v>
                </c:pt>
              </c:numCache>
            </c:numRef>
          </c:val>
          <c:extLst xmlns:c16r2="http://schemas.microsoft.com/office/drawing/2015/06/chart">
            <c:ext xmlns:c16="http://schemas.microsoft.com/office/drawing/2014/chart" uri="{C3380CC4-5D6E-409C-BE32-E72D297353CC}">
              <c16:uniqueId val="{00000001-193A-4AAF-822B-6C775BAB9851}"/>
            </c:ext>
          </c:extLst>
        </c:ser>
        <c:ser>
          <c:idx val="2"/>
          <c:order val="2"/>
          <c:tx>
            <c:strRef>
              <c:f>'EJE ESTRATEGICO'!$C$5</c:f>
              <c:strCache>
                <c:ptCount val="1"/>
                <c:pt idx="0">
                  <c:v>TERRITORIO, AMBIENTE Y DESARROLLO SOSTENIBLE </c:v>
                </c:pt>
              </c:strCache>
            </c:strRef>
          </c:tx>
          <c:spPr>
            <a:solidFill>
              <a:schemeClr val="accent3"/>
            </a:solidFill>
            <a:ln>
              <a:noFill/>
            </a:ln>
            <a:effectLst/>
            <a:sp3d/>
          </c:spPr>
          <c:invertIfNegative val="0"/>
          <c:cat>
            <c:strRef>
              <c:f>'EJE ESTRATEGICO'!$D$2:$H$2</c:f>
              <c:strCache>
                <c:ptCount val="5"/>
                <c:pt idx="0">
                  <c:v>PRESUPUESTADO</c:v>
                </c:pt>
                <c:pt idx="1">
                  <c:v>COMPROMISOS</c:v>
                </c:pt>
                <c:pt idx="2">
                  <c:v>% COMPR</c:v>
                </c:pt>
                <c:pt idx="3">
                  <c:v>OBLIGACIONES</c:v>
                </c:pt>
                <c:pt idx="4">
                  <c:v>% OBLIG</c:v>
                </c:pt>
              </c:strCache>
            </c:strRef>
          </c:cat>
          <c:val>
            <c:numRef>
              <c:f>'EJE ESTRATEGICO'!$D$5:$H$5</c:f>
              <c:numCache>
                <c:formatCode>_-* #,##0.00_-;\-* #,##0.00_-;_-* "-"??_-;_-@_-</c:formatCode>
                <c:ptCount val="5"/>
                <c:pt idx="0">
                  <c:v>5524367474.1000004</c:v>
                </c:pt>
                <c:pt idx="1">
                  <c:v>668545036</c:v>
                </c:pt>
                <c:pt idx="2" formatCode="0.00%">
                  <c:v>0.12101748103006411</c:v>
                </c:pt>
                <c:pt idx="3">
                  <c:v>86015787</c:v>
                </c:pt>
                <c:pt idx="4" formatCode="0.00%">
                  <c:v>0.12866117070383873</c:v>
                </c:pt>
              </c:numCache>
            </c:numRef>
          </c:val>
          <c:extLst xmlns:c16r2="http://schemas.microsoft.com/office/drawing/2015/06/chart">
            <c:ext xmlns:c16="http://schemas.microsoft.com/office/drawing/2014/chart" uri="{C3380CC4-5D6E-409C-BE32-E72D297353CC}">
              <c16:uniqueId val="{00000002-193A-4AAF-822B-6C775BAB9851}"/>
            </c:ext>
          </c:extLst>
        </c:ser>
        <c:ser>
          <c:idx val="3"/>
          <c:order val="3"/>
          <c:tx>
            <c:strRef>
              <c:f>'EJE ESTRATEGICO'!$C$6</c:f>
              <c:strCache>
                <c:ptCount val="1"/>
                <c:pt idx="0">
                  <c:v>LIDERAZGO, GOBERNABILIDAD Y TRANSPARENCIA </c:v>
                </c:pt>
              </c:strCache>
            </c:strRef>
          </c:tx>
          <c:spPr>
            <a:solidFill>
              <a:schemeClr val="accent4"/>
            </a:solidFill>
            <a:ln>
              <a:noFill/>
            </a:ln>
            <a:effectLst/>
            <a:sp3d/>
          </c:spPr>
          <c:invertIfNegative val="0"/>
          <c:cat>
            <c:strRef>
              <c:f>'EJE ESTRATEGICO'!$D$2:$H$2</c:f>
              <c:strCache>
                <c:ptCount val="5"/>
                <c:pt idx="0">
                  <c:v>PRESUPUESTADO</c:v>
                </c:pt>
                <c:pt idx="1">
                  <c:v>COMPROMISOS</c:v>
                </c:pt>
                <c:pt idx="2">
                  <c:v>% COMPR</c:v>
                </c:pt>
                <c:pt idx="3">
                  <c:v>OBLIGACIONES</c:v>
                </c:pt>
                <c:pt idx="4">
                  <c:v>% OBLIG</c:v>
                </c:pt>
              </c:strCache>
            </c:strRef>
          </c:cat>
          <c:val>
            <c:numRef>
              <c:f>'EJE ESTRATEGICO'!$D$6:$H$6</c:f>
              <c:numCache>
                <c:formatCode>_-* #,##0.00_-;\-* #,##0.00_-;_-* "-"??_-;_-@_-</c:formatCode>
                <c:ptCount val="5"/>
                <c:pt idx="0">
                  <c:v>5491395879</c:v>
                </c:pt>
                <c:pt idx="1">
                  <c:v>2086774640</c:v>
                </c:pt>
                <c:pt idx="2" formatCode="0.00%">
                  <c:v>0.38000805004428273</c:v>
                </c:pt>
                <c:pt idx="3">
                  <c:v>281300000</c:v>
                </c:pt>
                <c:pt idx="4" formatCode="0.00%">
                  <c:v>0.13480133149404191</c:v>
                </c:pt>
              </c:numCache>
            </c:numRef>
          </c:val>
          <c:extLst xmlns:c16r2="http://schemas.microsoft.com/office/drawing/2015/06/chart">
            <c:ext xmlns:c16="http://schemas.microsoft.com/office/drawing/2014/chart" uri="{C3380CC4-5D6E-409C-BE32-E72D297353CC}">
              <c16:uniqueId val="{00000003-193A-4AAF-822B-6C775BAB9851}"/>
            </c:ext>
          </c:extLst>
        </c:ser>
        <c:ser>
          <c:idx val="4"/>
          <c:order val="4"/>
          <c:tx>
            <c:strRef>
              <c:f>'EJE ESTRATEGICO'!$C$7</c:f>
              <c:strCache>
                <c:ptCount val="1"/>
                <c:pt idx="0">
                  <c:v>TOTAL</c:v>
                </c:pt>
              </c:strCache>
            </c:strRef>
          </c:tx>
          <c:spPr>
            <a:solidFill>
              <a:schemeClr val="accent5"/>
            </a:solidFill>
            <a:ln>
              <a:noFill/>
            </a:ln>
            <a:effectLst/>
            <a:sp3d/>
          </c:spPr>
          <c:invertIfNegative val="0"/>
          <c:cat>
            <c:strRef>
              <c:f>'EJE ESTRATEGICO'!$D$2:$H$2</c:f>
              <c:strCache>
                <c:ptCount val="5"/>
                <c:pt idx="0">
                  <c:v>PRESUPUESTADO</c:v>
                </c:pt>
                <c:pt idx="1">
                  <c:v>COMPROMISOS</c:v>
                </c:pt>
                <c:pt idx="2">
                  <c:v>% COMPR</c:v>
                </c:pt>
                <c:pt idx="3">
                  <c:v>OBLIGACIONES</c:v>
                </c:pt>
                <c:pt idx="4">
                  <c:v>% OBLIG</c:v>
                </c:pt>
              </c:strCache>
            </c:strRef>
          </c:cat>
          <c:val>
            <c:numRef>
              <c:f>'EJE ESTRATEGICO'!$D$7:$H$7</c:f>
              <c:numCache>
                <c:formatCode>_-* #,##0.00_-;\-* #,##0.00_-;_-* "-"??_-;_-@_-</c:formatCode>
                <c:ptCount val="5"/>
                <c:pt idx="0">
                  <c:v>266871471112.02005</c:v>
                </c:pt>
                <c:pt idx="1">
                  <c:v>92048341829.910004</c:v>
                </c:pt>
                <c:pt idx="2" formatCode="0.00%">
                  <c:v>0.34491638033228533</c:v>
                </c:pt>
                <c:pt idx="3">
                  <c:v>47534651951.650002</c:v>
                </c:pt>
                <c:pt idx="4" formatCode="0.00%">
                  <c:v>0.51640964961091984</c:v>
                </c:pt>
              </c:numCache>
            </c:numRef>
          </c:val>
          <c:extLst xmlns:c16r2="http://schemas.microsoft.com/office/drawing/2015/06/chart">
            <c:ext xmlns:c16="http://schemas.microsoft.com/office/drawing/2014/chart" uri="{C3380CC4-5D6E-409C-BE32-E72D297353CC}">
              <c16:uniqueId val="{00000004-193A-4AAF-822B-6C775BAB9851}"/>
            </c:ext>
          </c:extLst>
        </c:ser>
        <c:dLbls>
          <c:showLegendKey val="0"/>
          <c:showVal val="0"/>
          <c:showCatName val="0"/>
          <c:showSerName val="0"/>
          <c:showPercent val="0"/>
          <c:showBubbleSize val="0"/>
        </c:dLbls>
        <c:gapWidth val="150"/>
        <c:shape val="box"/>
        <c:axId val="168763480"/>
        <c:axId val="268393616"/>
        <c:axId val="0"/>
      </c:bar3DChart>
      <c:catAx>
        <c:axId val="168763480"/>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68393616"/>
        <c:crosses val="autoZero"/>
        <c:auto val="1"/>
        <c:lblAlgn val="ctr"/>
        <c:lblOffset val="100"/>
        <c:noMultiLvlLbl val="0"/>
      </c:catAx>
      <c:valAx>
        <c:axId val="268393616"/>
        <c:scaling>
          <c:orientation val="minMax"/>
        </c:scaling>
        <c:delete val="0"/>
        <c:axPos val="l"/>
        <c:numFmt formatCode="_-* #,##0.00_-;\-* #,##0.0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68763480"/>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s-CO"/>
          </a:p>
        </c:txPr>
      </c:dTable>
      <c:spPr>
        <a:noFill/>
        <a:ln>
          <a:noFill/>
        </a:ln>
        <a:effectLst/>
      </c:spPr>
    </c:plotArea>
    <c:plotVisOnly val="1"/>
    <c:dispBlanksAs val="gap"/>
    <c:showDLblsOverMax val="0"/>
  </c:chart>
  <c:spPr>
    <a:no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t>ESTADO DE EJECUCIÓN POAI</a:t>
            </a:r>
          </a:p>
          <a:p>
            <a:pPr>
              <a:defRPr/>
            </a:pPr>
            <a:r>
              <a:rPr lang="es-CO"/>
              <a:t>DESCENTRALIZADOS</a:t>
            </a:r>
          </a:p>
          <a:p>
            <a:pPr>
              <a:defRPr/>
            </a:pPr>
            <a:r>
              <a:rPr lang="es-CO"/>
              <a:t>MARZO</a:t>
            </a:r>
            <a:r>
              <a:rPr lang="es-CO" baseline="0"/>
              <a:t> 31 DE 2021</a:t>
            </a:r>
            <a:endParaRPr lang="es-CO"/>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'EJE ESTRATEGICO'!$C$16</c:f>
              <c:strCache>
                <c:ptCount val="1"/>
                <c:pt idx="0">
                  <c:v>INCLUSIÓN SOCIAL Y EQUIDAD </c:v>
                </c:pt>
              </c:strCache>
            </c:strRef>
          </c:tx>
          <c:spPr>
            <a:solidFill>
              <a:schemeClr val="accent1"/>
            </a:solidFill>
            <a:ln>
              <a:noFill/>
            </a:ln>
            <a:effectLst/>
            <a:sp3d/>
          </c:spPr>
          <c:invertIfNegative val="0"/>
          <c:cat>
            <c:strRef>
              <c:f>'EJE ESTRATEGICO'!$D$15:$H$15</c:f>
              <c:strCache>
                <c:ptCount val="5"/>
                <c:pt idx="0">
                  <c:v>PRESUPUESTADO</c:v>
                </c:pt>
                <c:pt idx="1">
                  <c:v>COMPROMISOS</c:v>
                </c:pt>
                <c:pt idx="2">
                  <c:v>% COMPR</c:v>
                </c:pt>
                <c:pt idx="3">
                  <c:v>OBLIGACIONES</c:v>
                </c:pt>
                <c:pt idx="4">
                  <c:v>% OBLIG</c:v>
                </c:pt>
              </c:strCache>
            </c:strRef>
          </c:cat>
          <c:val>
            <c:numRef>
              <c:f>'EJE ESTRATEGICO'!$D$16:$H$16</c:f>
              <c:numCache>
                <c:formatCode>_-* #,##0.00_-;\-* #,##0.00_-;_-* "-"??_-;_-@_-</c:formatCode>
                <c:ptCount val="5"/>
                <c:pt idx="0">
                  <c:v>6783960625.3500004</c:v>
                </c:pt>
                <c:pt idx="1">
                  <c:v>879229500</c:v>
                </c:pt>
                <c:pt idx="2" formatCode="0.00%">
                  <c:v>0.12960415729928246</c:v>
                </c:pt>
                <c:pt idx="3">
                  <c:v>181269500</c:v>
                </c:pt>
                <c:pt idx="4" formatCode="0.00%">
                  <c:v>0.20616858283303732</c:v>
                </c:pt>
              </c:numCache>
            </c:numRef>
          </c:val>
          <c:extLst xmlns:c16r2="http://schemas.microsoft.com/office/drawing/2015/06/chart">
            <c:ext xmlns:c16="http://schemas.microsoft.com/office/drawing/2014/chart" uri="{C3380CC4-5D6E-409C-BE32-E72D297353CC}">
              <c16:uniqueId val="{00000000-206B-4998-B2DA-83EF624BACE3}"/>
            </c:ext>
          </c:extLst>
        </c:ser>
        <c:ser>
          <c:idx val="1"/>
          <c:order val="1"/>
          <c:tx>
            <c:strRef>
              <c:f>'EJE ESTRATEGICO'!$C$17</c:f>
              <c:strCache>
                <c:ptCount val="1"/>
                <c:pt idx="0">
                  <c:v>TERRITORIO, AMBIENTE Y DESARROLLO SOSTENIBLE </c:v>
                </c:pt>
              </c:strCache>
            </c:strRef>
          </c:tx>
          <c:spPr>
            <a:solidFill>
              <a:schemeClr val="accent2"/>
            </a:solidFill>
            <a:ln>
              <a:noFill/>
            </a:ln>
            <a:effectLst/>
            <a:sp3d/>
          </c:spPr>
          <c:invertIfNegative val="0"/>
          <c:cat>
            <c:strRef>
              <c:f>'EJE ESTRATEGICO'!$D$15:$H$15</c:f>
              <c:strCache>
                <c:ptCount val="5"/>
                <c:pt idx="0">
                  <c:v>PRESUPUESTADO</c:v>
                </c:pt>
                <c:pt idx="1">
                  <c:v>COMPROMISOS</c:v>
                </c:pt>
                <c:pt idx="2">
                  <c:v>% COMPR</c:v>
                </c:pt>
                <c:pt idx="3">
                  <c:v>OBLIGACIONES</c:v>
                </c:pt>
                <c:pt idx="4">
                  <c:v>% OBLIG</c:v>
                </c:pt>
              </c:strCache>
            </c:strRef>
          </c:cat>
          <c:val>
            <c:numRef>
              <c:f>'EJE ESTRATEGICO'!$D$17:$H$17</c:f>
              <c:numCache>
                <c:formatCode>_-* #,##0.00_-;\-* #,##0.00_-;_-* "-"??_-;_-@_-</c:formatCode>
                <c:ptCount val="5"/>
                <c:pt idx="0">
                  <c:v>1518588353.2</c:v>
                </c:pt>
                <c:pt idx="1">
                  <c:v>39360000</c:v>
                </c:pt>
                <c:pt idx="2" formatCode="0.00%">
                  <c:v>2.5918808027902897E-2</c:v>
                </c:pt>
                <c:pt idx="3">
                  <c:v>5030000</c:v>
                </c:pt>
                <c:pt idx="4" formatCode="0.00%">
                  <c:v>0.12779471544715448</c:v>
                </c:pt>
              </c:numCache>
            </c:numRef>
          </c:val>
          <c:extLst xmlns:c16r2="http://schemas.microsoft.com/office/drawing/2015/06/chart">
            <c:ext xmlns:c16="http://schemas.microsoft.com/office/drawing/2014/chart" uri="{C3380CC4-5D6E-409C-BE32-E72D297353CC}">
              <c16:uniqueId val="{00000001-206B-4998-B2DA-83EF624BACE3}"/>
            </c:ext>
          </c:extLst>
        </c:ser>
        <c:ser>
          <c:idx val="2"/>
          <c:order val="2"/>
          <c:tx>
            <c:strRef>
              <c:f>'EJE ESTRATEGICO'!$C$18</c:f>
              <c:strCache>
                <c:ptCount val="1"/>
                <c:pt idx="0">
                  <c:v>TOTAL</c:v>
                </c:pt>
              </c:strCache>
            </c:strRef>
          </c:tx>
          <c:spPr>
            <a:solidFill>
              <a:schemeClr val="accent3"/>
            </a:solidFill>
            <a:ln>
              <a:noFill/>
            </a:ln>
            <a:effectLst/>
            <a:sp3d/>
          </c:spPr>
          <c:invertIfNegative val="0"/>
          <c:cat>
            <c:strRef>
              <c:f>'EJE ESTRATEGICO'!$D$15:$H$15</c:f>
              <c:strCache>
                <c:ptCount val="5"/>
                <c:pt idx="0">
                  <c:v>PRESUPUESTADO</c:v>
                </c:pt>
                <c:pt idx="1">
                  <c:v>COMPROMISOS</c:v>
                </c:pt>
                <c:pt idx="2">
                  <c:v>% COMPR</c:v>
                </c:pt>
                <c:pt idx="3">
                  <c:v>OBLIGACIONES</c:v>
                </c:pt>
                <c:pt idx="4">
                  <c:v>% OBLIG</c:v>
                </c:pt>
              </c:strCache>
            </c:strRef>
          </c:cat>
          <c:val>
            <c:numRef>
              <c:f>'EJE ESTRATEGICO'!$D$18:$H$18</c:f>
              <c:numCache>
                <c:formatCode>_-* #,##0.00_-;\-* #,##0.00_-;_-* "-"??_-;_-@_-</c:formatCode>
                <c:ptCount val="5"/>
                <c:pt idx="0">
                  <c:v>8302548978.5500002</c:v>
                </c:pt>
                <c:pt idx="1">
                  <c:v>918589500</c:v>
                </c:pt>
                <c:pt idx="2" formatCode="0%">
                  <c:v>0.11063945571091677</c:v>
                </c:pt>
                <c:pt idx="3">
                  <c:v>186299500</c:v>
                </c:pt>
                <c:pt idx="4" formatCode="0.00%">
                  <c:v>0.20281039572083068</c:v>
                </c:pt>
              </c:numCache>
            </c:numRef>
          </c:val>
          <c:extLst xmlns:c16r2="http://schemas.microsoft.com/office/drawing/2015/06/chart">
            <c:ext xmlns:c16="http://schemas.microsoft.com/office/drawing/2014/chart" uri="{C3380CC4-5D6E-409C-BE32-E72D297353CC}">
              <c16:uniqueId val="{00000002-206B-4998-B2DA-83EF624BACE3}"/>
            </c:ext>
          </c:extLst>
        </c:ser>
        <c:dLbls>
          <c:showLegendKey val="0"/>
          <c:showVal val="0"/>
          <c:showCatName val="0"/>
          <c:showSerName val="0"/>
          <c:showPercent val="0"/>
          <c:showBubbleSize val="0"/>
        </c:dLbls>
        <c:gapWidth val="150"/>
        <c:shape val="box"/>
        <c:axId val="268394792"/>
        <c:axId val="268395184"/>
        <c:axId val="0"/>
      </c:bar3DChart>
      <c:catAx>
        <c:axId val="268394792"/>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68395184"/>
        <c:crosses val="autoZero"/>
        <c:auto val="1"/>
        <c:lblAlgn val="ctr"/>
        <c:lblOffset val="100"/>
        <c:noMultiLvlLbl val="0"/>
      </c:catAx>
      <c:valAx>
        <c:axId val="268395184"/>
        <c:scaling>
          <c:orientation val="minMax"/>
        </c:scaling>
        <c:delete val="0"/>
        <c:axPos val="l"/>
        <c:numFmt formatCode="_-* #,##0.00_-;\-* #,##0.0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68394792"/>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s-CO"/>
          </a:p>
        </c:txPr>
      </c:dTable>
      <c:spPr>
        <a:noFill/>
        <a:ln>
          <a:noFill/>
        </a:ln>
        <a:effectLst/>
      </c:spPr>
    </c:plotArea>
    <c:plotVisOnly val="1"/>
    <c:dispBlanksAs val="gap"/>
    <c:showDLblsOverMax val="0"/>
  </c:chart>
  <c:spPr>
    <a:no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t>ESTADO DE EJECUCIÓN POAI</a:t>
            </a:r>
          </a:p>
          <a:p>
            <a:pPr>
              <a:defRPr/>
            </a:pPr>
            <a:r>
              <a:rPr lang="es-CO"/>
              <a:t>ÓDEPARTAMENTO QUINDIO</a:t>
            </a:r>
          </a:p>
          <a:p>
            <a:pPr>
              <a:defRPr/>
            </a:pPr>
            <a:r>
              <a:rPr lang="es-CO"/>
              <a:t>MARZO 31 DE 2021</a:t>
            </a:r>
          </a:p>
        </c:rich>
      </c:tx>
      <c:layout>
        <c:manualLayout>
          <c:xMode val="edge"/>
          <c:yMode val="edge"/>
          <c:x val="0.46791676913284214"/>
          <c:y val="4.2709377538846897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'EJE ESTRATEGICO'!$C$32</c:f>
              <c:strCache>
                <c:ptCount val="1"/>
                <c:pt idx="0">
                  <c:v>INCLUSIÓN SOCIAL Y EQUIDAD </c:v>
                </c:pt>
              </c:strCache>
            </c:strRef>
          </c:tx>
          <c:spPr>
            <a:solidFill>
              <a:schemeClr val="accent1"/>
            </a:solidFill>
            <a:ln>
              <a:noFill/>
            </a:ln>
            <a:effectLst/>
            <a:sp3d/>
          </c:spPr>
          <c:invertIfNegative val="0"/>
          <c:cat>
            <c:strRef>
              <c:f>'EJE ESTRATEGICO'!$D$31:$H$31</c:f>
              <c:strCache>
                <c:ptCount val="5"/>
                <c:pt idx="0">
                  <c:v>PRESUPUESTADO</c:v>
                </c:pt>
                <c:pt idx="1">
                  <c:v>COMPROMISOS</c:v>
                </c:pt>
                <c:pt idx="2">
                  <c:v>% COMPR</c:v>
                </c:pt>
                <c:pt idx="3">
                  <c:v>OBLIGACIONES</c:v>
                </c:pt>
                <c:pt idx="4">
                  <c:v>% OBLIG</c:v>
                </c:pt>
              </c:strCache>
            </c:strRef>
          </c:cat>
          <c:val>
            <c:numRef>
              <c:f>'EJE ESTRATEGICO'!$D$32:$H$32</c:f>
              <c:numCache>
                <c:formatCode>_-* #,##0.00_-;\-* #,##0.00_-;_-* "-"??_-;_-@_-</c:formatCode>
                <c:ptCount val="5"/>
                <c:pt idx="0">
                  <c:v>258365940044.51004</c:v>
                </c:pt>
                <c:pt idx="1">
                  <c:v>89534111653.910004</c:v>
                </c:pt>
                <c:pt idx="2" formatCode="0.00%">
                  <c:v>0.34653991791056321</c:v>
                </c:pt>
                <c:pt idx="3">
                  <c:v>47275810664.650002</c:v>
                </c:pt>
                <c:pt idx="4" formatCode="0.00%">
                  <c:v>0.52802010084594886</c:v>
                </c:pt>
              </c:numCache>
            </c:numRef>
          </c:val>
          <c:extLst xmlns:c16r2="http://schemas.microsoft.com/office/drawing/2015/06/chart">
            <c:ext xmlns:c16="http://schemas.microsoft.com/office/drawing/2014/chart" uri="{C3380CC4-5D6E-409C-BE32-E72D297353CC}">
              <c16:uniqueId val="{00000000-7AD6-4CDD-B170-98AB75964132}"/>
            </c:ext>
          </c:extLst>
        </c:ser>
        <c:ser>
          <c:idx val="1"/>
          <c:order val="1"/>
          <c:tx>
            <c:strRef>
              <c:f>'EJE ESTRATEGICO'!$C$33</c:f>
              <c:strCache>
                <c:ptCount val="1"/>
                <c:pt idx="0">
                  <c:v>PRODUCTIVIDAD Y COMPETITIVIDAD</c:v>
                </c:pt>
              </c:strCache>
            </c:strRef>
          </c:tx>
          <c:spPr>
            <a:solidFill>
              <a:schemeClr val="accent2"/>
            </a:solidFill>
            <a:ln>
              <a:noFill/>
            </a:ln>
            <a:effectLst/>
            <a:sp3d/>
          </c:spPr>
          <c:invertIfNegative val="0"/>
          <c:cat>
            <c:strRef>
              <c:f>'EJE ESTRATEGICO'!$D$31:$H$31</c:f>
              <c:strCache>
                <c:ptCount val="5"/>
                <c:pt idx="0">
                  <c:v>PRESUPUESTADO</c:v>
                </c:pt>
                <c:pt idx="1">
                  <c:v>COMPROMISOS</c:v>
                </c:pt>
                <c:pt idx="2">
                  <c:v>% COMPR</c:v>
                </c:pt>
                <c:pt idx="3">
                  <c:v>OBLIGACIONES</c:v>
                </c:pt>
                <c:pt idx="4">
                  <c:v>% OBLIG</c:v>
                </c:pt>
              </c:strCache>
            </c:strRef>
          </c:cat>
          <c:val>
            <c:numRef>
              <c:f>'EJE ESTRATEGICO'!$D$33:$H$33</c:f>
              <c:numCache>
                <c:formatCode>_-* #,##0.00_-;\-* #,##0.00_-;_-* "-"??_-;_-@_-</c:formatCode>
                <c:ptCount val="5"/>
                <c:pt idx="0">
                  <c:v>4273728339.7600002</c:v>
                </c:pt>
                <c:pt idx="1">
                  <c:v>638140000</c:v>
                </c:pt>
                <c:pt idx="2" formatCode="0.00%">
                  <c:v>0.14931693108875424</c:v>
                </c:pt>
                <c:pt idx="3">
                  <c:v>72795000</c:v>
                </c:pt>
                <c:pt idx="4" formatCode="0.00%">
                  <c:v>0.11407371423198671</c:v>
                </c:pt>
              </c:numCache>
            </c:numRef>
          </c:val>
          <c:extLst xmlns:c16r2="http://schemas.microsoft.com/office/drawing/2015/06/chart">
            <c:ext xmlns:c16="http://schemas.microsoft.com/office/drawing/2014/chart" uri="{C3380CC4-5D6E-409C-BE32-E72D297353CC}">
              <c16:uniqueId val="{00000001-7AD6-4CDD-B170-98AB75964132}"/>
            </c:ext>
          </c:extLst>
        </c:ser>
        <c:ser>
          <c:idx val="2"/>
          <c:order val="2"/>
          <c:tx>
            <c:strRef>
              <c:f>'EJE ESTRATEGICO'!$C$34</c:f>
              <c:strCache>
                <c:ptCount val="1"/>
                <c:pt idx="0">
                  <c:v>TERRITORIO, AMBIENTE Y DESARROLLO SOSTENIBLE </c:v>
                </c:pt>
              </c:strCache>
            </c:strRef>
          </c:tx>
          <c:spPr>
            <a:solidFill>
              <a:schemeClr val="accent3"/>
            </a:solidFill>
            <a:ln>
              <a:noFill/>
            </a:ln>
            <a:effectLst/>
            <a:sp3d/>
          </c:spPr>
          <c:invertIfNegative val="0"/>
          <c:cat>
            <c:strRef>
              <c:f>'EJE ESTRATEGICO'!$D$31:$H$31</c:f>
              <c:strCache>
                <c:ptCount val="5"/>
                <c:pt idx="0">
                  <c:v>PRESUPUESTADO</c:v>
                </c:pt>
                <c:pt idx="1">
                  <c:v>COMPROMISOS</c:v>
                </c:pt>
                <c:pt idx="2">
                  <c:v>% COMPR</c:v>
                </c:pt>
                <c:pt idx="3">
                  <c:v>OBLIGACIONES</c:v>
                </c:pt>
                <c:pt idx="4">
                  <c:v>% OBLIG</c:v>
                </c:pt>
              </c:strCache>
            </c:strRef>
          </c:cat>
          <c:val>
            <c:numRef>
              <c:f>'EJE ESTRATEGICO'!$D$34:$H$34</c:f>
              <c:numCache>
                <c:formatCode>_-* #,##0.00_-;\-* #,##0.00_-;_-* "-"??_-;_-@_-</c:formatCode>
                <c:ptCount val="5"/>
                <c:pt idx="0">
                  <c:v>7042955827.3000002</c:v>
                </c:pt>
                <c:pt idx="1">
                  <c:v>707905036</c:v>
                </c:pt>
                <c:pt idx="2" formatCode="0.00%">
                  <c:v>0.10051249125488036</c:v>
                </c:pt>
                <c:pt idx="3">
                  <c:v>91045787</c:v>
                </c:pt>
                <c:pt idx="4" formatCode="0.00%">
                  <c:v>0.12861299520406294</c:v>
                </c:pt>
              </c:numCache>
            </c:numRef>
          </c:val>
          <c:extLst xmlns:c16r2="http://schemas.microsoft.com/office/drawing/2015/06/chart">
            <c:ext xmlns:c16="http://schemas.microsoft.com/office/drawing/2014/chart" uri="{C3380CC4-5D6E-409C-BE32-E72D297353CC}">
              <c16:uniqueId val="{00000002-7AD6-4CDD-B170-98AB75964132}"/>
            </c:ext>
          </c:extLst>
        </c:ser>
        <c:ser>
          <c:idx val="3"/>
          <c:order val="3"/>
          <c:tx>
            <c:strRef>
              <c:f>'EJE ESTRATEGICO'!$C$35</c:f>
              <c:strCache>
                <c:ptCount val="1"/>
                <c:pt idx="0">
                  <c:v>LIDERAZGO, GOBERNABILIDAD Y TRANSPARENCIA </c:v>
                </c:pt>
              </c:strCache>
            </c:strRef>
          </c:tx>
          <c:spPr>
            <a:solidFill>
              <a:schemeClr val="accent4"/>
            </a:solidFill>
            <a:ln>
              <a:noFill/>
            </a:ln>
            <a:effectLst/>
            <a:sp3d/>
          </c:spPr>
          <c:invertIfNegative val="0"/>
          <c:cat>
            <c:strRef>
              <c:f>'EJE ESTRATEGICO'!$D$31:$H$31</c:f>
              <c:strCache>
                <c:ptCount val="5"/>
                <c:pt idx="0">
                  <c:v>PRESUPUESTADO</c:v>
                </c:pt>
                <c:pt idx="1">
                  <c:v>COMPROMISOS</c:v>
                </c:pt>
                <c:pt idx="2">
                  <c:v>% COMPR</c:v>
                </c:pt>
                <c:pt idx="3">
                  <c:v>OBLIGACIONES</c:v>
                </c:pt>
                <c:pt idx="4">
                  <c:v>% OBLIG</c:v>
                </c:pt>
              </c:strCache>
            </c:strRef>
          </c:cat>
          <c:val>
            <c:numRef>
              <c:f>'EJE ESTRATEGICO'!$D$35:$H$35</c:f>
              <c:numCache>
                <c:formatCode>_-* #,##0.00_-;\-* #,##0.00_-;_-* "-"??_-;_-@_-</c:formatCode>
                <c:ptCount val="5"/>
                <c:pt idx="0">
                  <c:v>5491395879</c:v>
                </c:pt>
                <c:pt idx="1">
                  <c:v>2086774640</c:v>
                </c:pt>
                <c:pt idx="2" formatCode="0.00%">
                  <c:v>0.38000805004428273</c:v>
                </c:pt>
                <c:pt idx="3">
                  <c:v>281300000</c:v>
                </c:pt>
                <c:pt idx="4" formatCode="0.00%">
                  <c:v>0.13480133149404191</c:v>
                </c:pt>
              </c:numCache>
            </c:numRef>
          </c:val>
          <c:extLst xmlns:c16r2="http://schemas.microsoft.com/office/drawing/2015/06/chart">
            <c:ext xmlns:c16="http://schemas.microsoft.com/office/drawing/2014/chart" uri="{C3380CC4-5D6E-409C-BE32-E72D297353CC}">
              <c16:uniqueId val="{00000003-7AD6-4CDD-B170-98AB75964132}"/>
            </c:ext>
          </c:extLst>
        </c:ser>
        <c:ser>
          <c:idx val="4"/>
          <c:order val="4"/>
          <c:tx>
            <c:strRef>
              <c:f>'EJE ESTRATEGICO'!$C$36</c:f>
              <c:strCache>
                <c:ptCount val="1"/>
                <c:pt idx="0">
                  <c:v>TOTAL</c:v>
                </c:pt>
              </c:strCache>
            </c:strRef>
          </c:tx>
          <c:spPr>
            <a:solidFill>
              <a:schemeClr val="accent5"/>
            </a:solidFill>
            <a:ln>
              <a:noFill/>
            </a:ln>
            <a:effectLst/>
            <a:sp3d/>
          </c:spPr>
          <c:invertIfNegative val="0"/>
          <c:cat>
            <c:strRef>
              <c:f>'EJE ESTRATEGICO'!$D$31:$H$31</c:f>
              <c:strCache>
                <c:ptCount val="5"/>
                <c:pt idx="0">
                  <c:v>PRESUPUESTADO</c:v>
                </c:pt>
                <c:pt idx="1">
                  <c:v>COMPROMISOS</c:v>
                </c:pt>
                <c:pt idx="2">
                  <c:v>% COMPR</c:v>
                </c:pt>
                <c:pt idx="3">
                  <c:v>OBLIGACIONES</c:v>
                </c:pt>
                <c:pt idx="4">
                  <c:v>% OBLIG</c:v>
                </c:pt>
              </c:strCache>
            </c:strRef>
          </c:cat>
          <c:val>
            <c:numRef>
              <c:f>'EJE ESTRATEGICO'!$D$36:$H$36</c:f>
              <c:numCache>
                <c:formatCode>_-* #,##0.00_-;\-* #,##0.00_-;_-* "-"??_-;_-@_-</c:formatCode>
                <c:ptCount val="5"/>
                <c:pt idx="0">
                  <c:v>275174020090.57007</c:v>
                </c:pt>
                <c:pt idx="1">
                  <c:v>92966931329.910004</c:v>
                </c:pt>
                <c:pt idx="2" formatCode="0.00%">
                  <c:v>0.33784777828703128</c:v>
                </c:pt>
                <c:pt idx="3">
                  <c:v>47720951451.650002</c:v>
                </c:pt>
                <c:pt idx="4" formatCode="0.00%">
                  <c:v>0.51331103187975047</c:v>
                </c:pt>
              </c:numCache>
            </c:numRef>
          </c:val>
          <c:extLst xmlns:c16r2="http://schemas.microsoft.com/office/drawing/2015/06/chart">
            <c:ext xmlns:c16="http://schemas.microsoft.com/office/drawing/2014/chart" uri="{C3380CC4-5D6E-409C-BE32-E72D297353CC}">
              <c16:uniqueId val="{00000004-7AD6-4CDD-B170-98AB75964132}"/>
            </c:ext>
          </c:extLst>
        </c:ser>
        <c:dLbls>
          <c:showLegendKey val="0"/>
          <c:showVal val="0"/>
          <c:showCatName val="0"/>
          <c:showSerName val="0"/>
          <c:showPercent val="0"/>
          <c:showBubbleSize val="0"/>
        </c:dLbls>
        <c:gapWidth val="150"/>
        <c:shape val="box"/>
        <c:axId val="268396360"/>
        <c:axId val="268396752"/>
        <c:axId val="0"/>
      </c:bar3DChart>
      <c:catAx>
        <c:axId val="268396360"/>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68396752"/>
        <c:crosses val="autoZero"/>
        <c:auto val="1"/>
        <c:lblAlgn val="ctr"/>
        <c:lblOffset val="100"/>
        <c:noMultiLvlLbl val="0"/>
      </c:catAx>
      <c:valAx>
        <c:axId val="268396752"/>
        <c:scaling>
          <c:orientation val="minMax"/>
        </c:scaling>
        <c:delete val="0"/>
        <c:axPos val="l"/>
        <c:numFmt formatCode="_-* #,##0.00_-;\-* #,##0.0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68396360"/>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s-CO"/>
          </a:p>
        </c:txPr>
      </c:dTable>
      <c:spPr>
        <a:noFill/>
        <a:ln>
          <a:noFill/>
        </a:ln>
        <a:effectLst/>
      </c:spPr>
    </c:plotArea>
    <c:plotVisOnly val="1"/>
    <c:dispBlanksAs val="gap"/>
    <c:showDLblsOverMax val="0"/>
  </c:chart>
  <c:spPr>
    <a:no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0</xdr:col>
      <xdr:colOff>1</xdr:colOff>
      <xdr:row>0</xdr:row>
      <xdr:rowOff>0</xdr:rowOff>
    </xdr:from>
    <xdr:ext cx="952500" cy="707571"/>
    <xdr:pic>
      <xdr:nvPicPr>
        <xdr:cNvPr id="4" name="Imagen 3" descr="C:\Users\AUXPLANEACION03\Desktop\Gobernacion_del_quindio.jpg">
          <a:extLst>
            <a:ext uri="{FF2B5EF4-FFF2-40B4-BE49-F238E27FC236}">
              <a16:creationId xmlns="" xmlns:a16="http://schemas.microsoft.com/office/drawing/2014/main" id="{00000000-0008-0000-01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 y="0"/>
          <a:ext cx="952500" cy="707571"/>
        </a:xfrm>
        <a:prstGeom prst="rect">
          <a:avLst/>
        </a:prstGeom>
        <a:noFill/>
        <a:ln>
          <a:noFill/>
        </a:ln>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263525</xdr:colOff>
      <xdr:row>0</xdr:row>
      <xdr:rowOff>289856</xdr:rowOff>
    </xdr:from>
    <xdr:to>
      <xdr:col>2</xdr:col>
      <xdr:colOff>770242</xdr:colOff>
      <xdr:row>2</xdr:row>
      <xdr:rowOff>226810</xdr:rowOff>
    </xdr:to>
    <xdr:pic>
      <xdr:nvPicPr>
        <xdr:cNvPr id="8" name="Imagen 1">
          <a:extLst>
            <a:ext uri="{FF2B5EF4-FFF2-40B4-BE49-F238E27FC236}">
              <a16:creationId xmlns="" xmlns:a16="http://schemas.microsoft.com/office/drawing/2014/main" id="{00000000-0008-0000-0200-000008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62112"/>
        <a:stretch/>
      </xdr:blipFill>
      <xdr:spPr>
        <a:xfrm>
          <a:off x="263525" y="289856"/>
          <a:ext cx="2850548" cy="82277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549275</xdr:colOff>
      <xdr:row>0</xdr:row>
      <xdr:rowOff>425927</xdr:rowOff>
    </xdr:from>
    <xdr:to>
      <xdr:col>1</xdr:col>
      <xdr:colOff>1102179</xdr:colOff>
      <xdr:row>2</xdr:row>
      <xdr:rowOff>4641</xdr:rowOff>
    </xdr:to>
    <xdr:pic>
      <xdr:nvPicPr>
        <xdr:cNvPr id="2" name="Imagen 1">
          <a:extLst>
            <a:ext uri="{FF2B5EF4-FFF2-40B4-BE49-F238E27FC236}">
              <a16:creationId xmlns="" xmlns:a16="http://schemas.microsoft.com/office/drawing/2014/main" id="{00000000-0008-0000-03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62112"/>
        <a:stretch/>
      </xdr:blipFill>
      <xdr:spPr>
        <a:xfrm>
          <a:off x="549275" y="425927"/>
          <a:ext cx="1614261" cy="46317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9</xdr:col>
      <xdr:colOff>440531</xdr:colOff>
      <xdr:row>0</xdr:row>
      <xdr:rowOff>265509</xdr:rowOff>
    </xdr:from>
    <xdr:to>
      <xdr:col>22</xdr:col>
      <xdr:colOff>714375</xdr:colOff>
      <xdr:row>18</xdr:row>
      <xdr:rowOff>59531</xdr:rowOff>
    </xdr:to>
    <xdr:graphicFrame macro="">
      <xdr:nvGraphicFramePr>
        <xdr:cNvPr id="5" name="Gráfico 4">
          <a:extLst>
            <a:ext uri="{FF2B5EF4-FFF2-40B4-BE49-F238E27FC236}">
              <a16:creationId xmlns="" xmlns:a16="http://schemas.microsoft.com/office/drawing/2014/main" id="{00000000-0008-0000-05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631031</xdr:colOff>
      <xdr:row>20</xdr:row>
      <xdr:rowOff>3570</xdr:rowOff>
    </xdr:from>
    <xdr:to>
      <xdr:col>22</xdr:col>
      <xdr:colOff>726281</xdr:colOff>
      <xdr:row>33</xdr:row>
      <xdr:rowOff>71436</xdr:rowOff>
    </xdr:to>
    <xdr:graphicFrame macro="">
      <xdr:nvGraphicFramePr>
        <xdr:cNvPr id="6" name="Gráfico 5">
          <a:extLst>
            <a:ext uri="{FF2B5EF4-FFF2-40B4-BE49-F238E27FC236}">
              <a16:creationId xmlns="" xmlns:a16="http://schemas.microsoft.com/office/drawing/2014/main" id="{00000000-0008-0000-05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750092</xdr:colOff>
      <xdr:row>37</xdr:row>
      <xdr:rowOff>27384</xdr:rowOff>
    </xdr:from>
    <xdr:to>
      <xdr:col>23</xdr:col>
      <xdr:colOff>-1</xdr:colOff>
      <xdr:row>55</xdr:row>
      <xdr:rowOff>166687</xdr:rowOff>
    </xdr:to>
    <xdr:graphicFrame macro="">
      <xdr:nvGraphicFramePr>
        <xdr:cNvPr id="7" name="Gráfico 6">
          <a:extLst>
            <a:ext uri="{FF2B5EF4-FFF2-40B4-BE49-F238E27FC236}">
              <a16:creationId xmlns="" xmlns:a16="http://schemas.microsoft.com/office/drawing/2014/main" id="{00000000-0008-0000-05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SGTO%20MARZO%202021\UNIDADES%20MARZO%202021\AGUA%20INFRAESTRUCTURA%20MARZO%20202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GOBERNACION%20QUINDIO%202021/EJECUCIONES%202021/MARZO%202021/INSTRUMENTOS%20MARZO/Seguimiento%20PDD%20S.Interior%2016-04-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PLA-47EjecucionMetasProyectos"/>
      <sheetName val="F-PLA-06 PA AGUA INFR"/>
      <sheetName val="F-PLA-07 SGTO PLAN ACCION"/>
      <sheetName val="F-PLA-40 Gestión de recursos"/>
      <sheetName val="F-PLA-39 Inversión entes"/>
    </sheetNames>
    <sheetDataSet>
      <sheetData sheetId="0">
        <row r="32">
          <cell r="T32">
            <v>53220000</v>
          </cell>
        </row>
        <row r="34">
          <cell r="T34">
            <v>15000000</v>
          </cell>
        </row>
      </sheetData>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PLA-47EjecucionMetasProyectos"/>
    </sheetNames>
    <sheetDataSet>
      <sheetData sheetId="0">
        <row r="28">
          <cell r="T28">
            <v>3000000</v>
          </cell>
        </row>
        <row r="30">
          <cell r="T30">
            <v>6630171</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DB487"/>
  <sheetViews>
    <sheetView showGridLines="0" tabSelected="1" zoomScale="70" zoomScaleNormal="70" workbookViewId="0">
      <selection activeCell="F5" sqref="F5:G5"/>
    </sheetView>
  </sheetViews>
  <sheetFormatPr baseColWidth="10" defaultColWidth="11.42578125" defaultRowHeight="15" x14ac:dyDescent="0.2"/>
  <cols>
    <col min="1" max="1" width="17" style="1" customWidth="1"/>
    <col min="2" max="2" width="10.7109375" style="12" customWidth="1"/>
    <col min="3" max="3" width="12.5703125" style="12" customWidth="1"/>
    <col min="4" max="4" width="10.85546875" style="12" customWidth="1"/>
    <col min="5" max="5" width="11.5703125" style="12" customWidth="1"/>
    <col min="6" max="6" width="11.5703125" style="13" customWidth="1"/>
    <col min="7" max="7" width="12" style="14" customWidth="1"/>
    <col min="8" max="8" width="26.5703125" style="15" customWidth="1"/>
    <col min="9" max="9" width="12.42578125" style="15" customWidth="1"/>
    <col min="10" max="10" width="33.5703125" style="15" customWidth="1"/>
    <col min="11" max="11" width="20" style="13" customWidth="1"/>
    <col min="12" max="12" width="33.28515625" style="15" customWidth="1"/>
    <col min="13" max="13" width="14.28515625" style="15" customWidth="1"/>
    <col min="14" max="14" width="24.85546875" style="17" customWidth="1"/>
    <col min="15" max="15" width="20.42578125" style="16" customWidth="1"/>
    <col min="16" max="16" width="25.42578125" style="17" customWidth="1"/>
    <col min="17" max="17" width="9.140625" style="14" customWidth="1"/>
    <col min="18" max="18" width="19.28515625" style="16" customWidth="1"/>
    <col min="19" max="19" width="15.7109375" style="16" customWidth="1"/>
    <col min="20" max="20" width="24" style="14" customWidth="1"/>
    <col min="21" max="21" width="31.42578125" style="17" customWidth="1"/>
    <col min="22" max="22" width="53.7109375" style="17" customWidth="1"/>
    <col min="23" max="25" width="28.85546875" style="1" customWidth="1"/>
    <col min="26" max="28" width="27.7109375" style="1" customWidth="1"/>
    <col min="29" max="31" width="24.42578125" style="1" customWidth="1"/>
    <col min="32" max="34" width="28.28515625" style="1" customWidth="1"/>
    <col min="35" max="37" width="29.140625" style="1" customWidth="1"/>
    <col min="38" max="40" width="30.7109375" style="1" customWidth="1"/>
    <col min="41" max="43" width="31.85546875" style="4" customWidth="1"/>
    <col min="44" max="46" width="30.28515625" style="4" customWidth="1"/>
    <col min="47" max="49" width="29.7109375" style="1" customWidth="1"/>
    <col min="50" max="52" width="27.7109375" style="1" customWidth="1"/>
    <col min="53" max="55" width="29.7109375" style="19" customWidth="1"/>
    <col min="56" max="58" width="28.7109375" style="1" customWidth="1"/>
    <col min="59" max="61" width="28.42578125" style="1" customWidth="1"/>
    <col min="62" max="64" width="31" style="4" customWidth="1"/>
    <col min="65" max="65" width="32" style="4" customWidth="1"/>
    <col min="66" max="66" width="43.42578125" style="71" customWidth="1"/>
    <col min="67" max="67" width="50.42578125" style="4" customWidth="1"/>
    <col min="68" max="106" width="11.42578125" style="4"/>
    <col min="107" max="16384" width="11.42578125" style="1"/>
  </cols>
  <sheetData>
    <row r="1" spans="1:106" ht="15.75" customHeight="1" x14ac:dyDescent="0.2">
      <c r="B1" s="38"/>
      <c r="C1" s="39"/>
      <c r="D1" s="39"/>
      <c r="E1" s="39"/>
      <c r="F1" s="39"/>
      <c r="G1" s="39"/>
      <c r="H1" s="39"/>
      <c r="I1" s="39"/>
      <c r="J1" s="66"/>
      <c r="K1" s="37"/>
      <c r="L1" s="66"/>
      <c r="M1" s="66"/>
      <c r="N1" s="29"/>
      <c r="O1" s="37" t="s">
        <v>0</v>
      </c>
      <c r="P1" s="29"/>
      <c r="Q1" s="29"/>
      <c r="R1" s="29"/>
      <c r="S1" s="29"/>
      <c r="T1" s="29"/>
      <c r="U1" s="64"/>
      <c r="V1" s="64"/>
      <c r="W1" s="29"/>
      <c r="X1" s="29"/>
      <c r="Y1" s="29"/>
      <c r="Z1" s="29"/>
      <c r="AA1" s="29"/>
      <c r="AB1" s="29"/>
      <c r="AC1" s="29"/>
      <c r="AD1" s="29"/>
      <c r="AE1" s="29"/>
      <c r="AF1" s="29"/>
      <c r="AG1" s="29"/>
      <c r="AH1" s="29"/>
      <c r="AI1" s="29"/>
      <c r="AJ1" s="29"/>
      <c r="AK1" s="29"/>
      <c r="AL1" s="29"/>
      <c r="AM1" s="29"/>
      <c r="AN1" s="29"/>
      <c r="AO1" s="29"/>
      <c r="AP1" s="29"/>
      <c r="AQ1" s="29"/>
      <c r="AR1" s="29"/>
      <c r="AS1" s="29"/>
      <c r="AT1" s="29"/>
      <c r="AU1" s="29"/>
      <c r="AV1" s="29"/>
      <c r="AW1" s="29"/>
      <c r="AX1" s="29"/>
      <c r="AY1" s="29"/>
      <c r="AZ1" s="29"/>
      <c r="BA1" s="29"/>
      <c r="BB1" s="29"/>
      <c r="BC1" s="29"/>
      <c r="BD1" s="2"/>
      <c r="BE1" s="58"/>
      <c r="BF1" s="58"/>
      <c r="BM1" s="3" t="s">
        <v>1</v>
      </c>
      <c r="BN1" s="833" t="s">
        <v>1546</v>
      </c>
    </row>
    <row r="2" spans="1:106" ht="15.75" customHeight="1" x14ac:dyDescent="0.2">
      <c r="B2" s="30"/>
      <c r="C2" s="932" t="s">
        <v>1548</v>
      </c>
      <c r="D2" s="932"/>
      <c r="E2" s="932"/>
      <c r="F2" s="932"/>
      <c r="G2" s="932"/>
      <c r="H2" s="932"/>
      <c r="I2" s="932"/>
      <c r="J2" s="932"/>
      <c r="K2" s="932"/>
      <c r="L2" s="932"/>
      <c r="M2" s="932"/>
      <c r="N2" s="932"/>
      <c r="O2" s="932"/>
      <c r="P2" s="932"/>
      <c r="Q2" s="932"/>
      <c r="R2" s="932"/>
      <c r="S2" s="932"/>
      <c r="T2" s="932"/>
      <c r="U2" s="932"/>
      <c r="V2" s="932"/>
      <c r="W2" s="932"/>
      <c r="X2" s="932"/>
      <c r="Y2" s="932"/>
      <c r="Z2" s="932"/>
      <c r="AA2" s="932"/>
      <c r="AB2" s="932"/>
      <c r="AC2" s="932"/>
      <c r="AD2" s="932"/>
      <c r="AE2" s="932"/>
      <c r="AF2" s="932"/>
      <c r="AG2" s="932"/>
      <c r="AH2" s="932"/>
      <c r="AI2" s="932"/>
      <c r="AJ2" s="932"/>
      <c r="AK2" s="932"/>
      <c r="AL2" s="932"/>
      <c r="AM2" s="932"/>
      <c r="AN2" s="932"/>
      <c r="AO2" s="932"/>
      <c r="AP2" s="932"/>
      <c r="AQ2" s="932"/>
      <c r="AR2" s="932"/>
      <c r="AS2" s="932"/>
      <c r="AT2" s="932"/>
      <c r="AU2" s="932"/>
      <c r="AV2" s="932"/>
      <c r="AW2" s="932"/>
      <c r="AX2" s="932"/>
      <c r="AY2" s="932"/>
      <c r="AZ2" s="932"/>
      <c r="BA2" s="932"/>
      <c r="BB2" s="932"/>
      <c r="BC2" s="932"/>
      <c r="BD2" s="932"/>
      <c r="BE2" s="932"/>
      <c r="BF2" s="932"/>
      <c r="BG2" s="932"/>
      <c r="BH2" s="932"/>
      <c r="BI2" s="932"/>
      <c r="BJ2" s="932"/>
      <c r="BK2" s="932"/>
      <c r="BL2" s="933"/>
      <c r="BM2" s="5" t="s">
        <v>2</v>
      </c>
      <c r="BN2" s="834">
        <v>2</v>
      </c>
    </row>
    <row r="3" spans="1:106" ht="24.75" customHeight="1" x14ac:dyDescent="0.2">
      <c r="B3" s="30"/>
      <c r="C3" s="934" t="s">
        <v>1532</v>
      </c>
      <c r="D3" s="934"/>
      <c r="E3" s="934"/>
      <c r="F3" s="934"/>
      <c r="G3" s="934"/>
      <c r="H3" s="934"/>
      <c r="I3" s="934"/>
      <c r="J3" s="934"/>
      <c r="K3" s="934"/>
      <c r="L3" s="934"/>
      <c r="M3" s="934"/>
      <c r="N3" s="934"/>
      <c r="O3" s="934"/>
      <c r="P3" s="934"/>
      <c r="Q3" s="934"/>
      <c r="R3" s="934"/>
      <c r="S3" s="934"/>
      <c r="T3" s="934"/>
      <c r="U3" s="934"/>
      <c r="V3" s="934"/>
      <c r="W3" s="934"/>
      <c r="X3" s="934"/>
      <c r="Y3" s="934"/>
      <c r="Z3" s="934"/>
      <c r="AA3" s="934"/>
      <c r="AB3" s="934"/>
      <c r="AC3" s="934"/>
      <c r="AD3" s="934"/>
      <c r="AE3" s="934"/>
      <c r="AF3" s="934"/>
      <c r="AG3" s="934"/>
      <c r="AH3" s="934"/>
      <c r="AI3" s="934"/>
      <c r="AJ3" s="934"/>
      <c r="AK3" s="934"/>
      <c r="AL3" s="934"/>
      <c r="AM3" s="934"/>
      <c r="AN3" s="934"/>
      <c r="AO3" s="934"/>
      <c r="AP3" s="934"/>
      <c r="AQ3" s="934"/>
      <c r="AR3" s="934"/>
      <c r="AS3" s="934"/>
      <c r="AT3" s="934"/>
      <c r="AU3" s="934"/>
      <c r="AV3" s="934"/>
      <c r="AW3" s="934"/>
      <c r="AX3" s="934"/>
      <c r="AY3" s="934"/>
      <c r="AZ3" s="934"/>
      <c r="BA3" s="934"/>
      <c r="BB3" s="934"/>
      <c r="BC3" s="934"/>
      <c r="BD3" s="934"/>
      <c r="BE3" s="934"/>
      <c r="BF3" s="934"/>
      <c r="BG3" s="934"/>
      <c r="BH3" s="934"/>
      <c r="BI3" s="934"/>
      <c r="BJ3" s="934"/>
      <c r="BK3" s="934"/>
      <c r="BL3" s="933"/>
      <c r="BM3" s="3" t="s">
        <v>3</v>
      </c>
      <c r="BN3" s="835">
        <v>44266</v>
      </c>
    </row>
    <row r="4" spans="1:106" ht="17.25" customHeight="1" x14ac:dyDescent="0.2">
      <c r="B4" s="31"/>
      <c r="C4" s="32"/>
      <c r="D4" s="32"/>
      <c r="E4" s="32"/>
      <c r="F4" s="32"/>
      <c r="G4" s="32"/>
      <c r="H4" s="32"/>
      <c r="I4" s="32"/>
      <c r="J4" s="67"/>
      <c r="K4" s="10"/>
      <c r="L4" s="67"/>
      <c r="M4" s="67"/>
      <c r="N4" s="32"/>
      <c r="O4" s="10"/>
      <c r="P4" s="32"/>
      <c r="Q4" s="32"/>
      <c r="R4" s="32"/>
      <c r="S4" s="32"/>
      <c r="T4" s="32"/>
      <c r="U4" s="65"/>
      <c r="V4" s="65"/>
      <c r="Z4" s="32"/>
      <c r="AA4" s="32"/>
      <c r="AB4" s="32"/>
      <c r="AC4" s="32"/>
      <c r="AD4" s="32"/>
      <c r="AE4" s="32"/>
      <c r="AF4" s="32"/>
      <c r="AG4" s="32"/>
      <c r="AH4" s="32"/>
      <c r="AI4" s="32"/>
      <c r="AJ4" s="32"/>
      <c r="AK4" s="32"/>
      <c r="AL4" s="32"/>
      <c r="AM4" s="32"/>
      <c r="AN4" s="32"/>
      <c r="AO4" s="32"/>
      <c r="AP4" s="32"/>
      <c r="AQ4" s="32"/>
      <c r="AR4" s="32"/>
      <c r="AS4" s="32"/>
      <c r="AT4" s="32"/>
      <c r="AU4" s="32"/>
      <c r="AV4" s="32"/>
      <c r="AW4" s="32"/>
      <c r="AX4" s="32"/>
      <c r="AY4" s="32"/>
      <c r="AZ4" s="32"/>
      <c r="BA4" s="32"/>
      <c r="BB4" s="591"/>
      <c r="BC4" s="591"/>
      <c r="BD4" s="1" t="s">
        <v>0</v>
      </c>
      <c r="BM4" s="3" t="s">
        <v>4</v>
      </c>
      <c r="BN4" s="836" t="s">
        <v>1547</v>
      </c>
    </row>
    <row r="5" spans="1:106" s="7" customFormat="1" ht="62.25" customHeight="1" x14ac:dyDescent="0.25">
      <c r="A5" s="935" t="s">
        <v>5</v>
      </c>
      <c r="B5" s="903" t="s">
        <v>6</v>
      </c>
      <c r="C5" s="903"/>
      <c r="D5" s="903" t="s">
        <v>7</v>
      </c>
      <c r="E5" s="903"/>
      <c r="F5" s="903" t="s">
        <v>8</v>
      </c>
      <c r="G5" s="903"/>
      <c r="H5" s="930" t="s">
        <v>9</v>
      </c>
      <c r="I5" s="903" t="s">
        <v>10</v>
      </c>
      <c r="J5" s="903"/>
      <c r="K5" s="903"/>
      <c r="L5" s="903"/>
      <c r="M5" s="903" t="s">
        <v>11</v>
      </c>
      <c r="N5" s="903"/>
      <c r="O5" s="903"/>
      <c r="P5" s="903"/>
      <c r="Q5" s="936" t="s">
        <v>12</v>
      </c>
      <c r="R5" s="915" t="s">
        <v>1542</v>
      </c>
      <c r="S5" s="916"/>
      <c r="T5" s="904" t="s">
        <v>13</v>
      </c>
      <c r="U5" s="905"/>
      <c r="V5" s="906"/>
      <c r="W5" s="920" t="s">
        <v>14</v>
      </c>
      <c r="X5" s="921"/>
      <c r="Y5" s="921"/>
      <c r="Z5" s="921"/>
      <c r="AA5" s="921"/>
      <c r="AB5" s="921"/>
      <c r="AC5" s="921"/>
      <c r="AD5" s="921"/>
      <c r="AE5" s="921"/>
      <c r="AF5" s="921"/>
      <c r="AG5" s="921"/>
      <c r="AH5" s="921"/>
      <c r="AI5" s="921"/>
      <c r="AJ5" s="921"/>
      <c r="AK5" s="921"/>
      <c r="AL5" s="921"/>
      <c r="AM5" s="921"/>
      <c r="AN5" s="921"/>
      <c r="AO5" s="921"/>
      <c r="AP5" s="921"/>
      <c r="AQ5" s="921"/>
      <c r="AR5" s="921"/>
      <c r="AS5" s="921"/>
      <c r="AT5" s="921"/>
      <c r="AU5" s="921"/>
      <c r="AV5" s="921"/>
      <c r="AW5" s="921"/>
      <c r="AX5" s="921"/>
      <c r="AY5" s="921"/>
      <c r="AZ5" s="921"/>
      <c r="BA5" s="921"/>
      <c r="BB5" s="921"/>
      <c r="BC5" s="921"/>
      <c r="BD5" s="921"/>
      <c r="BE5" s="921"/>
      <c r="BF5" s="921"/>
      <c r="BG5" s="921"/>
      <c r="BH5" s="921"/>
      <c r="BI5" s="922"/>
      <c r="BJ5" s="923" t="s">
        <v>15</v>
      </c>
      <c r="BK5" s="924"/>
      <c r="BL5" s="924"/>
      <c r="BM5" s="931" t="s">
        <v>16</v>
      </c>
      <c r="BN5" s="931" t="s">
        <v>17</v>
      </c>
      <c r="BO5" s="6"/>
      <c r="BP5" s="6"/>
      <c r="BQ5" s="6"/>
      <c r="BR5" s="6"/>
      <c r="BS5" s="6"/>
      <c r="BT5" s="6"/>
      <c r="BU5" s="6"/>
      <c r="BV5" s="6"/>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row>
    <row r="6" spans="1:106" s="7" customFormat="1" ht="71.25" customHeight="1" x14ac:dyDescent="0.25">
      <c r="A6" s="935"/>
      <c r="B6" s="935" t="s">
        <v>18</v>
      </c>
      <c r="C6" s="935" t="s">
        <v>19</v>
      </c>
      <c r="D6" s="935" t="s">
        <v>18</v>
      </c>
      <c r="E6" s="935" t="s">
        <v>19</v>
      </c>
      <c r="F6" s="935" t="s">
        <v>18</v>
      </c>
      <c r="G6" s="935" t="s">
        <v>19</v>
      </c>
      <c r="H6" s="930"/>
      <c r="I6" s="935" t="s">
        <v>20</v>
      </c>
      <c r="J6" s="935" t="s">
        <v>21</v>
      </c>
      <c r="K6" s="935" t="s">
        <v>22</v>
      </c>
      <c r="L6" s="935" t="s">
        <v>23</v>
      </c>
      <c r="M6" s="935" t="s">
        <v>20</v>
      </c>
      <c r="N6" s="935" t="s">
        <v>24</v>
      </c>
      <c r="O6" s="935" t="s">
        <v>25</v>
      </c>
      <c r="P6" s="935" t="s">
        <v>26</v>
      </c>
      <c r="Q6" s="937"/>
      <c r="R6" s="935" t="s">
        <v>1543</v>
      </c>
      <c r="S6" s="935" t="s">
        <v>1544</v>
      </c>
      <c r="T6" s="930" t="s">
        <v>27</v>
      </c>
      <c r="U6" s="930" t="s">
        <v>28</v>
      </c>
      <c r="V6" s="930" t="s">
        <v>29</v>
      </c>
      <c r="W6" s="917" t="s">
        <v>30</v>
      </c>
      <c r="X6" s="918"/>
      <c r="Y6" s="919"/>
      <c r="Z6" s="917" t="s">
        <v>31</v>
      </c>
      <c r="AA6" s="918"/>
      <c r="AB6" s="919"/>
      <c r="AC6" s="917" t="s">
        <v>32</v>
      </c>
      <c r="AD6" s="918"/>
      <c r="AE6" s="919"/>
      <c r="AF6" s="917" t="s">
        <v>33</v>
      </c>
      <c r="AG6" s="918"/>
      <c r="AH6" s="919"/>
      <c r="AI6" s="917" t="s">
        <v>34</v>
      </c>
      <c r="AJ6" s="918"/>
      <c r="AK6" s="919"/>
      <c r="AL6" s="917" t="s">
        <v>35</v>
      </c>
      <c r="AM6" s="918"/>
      <c r="AN6" s="919"/>
      <c r="AO6" s="917" t="s">
        <v>1569</v>
      </c>
      <c r="AP6" s="918"/>
      <c r="AQ6" s="919"/>
      <c r="AR6" s="917" t="s">
        <v>36</v>
      </c>
      <c r="AS6" s="918"/>
      <c r="AT6" s="919"/>
      <c r="AU6" s="917" t="s">
        <v>37</v>
      </c>
      <c r="AV6" s="918"/>
      <c r="AW6" s="919"/>
      <c r="AX6" s="917" t="s">
        <v>38</v>
      </c>
      <c r="AY6" s="918"/>
      <c r="AZ6" s="919"/>
      <c r="BA6" s="917" t="s">
        <v>39</v>
      </c>
      <c r="BB6" s="918"/>
      <c r="BC6" s="919"/>
      <c r="BD6" s="917" t="s">
        <v>40</v>
      </c>
      <c r="BE6" s="918"/>
      <c r="BF6" s="919"/>
      <c r="BG6" s="927" t="s">
        <v>41</v>
      </c>
      <c r="BH6" s="928"/>
      <c r="BI6" s="929"/>
      <c r="BJ6" s="925"/>
      <c r="BK6" s="926"/>
      <c r="BL6" s="926"/>
      <c r="BM6" s="931"/>
      <c r="BN6" s="931"/>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row>
    <row r="7" spans="1:106" s="467" customFormat="1" ht="24" customHeight="1" x14ac:dyDescent="0.25">
      <c r="A7" s="935"/>
      <c r="B7" s="935"/>
      <c r="C7" s="935"/>
      <c r="D7" s="935"/>
      <c r="E7" s="935"/>
      <c r="F7" s="935"/>
      <c r="G7" s="935"/>
      <c r="H7" s="930"/>
      <c r="I7" s="935"/>
      <c r="J7" s="935"/>
      <c r="K7" s="935"/>
      <c r="L7" s="935"/>
      <c r="M7" s="935"/>
      <c r="N7" s="935"/>
      <c r="O7" s="935"/>
      <c r="P7" s="935"/>
      <c r="Q7" s="938"/>
      <c r="R7" s="935"/>
      <c r="S7" s="935"/>
      <c r="T7" s="930"/>
      <c r="U7" s="930"/>
      <c r="V7" s="930"/>
      <c r="W7" s="129" t="s">
        <v>1545</v>
      </c>
      <c r="X7" s="129" t="s">
        <v>1539</v>
      </c>
      <c r="Y7" s="129" t="s">
        <v>1540</v>
      </c>
      <c r="Z7" s="129" t="s">
        <v>1545</v>
      </c>
      <c r="AA7" s="129" t="s">
        <v>1539</v>
      </c>
      <c r="AB7" s="129" t="s">
        <v>1540</v>
      </c>
      <c r="AC7" s="129" t="s">
        <v>1545</v>
      </c>
      <c r="AD7" s="129" t="s">
        <v>1539</v>
      </c>
      <c r="AE7" s="129" t="s">
        <v>1540</v>
      </c>
      <c r="AF7" s="129" t="s">
        <v>1545</v>
      </c>
      <c r="AG7" s="129" t="s">
        <v>1549</v>
      </c>
      <c r="AH7" s="129" t="s">
        <v>1550</v>
      </c>
      <c r="AI7" s="129" t="s">
        <v>1545</v>
      </c>
      <c r="AJ7" s="129" t="s">
        <v>1549</v>
      </c>
      <c r="AK7" s="129" t="s">
        <v>1550</v>
      </c>
      <c r="AL7" s="129" t="s">
        <v>1545</v>
      </c>
      <c r="AM7" s="129" t="s">
        <v>1549</v>
      </c>
      <c r="AN7" s="129" t="s">
        <v>1550</v>
      </c>
      <c r="AO7" s="129" t="s">
        <v>1545</v>
      </c>
      <c r="AP7" s="129" t="s">
        <v>1549</v>
      </c>
      <c r="AQ7" s="129" t="s">
        <v>1550</v>
      </c>
      <c r="AR7" s="129" t="s">
        <v>1545</v>
      </c>
      <c r="AS7" s="129" t="s">
        <v>1549</v>
      </c>
      <c r="AT7" s="129" t="s">
        <v>1550</v>
      </c>
      <c r="AU7" s="129" t="s">
        <v>1545</v>
      </c>
      <c r="AV7" s="129" t="s">
        <v>1549</v>
      </c>
      <c r="AW7" s="129" t="s">
        <v>1550</v>
      </c>
      <c r="AX7" s="129" t="s">
        <v>1545</v>
      </c>
      <c r="AY7" s="129" t="s">
        <v>1549</v>
      </c>
      <c r="AZ7" s="129" t="s">
        <v>1550</v>
      </c>
      <c r="BA7" s="129" t="s">
        <v>1545</v>
      </c>
      <c r="BB7" s="129" t="s">
        <v>1549</v>
      </c>
      <c r="BC7" s="129" t="s">
        <v>1550</v>
      </c>
      <c r="BD7" s="129" t="s">
        <v>1545</v>
      </c>
      <c r="BE7" s="129" t="s">
        <v>1549</v>
      </c>
      <c r="BF7" s="129" t="s">
        <v>1550</v>
      </c>
      <c r="BG7" s="129" t="s">
        <v>1545</v>
      </c>
      <c r="BH7" s="129" t="s">
        <v>1549</v>
      </c>
      <c r="BI7" s="129" t="s">
        <v>1550</v>
      </c>
      <c r="BJ7" s="129" t="s">
        <v>1545</v>
      </c>
      <c r="BK7" s="129" t="s">
        <v>1549</v>
      </c>
      <c r="BL7" s="606" t="s">
        <v>1550</v>
      </c>
      <c r="BM7" s="931"/>
      <c r="BN7" s="931"/>
    </row>
    <row r="8" spans="1:106" s="467" customFormat="1" ht="16.5" customHeight="1" x14ac:dyDescent="0.25">
      <c r="A8" s="463"/>
      <c r="B8" s="463"/>
      <c r="C8" s="463"/>
      <c r="D8" s="463"/>
      <c r="E8" s="463"/>
      <c r="F8" s="463"/>
      <c r="G8" s="463"/>
      <c r="H8" s="464"/>
      <c r="I8" s="463"/>
      <c r="J8" s="463"/>
      <c r="K8" s="463"/>
      <c r="L8" s="463"/>
      <c r="M8" s="463"/>
      <c r="N8" s="463"/>
      <c r="O8" s="463"/>
      <c r="P8" s="463"/>
      <c r="Q8" s="465"/>
      <c r="R8" s="463"/>
      <c r="S8" s="463"/>
      <c r="T8" s="465"/>
      <c r="U8" s="465"/>
      <c r="V8" s="465"/>
      <c r="W8" s="466"/>
      <c r="X8" s="466"/>
      <c r="Y8" s="466"/>
      <c r="Z8" s="466"/>
      <c r="AA8" s="466"/>
      <c r="AB8" s="466"/>
      <c r="AC8" s="466"/>
      <c r="AD8" s="466"/>
      <c r="AE8" s="466"/>
      <c r="AF8" s="466"/>
      <c r="AG8" s="466"/>
      <c r="AH8" s="466"/>
      <c r="AI8" s="466"/>
      <c r="AJ8" s="466"/>
      <c r="AK8" s="466"/>
      <c r="AL8" s="466"/>
      <c r="AM8" s="466"/>
      <c r="AN8" s="466"/>
      <c r="AO8" s="466"/>
      <c r="AP8" s="466"/>
      <c r="AQ8" s="466"/>
      <c r="AR8" s="466"/>
      <c r="AS8" s="466"/>
      <c r="AT8" s="466"/>
      <c r="AU8" s="466"/>
      <c r="AV8" s="466"/>
      <c r="AW8" s="466"/>
      <c r="AX8" s="466"/>
      <c r="AY8" s="466"/>
      <c r="AZ8" s="466"/>
      <c r="BA8" s="466"/>
      <c r="BB8" s="466"/>
      <c r="BC8" s="466"/>
      <c r="BD8" s="466"/>
      <c r="BE8" s="466"/>
      <c r="BF8" s="466"/>
      <c r="BG8" s="466"/>
      <c r="BH8" s="466"/>
      <c r="BI8" s="466"/>
      <c r="BJ8" s="466"/>
      <c r="BK8" s="466"/>
      <c r="BL8" s="466"/>
      <c r="BM8" s="603"/>
      <c r="BN8" s="466"/>
    </row>
    <row r="9" spans="1:106" s="406" customFormat="1" ht="24" customHeight="1" x14ac:dyDescent="0.25">
      <c r="A9" s="40" t="s">
        <v>42</v>
      </c>
      <c r="B9" s="41"/>
      <c r="C9" s="45"/>
      <c r="D9" s="41"/>
      <c r="E9" s="45"/>
      <c r="F9" s="42"/>
      <c r="G9" s="43"/>
      <c r="H9" s="386"/>
      <c r="I9" s="386"/>
      <c r="J9" s="386"/>
      <c r="K9" s="389"/>
      <c r="L9" s="386"/>
      <c r="M9" s="386"/>
      <c r="N9" s="391"/>
      <c r="O9" s="390"/>
      <c r="P9" s="390"/>
      <c r="Q9" s="450"/>
      <c r="R9" s="451"/>
      <c r="S9" s="451"/>
      <c r="T9" s="43"/>
      <c r="U9" s="391"/>
      <c r="V9" s="391"/>
      <c r="W9" s="452">
        <f t="shared" ref="W9:BK10" si="0">W10</f>
        <v>0</v>
      </c>
      <c r="X9" s="452"/>
      <c r="Y9" s="452"/>
      <c r="Z9" s="388">
        <f t="shared" si="0"/>
        <v>0</v>
      </c>
      <c r="AA9" s="388"/>
      <c r="AB9" s="388"/>
      <c r="AC9" s="388">
        <f t="shared" si="0"/>
        <v>0</v>
      </c>
      <c r="AD9" s="388"/>
      <c r="AE9" s="388"/>
      <c r="AF9" s="388">
        <f t="shared" si="0"/>
        <v>0</v>
      </c>
      <c r="AG9" s="388"/>
      <c r="AH9" s="388"/>
      <c r="AI9" s="388">
        <f t="shared" si="0"/>
        <v>0</v>
      </c>
      <c r="AJ9" s="388"/>
      <c r="AK9" s="388"/>
      <c r="AL9" s="388">
        <f t="shared" si="0"/>
        <v>0</v>
      </c>
      <c r="AM9" s="388"/>
      <c r="AN9" s="388"/>
      <c r="AO9" s="388">
        <f t="shared" si="0"/>
        <v>0</v>
      </c>
      <c r="AP9" s="388"/>
      <c r="AQ9" s="388"/>
      <c r="AR9" s="388">
        <f t="shared" si="0"/>
        <v>0</v>
      </c>
      <c r="AS9" s="388"/>
      <c r="AT9" s="388"/>
      <c r="AU9" s="388">
        <f t="shared" si="0"/>
        <v>0</v>
      </c>
      <c r="AV9" s="388"/>
      <c r="AW9" s="388"/>
      <c r="AX9" s="388">
        <f t="shared" si="0"/>
        <v>0</v>
      </c>
      <c r="AY9" s="388"/>
      <c r="AZ9" s="388"/>
      <c r="BA9" s="388">
        <f t="shared" si="0"/>
        <v>176000000</v>
      </c>
      <c r="BB9" s="388">
        <f t="shared" si="0"/>
        <v>64260000</v>
      </c>
      <c r="BC9" s="388">
        <f t="shared" si="0"/>
        <v>18535000</v>
      </c>
      <c r="BD9" s="388">
        <f t="shared" si="0"/>
        <v>0</v>
      </c>
      <c r="BE9" s="388"/>
      <c r="BF9" s="388"/>
      <c r="BG9" s="388">
        <f t="shared" si="0"/>
        <v>0</v>
      </c>
      <c r="BH9" s="452"/>
      <c r="BI9" s="452"/>
      <c r="BJ9" s="452">
        <f t="shared" si="0"/>
        <v>176000000</v>
      </c>
      <c r="BK9" s="452">
        <f t="shared" si="0"/>
        <v>64260000</v>
      </c>
      <c r="BL9" s="452">
        <f t="shared" ref="BL9:BL10" si="1">BL10</f>
        <v>18535000</v>
      </c>
      <c r="BM9" s="388"/>
      <c r="BN9" s="452"/>
      <c r="BO9" s="405"/>
      <c r="BP9" s="405"/>
      <c r="BQ9" s="405"/>
      <c r="BR9" s="405"/>
      <c r="BS9" s="405"/>
      <c r="BT9" s="405"/>
      <c r="BU9" s="405"/>
      <c r="BV9" s="405"/>
      <c r="BW9" s="405"/>
      <c r="BX9" s="405"/>
      <c r="BY9" s="405"/>
      <c r="BZ9" s="405"/>
      <c r="CA9" s="405"/>
      <c r="CB9" s="405"/>
      <c r="CC9" s="405"/>
      <c r="CD9" s="405"/>
      <c r="CE9" s="405"/>
      <c r="CF9" s="405"/>
      <c r="CG9" s="405"/>
      <c r="CH9" s="405"/>
      <c r="CI9" s="405"/>
      <c r="CJ9" s="405"/>
      <c r="CK9" s="405"/>
      <c r="CL9" s="405"/>
      <c r="CM9" s="405"/>
      <c r="CN9" s="405"/>
      <c r="CO9" s="405"/>
      <c r="CP9" s="405"/>
      <c r="CQ9" s="405"/>
      <c r="CR9" s="405"/>
      <c r="CS9" s="405"/>
      <c r="CT9" s="405"/>
      <c r="CU9" s="405"/>
      <c r="CV9" s="405"/>
      <c r="CW9" s="405"/>
      <c r="CX9" s="405"/>
      <c r="CY9" s="405"/>
      <c r="CZ9" s="405"/>
      <c r="DA9" s="405"/>
      <c r="DB9" s="405"/>
    </row>
    <row r="10" spans="1:106" s="9" customFormat="1" ht="24" customHeight="1" x14ac:dyDescent="0.25">
      <c r="A10" s="130"/>
      <c r="B10" s="131">
        <v>4</v>
      </c>
      <c r="C10" s="76" t="s">
        <v>43</v>
      </c>
      <c r="D10" s="448"/>
      <c r="E10" s="449"/>
      <c r="F10" s="449"/>
      <c r="G10" s="449"/>
      <c r="H10" s="449"/>
      <c r="I10" s="640"/>
      <c r="J10" s="182"/>
      <c r="K10" s="181"/>
      <c r="L10" s="182"/>
      <c r="M10" s="182"/>
      <c r="N10" s="184"/>
      <c r="O10" s="183"/>
      <c r="P10" s="183"/>
      <c r="Q10" s="185"/>
      <c r="R10" s="183"/>
      <c r="S10" s="183"/>
      <c r="T10" s="729"/>
      <c r="U10" s="133"/>
      <c r="V10" s="133"/>
      <c r="W10" s="134">
        <f>W11</f>
        <v>0</v>
      </c>
      <c r="X10" s="134"/>
      <c r="Y10" s="134"/>
      <c r="Z10" s="134">
        <f t="shared" si="0"/>
        <v>0</v>
      </c>
      <c r="AA10" s="134"/>
      <c r="AB10" s="134"/>
      <c r="AC10" s="134">
        <f t="shared" si="0"/>
        <v>0</v>
      </c>
      <c r="AD10" s="134"/>
      <c r="AE10" s="134"/>
      <c r="AF10" s="134">
        <f t="shared" si="0"/>
        <v>0</v>
      </c>
      <c r="AG10" s="134"/>
      <c r="AH10" s="134"/>
      <c r="AI10" s="134">
        <f t="shared" si="0"/>
        <v>0</v>
      </c>
      <c r="AJ10" s="134"/>
      <c r="AK10" s="134"/>
      <c r="AL10" s="134">
        <f t="shared" si="0"/>
        <v>0</v>
      </c>
      <c r="AM10" s="134"/>
      <c r="AN10" s="134"/>
      <c r="AO10" s="134">
        <f t="shared" si="0"/>
        <v>0</v>
      </c>
      <c r="AP10" s="134"/>
      <c r="AQ10" s="134"/>
      <c r="AR10" s="134">
        <f t="shared" si="0"/>
        <v>0</v>
      </c>
      <c r="AS10" s="134"/>
      <c r="AT10" s="134"/>
      <c r="AU10" s="134">
        <f t="shared" si="0"/>
        <v>0</v>
      </c>
      <c r="AV10" s="134"/>
      <c r="AW10" s="134"/>
      <c r="AX10" s="134">
        <f t="shared" si="0"/>
        <v>0</v>
      </c>
      <c r="AY10" s="134"/>
      <c r="AZ10" s="134"/>
      <c r="BA10" s="134">
        <f t="shared" si="0"/>
        <v>176000000</v>
      </c>
      <c r="BB10" s="134">
        <f t="shared" si="0"/>
        <v>64260000</v>
      </c>
      <c r="BC10" s="134">
        <f t="shared" si="0"/>
        <v>18535000</v>
      </c>
      <c r="BD10" s="134">
        <f t="shared" si="0"/>
        <v>0</v>
      </c>
      <c r="BE10" s="134"/>
      <c r="BF10" s="134"/>
      <c r="BG10" s="134">
        <f t="shared" si="0"/>
        <v>0</v>
      </c>
      <c r="BH10" s="134"/>
      <c r="BI10" s="134"/>
      <c r="BJ10" s="134">
        <f>BJ11</f>
        <v>176000000</v>
      </c>
      <c r="BK10" s="134">
        <f t="shared" si="0"/>
        <v>64260000</v>
      </c>
      <c r="BL10" s="134">
        <f t="shared" si="1"/>
        <v>18535000</v>
      </c>
      <c r="BM10" s="134"/>
      <c r="BN10" s="134"/>
      <c r="BO10" s="8"/>
      <c r="BP10" s="8"/>
      <c r="BQ10" s="8"/>
      <c r="BR10" s="8"/>
      <c r="BS10" s="8"/>
      <c r="BT10" s="8"/>
      <c r="BU10" s="8"/>
      <c r="BV10" s="8"/>
      <c r="BW10" s="8"/>
      <c r="BX10" s="8"/>
      <c r="BY10" s="8"/>
      <c r="BZ10" s="8"/>
      <c r="CA10" s="8"/>
      <c r="CB10" s="8"/>
      <c r="CC10" s="8"/>
      <c r="CD10" s="8"/>
      <c r="CE10" s="8"/>
      <c r="CF10" s="8"/>
      <c r="CG10" s="8"/>
      <c r="CH10" s="8"/>
      <c r="CI10" s="8"/>
      <c r="CJ10" s="8"/>
      <c r="CK10" s="8"/>
      <c r="CL10" s="8"/>
      <c r="CM10" s="8"/>
      <c r="CN10" s="8"/>
      <c r="CO10" s="8"/>
      <c r="CP10" s="8"/>
      <c r="CQ10" s="8"/>
      <c r="CR10" s="8"/>
      <c r="CS10" s="8"/>
      <c r="CT10" s="8"/>
      <c r="CU10" s="8"/>
      <c r="CV10" s="8"/>
      <c r="CW10" s="8"/>
      <c r="CX10" s="8"/>
      <c r="CY10" s="8"/>
      <c r="CZ10" s="8"/>
      <c r="DA10" s="8"/>
      <c r="DB10" s="8"/>
    </row>
    <row r="11" spans="1:106" s="9" customFormat="1" ht="24" customHeight="1" x14ac:dyDescent="0.25">
      <c r="A11" s="130"/>
      <c r="B11" s="83"/>
      <c r="C11" s="83"/>
      <c r="D11" s="77">
        <v>45</v>
      </c>
      <c r="E11" s="75" t="s">
        <v>44</v>
      </c>
      <c r="F11" s="135"/>
      <c r="G11" s="136"/>
      <c r="H11" s="137"/>
      <c r="I11" s="137"/>
      <c r="J11" s="139"/>
      <c r="K11" s="138"/>
      <c r="L11" s="139"/>
      <c r="M11" s="139"/>
      <c r="N11" s="141"/>
      <c r="O11" s="140"/>
      <c r="P11" s="140"/>
      <c r="Q11" s="139"/>
      <c r="R11" s="142"/>
      <c r="S11" s="142"/>
      <c r="T11" s="687"/>
      <c r="U11" s="143"/>
      <c r="V11" s="144"/>
      <c r="W11" s="144">
        <f>W12+W16</f>
        <v>0</v>
      </c>
      <c r="X11" s="144"/>
      <c r="Y11" s="144"/>
      <c r="Z11" s="144">
        <f t="shared" ref="Z11:BJ11" si="2">Z12+Z16</f>
        <v>0</v>
      </c>
      <c r="AA11" s="144"/>
      <c r="AB11" s="144"/>
      <c r="AC11" s="144">
        <f t="shared" si="2"/>
        <v>0</v>
      </c>
      <c r="AD11" s="144"/>
      <c r="AE11" s="144"/>
      <c r="AF11" s="144">
        <f t="shared" si="2"/>
        <v>0</v>
      </c>
      <c r="AG11" s="144"/>
      <c r="AH11" s="144"/>
      <c r="AI11" s="144">
        <f t="shared" si="2"/>
        <v>0</v>
      </c>
      <c r="AJ11" s="144"/>
      <c r="AK11" s="144"/>
      <c r="AL11" s="144">
        <f t="shared" si="2"/>
        <v>0</v>
      </c>
      <c r="AM11" s="144"/>
      <c r="AN11" s="144"/>
      <c r="AO11" s="144">
        <f t="shared" si="2"/>
        <v>0</v>
      </c>
      <c r="AP11" s="144"/>
      <c r="AQ11" s="144"/>
      <c r="AR11" s="144">
        <f t="shared" si="2"/>
        <v>0</v>
      </c>
      <c r="AS11" s="144"/>
      <c r="AT11" s="144"/>
      <c r="AU11" s="144">
        <f t="shared" si="2"/>
        <v>0</v>
      </c>
      <c r="AV11" s="144"/>
      <c r="AW11" s="144"/>
      <c r="AX11" s="144">
        <f t="shared" si="2"/>
        <v>0</v>
      </c>
      <c r="AY11" s="144"/>
      <c r="AZ11" s="144"/>
      <c r="BA11" s="144">
        <f t="shared" si="2"/>
        <v>176000000</v>
      </c>
      <c r="BB11" s="144">
        <f t="shared" ref="BB11:BC11" si="3">BB12+BB16</f>
        <v>64260000</v>
      </c>
      <c r="BC11" s="144">
        <f t="shared" si="3"/>
        <v>18535000</v>
      </c>
      <c r="BD11" s="144">
        <f t="shared" si="2"/>
        <v>0</v>
      </c>
      <c r="BE11" s="144"/>
      <c r="BF11" s="144"/>
      <c r="BG11" s="144">
        <f t="shared" si="2"/>
        <v>0</v>
      </c>
      <c r="BH11" s="144"/>
      <c r="BI11" s="144"/>
      <c r="BJ11" s="144">
        <f t="shared" si="2"/>
        <v>176000000</v>
      </c>
      <c r="BK11" s="144">
        <f t="shared" ref="BK11:BL11" si="4">BK12+BK16</f>
        <v>64260000</v>
      </c>
      <c r="BL11" s="144">
        <f t="shared" si="4"/>
        <v>18535000</v>
      </c>
      <c r="BM11" s="144"/>
      <c r="BN11" s="144"/>
      <c r="BO11" s="8"/>
      <c r="BP11" s="8"/>
      <c r="BQ11" s="8"/>
      <c r="BR11" s="8"/>
      <c r="BS11" s="8"/>
      <c r="BT11" s="8"/>
      <c r="BU11" s="8"/>
      <c r="BV11" s="8"/>
      <c r="BW11" s="8"/>
      <c r="BX11" s="8"/>
      <c r="BY11" s="8"/>
      <c r="BZ11" s="8"/>
      <c r="CA11" s="8"/>
      <c r="CB11" s="8"/>
      <c r="CC11" s="8"/>
      <c r="CD11" s="8"/>
      <c r="CE11" s="8"/>
      <c r="CF11" s="8"/>
      <c r="CG11" s="8"/>
      <c r="CH11" s="8"/>
      <c r="CI11" s="8"/>
      <c r="CJ11" s="8"/>
      <c r="CK11" s="8"/>
      <c r="CL11" s="8"/>
      <c r="CM11" s="8"/>
      <c r="CN11" s="8"/>
      <c r="CO11" s="8"/>
      <c r="CP11" s="8"/>
      <c r="CQ11" s="8"/>
      <c r="CR11" s="8"/>
      <c r="CS11" s="8"/>
      <c r="CT11" s="8"/>
      <c r="CU11" s="8"/>
      <c r="CV11" s="8"/>
      <c r="CW11" s="8"/>
      <c r="CX11" s="8"/>
      <c r="CY11" s="8"/>
      <c r="CZ11" s="8"/>
      <c r="DA11" s="8"/>
    </row>
    <row r="12" spans="1:106" ht="24" customHeight="1" x14ac:dyDescent="0.2">
      <c r="A12" s="145"/>
      <c r="B12" s="91"/>
      <c r="C12" s="91"/>
      <c r="D12" s="91"/>
      <c r="E12" s="91"/>
      <c r="F12" s="146">
        <v>4599</v>
      </c>
      <c r="G12" s="81" t="s">
        <v>45</v>
      </c>
      <c r="H12" s="81"/>
      <c r="I12" s="194"/>
      <c r="J12" s="194"/>
      <c r="K12" s="194"/>
      <c r="L12" s="194"/>
      <c r="M12" s="194"/>
      <c r="N12" s="194"/>
      <c r="O12" s="194"/>
      <c r="P12" s="194"/>
      <c r="Q12" s="194"/>
      <c r="R12" s="194"/>
      <c r="S12" s="194"/>
      <c r="T12" s="188"/>
      <c r="U12" s="147"/>
      <c r="V12" s="147"/>
      <c r="W12" s="148">
        <f>SUM(W13:W15)</f>
        <v>0</v>
      </c>
      <c r="X12" s="148"/>
      <c r="Y12" s="148"/>
      <c r="Z12" s="148">
        <f t="shared" ref="Z12:BG12" si="5">SUM(Z13:Z15)</f>
        <v>0</v>
      </c>
      <c r="AA12" s="148"/>
      <c r="AB12" s="148"/>
      <c r="AC12" s="148">
        <f t="shared" si="5"/>
        <v>0</v>
      </c>
      <c r="AD12" s="148"/>
      <c r="AE12" s="148"/>
      <c r="AF12" s="148">
        <f t="shared" si="5"/>
        <v>0</v>
      </c>
      <c r="AG12" s="148"/>
      <c r="AH12" s="148"/>
      <c r="AI12" s="148">
        <f t="shared" si="5"/>
        <v>0</v>
      </c>
      <c r="AJ12" s="148"/>
      <c r="AK12" s="148"/>
      <c r="AL12" s="148">
        <f t="shared" si="5"/>
        <v>0</v>
      </c>
      <c r="AM12" s="148"/>
      <c r="AN12" s="148"/>
      <c r="AO12" s="148">
        <f t="shared" si="5"/>
        <v>0</v>
      </c>
      <c r="AP12" s="148"/>
      <c r="AQ12" s="148"/>
      <c r="AR12" s="148">
        <f t="shared" si="5"/>
        <v>0</v>
      </c>
      <c r="AS12" s="148"/>
      <c r="AT12" s="148"/>
      <c r="AU12" s="148">
        <f t="shared" si="5"/>
        <v>0</v>
      </c>
      <c r="AV12" s="148"/>
      <c r="AW12" s="148"/>
      <c r="AX12" s="148">
        <f t="shared" si="5"/>
        <v>0</v>
      </c>
      <c r="AY12" s="148"/>
      <c r="AZ12" s="148"/>
      <c r="BA12" s="148">
        <f t="shared" si="5"/>
        <v>136000000</v>
      </c>
      <c r="BB12" s="148">
        <f t="shared" ref="BB12:BC12" si="6">SUM(BB13:BB15)</f>
        <v>41180000</v>
      </c>
      <c r="BC12" s="148">
        <f t="shared" si="6"/>
        <v>12765000</v>
      </c>
      <c r="BD12" s="148">
        <f t="shared" si="5"/>
        <v>0</v>
      </c>
      <c r="BE12" s="148"/>
      <c r="BF12" s="148"/>
      <c r="BG12" s="148">
        <f t="shared" si="5"/>
        <v>0</v>
      </c>
      <c r="BH12" s="148"/>
      <c r="BI12" s="148"/>
      <c r="BJ12" s="148">
        <f>SUM(BJ13:BJ15)</f>
        <v>136000000</v>
      </c>
      <c r="BK12" s="148">
        <f t="shared" ref="BK12:BL12" si="7">SUM(BK13:BK15)</f>
        <v>41180000</v>
      </c>
      <c r="BL12" s="148">
        <f t="shared" si="7"/>
        <v>12765000</v>
      </c>
      <c r="BM12" s="148"/>
      <c r="BN12" s="148"/>
    </row>
    <row r="13" spans="1:106" ht="165.75" customHeight="1" x14ac:dyDescent="0.2">
      <c r="A13" s="145"/>
      <c r="B13" s="91"/>
      <c r="C13" s="91"/>
      <c r="D13" s="91"/>
      <c r="E13" s="91"/>
      <c r="F13" s="87"/>
      <c r="G13" s="572"/>
      <c r="H13" s="562" t="s">
        <v>46</v>
      </c>
      <c r="I13" s="82" t="s">
        <v>47</v>
      </c>
      <c r="J13" s="571" t="s">
        <v>48</v>
      </c>
      <c r="K13" s="84">
        <v>4599023</v>
      </c>
      <c r="L13" s="571" t="s">
        <v>49</v>
      </c>
      <c r="M13" s="82" t="s">
        <v>47</v>
      </c>
      <c r="N13" s="568" t="s">
        <v>50</v>
      </c>
      <c r="O13" s="84">
        <v>459902300</v>
      </c>
      <c r="P13" s="559" t="s">
        <v>51</v>
      </c>
      <c r="Q13" s="569" t="s">
        <v>52</v>
      </c>
      <c r="R13" s="149">
        <v>5</v>
      </c>
      <c r="S13" s="149">
        <v>5</v>
      </c>
      <c r="T13" s="575" t="s">
        <v>53</v>
      </c>
      <c r="U13" s="561" t="s">
        <v>54</v>
      </c>
      <c r="V13" s="562" t="s">
        <v>55</v>
      </c>
      <c r="W13" s="150"/>
      <c r="X13" s="150"/>
      <c r="Y13" s="150"/>
      <c r="Z13" s="150"/>
      <c r="AA13" s="150"/>
      <c r="AB13" s="150"/>
      <c r="AC13" s="150"/>
      <c r="AD13" s="150"/>
      <c r="AE13" s="150"/>
      <c r="AF13" s="150"/>
      <c r="AG13" s="150"/>
      <c r="AH13" s="150"/>
      <c r="AI13" s="150"/>
      <c r="AJ13" s="150"/>
      <c r="AK13" s="150"/>
      <c r="AL13" s="150"/>
      <c r="AM13" s="150"/>
      <c r="AN13" s="150"/>
      <c r="AO13" s="150"/>
      <c r="AP13" s="150"/>
      <c r="AQ13" s="150"/>
      <c r="AR13" s="150"/>
      <c r="AS13" s="150"/>
      <c r="AT13" s="150"/>
      <c r="AU13" s="150"/>
      <c r="AV13" s="150"/>
      <c r="AW13" s="150"/>
      <c r="AX13" s="150"/>
      <c r="AY13" s="150"/>
      <c r="AZ13" s="150"/>
      <c r="BA13" s="607">
        <v>36000000</v>
      </c>
      <c r="BB13" s="607">
        <v>29640000</v>
      </c>
      <c r="BC13" s="607">
        <v>9880000</v>
      </c>
      <c r="BD13" s="150"/>
      <c r="BE13" s="150"/>
      <c r="BF13" s="150"/>
      <c r="BG13" s="150"/>
      <c r="BH13" s="150"/>
      <c r="BI13" s="150"/>
      <c r="BJ13" s="151">
        <f>+W13+Z13+AC13+AF13+AI13+AL13+AO13+AR13+AU13+AX13+BA13+BD13+BG13</f>
        <v>36000000</v>
      </c>
      <c r="BK13" s="151">
        <f t="shared" ref="BK13:BL15" si="8">+X13+AA13+AD13+AG13+AJ13+AM13+AP13+AS13+AV13+AY13+BB13+BE13+BH13</f>
        <v>29640000</v>
      </c>
      <c r="BL13" s="151">
        <f t="shared" si="8"/>
        <v>9880000</v>
      </c>
      <c r="BM13" s="151" t="s">
        <v>56</v>
      </c>
      <c r="BN13" s="70" t="s">
        <v>57</v>
      </c>
    </row>
    <row r="14" spans="1:106" ht="158.25" customHeight="1" x14ac:dyDescent="0.2">
      <c r="A14" s="145"/>
      <c r="B14" s="91"/>
      <c r="C14" s="91"/>
      <c r="D14" s="91"/>
      <c r="E14" s="91"/>
      <c r="F14" s="87"/>
      <c r="G14" s="569"/>
      <c r="H14" s="562" t="s">
        <v>46</v>
      </c>
      <c r="I14" s="82" t="s">
        <v>47</v>
      </c>
      <c r="J14" s="571" t="s">
        <v>58</v>
      </c>
      <c r="K14" s="84">
        <v>4599002</v>
      </c>
      <c r="L14" s="571" t="s">
        <v>59</v>
      </c>
      <c r="M14" s="82" t="s">
        <v>47</v>
      </c>
      <c r="N14" s="568" t="s">
        <v>60</v>
      </c>
      <c r="O14" s="84">
        <v>459900200</v>
      </c>
      <c r="P14" s="559" t="s">
        <v>1510</v>
      </c>
      <c r="Q14" s="569" t="s">
        <v>52</v>
      </c>
      <c r="R14" s="149">
        <v>4</v>
      </c>
      <c r="S14" s="149">
        <v>4</v>
      </c>
      <c r="T14" s="575" t="s">
        <v>61</v>
      </c>
      <c r="U14" s="561" t="s">
        <v>62</v>
      </c>
      <c r="V14" s="562" t="s">
        <v>63</v>
      </c>
      <c r="W14" s="150"/>
      <c r="X14" s="150"/>
      <c r="Y14" s="150"/>
      <c r="Z14" s="150"/>
      <c r="AA14" s="150"/>
      <c r="AB14" s="150"/>
      <c r="AC14" s="150"/>
      <c r="AD14" s="150"/>
      <c r="AE14" s="150"/>
      <c r="AF14" s="150"/>
      <c r="AG14" s="150"/>
      <c r="AH14" s="150"/>
      <c r="AI14" s="150"/>
      <c r="AJ14" s="150"/>
      <c r="AK14" s="150"/>
      <c r="AL14" s="150"/>
      <c r="AM14" s="150"/>
      <c r="AN14" s="150"/>
      <c r="AO14" s="150"/>
      <c r="AP14" s="150"/>
      <c r="AQ14" s="150"/>
      <c r="AR14" s="150"/>
      <c r="AS14" s="150"/>
      <c r="AT14" s="150"/>
      <c r="AU14" s="150"/>
      <c r="AV14" s="150"/>
      <c r="AW14" s="150"/>
      <c r="AX14" s="150"/>
      <c r="AY14" s="150"/>
      <c r="AZ14" s="150"/>
      <c r="BA14" s="837">
        <v>50000000</v>
      </c>
      <c r="BB14" s="837">
        <v>11540000</v>
      </c>
      <c r="BC14" s="837">
        <v>2885000</v>
      </c>
      <c r="BD14" s="150"/>
      <c r="BE14" s="150"/>
      <c r="BF14" s="150"/>
      <c r="BG14" s="150"/>
      <c r="BH14" s="150"/>
      <c r="BI14" s="150"/>
      <c r="BJ14" s="151">
        <f>+W14+Z14+AC14+AF14+AI14+AL14+AO14+AR14+AU14+AX14+BA14+BD14+BG14</f>
        <v>50000000</v>
      </c>
      <c r="BK14" s="151">
        <f t="shared" si="8"/>
        <v>11540000</v>
      </c>
      <c r="BL14" s="151">
        <f t="shared" si="8"/>
        <v>2885000</v>
      </c>
      <c r="BM14" s="151" t="s">
        <v>56</v>
      </c>
      <c r="BN14" s="70" t="s">
        <v>64</v>
      </c>
    </row>
    <row r="15" spans="1:106" ht="196.5" customHeight="1" x14ac:dyDescent="0.2">
      <c r="A15" s="145"/>
      <c r="B15" s="91"/>
      <c r="C15" s="91"/>
      <c r="D15" s="91"/>
      <c r="E15" s="91"/>
      <c r="F15" s="87"/>
      <c r="G15" s="569"/>
      <c r="H15" s="562" t="s">
        <v>46</v>
      </c>
      <c r="I15" s="82" t="s">
        <v>47</v>
      </c>
      <c r="J15" s="571" t="s">
        <v>65</v>
      </c>
      <c r="K15" s="84">
        <v>4599023</v>
      </c>
      <c r="L15" s="571" t="s">
        <v>49</v>
      </c>
      <c r="M15" s="82" t="s">
        <v>47</v>
      </c>
      <c r="N15" s="568" t="s">
        <v>66</v>
      </c>
      <c r="O15" s="84">
        <v>459902301</v>
      </c>
      <c r="P15" s="559" t="s">
        <v>67</v>
      </c>
      <c r="Q15" s="569" t="s">
        <v>68</v>
      </c>
      <c r="R15" s="149">
        <v>1</v>
      </c>
      <c r="S15" s="149">
        <v>0</v>
      </c>
      <c r="T15" s="570" t="s">
        <v>69</v>
      </c>
      <c r="U15" s="561" t="s">
        <v>70</v>
      </c>
      <c r="V15" s="562"/>
      <c r="W15" s="150"/>
      <c r="X15" s="150"/>
      <c r="Y15" s="150"/>
      <c r="Z15" s="150"/>
      <c r="AA15" s="150"/>
      <c r="AB15" s="150"/>
      <c r="AC15" s="150"/>
      <c r="AD15" s="150"/>
      <c r="AE15" s="150"/>
      <c r="AF15" s="150"/>
      <c r="AG15" s="150"/>
      <c r="AH15" s="150"/>
      <c r="AI15" s="150"/>
      <c r="AJ15" s="150"/>
      <c r="AK15" s="150"/>
      <c r="AL15" s="150"/>
      <c r="AM15" s="150"/>
      <c r="AN15" s="150"/>
      <c r="AO15" s="150"/>
      <c r="AP15" s="150"/>
      <c r="AQ15" s="150"/>
      <c r="AR15" s="150"/>
      <c r="AS15" s="150"/>
      <c r="AT15" s="150"/>
      <c r="AU15" s="150"/>
      <c r="AV15" s="150"/>
      <c r="AW15" s="150"/>
      <c r="AX15" s="150"/>
      <c r="AY15" s="150"/>
      <c r="AZ15" s="150"/>
      <c r="BA15" s="837">
        <v>50000000</v>
      </c>
      <c r="BB15" s="152"/>
      <c r="BC15" s="152"/>
      <c r="BD15" s="150"/>
      <c r="BE15" s="150"/>
      <c r="BF15" s="150"/>
      <c r="BG15" s="150"/>
      <c r="BH15" s="150"/>
      <c r="BI15" s="150"/>
      <c r="BJ15" s="151">
        <f>+W15+Z15+AC15+AF15+AI15+AL15+AO15+AR15+AU15+AX15+BA15+BD15+BG15</f>
        <v>50000000</v>
      </c>
      <c r="BK15" s="151">
        <f t="shared" si="8"/>
        <v>0</v>
      </c>
      <c r="BL15" s="151">
        <f t="shared" si="8"/>
        <v>0</v>
      </c>
      <c r="BM15" s="151" t="s">
        <v>56</v>
      </c>
      <c r="BN15" s="70" t="s">
        <v>64</v>
      </c>
    </row>
    <row r="16" spans="1:106" ht="24" customHeight="1" x14ac:dyDescent="0.2">
      <c r="A16" s="145"/>
      <c r="B16" s="91"/>
      <c r="C16" s="91"/>
      <c r="D16" s="91"/>
      <c r="E16" s="91"/>
      <c r="F16" s="146">
        <v>4502</v>
      </c>
      <c r="G16" s="81" t="s">
        <v>71</v>
      </c>
      <c r="H16" s="81"/>
      <c r="I16" s="194"/>
      <c r="J16" s="693"/>
      <c r="K16" s="726"/>
      <c r="L16" s="693"/>
      <c r="M16" s="693"/>
      <c r="N16" s="688"/>
      <c r="O16" s="689"/>
      <c r="P16" s="688"/>
      <c r="Q16" s="727"/>
      <c r="R16" s="689"/>
      <c r="S16" s="689"/>
      <c r="T16" s="728"/>
      <c r="U16" s="147"/>
      <c r="V16" s="147"/>
      <c r="W16" s="148">
        <f>SUM(W17)</f>
        <v>0</v>
      </c>
      <c r="X16" s="148"/>
      <c r="Y16" s="148"/>
      <c r="Z16" s="148">
        <f t="shared" ref="Z16:BG16" si="9">SUM(Z17)</f>
        <v>0</v>
      </c>
      <c r="AA16" s="148"/>
      <c r="AB16" s="148"/>
      <c r="AC16" s="148">
        <f t="shared" si="9"/>
        <v>0</v>
      </c>
      <c r="AD16" s="148"/>
      <c r="AE16" s="148"/>
      <c r="AF16" s="148">
        <f t="shared" si="9"/>
        <v>0</v>
      </c>
      <c r="AG16" s="148"/>
      <c r="AH16" s="148"/>
      <c r="AI16" s="148">
        <f t="shared" si="9"/>
        <v>0</v>
      </c>
      <c r="AJ16" s="148"/>
      <c r="AK16" s="148"/>
      <c r="AL16" s="148">
        <f t="shared" si="9"/>
        <v>0</v>
      </c>
      <c r="AM16" s="148"/>
      <c r="AN16" s="148"/>
      <c r="AO16" s="148">
        <f t="shared" si="9"/>
        <v>0</v>
      </c>
      <c r="AP16" s="148"/>
      <c r="AQ16" s="148"/>
      <c r="AR16" s="148">
        <f t="shared" si="9"/>
        <v>0</v>
      </c>
      <c r="AS16" s="148"/>
      <c r="AT16" s="148"/>
      <c r="AU16" s="148">
        <f t="shared" si="9"/>
        <v>0</v>
      </c>
      <c r="AV16" s="148"/>
      <c r="AW16" s="148"/>
      <c r="AX16" s="148">
        <f t="shared" si="9"/>
        <v>0</v>
      </c>
      <c r="AY16" s="148"/>
      <c r="AZ16" s="148"/>
      <c r="BA16" s="148">
        <f t="shared" si="9"/>
        <v>40000000</v>
      </c>
      <c r="BB16" s="148">
        <f t="shared" si="9"/>
        <v>23080000</v>
      </c>
      <c r="BC16" s="148">
        <f t="shared" si="9"/>
        <v>5770000</v>
      </c>
      <c r="BD16" s="148">
        <f t="shared" si="9"/>
        <v>0</v>
      </c>
      <c r="BE16" s="148"/>
      <c r="BF16" s="148"/>
      <c r="BG16" s="148">
        <f t="shared" si="9"/>
        <v>0</v>
      </c>
      <c r="BH16" s="148"/>
      <c r="BI16" s="148"/>
      <c r="BJ16" s="148">
        <f>SUM(BJ17)</f>
        <v>40000000</v>
      </c>
      <c r="BK16" s="148">
        <f t="shared" ref="BK16:BL16" si="10">SUM(BK17)</f>
        <v>23080000</v>
      </c>
      <c r="BL16" s="148">
        <f t="shared" si="10"/>
        <v>5770000</v>
      </c>
      <c r="BM16" s="148"/>
      <c r="BN16" s="156"/>
    </row>
    <row r="17" spans="1:106" ht="121.5" customHeight="1" x14ac:dyDescent="0.2">
      <c r="A17" s="145"/>
      <c r="B17" s="91"/>
      <c r="C17" s="91"/>
      <c r="D17" s="91"/>
      <c r="E17" s="91"/>
      <c r="F17" s="87"/>
      <c r="G17" s="569"/>
      <c r="H17" s="562" t="s">
        <v>72</v>
      </c>
      <c r="I17" s="82" t="s">
        <v>47</v>
      </c>
      <c r="J17" s="571" t="s">
        <v>73</v>
      </c>
      <c r="K17" s="84">
        <v>4502033</v>
      </c>
      <c r="L17" s="571" t="s">
        <v>74</v>
      </c>
      <c r="M17" s="82" t="s">
        <v>47</v>
      </c>
      <c r="N17" s="157" t="s">
        <v>75</v>
      </c>
      <c r="O17" s="113">
        <v>450203300</v>
      </c>
      <c r="P17" s="417" t="s">
        <v>76</v>
      </c>
      <c r="Q17" s="569" t="s">
        <v>52</v>
      </c>
      <c r="R17" s="149">
        <v>1</v>
      </c>
      <c r="S17" s="149">
        <v>1</v>
      </c>
      <c r="T17" s="569" t="s">
        <v>77</v>
      </c>
      <c r="U17" s="561" t="s">
        <v>78</v>
      </c>
      <c r="V17" s="562" t="s">
        <v>79</v>
      </c>
      <c r="W17" s="150"/>
      <c r="X17" s="150"/>
      <c r="Y17" s="150"/>
      <c r="Z17" s="150"/>
      <c r="AA17" s="150"/>
      <c r="AB17" s="150"/>
      <c r="AC17" s="150"/>
      <c r="AD17" s="150"/>
      <c r="AE17" s="150"/>
      <c r="AF17" s="150"/>
      <c r="AG17" s="150"/>
      <c r="AH17" s="150"/>
      <c r="AI17" s="150"/>
      <c r="AJ17" s="150"/>
      <c r="AK17" s="150"/>
      <c r="AL17" s="150"/>
      <c r="AM17" s="150"/>
      <c r="AN17" s="150"/>
      <c r="AO17" s="150"/>
      <c r="AP17" s="150"/>
      <c r="AQ17" s="150"/>
      <c r="AR17" s="150"/>
      <c r="AS17" s="150"/>
      <c r="AT17" s="150"/>
      <c r="AU17" s="150"/>
      <c r="AV17" s="150"/>
      <c r="AW17" s="150"/>
      <c r="AX17" s="150"/>
      <c r="AY17" s="150"/>
      <c r="AZ17" s="150"/>
      <c r="BA17" s="838">
        <v>40000000</v>
      </c>
      <c r="BB17" s="838">
        <v>23080000</v>
      </c>
      <c r="BC17" s="838">
        <v>5770000</v>
      </c>
      <c r="BD17" s="150"/>
      <c r="BE17" s="150"/>
      <c r="BF17" s="150"/>
      <c r="BG17" s="150"/>
      <c r="BH17" s="150"/>
      <c r="BI17" s="150"/>
      <c r="BJ17" s="151">
        <f>+W17+Z17+AC17+AF17+AI17+AL17+AO17+AR17+AU17+AX17+BA17+BD17+BG17</f>
        <v>40000000</v>
      </c>
      <c r="BK17" s="151">
        <f t="shared" ref="BK17:BL17" si="11">+X17+AA17+AD17+AG17+AJ17+AM17+AP17+AS17+AV17+AY17+BB17+BE17+BH17</f>
        <v>23080000</v>
      </c>
      <c r="BL17" s="151">
        <f t="shared" si="11"/>
        <v>5770000</v>
      </c>
      <c r="BM17" s="151" t="s">
        <v>56</v>
      </c>
      <c r="BN17" s="70" t="s">
        <v>64</v>
      </c>
    </row>
    <row r="18" spans="1:106" s="467" customFormat="1" ht="16.5" customHeight="1" x14ac:dyDescent="0.25">
      <c r="A18" s="463"/>
      <c r="B18" s="463"/>
      <c r="C18" s="463"/>
      <c r="D18" s="463"/>
      <c r="E18" s="463"/>
      <c r="F18" s="463"/>
      <c r="G18" s="463"/>
      <c r="H18" s="464"/>
      <c r="I18" s="463"/>
      <c r="J18" s="463"/>
      <c r="K18" s="463"/>
      <c r="L18" s="463"/>
      <c r="M18" s="463"/>
      <c r="N18" s="463"/>
      <c r="O18" s="463"/>
      <c r="P18" s="463"/>
      <c r="Q18" s="465"/>
      <c r="R18" s="463"/>
      <c r="S18" s="463"/>
      <c r="T18" s="465"/>
      <c r="U18" s="465"/>
      <c r="V18" s="465"/>
      <c r="W18" s="466"/>
      <c r="X18" s="466"/>
      <c r="Y18" s="466"/>
      <c r="Z18" s="466"/>
      <c r="AA18" s="466"/>
      <c r="AB18" s="466"/>
      <c r="AC18" s="466"/>
      <c r="AD18" s="466"/>
      <c r="AE18" s="466"/>
      <c r="AF18" s="466"/>
      <c r="AG18" s="466"/>
      <c r="AH18" s="466"/>
      <c r="AI18" s="466"/>
      <c r="AJ18" s="466"/>
      <c r="AK18" s="466"/>
      <c r="AL18" s="466"/>
      <c r="AM18" s="466"/>
      <c r="AN18" s="466"/>
      <c r="AO18" s="466"/>
      <c r="AP18" s="466"/>
      <c r="AQ18" s="466"/>
      <c r="AR18" s="466"/>
      <c r="AS18" s="466"/>
      <c r="AT18" s="466"/>
      <c r="AU18" s="466"/>
      <c r="AV18" s="466"/>
      <c r="AW18" s="466"/>
      <c r="AX18" s="466"/>
      <c r="AY18" s="466"/>
      <c r="AZ18" s="466"/>
      <c r="BA18" s="466"/>
      <c r="BB18" s="466"/>
      <c r="BC18" s="466"/>
      <c r="BD18" s="466"/>
      <c r="BE18" s="466"/>
      <c r="BF18" s="466"/>
      <c r="BG18" s="466"/>
      <c r="BH18" s="466"/>
      <c r="BI18" s="466"/>
      <c r="BJ18" s="466"/>
      <c r="BK18" s="466"/>
      <c r="BL18" s="466"/>
      <c r="BM18" s="466"/>
      <c r="BN18" s="466"/>
    </row>
    <row r="19" spans="1:106" s="406" customFormat="1" ht="24" customHeight="1" x14ac:dyDescent="0.25">
      <c r="A19" s="41" t="s">
        <v>80</v>
      </c>
      <c r="B19" s="41"/>
      <c r="C19" s="41"/>
      <c r="D19" s="41"/>
      <c r="E19" s="41"/>
      <c r="F19" s="42"/>
      <c r="G19" s="43"/>
      <c r="H19" s="386"/>
      <c r="I19" s="386"/>
      <c r="J19" s="386"/>
      <c r="K19" s="389"/>
      <c r="L19" s="386"/>
      <c r="M19" s="386"/>
      <c r="N19" s="391"/>
      <c r="O19" s="390"/>
      <c r="P19" s="390"/>
      <c r="Q19" s="392"/>
      <c r="R19" s="390"/>
      <c r="S19" s="390"/>
      <c r="T19" s="43"/>
      <c r="U19" s="391"/>
      <c r="V19" s="391"/>
      <c r="W19" s="407">
        <f t="shared" ref="W19:BN20" si="12">W20</f>
        <v>0</v>
      </c>
      <c r="X19" s="407"/>
      <c r="Y19" s="407"/>
      <c r="Z19" s="407">
        <f t="shared" si="12"/>
        <v>0</v>
      </c>
      <c r="AA19" s="407"/>
      <c r="AB19" s="407"/>
      <c r="AC19" s="407">
        <f t="shared" si="12"/>
        <v>0</v>
      </c>
      <c r="AD19" s="407"/>
      <c r="AE19" s="407"/>
      <c r="AF19" s="407">
        <f t="shared" si="12"/>
        <v>0</v>
      </c>
      <c r="AG19" s="407"/>
      <c r="AH19" s="407"/>
      <c r="AI19" s="407">
        <f t="shared" si="12"/>
        <v>0</v>
      </c>
      <c r="AJ19" s="407"/>
      <c r="AK19" s="407"/>
      <c r="AL19" s="407">
        <f t="shared" si="12"/>
        <v>0</v>
      </c>
      <c r="AM19" s="407"/>
      <c r="AN19" s="407"/>
      <c r="AO19" s="407">
        <f t="shared" si="12"/>
        <v>0</v>
      </c>
      <c r="AP19" s="407"/>
      <c r="AQ19" s="407"/>
      <c r="AR19" s="407">
        <f t="shared" si="12"/>
        <v>0</v>
      </c>
      <c r="AS19" s="407"/>
      <c r="AT19" s="407"/>
      <c r="AU19" s="407">
        <f t="shared" si="12"/>
        <v>0</v>
      </c>
      <c r="AV19" s="407"/>
      <c r="AW19" s="407"/>
      <c r="AX19" s="407">
        <f t="shared" si="12"/>
        <v>0</v>
      </c>
      <c r="AY19" s="407"/>
      <c r="AZ19" s="407"/>
      <c r="BA19" s="407">
        <f t="shared" si="12"/>
        <v>983000000</v>
      </c>
      <c r="BB19" s="407">
        <f t="shared" si="12"/>
        <v>299295000</v>
      </c>
      <c r="BC19" s="407">
        <f t="shared" si="12"/>
        <v>61120000</v>
      </c>
      <c r="BD19" s="407">
        <f t="shared" si="12"/>
        <v>0</v>
      </c>
      <c r="BE19" s="407"/>
      <c r="BF19" s="407"/>
      <c r="BG19" s="407">
        <f t="shared" si="12"/>
        <v>0</v>
      </c>
      <c r="BH19" s="407"/>
      <c r="BI19" s="407"/>
      <c r="BJ19" s="407">
        <f t="shared" si="12"/>
        <v>983000000</v>
      </c>
      <c r="BK19" s="407">
        <f t="shared" si="12"/>
        <v>299295000</v>
      </c>
      <c r="BL19" s="407">
        <f t="shared" si="12"/>
        <v>61120000</v>
      </c>
      <c r="BM19" s="407">
        <f t="shared" si="12"/>
        <v>0</v>
      </c>
      <c r="BN19" s="407">
        <f t="shared" si="12"/>
        <v>0</v>
      </c>
      <c r="BO19" s="405"/>
      <c r="BP19" s="405"/>
      <c r="BQ19" s="405"/>
      <c r="BR19" s="405"/>
      <c r="BS19" s="405"/>
      <c r="BT19" s="405"/>
      <c r="BU19" s="405"/>
      <c r="BV19" s="405"/>
      <c r="BW19" s="405"/>
      <c r="BX19" s="405"/>
      <c r="BY19" s="405"/>
      <c r="BZ19" s="405"/>
      <c r="CA19" s="405"/>
      <c r="CB19" s="405"/>
      <c r="CC19" s="405"/>
      <c r="CD19" s="405"/>
      <c r="CE19" s="405"/>
      <c r="CF19" s="405"/>
      <c r="CG19" s="405"/>
      <c r="CH19" s="405"/>
      <c r="CI19" s="405"/>
      <c r="CJ19" s="405"/>
      <c r="CK19" s="405"/>
      <c r="CL19" s="405"/>
      <c r="CM19" s="405"/>
      <c r="CN19" s="405"/>
      <c r="CO19" s="405"/>
      <c r="CP19" s="405"/>
      <c r="CQ19" s="405"/>
      <c r="CR19" s="405"/>
      <c r="CS19" s="405"/>
      <c r="CT19" s="405"/>
      <c r="CU19" s="405"/>
      <c r="CV19" s="405"/>
      <c r="CW19" s="405"/>
      <c r="CX19" s="405"/>
      <c r="CY19" s="405"/>
      <c r="CZ19" s="405"/>
      <c r="DA19" s="405"/>
      <c r="DB19" s="405"/>
    </row>
    <row r="20" spans="1:106" ht="24" customHeight="1" x14ac:dyDescent="0.2">
      <c r="A20" s="145"/>
      <c r="B20" s="131">
        <v>4</v>
      </c>
      <c r="C20" s="447"/>
      <c r="D20" s="76" t="s">
        <v>43</v>
      </c>
      <c r="E20" s="449"/>
      <c r="F20" s="449"/>
      <c r="G20" s="449"/>
      <c r="H20" s="449"/>
      <c r="I20" s="640"/>
      <c r="J20" s="182"/>
      <c r="K20" s="181"/>
      <c r="L20" s="182"/>
      <c r="M20" s="182"/>
      <c r="N20" s="184"/>
      <c r="O20" s="183"/>
      <c r="P20" s="183"/>
      <c r="Q20" s="185"/>
      <c r="R20" s="183"/>
      <c r="S20" s="183"/>
      <c r="T20" s="729"/>
      <c r="U20" s="133"/>
      <c r="V20" s="133"/>
      <c r="W20" s="158">
        <f>W21</f>
        <v>0</v>
      </c>
      <c r="X20" s="158"/>
      <c r="Y20" s="158"/>
      <c r="Z20" s="158">
        <f t="shared" si="12"/>
        <v>0</v>
      </c>
      <c r="AA20" s="158"/>
      <c r="AB20" s="158"/>
      <c r="AC20" s="158">
        <f t="shared" si="12"/>
        <v>0</v>
      </c>
      <c r="AD20" s="158"/>
      <c r="AE20" s="158"/>
      <c r="AF20" s="158">
        <f t="shared" si="12"/>
        <v>0</v>
      </c>
      <c r="AG20" s="158"/>
      <c r="AH20" s="158"/>
      <c r="AI20" s="158">
        <f t="shared" si="12"/>
        <v>0</v>
      </c>
      <c r="AJ20" s="158"/>
      <c r="AK20" s="158"/>
      <c r="AL20" s="158">
        <f t="shared" si="12"/>
        <v>0</v>
      </c>
      <c r="AM20" s="158"/>
      <c r="AN20" s="158"/>
      <c r="AO20" s="158">
        <f t="shared" si="12"/>
        <v>0</v>
      </c>
      <c r="AP20" s="158"/>
      <c r="AQ20" s="158"/>
      <c r="AR20" s="158">
        <f t="shared" si="12"/>
        <v>0</v>
      </c>
      <c r="AS20" s="158"/>
      <c r="AT20" s="158"/>
      <c r="AU20" s="158">
        <f t="shared" si="12"/>
        <v>0</v>
      </c>
      <c r="AV20" s="158"/>
      <c r="AW20" s="158"/>
      <c r="AX20" s="158">
        <f t="shared" si="12"/>
        <v>0</v>
      </c>
      <c r="AY20" s="158"/>
      <c r="AZ20" s="158"/>
      <c r="BA20" s="158">
        <f t="shared" si="12"/>
        <v>983000000</v>
      </c>
      <c r="BB20" s="158">
        <f t="shared" si="12"/>
        <v>299295000</v>
      </c>
      <c r="BC20" s="158">
        <f t="shared" si="12"/>
        <v>61120000</v>
      </c>
      <c r="BD20" s="158">
        <f t="shared" si="12"/>
        <v>0</v>
      </c>
      <c r="BE20" s="158"/>
      <c r="BF20" s="158"/>
      <c r="BG20" s="158">
        <f t="shared" si="12"/>
        <v>0</v>
      </c>
      <c r="BH20" s="158"/>
      <c r="BI20" s="158"/>
      <c r="BJ20" s="158">
        <f t="shared" si="12"/>
        <v>983000000</v>
      </c>
      <c r="BK20" s="158">
        <f t="shared" si="12"/>
        <v>299295000</v>
      </c>
      <c r="BL20" s="158">
        <f t="shared" si="12"/>
        <v>61120000</v>
      </c>
      <c r="BM20" s="158">
        <f t="shared" si="12"/>
        <v>0</v>
      </c>
      <c r="BN20" s="158">
        <f>BN21</f>
        <v>0</v>
      </c>
    </row>
    <row r="21" spans="1:106" s="9" customFormat="1" ht="24" customHeight="1" x14ac:dyDescent="0.25">
      <c r="A21" s="130"/>
      <c r="B21" s="83"/>
      <c r="C21" s="83"/>
      <c r="D21" s="77">
        <v>45</v>
      </c>
      <c r="E21" s="75" t="s">
        <v>44</v>
      </c>
      <c r="F21" s="135"/>
      <c r="G21" s="136"/>
      <c r="H21" s="137"/>
      <c r="I21" s="137"/>
      <c r="J21" s="139"/>
      <c r="K21" s="138"/>
      <c r="L21" s="139"/>
      <c r="M21" s="139"/>
      <c r="N21" s="141"/>
      <c r="O21" s="140"/>
      <c r="P21" s="140"/>
      <c r="Q21" s="139"/>
      <c r="R21" s="142"/>
      <c r="S21" s="142"/>
      <c r="T21" s="687"/>
      <c r="U21" s="143"/>
      <c r="V21" s="144"/>
      <c r="W21" s="144">
        <f>W22+W25</f>
        <v>0</v>
      </c>
      <c r="X21" s="144"/>
      <c r="Y21" s="144"/>
      <c r="Z21" s="144">
        <f t="shared" ref="Z21:BN21" si="13">Z22+Z25</f>
        <v>0</v>
      </c>
      <c r="AA21" s="144"/>
      <c r="AB21" s="144"/>
      <c r="AC21" s="144">
        <f t="shared" si="13"/>
        <v>0</v>
      </c>
      <c r="AD21" s="144"/>
      <c r="AE21" s="144"/>
      <c r="AF21" s="144">
        <f t="shared" si="13"/>
        <v>0</v>
      </c>
      <c r="AG21" s="144"/>
      <c r="AH21" s="144"/>
      <c r="AI21" s="144">
        <f t="shared" si="13"/>
        <v>0</v>
      </c>
      <c r="AJ21" s="144"/>
      <c r="AK21" s="144"/>
      <c r="AL21" s="144">
        <f t="shared" si="13"/>
        <v>0</v>
      </c>
      <c r="AM21" s="144"/>
      <c r="AN21" s="144"/>
      <c r="AO21" s="144">
        <f t="shared" si="13"/>
        <v>0</v>
      </c>
      <c r="AP21" s="144"/>
      <c r="AQ21" s="144"/>
      <c r="AR21" s="144">
        <f t="shared" si="13"/>
        <v>0</v>
      </c>
      <c r="AS21" s="144"/>
      <c r="AT21" s="144"/>
      <c r="AU21" s="144">
        <f t="shared" si="13"/>
        <v>0</v>
      </c>
      <c r="AV21" s="144"/>
      <c r="AW21" s="144"/>
      <c r="AX21" s="144">
        <f t="shared" si="13"/>
        <v>0</v>
      </c>
      <c r="AY21" s="144"/>
      <c r="AZ21" s="144"/>
      <c r="BA21" s="144">
        <f t="shared" si="13"/>
        <v>983000000</v>
      </c>
      <c r="BB21" s="144">
        <f t="shared" ref="BB21:BC21" si="14">BB22+BB25</f>
        <v>299295000</v>
      </c>
      <c r="BC21" s="144">
        <f t="shared" si="14"/>
        <v>61120000</v>
      </c>
      <c r="BD21" s="144">
        <f t="shared" si="13"/>
        <v>0</v>
      </c>
      <c r="BE21" s="144"/>
      <c r="BF21" s="144"/>
      <c r="BG21" s="144">
        <f t="shared" si="13"/>
        <v>0</v>
      </c>
      <c r="BH21" s="144"/>
      <c r="BI21" s="144"/>
      <c r="BJ21" s="144">
        <f t="shared" si="13"/>
        <v>983000000</v>
      </c>
      <c r="BK21" s="144">
        <f t="shared" ref="BK21:BL21" si="15">BK22+BK25</f>
        <v>299295000</v>
      </c>
      <c r="BL21" s="144">
        <f t="shared" si="15"/>
        <v>61120000</v>
      </c>
      <c r="BM21" s="144">
        <f t="shared" si="13"/>
        <v>0</v>
      </c>
      <c r="BN21" s="144">
        <f t="shared" si="13"/>
        <v>0</v>
      </c>
      <c r="BO21" s="8"/>
      <c r="BP21" s="8"/>
      <c r="BQ21" s="8"/>
      <c r="BR21" s="8"/>
      <c r="BS21" s="8"/>
      <c r="BT21" s="8"/>
      <c r="BU21" s="8"/>
      <c r="BV21" s="8"/>
      <c r="BW21" s="8"/>
      <c r="BX21" s="8"/>
      <c r="BY21" s="8"/>
      <c r="BZ21" s="8"/>
      <c r="CA21" s="8"/>
      <c r="CB21" s="8"/>
      <c r="CC21" s="8"/>
      <c r="CD21" s="8"/>
      <c r="CE21" s="8"/>
      <c r="CF21" s="8"/>
      <c r="CG21" s="8"/>
      <c r="CH21" s="8"/>
      <c r="CI21" s="8"/>
      <c r="CJ21" s="8"/>
      <c r="CK21" s="8"/>
      <c r="CL21" s="8"/>
      <c r="CM21" s="8"/>
      <c r="CN21" s="8"/>
      <c r="CO21" s="8"/>
      <c r="CP21" s="8"/>
      <c r="CQ21" s="8"/>
      <c r="CR21" s="8"/>
      <c r="CS21" s="8"/>
      <c r="CT21" s="8"/>
      <c r="CU21" s="8"/>
      <c r="CV21" s="8"/>
      <c r="CW21" s="8"/>
      <c r="CX21" s="8"/>
      <c r="CY21" s="8"/>
      <c r="CZ21" s="8"/>
      <c r="DA21" s="8"/>
    </row>
    <row r="22" spans="1:106" ht="24" customHeight="1" x14ac:dyDescent="0.2">
      <c r="A22" s="145"/>
      <c r="B22" s="91"/>
      <c r="C22" s="91"/>
      <c r="D22" s="91"/>
      <c r="E22" s="91"/>
      <c r="F22" s="146">
        <v>4502</v>
      </c>
      <c r="G22" s="81" t="s">
        <v>71</v>
      </c>
      <c r="H22" s="194"/>
      <c r="I22" s="194"/>
      <c r="J22" s="159"/>
      <c r="K22" s="159"/>
      <c r="L22" s="159"/>
      <c r="M22" s="159"/>
      <c r="N22" s="688"/>
      <c r="O22" s="689"/>
      <c r="P22" s="688"/>
      <c r="Q22" s="727"/>
      <c r="R22" s="689"/>
      <c r="S22" s="689"/>
      <c r="T22" s="728"/>
      <c r="U22" s="147"/>
      <c r="V22" s="147"/>
      <c r="W22" s="160">
        <f>SUM(W23:W24)</f>
        <v>0</v>
      </c>
      <c r="X22" s="160"/>
      <c r="Y22" s="160"/>
      <c r="Z22" s="160">
        <f t="shared" ref="Z22:BN22" si="16">SUM(Z23:Z24)</f>
        <v>0</v>
      </c>
      <c r="AA22" s="160"/>
      <c r="AB22" s="160"/>
      <c r="AC22" s="160">
        <f t="shared" si="16"/>
        <v>0</v>
      </c>
      <c r="AD22" s="160"/>
      <c r="AE22" s="160"/>
      <c r="AF22" s="160">
        <f t="shared" si="16"/>
        <v>0</v>
      </c>
      <c r="AG22" s="160"/>
      <c r="AH22" s="160"/>
      <c r="AI22" s="160">
        <f t="shared" si="16"/>
        <v>0</v>
      </c>
      <c r="AJ22" s="160"/>
      <c r="AK22" s="160"/>
      <c r="AL22" s="160">
        <f t="shared" si="16"/>
        <v>0</v>
      </c>
      <c r="AM22" s="160"/>
      <c r="AN22" s="160"/>
      <c r="AO22" s="160">
        <f t="shared" si="16"/>
        <v>0</v>
      </c>
      <c r="AP22" s="160"/>
      <c r="AQ22" s="160"/>
      <c r="AR22" s="160">
        <f t="shared" si="16"/>
        <v>0</v>
      </c>
      <c r="AS22" s="160"/>
      <c r="AT22" s="160"/>
      <c r="AU22" s="160">
        <f t="shared" si="16"/>
        <v>0</v>
      </c>
      <c r="AV22" s="160"/>
      <c r="AW22" s="160"/>
      <c r="AX22" s="160">
        <f t="shared" si="16"/>
        <v>0</v>
      </c>
      <c r="AY22" s="160"/>
      <c r="AZ22" s="160"/>
      <c r="BA22" s="160">
        <f t="shared" si="16"/>
        <v>175000000</v>
      </c>
      <c r="BB22" s="160">
        <f t="shared" ref="BB22:BC22" si="17">SUM(BB23:BB24)</f>
        <v>8655000</v>
      </c>
      <c r="BC22" s="160">
        <f t="shared" si="17"/>
        <v>0</v>
      </c>
      <c r="BD22" s="160">
        <f t="shared" si="16"/>
        <v>0</v>
      </c>
      <c r="BE22" s="160"/>
      <c r="BF22" s="160"/>
      <c r="BG22" s="160">
        <f t="shared" si="16"/>
        <v>0</v>
      </c>
      <c r="BH22" s="160"/>
      <c r="BI22" s="160"/>
      <c r="BJ22" s="160">
        <f t="shared" si="16"/>
        <v>175000000</v>
      </c>
      <c r="BK22" s="160">
        <f t="shared" ref="BK22:BL22" si="18">SUM(BK23:BK24)</f>
        <v>8655000</v>
      </c>
      <c r="BL22" s="160">
        <f t="shared" si="18"/>
        <v>0</v>
      </c>
      <c r="BM22" s="160">
        <f t="shared" si="16"/>
        <v>0</v>
      </c>
      <c r="BN22" s="160">
        <f t="shared" si="16"/>
        <v>0</v>
      </c>
    </row>
    <row r="23" spans="1:106" ht="165" customHeight="1" x14ac:dyDescent="0.2">
      <c r="A23" s="145"/>
      <c r="B23" s="91"/>
      <c r="C23" s="91"/>
      <c r="D23" s="91"/>
      <c r="E23" s="91"/>
      <c r="F23" s="567"/>
      <c r="G23" s="569"/>
      <c r="H23" s="562" t="s">
        <v>81</v>
      </c>
      <c r="I23" s="82" t="s">
        <v>47</v>
      </c>
      <c r="J23" s="571" t="s">
        <v>82</v>
      </c>
      <c r="K23" s="84">
        <v>4502001</v>
      </c>
      <c r="L23" s="571" t="s">
        <v>83</v>
      </c>
      <c r="M23" s="82" t="s">
        <v>47</v>
      </c>
      <c r="N23" s="157" t="s">
        <v>84</v>
      </c>
      <c r="O23" s="113">
        <v>450200100</v>
      </c>
      <c r="P23" s="417" t="s">
        <v>85</v>
      </c>
      <c r="Q23" s="569" t="s">
        <v>52</v>
      </c>
      <c r="R23" s="149">
        <v>1</v>
      </c>
      <c r="S23" s="149"/>
      <c r="T23" s="570" t="s">
        <v>86</v>
      </c>
      <c r="U23" s="562" t="s">
        <v>87</v>
      </c>
      <c r="V23" s="562" t="s">
        <v>88</v>
      </c>
      <c r="W23" s="150"/>
      <c r="X23" s="150"/>
      <c r="Y23" s="150"/>
      <c r="Z23" s="150"/>
      <c r="AA23" s="150"/>
      <c r="AB23" s="150"/>
      <c r="AC23" s="150"/>
      <c r="AD23" s="150"/>
      <c r="AE23" s="150"/>
      <c r="AF23" s="150"/>
      <c r="AG23" s="150"/>
      <c r="AH23" s="150"/>
      <c r="AI23" s="150"/>
      <c r="AJ23" s="150"/>
      <c r="AK23" s="150"/>
      <c r="AL23" s="150"/>
      <c r="AM23" s="150"/>
      <c r="AN23" s="150"/>
      <c r="AO23" s="150"/>
      <c r="AP23" s="150"/>
      <c r="AQ23" s="150"/>
      <c r="AR23" s="150"/>
      <c r="AS23" s="150"/>
      <c r="AT23" s="150"/>
      <c r="AU23" s="150"/>
      <c r="AV23" s="150"/>
      <c r="AW23" s="150"/>
      <c r="AX23" s="150"/>
      <c r="AY23" s="150"/>
      <c r="AZ23" s="150"/>
      <c r="BA23" s="161">
        <v>140000000</v>
      </c>
      <c r="BB23" s="161"/>
      <c r="BC23" s="161"/>
      <c r="BD23" s="150"/>
      <c r="BE23" s="150"/>
      <c r="BF23" s="150"/>
      <c r="BG23" s="150"/>
      <c r="BH23" s="150"/>
      <c r="BI23" s="150"/>
      <c r="BJ23" s="151">
        <f>+W23+Z23+AC23+AF23+AI23+AL23+AO23+AR23+AU23+AX23+BA23+BD23+BG23</f>
        <v>140000000</v>
      </c>
      <c r="BK23" s="151">
        <f t="shared" ref="BK23:BL24" si="19">+X23+AA23+AD23+AG23+AJ23+AM23+AP23+AS23+AV23+AY23+BB23+BE23+BH23</f>
        <v>0</v>
      </c>
      <c r="BL23" s="151">
        <f t="shared" si="19"/>
        <v>0</v>
      </c>
      <c r="BM23" s="151" t="s">
        <v>89</v>
      </c>
      <c r="BN23" s="72" t="s">
        <v>1511</v>
      </c>
    </row>
    <row r="24" spans="1:106" ht="107.25" customHeight="1" x14ac:dyDescent="0.2">
      <c r="A24" s="145"/>
      <c r="B24" s="91"/>
      <c r="C24" s="91"/>
      <c r="D24" s="91"/>
      <c r="E24" s="91"/>
      <c r="F24" s="567"/>
      <c r="G24" s="569"/>
      <c r="H24" s="562" t="s">
        <v>72</v>
      </c>
      <c r="I24" s="82" t="s">
        <v>47</v>
      </c>
      <c r="J24" s="162" t="s">
        <v>90</v>
      </c>
      <c r="K24" s="113">
        <v>4502001</v>
      </c>
      <c r="L24" s="162" t="s">
        <v>83</v>
      </c>
      <c r="M24" s="82" t="s">
        <v>47</v>
      </c>
      <c r="N24" s="157" t="s">
        <v>91</v>
      </c>
      <c r="O24" s="113">
        <v>450200101</v>
      </c>
      <c r="P24" s="417" t="s">
        <v>1512</v>
      </c>
      <c r="Q24" s="569" t="s">
        <v>52</v>
      </c>
      <c r="R24" s="149">
        <v>12</v>
      </c>
      <c r="S24" s="149"/>
      <c r="T24" s="570" t="s">
        <v>92</v>
      </c>
      <c r="U24" s="562" t="s">
        <v>93</v>
      </c>
      <c r="V24" s="562" t="s">
        <v>94</v>
      </c>
      <c r="W24" s="150"/>
      <c r="X24" s="150"/>
      <c r="Y24" s="150"/>
      <c r="Z24" s="150"/>
      <c r="AA24" s="150"/>
      <c r="AB24" s="150"/>
      <c r="AC24" s="150"/>
      <c r="AD24" s="150"/>
      <c r="AE24" s="150"/>
      <c r="AF24" s="150"/>
      <c r="AG24" s="150"/>
      <c r="AH24" s="150"/>
      <c r="AI24" s="150"/>
      <c r="AJ24" s="150"/>
      <c r="AK24" s="150"/>
      <c r="AL24" s="150"/>
      <c r="AM24" s="150"/>
      <c r="AN24" s="150"/>
      <c r="AO24" s="150"/>
      <c r="AP24" s="150"/>
      <c r="AQ24" s="150"/>
      <c r="AR24" s="150"/>
      <c r="AS24" s="150"/>
      <c r="AT24" s="150"/>
      <c r="AU24" s="150"/>
      <c r="AV24" s="150"/>
      <c r="AW24" s="150"/>
      <c r="AX24" s="150"/>
      <c r="AY24" s="150"/>
      <c r="AZ24" s="150"/>
      <c r="BA24" s="161">
        <v>35000000</v>
      </c>
      <c r="BB24" s="161">
        <v>8655000</v>
      </c>
      <c r="BC24" s="161"/>
      <c r="BD24" s="150"/>
      <c r="BE24" s="150"/>
      <c r="BF24" s="150"/>
      <c r="BG24" s="150"/>
      <c r="BH24" s="150"/>
      <c r="BI24" s="150"/>
      <c r="BJ24" s="151">
        <f>+W24+Z24+AC24+AF24+AI24+AL24+AO24+AR24+AU24+AX24+BA24+BD24+BG24</f>
        <v>35000000</v>
      </c>
      <c r="BK24" s="151">
        <f t="shared" si="19"/>
        <v>8655000</v>
      </c>
      <c r="BL24" s="151">
        <f t="shared" si="19"/>
        <v>0</v>
      </c>
      <c r="BM24" s="151" t="s">
        <v>89</v>
      </c>
      <c r="BN24" s="72" t="s">
        <v>1511</v>
      </c>
    </row>
    <row r="25" spans="1:106" ht="24" customHeight="1" x14ac:dyDescent="0.2">
      <c r="A25" s="145"/>
      <c r="B25" s="91"/>
      <c r="C25" s="91"/>
      <c r="D25" s="91"/>
      <c r="E25" s="91"/>
      <c r="F25" s="146">
        <v>4599</v>
      </c>
      <c r="G25" s="81" t="s">
        <v>45</v>
      </c>
      <c r="H25" s="194"/>
      <c r="I25" s="194"/>
      <c r="J25" s="159"/>
      <c r="K25" s="159"/>
      <c r="L25" s="159"/>
      <c r="M25" s="159"/>
      <c r="N25" s="688"/>
      <c r="O25" s="689"/>
      <c r="P25" s="688"/>
      <c r="Q25" s="727"/>
      <c r="R25" s="689"/>
      <c r="S25" s="689"/>
      <c r="T25" s="728"/>
      <c r="U25" s="153"/>
      <c r="V25" s="153"/>
      <c r="W25" s="160">
        <f>SUM(W26:W35)</f>
        <v>0</v>
      </c>
      <c r="X25" s="160"/>
      <c r="Y25" s="160"/>
      <c r="Z25" s="160">
        <f t="shared" ref="Z25:BN25" si="20">SUM(Z26:Z35)</f>
        <v>0</v>
      </c>
      <c r="AA25" s="160"/>
      <c r="AB25" s="160"/>
      <c r="AC25" s="160">
        <f t="shared" si="20"/>
        <v>0</v>
      </c>
      <c r="AD25" s="160"/>
      <c r="AE25" s="160"/>
      <c r="AF25" s="160">
        <f t="shared" si="20"/>
        <v>0</v>
      </c>
      <c r="AG25" s="160"/>
      <c r="AH25" s="160"/>
      <c r="AI25" s="160">
        <f t="shared" si="20"/>
        <v>0</v>
      </c>
      <c r="AJ25" s="160"/>
      <c r="AK25" s="160"/>
      <c r="AL25" s="160">
        <f t="shared" si="20"/>
        <v>0</v>
      </c>
      <c r="AM25" s="160"/>
      <c r="AN25" s="160"/>
      <c r="AO25" s="160">
        <f t="shared" si="20"/>
        <v>0</v>
      </c>
      <c r="AP25" s="160"/>
      <c r="AQ25" s="160"/>
      <c r="AR25" s="160">
        <f t="shared" si="20"/>
        <v>0</v>
      </c>
      <c r="AS25" s="160"/>
      <c r="AT25" s="160"/>
      <c r="AU25" s="160">
        <f t="shared" si="20"/>
        <v>0</v>
      </c>
      <c r="AV25" s="160"/>
      <c r="AW25" s="160"/>
      <c r="AX25" s="160">
        <f t="shared" si="20"/>
        <v>0</v>
      </c>
      <c r="AY25" s="160"/>
      <c r="AZ25" s="160"/>
      <c r="BA25" s="160">
        <f t="shared" si="20"/>
        <v>808000000</v>
      </c>
      <c r="BB25" s="160">
        <f t="shared" si="20"/>
        <v>290640000</v>
      </c>
      <c r="BC25" s="160">
        <f t="shared" si="20"/>
        <v>61120000</v>
      </c>
      <c r="BD25" s="160">
        <f t="shared" si="20"/>
        <v>0</v>
      </c>
      <c r="BE25" s="160"/>
      <c r="BF25" s="160"/>
      <c r="BG25" s="160">
        <f t="shared" si="20"/>
        <v>0</v>
      </c>
      <c r="BH25" s="160"/>
      <c r="BI25" s="160"/>
      <c r="BJ25" s="160">
        <f t="shared" si="20"/>
        <v>808000000</v>
      </c>
      <c r="BK25" s="160">
        <f t="shared" si="20"/>
        <v>290640000</v>
      </c>
      <c r="BL25" s="160">
        <f t="shared" si="20"/>
        <v>61120000</v>
      </c>
      <c r="BM25" s="160">
        <f t="shared" si="20"/>
        <v>0</v>
      </c>
      <c r="BN25" s="160">
        <f t="shared" si="20"/>
        <v>0</v>
      </c>
    </row>
    <row r="26" spans="1:106" ht="198.75" customHeight="1" x14ac:dyDescent="0.2">
      <c r="A26" s="145"/>
      <c r="B26" s="100"/>
      <c r="C26" s="100"/>
      <c r="D26" s="100"/>
      <c r="E26" s="100"/>
      <c r="F26" s="567"/>
      <c r="G26" s="569"/>
      <c r="H26" s="562" t="s">
        <v>46</v>
      </c>
      <c r="I26" s="82" t="s">
        <v>47</v>
      </c>
      <c r="J26" s="571" t="s">
        <v>95</v>
      </c>
      <c r="K26" s="84">
        <v>4599018</v>
      </c>
      <c r="L26" s="571" t="s">
        <v>96</v>
      </c>
      <c r="M26" s="82" t="s">
        <v>47</v>
      </c>
      <c r="N26" s="562" t="s">
        <v>97</v>
      </c>
      <c r="O26" s="84">
        <v>459901800</v>
      </c>
      <c r="P26" s="565" t="s">
        <v>98</v>
      </c>
      <c r="Q26" s="163" t="s">
        <v>52</v>
      </c>
      <c r="R26" s="84">
        <v>5</v>
      </c>
      <c r="S26" s="84">
        <v>1</v>
      </c>
      <c r="T26" s="570" t="s">
        <v>99</v>
      </c>
      <c r="U26" s="562" t="s">
        <v>100</v>
      </c>
      <c r="V26" s="562" t="s">
        <v>101</v>
      </c>
      <c r="W26" s="150"/>
      <c r="X26" s="150"/>
      <c r="Y26" s="150"/>
      <c r="Z26" s="150"/>
      <c r="AA26" s="150"/>
      <c r="AB26" s="150"/>
      <c r="AC26" s="150"/>
      <c r="AD26" s="150"/>
      <c r="AE26" s="150"/>
      <c r="AF26" s="150"/>
      <c r="AG26" s="150"/>
      <c r="AH26" s="150"/>
      <c r="AI26" s="150"/>
      <c r="AJ26" s="150"/>
      <c r="AK26" s="150"/>
      <c r="AL26" s="150"/>
      <c r="AM26" s="150"/>
      <c r="AN26" s="150"/>
      <c r="AO26" s="150"/>
      <c r="AP26" s="150"/>
      <c r="AQ26" s="150"/>
      <c r="AR26" s="150"/>
      <c r="AS26" s="150"/>
      <c r="AT26" s="150"/>
      <c r="AU26" s="150"/>
      <c r="AV26" s="150"/>
      <c r="AW26" s="150"/>
      <c r="AX26" s="150"/>
      <c r="AY26" s="150"/>
      <c r="AZ26" s="150"/>
      <c r="BA26" s="164">
        <f>4*3600000*10</f>
        <v>144000000</v>
      </c>
      <c r="BB26" s="164">
        <v>46840000</v>
      </c>
      <c r="BC26" s="164">
        <v>11710000</v>
      </c>
      <c r="BD26" s="150"/>
      <c r="BE26" s="150"/>
      <c r="BF26" s="150"/>
      <c r="BG26" s="150"/>
      <c r="BH26" s="150"/>
      <c r="BI26" s="150"/>
      <c r="BJ26" s="151">
        <f t="shared" ref="BJ26:BJ35" si="21">+W26+Z26+AC26+AF26+AI26+AL26+AO26+AR26+AU26+AX26+BA26+BD26+BG26</f>
        <v>144000000</v>
      </c>
      <c r="BK26" s="151">
        <f t="shared" ref="BK26:BK35" si="22">+X26+AA26+AD26+AG26+AJ26+AM26+AP26+AS26+AV26+AY26+BB26+BE26+BH26</f>
        <v>46840000</v>
      </c>
      <c r="BL26" s="151">
        <f t="shared" ref="BL26:BL35" si="23">+Y26+AB26+AE26+AH26+AK26+AN26+AQ26+AT26+AW26+AZ26+BC26+BF26+BI26</f>
        <v>11710000</v>
      </c>
      <c r="BM26" s="151" t="s">
        <v>89</v>
      </c>
      <c r="BN26" s="72" t="s">
        <v>1511</v>
      </c>
    </row>
    <row r="27" spans="1:106" ht="143.25" customHeight="1" x14ac:dyDescent="0.2">
      <c r="A27" s="145"/>
      <c r="B27" s="91"/>
      <c r="C27" s="91"/>
      <c r="D27" s="91"/>
      <c r="E27" s="91"/>
      <c r="F27" s="567"/>
      <c r="G27" s="569"/>
      <c r="H27" s="562" t="s">
        <v>46</v>
      </c>
      <c r="I27" s="82" t="s">
        <v>47</v>
      </c>
      <c r="J27" s="571" t="s">
        <v>102</v>
      </c>
      <c r="K27" s="84">
        <v>4599025</v>
      </c>
      <c r="L27" s="571" t="s">
        <v>103</v>
      </c>
      <c r="M27" s="82" t="s">
        <v>47</v>
      </c>
      <c r="N27" s="561" t="s">
        <v>104</v>
      </c>
      <c r="O27" s="84">
        <v>459902500</v>
      </c>
      <c r="P27" s="559" t="s">
        <v>105</v>
      </c>
      <c r="Q27" s="163" t="s">
        <v>52</v>
      </c>
      <c r="R27" s="567">
        <v>1</v>
      </c>
      <c r="S27" s="590">
        <v>0.25</v>
      </c>
      <c r="T27" s="570" t="s">
        <v>106</v>
      </c>
      <c r="U27" s="562" t="s">
        <v>107</v>
      </c>
      <c r="V27" s="562" t="s">
        <v>108</v>
      </c>
      <c r="W27" s="150"/>
      <c r="X27" s="150"/>
      <c r="Y27" s="150"/>
      <c r="Z27" s="150"/>
      <c r="AA27" s="150"/>
      <c r="AB27" s="150"/>
      <c r="AC27" s="150"/>
      <c r="AD27" s="150"/>
      <c r="AE27" s="150"/>
      <c r="AF27" s="150"/>
      <c r="AG27" s="150"/>
      <c r="AH27" s="150"/>
      <c r="AI27" s="150"/>
      <c r="AJ27" s="150"/>
      <c r="AK27" s="150"/>
      <c r="AL27" s="150"/>
      <c r="AM27" s="150"/>
      <c r="AN27" s="150"/>
      <c r="AO27" s="150"/>
      <c r="AP27" s="150"/>
      <c r="AQ27" s="150"/>
      <c r="AR27" s="150"/>
      <c r="AS27" s="150"/>
      <c r="AT27" s="150"/>
      <c r="AU27" s="150"/>
      <c r="AV27" s="150"/>
      <c r="AW27" s="150"/>
      <c r="AX27" s="150"/>
      <c r="AY27" s="150"/>
      <c r="AZ27" s="150"/>
      <c r="BA27" s="165">
        <v>72000000</v>
      </c>
      <c r="BB27" s="165">
        <v>23080000</v>
      </c>
      <c r="BC27" s="165">
        <v>2885000</v>
      </c>
      <c r="BD27" s="150"/>
      <c r="BE27" s="150"/>
      <c r="BF27" s="150"/>
      <c r="BG27" s="150"/>
      <c r="BH27" s="150"/>
      <c r="BI27" s="150"/>
      <c r="BJ27" s="151">
        <f t="shared" si="21"/>
        <v>72000000</v>
      </c>
      <c r="BK27" s="151">
        <f t="shared" si="22"/>
        <v>23080000</v>
      </c>
      <c r="BL27" s="151">
        <f t="shared" si="23"/>
        <v>2885000</v>
      </c>
      <c r="BM27" s="151" t="s">
        <v>89</v>
      </c>
      <c r="BN27" s="72" t="s">
        <v>1511</v>
      </c>
    </row>
    <row r="28" spans="1:106" ht="178.5" customHeight="1" x14ac:dyDescent="0.2">
      <c r="A28" s="145"/>
      <c r="B28" s="91"/>
      <c r="C28" s="91"/>
      <c r="D28" s="91"/>
      <c r="E28" s="91"/>
      <c r="F28" s="567"/>
      <c r="G28" s="569"/>
      <c r="H28" s="562" t="s">
        <v>46</v>
      </c>
      <c r="I28" s="82" t="s">
        <v>47</v>
      </c>
      <c r="J28" s="571" t="s">
        <v>1551</v>
      </c>
      <c r="K28" s="84">
        <v>4599025</v>
      </c>
      <c r="L28" s="571" t="s">
        <v>103</v>
      </c>
      <c r="M28" s="82" t="s">
        <v>47</v>
      </c>
      <c r="N28" s="568" t="s">
        <v>109</v>
      </c>
      <c r="O28" s="84">
        <v>459902500</v>
      </c>
      <c r="P28" s="559" t="s">
        <v>105</v>
      </c>
      <c r="Q28" s="166" t="s">
        <v>52</v>
      </c>
      <c r="R28" s="106">
        <v>1</v>
      </c>
      <c r="S28" s="106">
        <v>0.25</v>
      </c>
      <c r="T28" s="570" t="s">
        <v>110</v>
      </c>
      <c r="U28" s="562" t="s">
        <v>111</v>
      </c>
      <c r="V28" s="562" t="s">
        <v>112</v>
      </c>
      <c r="W28" s="150"/>
      <c r="X28" s="150"/>
      <c r="Y28" s="150"/>
      <c r="Z28" s="150"/>
      <c r="AA28" s="150"/>
      <c r="AB28" s="150"/>
      <c r="AC28" s="150"/>
      <c r="AD28" s="150"/>
      <c r="AE28" s="150"/>
      <c r="AF28" s="150"/>
      <c r="AG28" s="150"/>
      <c r="AH28" s="150"/>
      <c r="AI28" s="150"/>
      <c r="AJ28" s="150"/>
      <c r="AK28" s="150"/>
      <c r="AL28" s="150"/>
      <c r="AM28" s="150"/>
      <c r="AN28" s="150"/>
      <c r="AO28" s="150"/>
      <c r="AP28" s="150"/>
      <c r="AQ28" s="150"/>
      <c r="AR28" s="150"/>
      <c r="AS28" s="150"/>
      <c r="AT28" s="150"/>
      <c r="AU28" s="150"/>
      <c r="AV28" s="150"/>
      <c r="AW28" s="150"/>
      <c r="AX28" s="150"/>
      <c r="AY28" s="150"/>
      <c r="AZ28" s="150"/>
      <c r="BA28" s="165">
        <f>(6*3600000*10)+64000000</f>
        <v>280000000</v>
      </c>
      <c r="BB28" s="165">
        <v>124620000</v>
      </c>
      <c r="BC28" s="165">
        <v>28270000</v>
      </c>
      <c r="BD28" s="150"/>
      <c r="BE28" s="150"/>
      <c r="BF28" s="150"/>
      <c r="BG28" s="150"/>
      <c r="BH28" s="150"/>
      <c r="BI28" s="150"/>
      <c r="BJ28" s="151">
        <f t="shared" si="21"/>
        <v>280000000</v>
      </c>
      <c r="BK28" s="151">
        <f t="shared" si="22"/>
        <v>124620000</v>
      </c>
      <c r="BL28" s="151">
        <f t="shared" si="23"/>
        <v>28270000</v>
      </c>
      <c r="BM28" s="151" t="s">
        <v>89</v>
      </c>
      <c r="BN28" s="72" t="s">
        <v>1511</v>
      </c>
    </row>
    <row r="29" spans="1:106" ht="153.75" customHeight="1" x14ac:dyDescent="0.2">
      <c r="A29" s="145"/>
      <c r="B29" s="91"/>
      <c r="C29" s="91"/>
      <c r="D29" s="91"/>
      <c r="E29" s="91"/>
      <c r="F29" s="567"/>
      <c r="G29" s="569"/>
      <c r="H29" s="562" t="s">
        <v>113</v>
      </c>
      <c r="I29" s="82" t="s">
        <v>47</v>
      </c>
      <c r="J29" s="571" t="s">
        <v>114</v>
      </c>
      <c r="K29" s="84">
        <v>4599031</v>
      </c>
      <c r="L29" s="571" t="s">
        <v>115</v>
      </c>
      <c r="M29" s="82" t="s">
        <v>47</v>
      </c>
      <c r="N29" s="568" t="s">
        <v>116</v>
      </c>
      <c r="O29" s="84">
        <v>459903101</v>
      </c>
      <c r="P29" s="559" t="s">
        <v>117</v>
      </c>
      <c r="Q29" s="167" t="s">
        <v>52</v>
      </c>
      <c r="R29" s="84">
        <v>12</v>
      </c>
      <c r="S29" s="84">
        <v>12</v>
      </c>
      <c r="T29" s="862" t="s">
        <v>118</v>
      </c>
      <c r="U29" s="880" t="s">
        <v>119</v>
      </c>
      <c r="V29" s="880" t="s">
        <v>120</v>
      </c>
      <c r="W29" s="150"/>
      <c r="X29" s="150"/>
      <c r="Y29" s="150"/>
      <c r="Z29" s="150"/>
      <c r="AA29" s="150"/>
      <c r="AB29" s="150"/>
      <c r="AC29" s="150"/>
      <c r="AD29" s="150"/>
      <c r="AE29" s="150"/>
      <c r="AF29" s="150"/>
      <c r="AG29" s="150"/>
      <c r="AH29" s="150"/>
      <c r="AI29" s="150"/>
      <c r="AJ29" s="150"/>
      <c r="AK29" s="150"/>
      <c r="AL29" s="150"/>
      <c r="AM29" s="150"/>
      <c r="AN29" s="150"/>
      <c r="AO29" s="150"/>
      <c r="AP29" s="150"/>
      <c r="AQ29" s="150"/>
      <c r="AR29" s="150"/>
      <c r="AS29" s="150"/>
      <c r="AT29" s="150"/>
      <c r="AU29" s="150"/>
      <c r="AV29" s="150"/>
      <c r="AW29" s="150"/>
      <c r="AX29" s="150"/>
      <c r="AY29" s="150"/>
      <c r="AZ29" s="150"/>
      <c r="BA29" s="161">
        <f>10*3600000*1</f>
        <v>36000000</v>
      </c>
      <c r="BB29" s="161">
        <v>11540000</v>
      </c>
      <c r="BC29" s="161">
        <v>2885000</v>
      </c>
      <c r="BD29" s="150"/>
      <c r="BE29" s="150"/>
      <c r="BF29" s="150"/>
      <c r="BG29" s="150"/>
      <c r="BH29" s="150"/>
      <c r="BI29" s="150"/>
      <c r="BJ29" s="151">
        <f t="shared" si="21"/>
        <v>36000000</v>
      </c>
      <c r="BK29" s="151">
        <f t="shared" si="22"/>
        <v>11540000</v>
      </c>
      <c r="BL29" s="151">
        <f t="shared" si="23"/>
        <v>2885000</v>
      </c>
      <c r="BM29" s="151" t="s">
        <v>89</v>
      </c>
      <c r="BN29" s="72" t="s">
        <v>1511</v>
      </c>
    </row>
    <row r="30" spans="1:106" s="44" customFormat="1" ht="106.5" customHeight="1" x14ac:dyDescent="0.2">
      <c r="A30" s="337"/>
      <c r="B30" s="83"/>
      <c r="C30" s="83"/>
      <c r="D30" s="83"/>
      <c r="E30" s="83"/>
      <c r="F30" s="82"/>
      <c r="G30" s="570"/>
      <c r="H30" s="565" t="s">
        <v>113</v>
      </c>
      <c r="I30" s="82" t="s">
        <v>47</v>
      </c>
      <c r="J30" s="565" t="s">
        <v>121</v>
      </c>
      <c r="K30" s="82">
        <v>4599031</v>
      </c>
      <c r="L30" s="571" t="s">
        <v>115</v>
      </c>
      <c r="M30" s="82" t="s">
        <v>47</v>
      </c>
      <c r="N30" s="559" t="s">
        <v>122</v>
      </c>
      <c r="O30" s="82">
        <v>459903101</v>
      </c>
      <c r="P30" s="568" t="s">
        <v>117</v>
      </c>
      <c r="Q30" s="416" t="s">
        <v>52</v>
      </c>
      <c r="R30" s="82">
        <v>12</v>
      </c>
      <c r="S30" s="82">
        <v>11</v>
      </c>
      <c r="T30" s="862"/>
      <c r="U30" s="880"/>
      <c r="V30" s="880"/>
      <c r="W30" s="150"/>
      <c r="X30" s="150"/>
      <c r="Y30" s="150"/>
      <c r="Z30" s="150"/>
      <c r="AA30" s="150"/>
      <c r="AB30" s="150"/>
      <c r="AC30" s="150"/>
      <c r="AD30" s="150"/>
      <c r="AE30" s="150"/>
      <c r="AF30" s="150"/>
      <c r="AG30" s="150"/>
      <c r="AH30" s="150"/>
      <c r="AI30" s="150"/>
      <c r="AJ30" s="150"/>
      <c r="AK30" s="150"/>
      <c r="AL30" s="150"/>
      <c r="AM30" s="150"/>
      <c r="AN30" s="150"/>
      <c r="AO30" s="150"/>
      <c r="AP30" s="150"/>
      <c r="AQ30" s="150"/>
      <c r="AR30" s="150"/>
      <c r="AS30" s="150"/>
      <c r="AT30" s="150"/>
      <c r="AU30" s="150"/>
      <c r="AV30" s="150"/>
      <c r="AW30" s="150"/>
      <c r="AX30" s="150"/>
      <c r="AY30" s="150"/>
      <c r="AZ30" s="150"/>
      <c r="BA30" s="161">
        <f>10*3600000*1</f>
        <v>36000000</v>
      </c>
      <c r="BB30" s="161">
        <v>11540000</v>
      </c>
      <c r="BC30" s="161">
        <v>2885000</v>
      </c>
      <c r="BD30" s="150"/>
      <c r="BE30" s="150"/>
      <c r="BF30" s="150"/>
      <c r="BG30" s="150"/>
      <c r="BH30" s="150"/>
      <c r="BI30" s="150"/>
      <c r="BJ30" s="339">
        <f t="shared" si="21"/>
        <v>36000000</v>
      </c>
      <c r="BK30" s="339">
        <f t="shared" si="22"/>
        <v>11540000</v>
      </c>
      <c r="BL30" s="339">
        <f t="shared" si="23"/>
        <v>2885000</v>
      </c>
      <c r="BM30" s="339" t="s">
        <v>89</v>
      </c>
      <c r="BN30" s="341" t="s">
        <v>1511</v>
      </c>
    </row>
    <row r="31" spans="1:106" s="44" customFormat="1" ht="111" customHeight="1" x14ac:dyDescent="0.2">
      <c r="A31" s="337"/>
      <c r="B31" s="83"/>
      <c r="C31" s="83"/>
      <c r="D31" s="83"/>
      <c r="E31" s="83"/>
      <c r="F31" s="82"/>
      <c r="G31" s="570"/>
      <c r="H31" s="565" t="s">
        <v>113</v>
      </c>
      <c r="I31" s="82" t="s">
        <v>47</v>
      </c>
      <c r="J31" s="565" t="s">
        <v>123</v>
      </c>
      <c r="K31" s="82">
        <v>4599031</v>
      </c>
      <c r="L31" s="571" t="s">
        <v>115</v>
      </c>
      <c r="M31" s="82" t="s">
        <v>47</v>
      </c>
      <c r="N31" s="559" t="s">
        <v>124</v>
      </c>
      <c r="O31" s="82">
        <v>459903101</v>
      </c>
      <c r="P31" s="568" t="s">
        <v>117</v>
      </c>
      <c r="Q31" s="416" t="s">
        <v>52</v>
      </c>
      <c r="R31" s="82">
        <v>12</v>
      </c>
      <c r="S31" s="82">
        <v>12</v>
      </c>
      <c r="T31" s="862"/>
      <c r="U31" s="880"/>
      <c r="V31" s="880"/>
      <c r="W31" s="150"/>
      <c r="X31" s="150"/>
      <c r="Y31" s="150"/>
      <c r="Z31" s="150"/>
      <c r="AA31" s="150"/>
      <c r="AB31" s="150"/>
      <c r="AC31" s="150"/>
      <c r="AD31" s="150"/>
      <c r="AE31" s="150"/>
      <c r="AF31" s="150"/>
      <c r="AG31" s="150"/>
      <c r="AH31" s="150"/>
      <c r="AI31" s="150"/>
      <c r="AJ31" s="150"/>
      <c r="AK31" s="150"/>
      <c r="AL31" s="150"/>
      <c r="AM31" s="150"/>
      <c r="AN31" s="150"/>
      <c r="AO31" s="150"/>
      <c r="AP31" s="150"/>
      <c r="AQ31" s="150"/>
      <c r="AR31" s="150"/>
      <c r="AS31" s="150"/>
      <c r="AT31" s="150"/>
      <c r="AU31" s="150"/>
      <c r="AV31" s="150"/>
      <c r="AW31" s="150"/>
      <c r="AX31" s="150"/>
      <c r="AY31" s="150"/>
      <c r="AZ31" s="150"/>
      <c r="BA31" s="161">
        <f>10*3600000*1</f>
        <v>36000000</v>
      </c>
      <c r="BB31" s="161">
        <v>11540000</v>
      </c>
      <c r="BC31" s="161">
        <v>2885000</v>
      </c>
      <c r="BD31" s="150"/>
      <c r="BE31" s="150"/>
      <c r="BF31" s="150"/>
      <c r="BG31" s="150"/>
      <c r="BH31" s="150"/>
      <c r="BI31" s="150"/>
      <c r="BJ31" s="339">
        <f t="shared" si="21"/>
        <v>36000000</v>
      </c>
      <c r="BK31" s="339">
        <f t="shared" si="22"/>
        <v>11540000</v>
      </c>
      <c r="BL31" s="339">
        <f t="shared" si="23"/>
        <v>2885000</v>
      </c>
      <c r="BM31" s="339" t="s">
        <v>89</v>
      </c>
      <c r="BN31" s="341" t="s">
        <v>1511</v>
      </c>
    </row>
    <row r="32" spans="1:106" s="44" customFormat="1" ht="136.5" customHeight="1" x14ac:dyDescent="0.2">
      <c r="A32" s="337"/>
      <c r="B32" s="83"/>
      <c r="C32" s="83"/>
      <c r="D32" s="83"/>
      <c r="E32" s="83"/>
      <c r="F32" s="82"/>
      <c r="G32" s="570"/>
      <c r="H32" s="565" t="s">
        <v>113</v>
      </c>
      <c r="I32" s="82" t="s">
        <v>47</v>
      </c>
      <c r="J32" s="565" t="s">
        <v>125</v>
      </c>
      <c r="K32" s="82">
        <v>4599031</v>
      </c>
      <c r="L32" s="571" t="s">
        <v>115</v>
      </c>
      <c r="M32" s="82" t="s">
        <v>47</v>
      </c>
      <c r="N32" s="417" t="s">
        <v>124</v>
      </c>
      <c r="O32" s="82">
        <v>459903101</v>
      </c>
      <c r="P32" s="568" t="s">
        <v>117</v>
      </c>
      <c r="Q32" s="416" t="s">
        <v>52</v>
      </c>
      <c r="R32" s="82">
        <v>12</v>
      </c>
      <c r="S32" s="82">
        <v>12</v>
      </c>
      <c r="T32" s="862"/>
      <c r="U32" s="880"/>
      <c r="V32" s="880"/>
      <c r="W32" s="150"/>
      <c r="X32" s="150"/>
      <c r="Y32" s="150"/>
      <c r="Z32" s="150"/>
      <c r="AA32" s="150"/>
      <c r="AB32" s="150"/>
      <c r="AC32" s="150"/>
      <c r="AD32" s="150"/>
      <c r="AE32" s="150"/>
      <c r="AF32" s="150"/>
      <c r="AG32" s="150"/>
      <c r="AH32" s="150"/>
      <c r="AI32" s="150"/>
      <c r="AJ32" s="150"/>
      <c r="AK32" s="150"/>
      <c r="AL32" s="150"/>
      <c r="AM32" s="150"/>
      <c r="AN32" s="150"/>
      <c r="AO32" s="150"/>
      <c r="AP32" s="150"/>
      <c r="AQ32" s="150"/>
      <c r="AR32" s="150"/>
      <c r="AS32" s="150"/>
      <c r="AT32" s="150"/>
      <c r="AU32" s="150"/>
      <c r="AV32" s="150"/>
      <c r="AW32" s="150"/>
      <c r="AX32" s="150"/>
      <c r="AY32" s="150"/>
      <c r="AZ32" s="150"/>
      <c r="BA32" s="161">
        <f>10*3600000*1+24000000-24000000</f>
        <v>36000000</v>
      </c>
      <c r="BB32" s="161">
        <v>11540000</v>
      </c>
      <c r="BC32" s="161"/>
      <c r="BD32" s="150"/>
      <c r="BE32" s="150"/>
      <c r="BF32" s="150"/>
      <c r="BG32" s="150"/>
      <c r="BH32" s="150"/>
      <c r="BI32" s="150"/>
      <c r="BJ32" s="339">
        <f t="shared" si="21"/>
        <v>36000000</v>
      </c>
      <c r="BK32" s="339">
        <f t="shared" si="22"/>
        <v>11540000</v>
      </c>
      <c r="BL32" s="339">
        <f t="shared" si="23"/>
        <v>0</v>
      </c>
      <c r="BM32" s="339" t="s">
        <v>89</v>
      </c>
      <c r="BN32" s="341" t="s">
        <v>1511</v>
      </c>
    </row>
    <row r="33" spans="1:106" s="44" customFormat="1" ht="144" customHeight="1" x14ac:dyDescent="0.2">
      <c r="A33" s="337"/>
      <c r="B33" s="83"/>
      <c r="C33" s="83"/>
      <c r="D33" s="83"/>
      <c r="E33" s="83"/>
      <c r="F33" s="82"/>
      <c r="G33" s="570"/>
      <c r="H33" s="565" t="s">
        <v>113</v>
      </c>
      <c r="I33" s="82" t="s">
        <v>47</v>
      </c>
      <c r="J33" s="565" t="s">
        <v>126</v>
      </c>
      <c r="K33" s="82">
        <v>4599031</v>
      </c>
      <c r="L33" s="571" t="s">
        <v>115</v>
      </c>
      <c r="M33" s="82" t="s">
        <v>47</v>
      </c>
      <c r="N33" s="559" t="s">
        <v>124</v>
      </c>
      <c r="O33" s="82">
        <v>459903101</v>
      </c>
      <c r="P33" s="568" t="s">
        <v>117</v>
      </c>
      <c r="Q33" s="416" t="s">
        <v>52</v>
      </c>
      <c r="R33" s="82">
        <v>12</v>
      </c>
      <c r="S33" s="82">
        <v>11</v>
      </c>
      <c r="T33" s="862"/>
      <c r="U33" s="880"/>
      <c r="V33" s="880"/>
      <c r="W33" s="150"/>
      <c r="X33" s="150"/>
      <c r="Y33" s="150"/>
      <c r="Z33" s="150"/>
      <c r="AA33" s="150"/>
      <c r="AB33" s="150"/>
      <c r="AC33" s="150"/>
      <c r="AD33" s="150"/>
      <c r="AE33" s="150"/>
      <c r="AF33" s="150"/>
      <c r="AG33" s="150"/>
      <c r="AH33" s="150"/>
      <c r="AI33" s="150"/>
      <c r="AJ33" s="150"/>
      <c r="AK33" s="150"/>
      <c r="AL33" s="150"/>
      <c r="AM33" s="150"/>
      <c r="AN33" s="150"/>
      <c r="AO33" s="150"/>
      <c r="AP33" s="150"/>
      <c r="AQ33" s="150"/>
      <c r="AR33" s="150"/>
      <c r="AS33" s="150"/>
      <c r="AT33" s="150"/>
      <c r="AU33" s="150"/>
      <c r="AV33" s="150"/>
      <c r="AW33" s="150"/>
      <c r="AX33" s="150"/>
      <c r="AY33" s="150"/>
      <c r="AZ33" s="150"/>
      <c r="BA33" s="161">
        <f>10*3600000*1+24000000</f>
        <v>60000000</v>
      </c>
      <c r="BB33" s="161">
        <v>12000000</v>
      </c>
      <c r="BC33" s="161">
        <v>3000000</v>
      </c>
      <c r="BD33" s="150"/>
      <c r="BE33" s="150"/>
      <c r="BF33" s="150"/>
      <c r="BG33" s="150"/>
      <c r="BH33" s="150"/>
      <c r="BI33" s="150"/>
      <c r="BJ33" s="339">
        <f t="shared" si="21"/>
        <v>60000000</v>
      </c>
      <c r="BK33" s="339">
        <f t="shared" si="22"/>
        <v>12000000</v>
      </c>
      <c r="BL33" s="339">
        <f t="shared" si="23"/>
        <v>3000000</v>
      </c>
      <c r="BM33" s="339" t="s">
        <v>89</v>
      </c>
      <c r="BN33" s="341" t="s">
        <v>1511</v>
      </c>
    </row>
    <row r="34" spans="1:106" s="44" customFormat="1" ht="135" customHeight="1" x14ac:dyDescent="0.2">
      <c r="A34" s="337"/>
      <c r="B34" s="83"/>
      <c r="C34" s="83"/>
      <c r="D34" s="83"/>
      <c r="E34" s="83"/>
      <c r="F34" s="82"/>
      <c r="G34" s="570"/>
      <c r="H34" s="565" t="s">
        <v>113</v>
      </c>
      <c r="I34" s="82" t="s">
        <v>47</v>
      </c>
      <c r="J34" s="565" t="s">
        <v>127</v>
      </c>
      <c r="K34" s="82">
        <v>4599031</v>
      </c>
      <c r="L34" s="571" t="s">
        <v>115</v>
      </c>
      <c r="M34" s="82" t="s">
        <v>47</v>
      </c>
      <c r="N34" s="559" t="s">
        <v>124</v>
      </c>
      <c r="O34" s="82">
        <v>459903101</v>
      </c>
      <c r="P34" s="568" t="s">
        <v>117</v>
      </c>
      <c r="Q34" s="416" t="s">
        <v>52</v>
      </c>
      <c r="R34" s="82">
        <v>12</v>
      </c>
      <c r="S34" s="82">
        <v>12</v>
      </c>
      <c r="T34" s="862"/>
      <c r="U34" s="880"/>
      <c r="V34" s="880"/>
      <c r="W34" s="150"/>
      <c r="X34" s="150"/>
      <c r="Y34" s="150"/>
      <c r="Z34" s="150"/>
      <c r="AA34" s="150"/>
      <c r="AB34" s="150"/>
      <c r="AC34" s="150"/>
      <c r="AD34" s="150"/>
      <c r="AE34" s="150"/>
      <c r="AF34" s="150"/>
      <c r="AG34" s="150"/>
      <c r="AH34" s="150"/>
      <c r="AI34" s="150"/>
      <c r="AJ34" s="150"/>
      <c r="AK34" s="150"/>
      <c r="AL34" s="150"/>
      <c r="AM34" s="150"/>
      <c r="AN34" s="150"/>
      <c r="AO34" s="150"/>
      <c r="AP34" s="150"/>
      <c r="AQ34" s="150"/>
      <c r="AR34" s="150"/>
      <c r="AS34" s="150"/>
      <c r="AT34" s="150"/>
      <c r="AU34" s="150"/>
      <c r="AV34" s="150"/>
      <c r="AW34" s="150"/>
      <c r="AX34" s="150"/>
      <c r="AY34" s="150"/>
      <c r="AZ34" s="150"/>
      <c r="BA34" s="161">
        <f>10*3600000*1</f>
        <v>36000000</v>
      </c>
      <c r="BB34" s="161">
        <v>11540000</v>
      </c>
      <c r="BC34" s="161"/>
      <c r="BD34" s="150"/>
      <c r="BE34" s="150"/>
      <c r="BF34" s="150"/>
      <c r="BG34" s="150"/>
      <c r="BH34" s="150"/>
      <c r="BI34" s="150"/>
      <c r="BJ34" s="339">
        <f t="shared" si="21"/>
        <v>36000000</v>
      </c>
      <c r="BK34" s="339">
        <f t="shared" si="22"/>
        <v>11540000</v>
      </c>
      <c r="BL34" s="339">
        <f t="shared" si="23"/>
        <v>0</v>
      </c>
      <c r="BM34" s="339" t="s">
        <v>89</v>
      </c>
      <c r="BN34" s="341" t="s">
        <v>1511</v>
      </c>
    </row>
    <row r="35" spans="1:106" ht="138" customHeight="1" x14ac:dyDescent="0.2">
      <c r="A35" s="145"/>
      <c r="B35" s="96"/>
      <c r="C35" s="96"/>
      <c r="D35" s="96"/>
      <c r="E35" s="96"/>
      <c r="F35" s="89"/>
      <c r="G35" s="569"/>
      <c r="H35" s="562" t="s">
        <v>46</v>
      </c>
      <c r="I35" s="82" t="s">
        <v>47</v>
      </c>
      <c r="J35" s="571" t="s">
        <v>48</v>
      </c>
      <c r="K35" s="84">
        <v>4599023</v>
      </c>
      <c r="L35" s="571" t="s">
        <v>128</v>
      </c>
      <c r="M35" s="82" t="s">
        <v>47</v>
      </c>
      <c r="N35" s="568" t="s">
        <v>129</v>
      </c>
      <c r="O35" s="84">
        <v>459902300</v>
      </c>
      <c r="P35" s="568" t="s">
        <v>51</v>
      </c>
      <c r="Q35" s="163" t="s">
        <v>52</v>
      </c>
      <c r="R35" s="122">
        <v>18</v>
      </c>
      <c r="S35" s="122">
        <v>18</v>
      </c>
      <c r="T35" s="570" t="s">
        <v>130</v>
      </c>
      <c r="U35" s="559" t="s">
        <v>131</v>
      </c>
      <c r="V35" s="559" t="s">
        <v>132</v>
      </c>
      <c r="W35" s="145"/>
      <c r="X35" s="145"/>
      <c r="Y35" s="145"/>
      <c r="Z35" s="145"/>
      <c r="AA35" s="145"/>
      <c r="AB35" s="145"/>
      <c r="AC35" s="145"/>
      <c r="AD35" s="145"/>
      <c r="AE35" s="145"/>
      <c r="AF35" s="145"/>
      <c r="AG35" s="145"/>
      <c r="AH35" s="145"/>
      <c r="AI35" s="145"/>
      <c r="AJ35" s="145"/>
      <c r="AK35" s="145"/>
      <c r="AL35" s="145"/>
      <c r="AM35" s="145"/>
      <c r="AN35" s="145"/>
      <c r="AO35" s="145"/>
      <c r="AP35" s="145"/>
      <c r="AQ35" s="145"/>
      <c r="AR35" s="145"/>
      <c r="AS35" s="145"/>
      <c r="AT35" s="145"/>
      <c r="AU35" s="145"/>
      <c r="AV35" s="145"/>
      <c r="AW35" s="145"/>
      <c r="AX35" s="145"/>
      <c r="AY35" s="145"/>
      <c r="AZ35" s="145"/>
      <c r="BA35" s="161">
        <v>72000000</v>
      </c>
      <c r="BB35" s="161">
        <v>26400000</v>
      </c>
      <c r="BC35" s="161">
        <v>6600000</v>
      </c>
      <c r="BD35" s="145"/>
      <c r="BE35" s="145"/>
      <c r="BF35" s="145"/>
      <c r="BG35" s="145"/>
      <c r="BH35" s="145"/>
      <c r="BI35" s="145"/>
      <c r="BJ35" s="151">
        <f t="shared" si="21"/>
        <v>72000000</v>
      </c>
      <c r="BK35" s="151">
        <f t="shared" si="22"/>
        <v>26400000</v>
      </c>
      <c r="BL35" s="151">
        <f t="shared" si="23"/>
        <v>6600000</v>
      </c>
      <c r="BM35" s="151" t="s">
        <v>89</v>
      </c>
      <c r="BN35" s="72" t="s">
        <v>1511</v>
      </c>
    </row>
    <row r="36" spans="1:106" s="467" customFormat="1" ht="16.5" customHeight="1" x14ac:dyDescent="0.25">
      <c r="A36" s="463"/>
      <c r="B36" s="463"/>
      <c r="C36" s="463"/>
      <c r="D36" s="463"/>
      <c r="E36" s="463"/>
      <c r="F36" s="463"/>
      <c r="G36" s="463"/>
      <c r="H36" s="464"/>
      <c r="I36" s="463"/>
      <c r="J36" s="463"/>
      <c r="K36" s="463"/>
      <c r="L36" s="463"/>
      <c r="M36" s="463"/>
      <c r="N36" s="463"/>
      <c r="O36" s="463"/>
      <c r="P36" s="463"/>
      <c r="Q36" s="465"/>
      <c r="R36" s="463"/>
      <c r="S36" s="463"/>
      <c r="T36" s="465"/>
      <c r="U36" s="465"/>
      <c r="V36" s="465"/>
      <c r="W36" s="466"/>
      <c r="X36" s="466"/>
      <c r="Y36" s="466"/>
      <c r="Z36" s="466"/>
      <c r="AA36" s="466"/>
      <c r="AB36" s="466"/>
      <c r="AC36" s="466"/>
      <c r="AD36" s="466"/>
      <c r="AE36" s="466"/>
      <c r="AF36" s="466"/>
      <c r="AG36" s="466"/>
      <c r="AH36" s="466"/>
      <c r="AI36" s="466"/>
      <c r="AJ36" s="466"/>
      <c r="AK36" s="466"/>
      <c r="AL36" s="466"/>
      <c r="AM36" s="466"/>
      <c r="AN36" s="466"/>
      <c r="AO36" s="466"/>
      <c r="AP36" s="466"/>
      <c r="AQ36" s="466"/>
      <c r="AR36" s="466"/>
      <c r="AS36" s="466"/>
      <c r="AT36" s="466"/>
      <c r="AU36" s="466"/>
      <c r="AV36" s="466"/>
      <c r="AW36" s="466"/>
      <c r="AX36" s="466"/>
      <c r="AY36" s="466"/>
      <c r="AZ36" s="466"/>
      <c r="BA36" s="466"/>
      <c r="BB36" s="466"/>
      <c r="BC36" s="466"/>
      <c r="BD36" s="466"/>
      <c r="BE36" s="466"/>
      <c r="BF36" s="466"/>
      <c r="BG36" s="466"/>
      <c r="BH36" s="466"/>
      <c r="BI36" s="466"/>
      <c r="BJ36" s="466"/>
      <c r="BK36" s="466"/>
      <c r="BL36" s="466"/>
      <c r="BM36" s="466"/>
      <c r="BN36" s="466"/>
    </row>
    <row r="37" spans="1:106" s="394" customFormat="1" ht="24" customHeight="1" x14ac:dyDescent="0.2">
      <c r="A37" s="41" t="s">
        <v>133</v>
      </c>
      <c r="B37" s="41"/>
      <c r="C37" s="41"/>
      <c r="D37" s="41"/>
      <c r="E37" s="41"/>
      <c r="F37" s="42"/>
      <c r="G37" s="43"/>
      <c r="H37" s="386"/>
      <c r="I37" s="386"/>
      <c r="J37" s="386"/>
      <c r="K37" s="389"/>
      <c r="L37" s="386"/>
      <c r="M37" s="386"/>
      <c r="N37" s="391"/>
      <c r="O37" s="390"/>
      <c r="P37" s="391"/>
      <c r="Q37" s="392"/>
      <c r="R37" s="390"/>
      <c r="S37" s="390"/>
      <c r="T37" s="43"/>
      <c r="U37" s="391"/>
      <c r="V37" s="391"/>
      <c r="W37" s="387">
        <f>W38</f>
        <v>0</v>
      </c>
      <c r="X37" s="387"/>
      <c r="Y37" s="387"/>
      <c r="Z37" s="387">
        <f t="shared" ref="Z37:BK39" si="24">Z38</f>
        <v>0</v>
      </c>
      <c r="AA37" s="387"/>
      <c r="AB37" s="387"/>
      <c r="AC37" s="387">
        <f t="shared" si="24"/>
        <v>0</v>
      </c>
      <c r="AD37" s="387"/>
      <c r="AE37" s="387"/>
      <c r="AF37" s="387">
        <f t="shared" si="24"/>
        <v>0</v>
      </c>
      <c r="AG37" s="387"/>
      <c r="AH37" s="387"/>
      <c r="AI37" s="387">
        <f t="shared" si="24"/>
        <v>0</v>
      </c>
      <c r="AJ37" s="387"/>
      <c r="AK37" s="387"/>
      <c r="AL37" s="387">
        <f t="shared" si="24"/>
        <v>0</v>
      </c>
      <c r="AM37" s="387"/>
      <c r="AN37" s="387"/>
      <c r="AO37" s="387">
        <f t="shared" si="24"/>
        <v>0</v>
      </c>
      <c r="AP37" s="387"/>
      <c r="AQ37" s="387"/>
      <c r="AR37" s="387">
        <f t="shared" si="24"/>
        <v>0</v>
      </c>
      <c r="AS37" s="387"/>
      <c r="AT37" s="387"/>
      <c r="AU37" s="387">
        <f t="shared" si="24"/>
        <v>0</v>
      </c>
      <c r="AV37" s="387"/>
      <c r="AW37" s="387"/>
      <c r="AX37" s="387">
        <f t="shared" si="24"/>
        <v>0</v>
      </c>
      <c r="AY37" s="387"/>
      <c r="AZ37" s="387"/>
      <c r="BA37" s="387">
        <f t="shared" si="24"/>
        <v>2343395879</v>
      </c>
      <c r="BB37" s="387">
        <f t="shared" si="24"/>
        <v>1011695879</v>
      </c>
      <c r="BC37" s="387">
        <f t="shared" si="24"/>
        <v>91110000</v>
      </c>
      <c r="BD37" s="387">
        <f t="shared" si="24"/>
        <v>0</v>
      </c>
      <c r="BE37" s="387"/>
      <c r="BF37" s="387"/>
      <c r="BG37" s="387">
        <f t="shared" si="24"/>
        <v>250000000</v>
      </c>
      <c r="BH37" s="387">
        <f t="shared" si="24"/>
        <v>61320000</v>
      </c>
      <c r="BI37" s="387">
        <f t="shared" si="24"/>
        <v>5770000</v>
      </c>
      <c r="BJ37" s="387">
        <f t="shared" si="24"/>
        <v>2593395879</v>
      </c>
      <c r="BK37" s="387">
        <f t="shared" si="24"/>
        <v>1073015879</v>
      </c>
      <c r="BL37" s="387">
        <f t="shared" ref="BK37:BL39" si="25">BL38</f>
        <v>96880000</v>
      </c>
      <c r="BM37" s="387"/>
      <c r="BN37" s="388"/>
      <c r="BO37" s="393"/>
      <c r="BP37" s="393"/>
      <c r="BQ37" s="393"/>
      <c r="BR37" s="393"/>
      <c r="BS37" s="393"/>
      <c r="BT37" s="393"/>
      <c r="BU37" s="393"/>
      <c r="BV37" s="393"/>
      <c r="BW37" s="393"/>
      <c r="BX37" s="393"/>
      <c r="BY37" s="393"/>
      <c r="BZ37" s="393"/>
      <c r="CA37" s="393"/>
      <c r="CB37" s="393"/>
      <c r="CC37" s="393"/>
      <c r="CD37" s="393"/>
      <c r="CE37" s="393"/>
      <c r="CF37" s="393"/>
      <c r="CG37" s="393"/>
      <c r="CH37" s="393"/>
      <c r="CI37" s="393"/>
      <c r="CJ37" s="393"/>
      <c r="CK37" s="393"/>
      <c r="CL37" s="393"/>
      <c r="CM37" s="393"/>
      <c r="CN37" s="393"/>
      <c r="CO37" s="393"/>
      <c r="CP37" s="393"/>
      <c r="CQ37" s="393"/>
      <c r="CR37" s="393"/>
      <c r="CS37" s="393"/>
      <c r="CT37" s="393"/>
      <c r="CU37" s="393"/>
      <c r="CV37" s="393"/>
      <c r="CW37" s="393"/>
      <c r="CX37" s="393"/>
      <c r="CY37" s="393"/>
      <c r="CZ37" s="393"/>
      <c r="DA37" s="393"/>
      <c r="DB37" s="393"/>
    </row>
    <row r="38" spans="1:106" ht="24" customHeight="1" x14ac:dyDescent="0.2">
      <c r="A38" s="145"/>
      <c r="B38" s="131">
        <v>4</v>
      </c>
      <c r="C38" s="447"/>
      <c r="D38" s="76" t="s">
        <v>43</v>
      </c>
      <c r="E38" s="449"/>
      <c r="F38" s="449"/>
      <c r="G38" s="449"/>
      <c r="H38" s="449"/>
      <c r="I38" s="640"/>
      <c r="J38" s="182"/>
      <c r="K38" s="181"/>
      <c r="L38" s="182"/>
      <c r="M38" s="182"/>
      <c r="N38" s="184"/>
      <c r="O38" s="183"/>
      <c r="P38" s="184"/>
      <c r="Q38" s="185"/>
      <c r="R38" s="183"/>
      <c r="S38" s="183"/>
      <c r="T38" s="729"/>
      <c r="U38" s="133"/>
      <c r="V38" s="133"/>
      <c r="W38" s="134">
        <f>W39</f>
        <v>0</v>
      </c>
      <c r="X38" s="134"/>
      <c r="Y38" s="134"/>
      <c r="Z38" s="134">
        <f t="shared" si="24"/>
        <v>0</v>
      </c>
      <c r="AA38" s="134"/>
      <c r="AB38" s="134"/>
      <c r="AC38" s="134">
        <f t="shared" si="24"/>
        <v>0</v>
      </c>
      <c r="AD38" s="134"/>
      <c r="AE38" s="134"/>
      <c r="AF38" s="134">
        <f t="shared" si="24"/>
        <v>0</v>
      </c>
      <c r="AG38" s="134"/>
      <c r="AH38" s="134"/>
      <c r="AI38" s="134">
        <f t="shared" si="24"/>
        <v>0</v>
      </c>
      <c r="AJ38" s="134"/>
      <c r="AK38" s="134"/>
      <c r="AL38" s="134">
        <f t="shared" si="24"/>
        <v>0</v>
      </c>
      <c r="AM38" s="134"/>
      <c r="AN38" s="134"/>
      <c r="AO38" s="134">
        <f t="shared" si="24"/>
        <v>0</v>
      </c>
      <c r="AP38" s="134"/>
      <c r="AQ38" s="134"/>
      <c r="AR38" s="134">
        <f t="shared" si="24"/>
        <v>0</v>
      </c>
      <c r="AS38" s="134"/>
      <c r="AT38" s="134"/>
      <c r="AU38" s="134">
        <f t="shared" si="24"/>
        <v>0</v>
      </c>
      <c r="AV38" s="134"/>
      <c r="AW38" s="134"/>
      <c r="AX38" s="134">
        <f t="shared" si="24"/>
        <v>0</v>
      </c>
      <c r="AY38" s="134"/>
      <c r="AZ38" s="134"/>
      <c r="BA38" s="134">
        <f t="shared" si="24"/>
        <v>2343395879</v>
      </c>
      <c r="BB38" s="134">
        <f t="shared" si="24"/>
        <v>1011695879</v>
      </c>
      <c r="BC38" s="134">
        <f t="shared" si="24"/>
        <v>91110000</v>
      </c>
      <c r="BD38" s="134">
        <f t="shared" si="24"/>
        <v>0</v>
      </c>
      <c r="BE38" s="134"/>
      <c r="BF38" s="134"/>
      <c r="BG38" s="134">
        <f t="shared" si="24"/>
        <v>250000000</v>
      </c>
      <c r="BH38" s="134">
        <f t="shared" si="24"/>
        <v>61320000</v>
      </c>
      <c r="BI38" s="134">
        <f t="shared" si="24"/>
        <v>5770000</v>
      </c>
      <c r="BJ38" s="134">
        <f>BJ39</f>
        <v>2593395879</v>
      </c>
      <c r="BK38" s="134">
        <f t="shared" si="24"/>
        <v>1073015879</v>
      </c>
      <c r="BL38" s="134">
        <f t="shared" si="25"/>
        <v>96880000</v>
      </c>
      <c r="BM38" s="134"/>
      <c r="BN38" s="168"/>
    </row>
    <row r="39" spans="1:106" s="9" customFormat="1" ht="24" customHeight="1" x14ac:dyDescent="0.25">
      <c r="A39" s="130"/>
      <c r="B39" s="83"/>
      <c r="C39" s="83"/>
      <c r="D39" s="77">
        <v>45</v>
      </c>
      <c r="E39" s="75" t="s">
        <v>44</v>
      </c>
      <c r="F39" s="135"/>
      <c r="G39" s="136"/>
      <c r="H39" s="137"/>
      <c r="I39" s="137"/>
      <c r="J39" s="139"/>
      <c r="K39" s="138"/>
      <c r="L39" s="139"/>
      <c r="M39" s="139"/>
      <c r="N39" s="141"/>
      <c r="O39" s="140"/>
      <c r="P39" s="141"/>
      <c r="Q39" s="139"/>
      <c r="R39" s="142"/>
      <c r="S39" s="142"/>
      <c r="T39" s="687"/>
      <c r="U39" s="143"/>
      <c r="V39" s="144"/>
      <c r="W39" s="144">
        <f>W40</f>
        <v>0</v>
      </c>
      <c r="X39" s="144"/>
      <c r="Y39" s="144"/>
      <c r="Z39" s="144">
        <f t="shared" si="24"/>
        <v>0</v>
      </c>
      <c r="AA39" s="144"/>
      <c r="AB39" s="144"/>
      <c r="AC39" s="144">
        <f t="shared" si="24"/>
        <v>0</v>
      </c>
      <c r="AD39" s="144"/>
      <c r="AE39" s="144"/>
      <c r="AF39" s="144">
        <f t="shared" si="24"/>
        <v>0</v>
      </c>
      <c r="AG39" s="144"/>
      <c r="AH39" s="144"/>
      <c r="AI39" s="144">
        <f t="shared" si="24"/>
        <v>0</v>
      </c>
      <c r="AJ39" s="144"/>
      <c r="AK39" s="144"/>
      <c r="AL39" s="144">
        <f t="shared" si="24"/>
        <v>0</v>
      </c>
      <c r="AM39" s="144"/>
      <c r="AN39" s="144"/>
      <c r="AO39" s="144">
        <f t="shared" si="24"/>
        <v>0</v>
      </c>
      <c r="AP39" s="144"/>
      <c r="AQ39" s="144"/>
      <c r="AR39" s="144">
        <f t="shared" si="24"/>
        <v>0</v>
      </c>
      <c r="AS39" s="144"/>
      <c r="AT39" s="144"/>
      <c r="AU39" s="144">
        <f t="shared" si="24"/>
        <v>0</v>
      </c>
      <c r="AV39" s="144"/>
      <c r="AW39" s="144"/>
      <c r="AX39" s="144">
        <f t="shared" si="24"/>
        <v>0</v>
      </c>
      <c r="AY39" s="144"/>
      <c r="AZ39" s="144"/>
      <c r="BA39" s="144">
        <f t="shared" si="24"/>
        <v>2343395879</v>
      </c>
      <c r="BB39" s="144">
        <f t="shared" si="24"/>
        <v>1011695879</v>
      </c>
      <c r="BC39" s="144">
        <f t="shared" si="24"/>
        <v>91110000</v>
      </c>
      <c r="BD39" s="144">
        <f t="shared" si="24"/>
        <v>0</v>
      </c>
      <c r="BE39" s="144"/>
      <c r="BF39" s="144"/>
      <c r="BG39" s="144">
        <f t="shared" si="24"/>
        <v>250000000</v>
      </c>
      <c r="BH39" s="144">
        <f t="shared" si="24"/>
        <v>61320000</v>
      </c>
      <c r="BI39" s="144">
        <f t="shared" si="24"/>
        <v>5770000</v>
      </c>
      <c r="BJ39" s="144">
        <f t="shared" si="24"/>
        <v>2593395879</v>
      </c>
      <c r="BK39" s="144">
        <f t="shared" si="25"/>
        <v>1073015879</v>
      </c>
      <c r="BL39" s="144">
        <f t="shared" si="25"/>
        <v>96880000</v>
      </c>
      <c r="BM39" s="169"/>
      <c r="BN39" s="169"/>
      <c r="BO39" s="8"/>
      <c r="BP39" s="8"/>
      <c r="BQ39" s="8"/>
      <c r="BR39" s="8"/>
      <c r="BS39" s="8"/>
      <c r="BT39" s="8"/>
      <c r="BU39" s="8"/>
      <c r="BV39" s="8"/>
      <c r="BW39" s="8"/>
      <c r="BX39" s="8"/>
      <c r="BY39" s="8"/>
      <c r="BZ39" s="8"/>
      <c r="CA39" s="8"/>
      <c r="CB39" s="8"/>
      <c r="CC39" s="8"/>
      <c r="CD39" s="8"/>
      <c r="CE39" s="8"/>
      <c r="CF39" s="8"/>
      <c r="CG39" s="8"/>
      <c r="CH39" s="8"/>
      <c r="CI39" s="8"/>
      <c r="CJ39" s="8"/>
      <c r="CK39" s="8"/>
      <c r="CL39" s="8"/>
      <c r="CM39" s="8"/>
      <c r="CN39" s="8"/>
      <c r="CO39" s="8"/>
      <c r="CP39" s="8"/>
      <c r="CQ39" s="8"/>
      <c r="CR39" s="8"/>
      <c r="CS39" s="8"/>
      <c r="CT39" s="8"/>
      <c r="CU39" s="8"/>
      <c r="CV39" s="8"/>
      <c r="CW39" s="8"/>
      <c r="CX39" s="8"/>
      <c r="CY39" s="8"/>
      <c r="CZ39" s="8"/>
      <c r="DA39" s="8"/>
    </row>
    <row r="40" spans="1:106" ht="24" customHeight="1" x14ac:dyDescent="0.2">
      <c r="A40" s="145"/>
      <c r="B40" s="91"/>
      <c r="C40" s="91"/>
      <c r="D40" s="91"/>
      <c r="E40" s="91"/>
      <c r="F40" s="146">
        <v>4599</v>
      </c>
      <c r="G40" s="81" t="s">
        <v>45</v>
      </c>
      <c r="H40" s="194"/>
      <c r="I40" s="194"/>
      <c r="J40" s="693"/>
      <c r="K40" s="748"/>
      <c r="L40" s="693"/>
      <c r="M40" s="693"/>
      <c r="N40" s="749"/>
      <c r="O40" s="748"/>
      <c r="P40" s="749"/>
      <c r="Q40" s="749"/>
      <c r="R40" s="749"/>
      <c r="S40" s="749"/>
      <c r="T40" s="728"/>
      <c r="U40" s="147"/>
      <c r="V40" s="147"/>
      <c r="W40" s="148">
        <f>SUM(W41:W42)</f>
        <v>0</v>
      </c>
      <c r="X40" s="148"/>
      <c r="Y40" s="148"/>
      <c r="Z40" s="148">
        <f t="shared" ref="Z40:BJ40" si="26">SUM(Z41:Z42)</f>
        <v>0</v>
      </c>
      <c r="AA40" s="148"/>
      <c r="AB40" s="148"/>
      <c r="AC40" s="148">
        <f t="shared" si="26"/>
        <v>0</v>
      </c>
      <c r="AD40" s="148"/>
      <c r="AE40" s="148"/>
      <c r="AF40" s="148">
        <f t="shared" si="26"/>
        <v>0</v>
      </c>
      <c r="AG40" s="148"/>
      <c r="AH40" s="148"/>
      <c r="AI40" s="148">
        <f t="shared" si="26"/>
        <v>0</v>
      </c>
      <c r="AJ40" s="148"/>
      <c r="AK40" s="148"/>
      <c r="AL40" s="148">
        <f t="shared" si="26"/>
        <v>0</v>
      </c>
      <c r="AM40" s="148"/>
      <c r="AN40" s="148"/>
      <c r="AO40" s="148">
        <f t="shared" si="26"/>
        <v>0</v>
      </c>
      <c r="AP40" s="148"/>
      <c r="AQ40" s="148"/>
      <c r="AR40" s="148">
        <f t="shared" si="26"/>
        <v>0</v>
      </c>
      <c r="AS40" s="148"/>
      <c r="AT40" s="148"/>
      <c r="AU40" s="148">
        <f t="shared" si="26"/>
        <v>0</v>
      </c>
      <c r="AV40" s="148"/>
      <c r="AW40" s="148"/>
      <c r="AX40" s="148">
        <f t="shared" si="26"/>
        <v>0</v>
      </c>
      <c r="AY40" s="148"/>
      <c r="AZ40" s="148"/>
      <c r="BA40" s="148">
        <f t="shared" si="26"/>
        <v>2343395879</v>
      </c>
      <c r="BB40" s="148">
        <f t="shared" ref="BB40:BC40" si="27">SUM(BB41:BB42)</f>
        <v>1011695879</v>
      </c>
      <c r="BC40" s="148">
        <f t="shared" si="27"/>
        <v>91110000</v>
      </c>
      <c r="BD40" s="148">
        <f t="shared" si="26"/>
        <v>0</v>
      </c>
      <c r="BE40" s="148"/>
      <c r="BF40" s="148"/>
      <c r="BG40" s="148">
        <f t="shared" si="26"/>
        <v>250000000</v>
      </c>
      <c r="BH40" s="148">
        <f t="shared" ref="BH40:BI40" si="28">SUM(BH41:BH42)</f>
        <v>61320000</v>
      </c>
      <c r="BI40" s="148">
        <f t="shared" si="28"/>
        <v>5770000</v>
      </c>
      <c r="BJ40" s="148">
        <f t="shared" si="26"/>
        <v>2593395879</v>
      </c>
      <c r="BK40" s="148">
        <f t="shared" ref="BK40:BL40" si="29">SUM(BK41:BK42)</f>
        <v>1073015879</v>
      </c>
      <c r="BL40" s="148">
        <f t="shared" si="29"/>
        <v>96880000</v>
      </c>
      <c r="BM40" s="148"/>
      <c r="BN40" s="156"/>
    </row>
    <row r="41" spans="1:106" ht="171" customHeight="1" x14ac:dyDescent="0.2">
      <c r="A41" s="145"/>
      <c r="B41" s="91"/>
      <c r="C41" s="91"/>
      <c r="D41" s="91"/>
      <c r="E41" s="91"/>
      <c r="F41" s="87"/>
      <c r="G41" s="569"/>
      <c r="H41" s="562" t="s">
        <v>134</v>
      </c>
      <c r="I41" s="82" t="s">
        <v>47</v>
      </c>
      <c r="J41" s="124" t="s">
        <v>135</v>
      </c>
      <c r="K41" s="84">
        <v>4599002</v>
      </c>
      <c r="L41" s="124" t="s">
        <v>59</v>
      </c>
      <c r="M41" s="82" t="s">
        <v>47</v>
      </c>
      <c r="N41" s="157" t="s">
        <v>136</v>
      </c>
      <c r="O41" s="84">
        <v>459900201</v>
      </c>
      <c r="P41" s="157" t="s">
        <v>137</v>
      </c>
      <c r="Q41" s="569" t="s">
        <v>52</v>
      </c>
      <c r="R41" s="101">
        <v>1</v>
      </c>
      <c r="S41" s="101">
        <v>0.3</v>
      </c>
      <c r="T41" s="570" t="s">
        <v>138</v>
      </c>
      <c r="U41" s="561" t="s">
        <v>139</v>
      </c>
      <c r="V41" s="562" t="s">
        <v>140</v>
      </c>
      <c r="W41" s="170"/>
      <c r="X41" s="170"/>
      <c r="Y41" s="170"/>
      <c r="Z41" s="170"/>
      <c r="AA41" s="170"/>
      <c r="AB41" s="170"/>
      <c r="AC41" s="150"/>
      <c r="AD41" s="150"/>
      <c r="AE41" s="150"/>
      <c r="AF41" s="170"/>
      <c r="AG41" s="170"/>
      <c r="AH41" s="170"/>
      <c r="AI41" s="170"/>
      <c r="AJ41" s="170"/>
      <c r="AK41" s="170"/>
      <c r="AL41" s="170"/>
      <c r="AM41" s="170"/>
      <c r="AN41" s="170"/>
      <c r="AO41" s="170"/>
      <c r="AP41" s="170"/>
      <c r="AQ41" s="170"/>
      <c r="AR41" s="170"/>
      <c r="AS41" s="170"/>
      <c r="AT41" s="170"/>
      <c r="AU41" s="170"/>
      <c r="AV41" s="170"/>
      <c r="AW41" s="170"/>
      <c r="AX41" s="170"/>
      <c r="AY41" s="170"/>
      <c r="AZ41" s="170"/>
      <c r="BA41" s="161">
        <f>670000000+900000000+1416148+1979731+500000000-8000000</f>
        <v>2065395879</v>
      </c>
      <c r="BB41" s="161">
        <v>923065879</v>
      </c>
      <c r="BC41" s="161">
        <v>77300000</v>
      </c>
      <c r="BD41" s="170"/>
      <c r="BE41" s="170"/>
      <c r="BF41" s="170"/>
      <c r="BG41" s="171">
        <v>250000000</v>
      </c>
      <c r="BH41" s="171">
        <v>61320000</v>
      </c>
      <c r="BI41" s="171">
        <v>5770000</v>
      </c>
      <c r="BJ41" s="151">
        <f>+W41+Z41+AC41+AF41+AI41+AL41+AO41+AR41+AU41+AX41+BA41+BD41+BG41</f>
        <v>2315395879</v>
      </c>
      <c r="BK41" s="151">
        <f t="shared" ref="BK41:BL42" si="30">+X41+AA41+AD41+AG41+AJ41+AM41+AP41+AS41+AV41+AY41+BB41+BE41+BH41</f>
        <v>984385879</v>
      </c>
      <c r="BL41" s="151">
        <f t="shared" si="30"/>
        <v>83070000</v>
      </c>
      <c r="BM41" s="151" t="s">
        <v>141</v>
      </c>
      <c r="BN41" s="72" t="s">
        <v>1572</v>
      </c>
    </row>
    <row r="42" spans="1:106" ht="145.5" customHeight="1" x14ac:dyDescent="0.2">
      <c r="A42" s="145"/>
      <c r="B42" s="91"/>
      <c r="C42" s="91"/>
      <c r="D42" s="91"/>
      <c r="E42" s="91"/>
      <c r="F42" s="87"/>
      <c r="G42" s="569"/>
      <c r="H42" s="562" t="s">
        <v>134</v>
      </c>
      <c r="I42" s="82" t="s">
        <v>47</v>
      </c>
      <c r="J42" s="124" t="s">
        <v>142</v>
      </c>
      <c r="K42" s="84">
        <v>4599002</v>
      </c>
      <c r="L42" s="124" t="s">
        <v>143</v>
      </c>
      <c r="M42" s="82" t="s">
        <v>47</v>
      </c>
      <c r="N42" s="157" t="s">
        <v>144</v>
      </c>
      <c r="O42" s="84">
        <v>459900200</v>
      </c>
      <c r="P42" s="157" t="s">
        <v>1513</v>
      </c>
      <c r="Q42" s="569" t="s">
        <v>52</v>
      </c>
      <c r="R42" s="101">
        <v>1</v>
      </c>
      <c r="S42" s="101">
        <v>0.25</v>
      </c>
      <c r="T42" s="570" t="s">
        <v>145</v>
      </c>
      <c r="U42" s="561" t="s">
        <v>146</v>
      </c>
      <c r="V42" s="562" t="s">
        <v>147</v>
      </c>
      <c r="W42" s="150"/>
      <c r="X42" s="150"/>
      <c r="Y42" s="150"/>
      <c r="Z42" s="150"/>
      <c r="AA42" s="150"/>
      <c r="AB42" s="150"/>
      <c r="AC42" s="150"/>
      <c r="AD42" s="150"/>
      <c r="AE42" s="150"/>
      <c r="AF42" s="150"/>
      <c r="AG42" s="150"/>
      <c r="AH42" s="150"/>
      <c r="AI42" s="150"/>
      <c r="AJ42" s="150"/>
      <c r="AK42" s="150"/>
      <c r="AL42" s="150"/>
      <c r="AM42" s="150"/>
      <c r="AN42" s="150"/>
      <c r="AO42" s="150"/>
      <c r="AP42" s="150"/>
      <c r="AQ42" s="150"/>
      <c r="AR42" s="150"/>
      <c r="AS42" s="150"/>
      <c r="AT42" s="150"/>
      <c r="AU42" s="150"/>
      <c r="AV42" s="150"/>
      <c r="AW42" s="150"/>
      <c r="AX42" s="150"/>
      <c r="AY42" s="150"/>
      <c r="AZ42" s="150"/>
      <c r="BA42" s="581">
        <f>270000000+8000000</f>
        <v>278000000</v>
      </c>
      <c r="BB42" s="581">
        <v>88630000</v>
      </c>
      <c r="BC42" s="581">
        <v>13810000</v>
      </c>
      <c r="BD42" s="150"/>
      <c r="BE42" s="150"/>
      <c r="BF42" s="150"/>
      <c r="BG42" s="150"/>
      <c r="BH42" s="150"/>
      <c r="BI42" s="150"/>
      <c r="BJ42" s="151">
        <f>+W42+Z42+AC42+AF42+AI42+AL42+AO42+AR42+AU42+AX42+BA42+BD42+BG42</f>
        <v>278000000</v>
      </c>
      <c r="BK42" s="151">
        <f t="shared" si="30"/>
        <v>88630000</v>
      </c>
      <c r="BL42" s="151">
        <f t="shared" si="30"/>
        <v>13810000</v>
      </c>
      <c r="BM42" s="151" t="s">
        <v>141</v>
      </c>
      <c r="BN42" s="72" t="s">
        <v>1572</v>
      </c>
    </row>
    <row r="43" spans="1:106" s="467" customFormat="1" ht="16.5" customHeight="1" x14ac:dyDescent="0.25">
      <c r="A43" s="463"/>
      <c r="B43" s="463"/>
      <c r="C43" s="463"/>
      <c r="D43" s="463"/>
      <c r="E43" s="463"/>
      <c r="F43" s="463"/>
      <c r="G43" s="463"/>
      <c r="H43" s="464"/>
      <c r="I43" s="463"/>
      <c r="J43" s="463"/>
      <c r="K43" s="463"/>
      <c r="L43" s="463"/>
      <c r="M43" s="463"/>
      <c r="N43" s="463"/>
      <c r="O43" s="463"/>
      <c r="P43" s="463"/>
      <c r="Q43" s="465"/>
      <c r="R43" s="463"/>
      <c r="S43" s="463"/>
      <c r="T43" s="465"/>
      <c r="U43" s="465"/>
      <c r="V43" s="465"/>
      <c r="W43" s="466"/>
      <c r="X43" s="466"/>
      <c r="Y43" s="466"/>
      <c r="Z43" s="466"/>
      <c r="AA43" s="466"/>
      <c r="AB43" s="466"/>
      <c r="AC43" s="466"/>
      <c r="AD43" s="466"/>
      <c r="AE43" s="466"/>
      <c r="AF43" s="466"/>
      <c r="AG43" s="466"/>
      <c r="AH43" s="466"/>
      <c r="AI43" s="466"/>
      <c r="AJ43" s="466"/>
      <c r="AK43" s="466"/>
      <c r="AL43" s="466"/>
      <c r="AM43" s="466"/>
      <c r="AN43" s="466"/>
      <c r="AO43" s="466"/>
      <c r="AP43" s="466"/>
      <c r="AQ43" s="466"/>
      <c r="AR43" s="466"/>
      <c r="AS43" s="466"/>
      <c r="AT43" s="466"/>
      <c r="AU43" s="466"/>
      <c r="AV43" s="466"/>
      <c r="AW43" s="466"/>
      <c r="AX43" s="466"/>
      <c r="AY43" s="466"/>
      <c r="AZ43" s="466"/>
      <c r="BA43" s="466"/>
      <c r="BB43" s="466"/>
      <c r="BC43" s="466"/>
      <c r="BD43" s="466"/>
      <c r="BE43" s="466"/>
      <c r="BF43" s="466"/>
      <c r="BG43" s="466"/>
      <c r="BH43" s="466"/>
      <c r="BI43" s="466"/>
      <c r="BJ43" s="466"/>
      <c r="BK43" s="466"/>
      <c r="BL43" s="466"/>
      <c r="BM43" s="466"/>
      <c r="BN43" s="466"/>
    </row>
    <row r="44" spans="1:106" s="394" customFormat="1" ht="24" customHeight="1" x14ac:dyDescent="0.2">
      <c r="A44" s="41" t="s">
        <v>148</v>
      </c>
      <c r="B44" s="41"/>
      <c r="C44" s="41"/>
      <c r="D44" s="41"/>
      <c r="E44" s="41"/>
      <c r="F44" s="42"/>
      <c r="G44" s="753"/>
      <c r="H44" s="754"/>
      <c r="I44" s="754"/>
      <c r="J44" s="754"/>
      <c r="K44" s="755"/>
      <c r="L44" s="754"/>
      <c r="M44" s="754"/>
      <c r="N44" s="756"/>
      <c r="O44" s="757"/>
      <c r="P44" s="756"/>
      <c r="Q44" s="758"/>
      <c r="R44" s="757"/>
      <c r="S44" s="757"/>
      <c r="T44" s="753"/>
      <c r="U44" s="391"/>
      <c r="V44" s="391"/>
      <c r="W44" s="387">
        <f t="shared" ref="W44:BJ44" si="31">W45+W61+W81</f>
        <v>4469330595.1000004</v>
      </c>
      <c r="X44" s="387">
        <f t="shared" ref="X44:Y44" si="32">X45+X61+X81</f>
        <v>353764000</v>
      </c>
      <c r="Y44" s="387">
        <f t="shared" si="32"/>
        <v>44266000</v>
      </c>
      <c r="Z44" s="387">
        <f t="shared" si="31"/>
        <v>0</v>
      </c>
      <c r="AA44" s="387"/>
      <c r="AB44" s="387"/>
      <c r="AC44" s="387">
        <f t="shared" si="31"/>
        <v>56108067</v>
      </c>
      <c r="AD44" s="387">
        <f t="shared" ref="AD44:AE44" si="33">AD45+AD61+AD81</f>
        <v>56108067</v>
      </c>
      <c r="AE44" s="387">
        <f t="shared" si="33"/>
        <v>13280787</v>
      </c>
      <c r="AF44" s="387">
        <f t="shared" si="31"/>
        <v>0</v>
      </c>
      <c r="AG44" s="387"/>
      <c r="AH44" s="387"/>
      <c r="AI44" s="387">
        <f t="shared" si="31"/>
        <v>0</v>
      </c>
      <c r="AJ44" s="387"/>
      <c r="AK44" s="387"/>
      <c r="AL44" s="387">
        <f t="shared" si="31"/>
        <v>0</v>
      </c>
      <c r="AM44" s="387"/>
      <c r="AN44" s="387"/>
      <c r="AO44" s="387">
        <f t="shared" si="31"/>
        <v>0</v>
      </c>
      <c r="AP44" s="387"/>
      <c r="AQ44" s="387"/>
      <c r="AR44" s="387">
        <f t="shared" si="31"/>
        <v>0</v>
      </c>
      <c r="AS44" s="387"/>
      <c r="AT44" s="387"/>
      <c r="AU44" s="387">
        <f t="shared" si="31"/>
        <v>0</v>
      </c>
      <c r="AV44" s="387"/>
      <c r="AW44" s="387"/>
      <c r="AX44" s="387">
        <f t="shared" si="31"/>
        <v>2753011221</v>
      </c>
      <c r="AY44" s="387">
        <f t="shared" ref="AY44:AZ44" si="34">AY45+AY61+AY81</f>
        <v>0</v>
      </c>
      <c r="AZ44" s="387">
        <f t="shared" si="34"/>
        <v>0</v>
      </c>
      <c r="BA44" s="387">
        <f t="shared" si="31"/>
        <v>795750000</v>
      </c>
      <c r="BB44" s="387">
        <f t="shared" ref="BB44" si="35">BB45+BB61+BB81</f>
        <v>291720000</v>
      </c>
      <c r="BC44" s="387">
        <f t="shared" ref="BC44" si="36">BC45+BC61+BC81</f>
        <v>38250000</v>
      </c>
      <c r="BD44" s="387">
        <f t="shared" si="31"/>
        <v>0</v>
      </c>
      <c r="BE44" s="387"/>
      <c r="BF44" s="387"/>
      <c r="BG44" s="387">
        <f t="shared" si="31"/>
        <v>0</v>
      </c>
      <c r="BH44" s="387"/>
      <c r="BI44" s="387"/>
      <c r="BJ44" s="387">
        <f t="shared" si="31"/>
        <v>8074199883.1000004</v>
      </c>
      <c r="BK44" s="387">
        <f t="shared" ref="BK44:BL44" si="37">BK45+BK61+BK81</f>
        <v>701592067</v>
      </c>
      <c r="BL44" s="387">
        <f t="shared" si="37"/>
        <v>95796787</v>
      </c>
      <c r="BM44" s="387"/>
      <c r="BN44" s="387"/>
      <c r="BO44" s="393"/>
      <c r="BP44" s="393"/>
      <c r="BQ44" s="393"/>
      <c r="BR44" s="393"/>
      <c r="BS44" s="393"/>
      <c r="BT44" s="393"/>
      <c r="BU44" s="393"/>
      <c r="BV44" s="393"/>
      <c r="BW44" s="393"/>
      <c r="BX44" s="393"/>
      <c r="BY44" s="393"/>
      <c r="BZ44" s="393"/>
      <c r="CA44" s="393"/>
      <c r="CB44" s="393"/>
      <c r="CC44" s="393"/>
      <c r="CD44" s="393"/>
      <c r="CE44" s="393"/>
      <c r="CF44" s="393"/>
      <c r="CG44" s="393"/>
      <c r="CH44" s="393"/>
      <c r="CI44" s="393"/>
      <c r="CJ44" s="393"/>
      <c r="CK44" s="393"/>
      <c r="CL44" s="393"/>
      <c r="CM44" s="393"/>
      <c r="CN44" s="393"/>
      <c r="CO44" s="393"/>
      <c r="CP44" s="393"/>
      <c r="CQ44" s="393"/>
      <c r="CR44" s="393"/>
      <c r="CS44" s="393"/>
      <c r="CT44" s="393"/>
      <c r="CU44" s="393"/>
      <c r="CV44" s="393"/>
      <c r="CW44" s="393"/>
      <c r="CX44" s="393"/>
      <c r="CY44" s="393"/>
      <c r="CZ44" s="393"/>
      <c r="DA44" s="393"/>
      <c r="DB44" s="393"/>
    </row>
    <row r="45" spans="1:106" ht="24" customHeight="1" x14ac:dyDescent="0.2">
      <c r="A45" s="145"/>
      <c r="B45" s="131">
        <v>1</v>
      </c>
      <c r="C45" s="131"/>
      <c r="D45" s="76" t="s">
        <v>149</v>
      </c>
      <c r="E45" s="173"/>
      <c r="F45" s="180"/>
      <c r="G45" s="768"/>
      <c r="H45" s="769"/>
      <c r="I45" s="769"/>
      <c r="J45" s="770"/>
      <c r="K45" s="771"/>
      <c r="L45" s="770"/>
      <c r="M45" s="770"/>
      <c r="N45" s="772"/>
      <c r="O45" s="773"/>
      <c r="P45" s="772"/>
      <c r="Q45" s="806"/>
      <c r="R45" s="773"/>
      <c r="S45" s="773"/>
      <c r="T45" s="775"/>
      <c r="U45" s="186"/>
      <c r="V45" s="133"/>
      <c r="W45" s="134">
        <f>W46+W49+W52+W55+W58</f>
        <v>3919330595</v>
      </c>
      <c r="X45" s="134">
        <f t="shared" ref="X45:Y45" si="38">X46+X49+X52+X55+X58</f>
        <v>353764000</v>
      </c>
      <c r="Y45" s="134">
        <f t="shared" si="38"/>
        <v>44266000</v>
      </c>
      <c r="Z45" s="134">
        <f t="shared" ref="Z45:BG45" si="39">Z46+Z49+Z52+Z55+Z58</f>
        <v>0</v>
      </c>
      <c r="AA45" s="134"/>
      <c r="AB45" s="134"/>
      <c r="AC45" s="134">
        <f t="shared" si="39"/>
        <v>0</v>
      </c>
      <c r="AD45" s="134">
        <f t="shared" ref="AD45:AE45" si="40">AD46+AD49+AD52+AD55+AD58</f>
        <v>0</v>
      </c>
      <c r="AE45" s="134">
        <f t="shared" si="40"/>
        <v>0</v>
      </c>
      <c r="AF45" s="134">
        <f t="shared" si="39"/>
        <v>0</v>
      </c>
      <c r="AG45" s="134"/>
      <c r="AH45" s="134"/>
      <c r="AI45" s="134">
        <f t="shared" si="39"/>
        <v>0</v>
      </c>
      <c r="AJ45" s="134"/>
      <c r="AK45" s="134"/>
      <c r="AL45" s="134">
        <f t="shared" si="39"/>
        <v>0</v>
      </c>
      <c r="AM45" s="134"/>
      <c r="AN45" s="134"/>
      <c r="AO45" s="134">
        <f t="shared" si="39"/>
        <v>0</v>
      </c>
      <c r="AP45" s="134"/>
      <c r="AQ45" s="134"/>
      <c r="AR45" s="134">
        <f t="shared" si="39"/>
        <v>0</v>
      </c>
      <c r="AS45" s="134"/>
      <c r="AT45" s="134"/>
      <c r="AU45" s="134">
        <f t="shared" si="39"/>
        <v>0</v>
      </c>
      <c r="AV45" s="134"/>
      <c r="AW45" s="134"/>
      <c r="AX45" s="134">
        <f t="shared" si="39"/>
        <v>0</v>
      </c>
      <c r="AY45" s="134">
        <f t="shared" ref="AY45:AZ45" si="41">AY46+AY49+AY52+AY55+AY58</f>
        <v>0</v>
      </c>
      <c r="AZ45" s="134">
        <f t="shared" si="41"/>
        <v>0</v>
      </c>
      <c r="BA45" s="134">
        <f t="shared" si="39"/>
        <v>92750000</v>
      </c>
      <c r="BB45" s="134">
        <f t="shared" ref="BB45" si="42">BB46+BB49+BB52+BB55+BB58</f>
        <v>16932000</v>
      </c>
      <c r="BC45" s="134">
        <f t="shared" ref="BC45" si="43">BC46+BC49+BC52+BC55+BC58</f>
        <v>0</v>
      </c>
      <c r="BD45" s="134">
        <f t="shared" si="39"/>
        <v>0</v>
      </c>
      <c r="BE45" s="134"/>
      <c r="BF45" s="134"/>
      <c r="BG45" s="134">
        <f t="shared" si="39"/>
        <v>0</v>
      </c>
      <c r="BH45" s="134"/>
      <c r="BI45" s="134"/>
      <c r="BJ45" s="134">
        <f>BJ46+BJ49+BJ52+BJ55+BJ58</f>
        <v>4012080595</v>
      </c>
      <c r="BK45" s="134">
        <f t="shared" ref="BK45:BL45" si="44">BK46+BK49+BK52+BK55+BK58</f>
        <v>370696000</v>
      </c>
      <c r="BL45" s="134">
        <f t="shared" si="44"/>
        <v>44266000</v>
      </c>
      <c r="BM45" s="134"/>
      <c r="BN45" s="134"/>
    </row>
    <row r="46" spans="1:106" s="9" customFormat="1" ht="24" customHeight="1" x14ac:dyDescent="0.25">
      <c r="A46" s="130"/>
      <c r="B46" s="83"/>
      <c r="C46" s="83"/>
      <c r="D46" s="77">
        <v>12</v>
      </c>
      <c r="E46" s="75" t="s">
        <v>150</v>
      </c>
      <c r="F46" s="135"/>
      <c r="G46" s="776"/>
      <c r="H46" s="779"/>
      <c r="I46" s="779"/>
      <c r="J46" s="781"/>
      <c r="K46" s="778"/>
      <c r="L46" s="781"/>
      <c r="M46" s="781"/>
      <c r="N46" s="782"/>
      <c r="O46" s="780"/>
      <c r="P46" s="782"/>
      <c r="Q46" s="781"/>
      <c r="R46" s="807"/>
      <c r="S46" s="807"/>
      <c r="T46" s="808"/>
      <c r="U46" s="687"/>
      <c r="V46" s="144"/>
      <c r="W46" s="144">
        <f>W47</f>
        <v>0</v>
      </c>
      <c r="X46" s="144">
        <f t="shared" ref="X46:Y46" si="45">X47</f>
        <v>0</v>
      </c>
      <c r="Y46" s="144">
        <f t="shared" si="45"/>
        <v>0</v>
      </c>
      <c r="Z46" s="144">
        <f t="shared" ref="Z46:BK47" si="46">Z47</f>
        <v>0</v>
      </c>
      <c r="AA46" s="144"/>
      <c r="AB46" s="144"/>
      <c r="AC46" s="144">
        <f t="shared" si="46"/>
        <v>0</v>
      </c>
      <c r="AD46" s="144">
        <f t="shared" si="46"/>
        <v>0</v>
      </c>
      <c r="AE46" s="144">
        <f t="shared" si="46"/>
        <v>0</v>
      </c>
      <c r="AF46" s="144">
        <f t="shared" si="46"/>
        <v>0</v>
      </c>
      <c r="AG46" s="144"/>
      <c r="AH46" s="144"/>
      <c r="AI46" s="144">
        <f t="shared" si="46"/>
        <v>0</v>
      </c>
      <c r="AJ46" s="144"/>
      <c r="AK46" s="144"/>
      <c r="AL46" s="144">
        <f t="shared" si="46"/>
        <v>0</v>
      </c>
      <c r="AM46" s="144"/>
      <c r="AN46" s="144"/>
      <c r="AO46" s="144">
        <f t="shared" si="46"/>
        <v>0</v>
      </c>
      <c r="AP46" s="144"/>
      <c r="AQ46" s="144"/>
      <c r="AR46" s="144">
        <f t="shared" si="46"/>
        <v>0</v>
      </c>
      <c r="AS46" s="144"/>
      <c r="AT46" s="144"/>
      <c r="AU46" s="144">
        <f t="shared" si="46"/>
        <v>0</v>
      </c>
      <c r="AV46" s="144"/>
      <c r="AW46" s="144"/>
      <c r="AX46" s="144">
        <f t="shared" si="46"/>
        <v>0</v>
      </c>
      <c r="AY46" s="144">
        <f t="shared" si="46"/>
        <v>0</v>
      </c>
      <c r="AZ46" s="144">
        <f t="shared" si="46"/>
        <v>0</v>
      </c>
      <c r="BA46" s="144">
        <f t="shared" si="46"/>
        <v>24750000</v>
      </c>
      <c r="BB46" s="144">
        <f t="shared" si="46"/>
        <v>3932000</v>
      </c>
      <c r="BC46" s="144">
        <f t="shared" si="46"/>
        <v>0</v>
      </c>
      <c r="BD46" s="144">
        <f t="shared" si="46"/>
        <v>0</v>
      </c>
      <c r="BE46" s="144"/>
      <c r="BF46" s="144"/>
      <c r="BG46" s="144">
        <f t="shared" si="46"/>
        <v>0</v>
      </c>
      <c r="BH46" s="144"/>
      <c r="BI46" s="144"/>
      <c r="BJ46" s="144">
        <f t="shared" si="46"/>
        <v>24750000</v>
      </c>
      <c r="BK46" s="144">
        <f t="shared" si="46"/>
        <v>3932000</v>
      </c>
      <c r="BL46" s="144">
        <f t="shared" ref="BL46" si="47">BL47</f>
        <v>0</v>
      </c>
      <c r="BM46" s="144"/>
      <c r="BN46" s="144"/>
      <c r="BO46" s="8"/>
      <c r="BP46" s="8"/>
      <c r="BQ46" s="8"/>
      <c r="BR46" s="8"/>
      <c r="BS46" s="8"/>
      <c r="BT46" s="8"/>
      <c r="BU46" s="8"/>
      <c r="BV46" s="8"/>
      <c r="BW46" s="8"/>
      <c r="BX46" s="8"/>
      <c r="BY46" s="8"/>
      <c r="BZ46" s="8"/>
      <c r="CA46" s="8"/>
      <c r="CB46" s="8"/>
      <c r="CC46" s="8"/>
      <c r="CD46" s="8"/>
      <c r="CE46" s="8"/>
      <c r="CF46" s="8"/>
      <c r="CG46" s="8"/>
      <c r="CH46" s="8"/>
      <c r="CI46" s="8"/>
      <c r="CJ46" s="8"/>
      <c r="CK46" s="8"/>
      <c r="CL46" s="8"/>
      <c r="CM46" s="8"/>
      <c r="CN46" s="8"/>
      <c r="CO46" s="8"/>
      <c r="CP46" s="8"/>
      <c r="CQ46" s="8"/>
      <c r="CR46" s="8"/>
      <c r="CS46" s="8"/>
      <c r="CT46" s="8"/>
      <c r="CU46" s="8"/>
      <c r="CV46" s="8"/>
      <c r="CW46" s="8"/>
      <c r="CX46" s="8"/>
      <c r="CY46" s="8"/>
      <c r="CZ46" s="8"/>
      <c r="DA46" s="8"/>
    </row>
    <row r="47" spans="1:106" ht="24" customHeight="1" x14ac:dyDescent="0.2">
      <c r="A47" s="145"/>
      <c r="B47" s="91"/>
      <c r="C47" s="91"/>
      <c r="D47" s="91"/>
      <c r="E47" s="91"/>
      <c r="F47" s="747">
        <v>1202</v>
      </c>
      <c r="G47" s="784" t="s">
        <v>151</v>
      </c>
      <c r="H47" s="785"/>
      <c r="I47" s="785"/>
      <c r="J47" s="786"/>
      <c r="K47" s="787"/>
      <c r="L47" s="786"/>
      <c r="M47" s="786"/>
      <c r="N47" s="788"/>
      <c r="O47" s="789"/>
      <c r="P47" s="788"/>
      <c r="Q47" s="793"/>
      <c r="R47" s="789"/>
      <c r="S47" s="789"/>
      <c r="T47" s="791"/>
      <c r="U47" s="690"/>
      <c r="V47" s="147"/>
      <c r="W47" s="148">
        <f t="shared" ref="W47:BL47" si="48">W48</f>
        <v>0</v>
      </c>
      <c r="X47" s="148">
        <f t="shared" si="48"/>
        <v>0</v>
      </c>
      <c r="Y47" s="148">
        <f t="shared" si="48"/>
        <v>0</v>
      </c>
      <c r="Z47" s="148">
        <f t="shared" si="48"/>
        <v>0</v>
      </c>
      <c r="AA47" s="148"/>
      <c r="AB47" s="148"/>
      <c r="AC47" s="148">
        <f t="shared" si="48"/>
        <v>0</v>
      </c>
      <c r="AD47" s="148">
        <f t="shared" si="48"/>
        <v>0</v>
      </c>
      <c r="AE47" s="148">
        <f t="shared" si="48"/>
        <v>0</v>
      </c>
      <c r="AF47" s="148">
        <f t="shared" si="48"/>
        <v>0</v>
      </c>
      <c r="AG47" s="148"/>
      <c r="AH47" s="148"/>
      <c r="AI47" s="148">
        <f t="shared" si="48"/>
        <v>0</v>
      </c>
      <c r="AJ47" s="148"/>
      <c r="AK47" s="148"/>
      <c r="AL47" s="148">
        <f t="shared" si="48"/>
        <v>0</v>
      </c>
      <c r="AM47" s="148"/>
      <c r="AN47" s="148"/>
      <c r="AO47" s="148">
        <f t="shared" si="48"/>
        <v>0</v>
      </c>
      <c r="AP47" s="148"/>
      <c r="AQ47" s="148"/>
      <c r="AR47" s="148">
        <f t="shared" si="48"/>
        <v>0</v>
      </c>
      <c r="AS47" s="148"/>
      <c r="AT47" s="148"/>
      <c r="AU47" s="148">
        <f t="shared" si="48"/>
        <v>0</v>
      </c>
      <c r="AV47" s="148"/>
      <c r="AW47" s="148"/>
      <c r="AX47" s="148">
        <f t="shared" si="48"/>
        <v>0</v>
      </c>
      <c r="AY47" s="148">
        <f t="shared" si="48"/>
        <v>0</v>
      </c>
      <c r="AZ47" s="148">
        <f t="shared" si="48"/>
        <v>0</v>
      </c>
      <c r="BA47" s="148">
        <f>BA48</f>
        <v>24750000</v>
      </c>
      <c r="BB47" s="148">
        <f t="shared" si="46"/>
        <v>3932000</v>
      </c>
      <c r="BC47" s="148">
        <f t="shared" si="46"/>
        <v>0</v>
      </c>
      <c r="BD47" s="148">
        <f t="shared" si="48"/>
        <v>0</v>
      </c>
      <c r="BE47" s="148"/>
      <c r="BF47" s="148"/>
      <c r="BG47" s="148">
        <f t="shared" si="48"/>
        <v>0</v>
      </c>
      <c r="BH47" s="148"/>
      <c r="BI47" s="148"/>
      <c r="BJ47" s="148">
        <f t="shared" si="48"/>
        <v>24750000</v>
      </c>
      <c r="BK47" s="148">
        <f t="shared" si="48"/>
        <v>3932000</v>
      </c>
      <c r="BL47" s="148">
        <f t="shared" si="48"/>
        <v>0</v>
      </c>
      <c r="BM47" s="148"/>
      <c r="BN47" s="148"/>
    </row>
    <row r="48" spans="1:106" s="44" customFormat="1" ht="217.5" customHeight="1" x14ac:dyDescent="0.2">
      <c r="A48" s="337"/>
      <c r="B48" s="83"/>
      <c r="C48" s="83"/>
      <c r="D48" s="83"/>
      <c r="E48" s="83"/>
      <c r="F48" s="338"/>
      <c r="G48" s="805"/>
      <c r="H48" s="827" t="s">
        <v>152</v>
      </c>
      <c r="I48" s="801" t="s">
        <v>47</v>
      </c>
      <c r="J48" s="825" t="s">
        <v>153</v>
      </c>
      <c r="K48" s="801">
        <v>1202019</v>
      </c>
      <c r="L48" s="825" t="s">
        <v>154</v>
      </c>
      <c r="M48" s="801" t="s">
        <v>47</v>
      </c>
      <c r="N48" s="825" t="s">
        <v>155</v>
      </c>
      <c r="O48" s="824">
        <v>120201900</v>
      </c>
      <c r="P48" s="825" t="s">
        <v>156</v>
      </c>
      <c r="Q48" s="805" t="s">
        <v>68</v>
      </c>
      <c r="R48" s="831">
        <v>3</v>
      </c>
      <c r="S48" s="831">
        <v>0</v>
      </c>
      <c r="T48" s="805" t="s">
        <v>157</v>
      </c>
      <c r="U48" s="559" t="s">
        <v>158</v>
      </c>
      <c r="V48" s="559" t="s">
        <v>159</v>
      </c>
      <c r="W48" s="174"/>
      <c r="X48" s="174"/>
      <c r="Y48" s="174"/>
      <c r="Z48" s="150"/>
      <c r="AA48" s="150"/>
      <c r="AB48" s="150"/>
      <c r="AC48" s="150"/>
      <c r="AD48" s="150"/>
      <c r="AE48" s="150"/>
      <c r="AF48" s="150"/>
      <c r="AG48" s="150"/>
      <c r="AH48" s="150"/>
      <c r="AI48" s="150"/>
      <c r="AJ48" s="150"/>
      <c r="AK48" s="150"/>
      <c r="AL48" s="150"/>
      <c r="AM48" s="150"/>
      <c r="AN48" s="150"/>
      <c r="AO48" s="150"/>
      <c r="AP48" s="150"/>
      <c r="AQ48" s="150"/>
      <c r="AR48" s="150"/>
      <c r="AS48" s="150"/>
      <c r="AT48" s="150"/>
      <c r="AU48" s="150"/>
      <c r="AV48" s="150"/>
      <c r="AW48" s="150"/>
      <c r="AX48" s="150"/>
      <c r="AY48" s="150"/>
      <c r="AZ48" s="150"/>
      <c r="BA48" s="161">
        <f>23750000+1000000</f>
        <v>24750000</v>
      </c>
      <c r="BB48" s="161">
        <v>3932000</v>
      </c>
      <c r="BC48" s="161"/>
      <c r="BD48" s="150"/>
      <c r="BE48" s="150"/>
      <c r="BF48" s="150"/>
      <c r="BG48" s="175"/>
      <c r="BH48" s="175"/>
      <c r="BI48" s="175"/>
      <c r="BJ48" s="339">
        <f>+W48+Z48+AC48+AF48+AI48+AL48+AO48+AR48+AU48+AX48+BA48+BD48+BG48</f>
        <v>24750000</v>
      </c>
      <c r="BK48" s="339">
        <f t="shared" ref="BK48:BL48" si="49">+X48+AA48+AD48+AG48+AJ48+AM48+AP48+AS48+AV48+AY48+BB48+BE48+BH48</f>
        <v>3932000</v>
      </c>
      <c r="BL48" s="339">
        <f t="shared" si="49"/>
        <v>0</v>
      </c>
      <c r="BM48" s="340" t="s">
        <v>160</v>
      </c>
      <c r="BN48" s="341" t="s">
        <v>1573</v>
      </c>
    </row>
    <row r="49" spans="1:105" s="9" customFormat="1" ht="24" customHeight="1" x14ac:dyDescent="0.25">
      <c r="A49" s="130"/>
      <c r="B49" s="83"/>
      <c r="C49" s="83"/>
      <c r="D49" s="77">
        <v>19</v>
      </c>
      <c r="E49" s="75" t="s">
        <v>161</v>
      </c>
      <c r="F49" s="135"/>
      <c r="G49" s="776"/>
      <c r="H49" s="779"/>
      <c r="I49" s="779"/>
      <c r="J49" s="781"/>
      <c r="K49" s="778"/>
      <c r="L49" s="781"/>
      <c r="M49" s="781"/>
      <c r="N49" s="782"/>
      <c r="O49" s="780"/>
      <c r="P49" s="782"/>
      <c r="Q49" s="781"/>
      <c r="R49" s="807"/>
      <c r="S49" s="807"/>
      <c r="T49" s="808"/>
      <c r="U49" s="687"/>
      <c r="V49" s="144"/>
      <c r="W49" s="144">
        <f>W50</f>
        <v>0</v>
      </c>
      <c r="X49" s="144"/>
      <c r="Y49" s="144"/>
      <c r="Z49" s="144">
        <f t="shared" ref="Z49:BL49" si="50">Z50</f>
        <v>0</v>
      </c>
      <c r="AA49" s="144"/>
      <c r="AB49" s="144"/>
      <c r="AC49" s="144">
        <f t="shared" si="50"/>
        <v>0</v>
      </c>
      <c r="AD49" s="144"/>
      <c r="AE49" s="144"/>
      <c r="AF49" s="144">
        <f t="shared" si="50"/>
        <v>0</v>
      </c>
      <c r="AG49" s="144"/>
      <c r="AH49" s="144"/>
      <c r="AI49" s="144">
        <f t="shared" si="50"/>
        <v>0</v>
      </c>
      <c r="AJ49" s="144"/>
      <c r="AK49" s="144"/>
      <c r="AL49" s="144">
        <f t="shared" si="50"/>
        <v>0</v>
      </c>
      <c r="AM49" s="144"/>
      <c r="AN49" s="144"/>
      <c r="AO49" s="144">
        <f t="shared" si="50"/>
        <v>0</v>
      </c>
      <c r="AP49" s="144"/>
      <c r="AQ49" s="144"/>
      <c r="AR49" s="144">
        <f t="shared" si="50"/>
        <v>0</v>
      </c>
      <c r="AS49" s="144"/>
      <c r="AT49" s="144"/>
      <c r="AU49" s="144">
        <f t="shared" si="50"/>
        <v>0</v>
      </c>
      <c r="AV49" s="144"/>
      <c r="AW49" s="144"/>
      <c r="AX49" s="144">
        <f t="shared" si="50"/>
        <v>0</v>
      </c>
      <c r="AY49" s="144"/>
      <c r="AZ49" s="144"/>
      <c r="BA49" s="144">
        <f t="shared" si="50"/>
        <v>38000000</v>
      </c>
      <c r="BB49" s="144">
        <f t="shared" si="50"/>
        <v>4100000</v>
      </c>
      <c r="BC49" s="144">
        <f t="shared" si="50"/>
        <v>0</v>
      </c>
      <c r="BD49" s="144">
        <f t="shared" si="50"/>
        <v>0</v>
      </c>
      <c r="BE49" s="144"/>
      <c r="BF49" s="144"/>
      <c r="BG49" s="144">
        <f t="shared" si="50"/>
        <v>0</v>
      </c>
      <c r="BH49" s="144"/>
      <c r="BI49" s="144"/>
      <c r="BJ49" s="144">
        <f t="shared" si="50"/>
        <v>38000000</v>
      </c>
      <c r="BK49" s="144">
        <f t="shared" si="50"/>
        <v>4100000</v>
      </c>
      <c r="BL49" s="144">
        <f t="shared" si="50"/>
        <v>0</v>
      </c>
      <c r="BM49" s="169"/>
      <c r="BN49" s="169"/>
      <c r="BO49" s="8"/>
      <c r="BP49" s="8"/>
      <c r="BQ49" s="8"/>
      <c r="BR49" s="8"/>
      <c r="BS49" s="8"/>
      <c r="BT49" s="8"/>
      <c r="BU49" s="8"/>
      <c r="BV49" s="8"/>
      <c r="BW49" s="8"/>
      <c r="BX49" s="8"/>
      <c r="BY49" s="8"/>
      <c r="BZ49" s="8"/>
      <c r="CA49" s="8"/>
      <c r="CB49" s="8"/>
      <c r="CC49" s="8"/>
      <c r="CD49" s="8"/>
      <c r="CE49" s="8"/>
      <c r="CF49" s="8"/>
      <c r="CG49" s="8"/>
      <c r="CH49" s="8"/>
      <c r="CI49" s="8"/>
      <c r="CJ49" s="8"/>
      <c r="CK49" s="8"/>
      <c r="CL49" s="8"/>
      <c r="CM49" s="8"/>
      <c r="CN49" s="8"/>
      <c r="CO49" s="8"/>
      <c r="CP49" s="8"/>
      <c r="CQ49" s="8"/>
      <c r="CR49" s="8"/>
      <c r="CS49" s="8"/>
      <c r="CT49" s="8"/>
      <c r="CU49" s="8"/>
      <c r="CV49" s="8"/>
      <c r="CW49" s="8"/>
      <c r="CX49" s="8"/>
      <c r="CY49" s="8"/>
      <c r="CZ49" s="8"/>
      <c r="DA49" s="8"/>
    </row>
    <row r="50" spans="1:105" ht="24" customHeight="1" x14ac:dyDescent="0.2">
      <c r="A50" s="145"/>
      <c r="B50" s="91"/>
      <c r="C50" s="91"/>
      <c r="D50" s="91"/>
      <c r="E50" s="91"/>
      <c r="F50" s="747">
        <v>1906</v>
      </c>
      <c r="G50" s="784" t="s">
        <v>162</v>
      </c>
      <c r="H50" s="785"/>
      <c r="I50" s="785"/>
      <c r="J50" s="786"/>
      <c r="K50" s="787"/>
      <c r="L50" s="786"/>
      <c r="M50" s="786"/>
      <c r="N50" s="788"/>
      <c r="O50" s="789"/>
      <c r="P50" s="788"/>
      <c r="Q50" s="793"/>
      <c r="R50" s="789"/>
      <c r="S50" s="789"/>
      <c r="T50" s="791"/>
      <c r="U50" s="690"/>
      <c r="V50" s="147"/>
      <c r="W50" s="148">
        <f t="shared" ref="W50:BL50" si="51">W51</f>
        <v>0</v>
      </c>
      <c r="X50" s="148"/>
      <c r="Y50" s="148"/>
      <c r="Z50" s="148">
        <f t="shared" si="51"/>
        <v>0</v>
      </c>
      <c r="AA50" s="148"/>
      <c r="AB50" s="148"/>
      <c r="AC50" s="148">
        <f t="shared" si="51"/>
        <v>0</v>
      </c>
      <c r="AD50" s="148"/>
      <c r="AE50" s="148"/>
      <c r="AF50" s="148">
        <f t="shared" si="51"/>
        <v>0</v>
      </c>
      <c r="AG50" s="148"/>
      <c r="AH50" s="148"/>
      <c r="AI50" s="148">
        <f t="shared" si="51"/>
        <v>0</v>
      </c>
      <c r="AJ50" s="148"/>
      <c r="AK50" s="148"/>
      <c r="AL50" s="148">
        <f t="shared" si="51"/>
        <v>0</v>
      </c>
      <c r="AM50" s="148"/>
      <c r="AN50" s="148"/>
      <c r="AO50" s="148">
        <f t="shared" si="51"/>
        <v>0</v>
      </c>
      <c r="AP50" s="148"/>
      <c r="AQ50" s="148"/>
      <c r="AR50" s="148">
        <f t="shared" si="51"/>
        <v>0</v>
      </c>
      <c r="AS50" s="148"/>
      <c r="AT50" s="148"/>
      <c r="AU50" s="148">
        <f t="shared" si="51"/>
        <v>0</v>
      </c>
      <c r="AV50" s="148"/>
      <c r="AW50" s="148"/>
      <c r="AX50" s="148">
        <f t="shared" si="51"/>
        <v>0</v>
      </c>
      <c r="AY50" s="148"/>
      <c r="AZ50" s="148"/>
      <c r="BA50" s="148">
        <f t="shared" si="51"/>
        <v>38000000</v>
      </c>
      <c r="BB50" s="148">
        <f t="shared" si="51"/>
        <v>4100000</v>
      </c>
      <c r="BC50" s="148">
        <f t="shared" si="51"/>
        <v>0</v>
      </c>
      <c r="BD50" s="148">
        <f t="shared" si="51"/>
        <v>0</v>
      </c>
      <c r="BE50" s="148"/>
      <c r="BF50" s="148"/>
      <c r="BG50" s="148">
        <f t="shared" si="51"/>
        <v>0</v>
      </c>
      <c r="BH50" s="148"/>
      <c r="BI50" s="148"/>
      <c r="BJ50" s="148">
        <f t="shared" si="51"/>
        <v>38000000</v>
      </c>
      <c r="BK50" s="148">
        <f t="shared" si="51"/>
        <v>4100000</v>
      </c>
      <c r="BL50" s="148">
        <f t="shared" si="51"/>
        <v>0</v>
      </c>
      <c r="BM50" s="148"/>
      <c r="BN50" s="156"/>
    </row>
    <row r="51" spans="1:105" s="44" customFormat="1" ht="156.75" customHeight="1" x14ac:dyDescent="0.2">
      <c r="A51" s="337"/>
      <c r="B51" s="83"/>
      <c r="C51" s="83"/>
      <c r="D51" s="83"/>
      <c r="E51" s="83"/>
      <c r="F51" s="338"/>
      <c r="G51" s="647"/>
      <c r="H51" s="827" t="s">
        <v>163</v>
      </c>
      <c r="I51" s="801" t="s">
        <v>47</v>
      </c>
      <c r="J51" s="825" t="s">
        <v>164</v>
      </c>
      <c r="K51" s="801">
        <v>1906015</v>
      </c>
      <c r="L51" s="825" t="s">
        <v>165</v>
      </c>
      <c r="M51" s="801" t="s">
        <v>47</v>
      </c>
      <c r="N51" s="828" t="s">
        <v>166</v>
      </c>
      <c r="O51" s="829">
        <v>190601500</v>
      </c>
      <c r="P51" s="828" t="s">
        <v>165</v>
      </c>
      <c r="Q51" s="805" t="s">
        <v>68</v>
      </c>
      <c r="R51" s="830">
        <v>1</v>
      </c>
      <c r="S51" s="830">
        <v>0</v>
      </c>
      <c r="T51" s="805" t="s">
        <v>167</v>
      </c>
      <c r="U51" s="559" t="s">
        <v>168</v>
      </c>
      <c r="V51" s="559" t="s">
        <v>169</v>
      </c>
      <c r="W51" s="174"/>
      <c r="X51" s="174"/>
      <c r="Y51" s="174"/>
      <c r="Z51" s="150"/>
      <c r="AA51" s="150"/>
      <c r="AB51" s="150"/>
      <c r="AC51" s="150"/>
      <c r="AD51" s="150"/>
      <c r="AE51" s="150"/>
      <c r="AF51" s="150"/>
      <c r="AG51" s="150"/>
      <c r="AH51" s="150"/>
      <c r="AI51" s="150"/>
      <c r="AJ51" s="150"/>
      <c r="AK51" s="150"/>
      <c r="AL51" s="150"/>
      <c r="AM51" s="150"/>
      <c r="AN51" s="150"/>
      <c r="AO51" s="150"/>
      <c r="AP51" s="150"/>
      <c r="AQ51" s="150"/>
      <c r="AR51" s="150"/>
      <c r="AS51" s="150"/>
      <c r="AT51" s="150"/>
      <c r="AU51" s="150"/>
      <c r="AV51" s="150"/>
      <c r="AW51" s="150"/>
      <c r="AX51" s="150"/>
      <c r="AY51" s="150"/>
      <c r="AZ51" s="150"/>
      <c r="BA51" s="161">
        <v>38000000</v>
      </c>
      <c r="BB51" s="161">
        <v>4100000</v>
      </c>
      <c r="BC51" s="161"/>
      <c r="BD51" s="150"/>
      <c r="BE51" s="150"/>
      <c r="BF51" s="150"/>
      <c r="BG51" s="175"/>
      <c r="BH51" s="175"/>
      <c r="BI51" s="175"/>
      <c r="BJ51" s="339">
        <f>+W51+Z51+AC51+AF51+AI51+AL51+AO51+AR51+AU51+AX51+BA51+BD51+BG51</f>
        <v>38000000</v>
      </c>
      <c r="BK51" s="339">
        <f t="shared" ref="BK51:BL51" si="52">+X51+AA51+AD51+AG51+AJ51+AM51+AP51+AS51+AV51+AY51+BB51+BE51+BH51</f>
        <v>4100000</v>
      </c>
      <c r="BL51" s="339">
        <f t="shared" si="52"/>
        <v>0</v>
      </c>
      <c r="BM51" s="340" t="s">
        <v>160</v>
      </c>
      <c r="BN51" s="341" t="s">
        <v>1573</v>
      </c>
    </row>
    <row r="52" spans="1:105" s="9" customFormat="1" ht="24" customHeight="1" x14ac:dyDescent="0.25">
      <c r="A52" s="130"/>
      <c r="B52" s="83"/>
      <c r="C52" s="83"/>
      <c r="D52" s="77">
        <v>22</v>
      </c>
      <c r="E52" s="75" t="s">
        <v>170</v>
      </c>
      <c r="F52" s="135"/>
      <c r="G52" s="136"/>
      <c r="H52" s="818"/>
      <c r="I52" s="779"/>
      <c r="J52" s="781"/>
      <c r="K52" s="778"/>
      <c r="L52" s="781"/>
      <c r="M52" s="781"/>
      <c r="N52" s="782"/>
      <c r="O52" s="780"/>
      <c r="P52" s="782"/>
      <c r="Q52" s="781"/>
      <c r="R52" s="807"/>
      <c r="S52" s="807"/>
      <c r="T52" s="808"/>
      <c r="U52" s="687"/>
      <c r="V52" s="144"/>
      <c r="W52" s="144">
        <f>W53</f>
        <v>2083257220</v>
      </c>
      <c r="X52" s="144">
        <f t="shared" ref="X52:Y52" si="53">X53</f>
        <v>183764000</v>
      </c>
      <c r="Y52" s="144">
        <f t="shared" si="53"/>
        <v>0</v>
      </c>
      <c r="Z52" s="144">
        <f t="shared" ref="Z52:BL52" si="54">Z53</f>
        <v>0</v>
      </c>
      <c r="AA52" s="144"/>
      <c r="AB52" s="144"/>
      <c r="AC52" s="144">
        <f t="shared" si="54"/>
        <v>0</v>
      </c>
      <c r="AD52" s="144"/>
      <c r="AE52" s="144"/>
      <c r="AF52" s="144">
        <f t="shared" si="54"/>
        <v>0</v>
      </c>
      <c r="AG52" s="144"/>
      <c r="AH52" s="144"/>
      <c r="AI52" s="144">
        <f t="shared" si="54"/>
        <v>0</v>
      </c>
      <c r="AJ52" s="144"/>
      <c r="AK52" s="144"/>
      <c r="AL52" s="144">
        <f t="shared" si="54"/>
        <v>0</v>
      </c>
      <c r="AM52" s="144"/>
      <c r="AN52" s="144"/>
      <c r="AO52" s="144">
        <f t="shared" si="54"/>
        <v>0</v>
      </c>
      <c r="AP52" s="144"/>
      <c r="AQ52" s="144"/>
      <c r="AR52" s="144">
        <f t="shared" si="54"/>
        <v>0</v>
      </c>
      <c r="AS52" s="144"/>
      <c r="AT52" s="144"/>
      <c r="AU52" s="144">
        <f t="shared" si="54"/>
        <v>0</v>
      </c>
      <c r="AV52" s="144"/>
      <c r="AW52" s="144"/>
      <c r="AX52" s="144">
        <f t="shared" si="54"/>
        <v>0</v>
      </c>
      <c r="AY52" s="144"/>
      <c r="AZ52" s="144"/>
      <c r="BA52" s="144">
        <f t="shared" si="54"/>
        <v>0</v>
      </c>
      <c r="BB52" s="144"/>
      <c r="BC52" s="144"/>
      <c r="BD52" s="144">
        <f t="shared" si="54"/>
        <v>0</v>
      </c>
      <c r="BE52" s="144"/>
      <c r="BF52" s="144"/>
      <c r="BG52" s="144">
        <f t="shared" si="54"/>
        <v>0</v>
      </c>
      <c r="BH52" s="144"/>
      <c r="BI52" s="144"/>
      <c r="BJ52" s="144">
        <f t="shared" si="54"/>
        <v>2083257220</v>
      </c>
      <c r="BK52" s="144">
        <f t="shared" si="54"/>
        <v>183764000</v>
      </c>
      <c r="BL52" s="144">
        <f t="shared" si="54"/>
        <v>0</v>
      </c>
      <c r="BM52" s="169"/>
      <c r="BN52" s="169"/>
      <c r="BO52" s="8"/>
      <c r="BP52" s="8"/>
      <c r="BQ52" s="8"/>
      <c r="BR52" s="8"/>
      <c r="BS52" s="8"/>
      <c r="BT52" s="8"/>
      <c r="BU52" s="8"/>
      <c r="BV52" s="8"/>
      <c r="BW52" s="8"/>
      <c r="BX52" s="8"/>
      <c r="BY52" s="8"/>
      <c r="BZ52" s="8"/>
      <c r="CA52" s="8"/>
      <c r="CB52" s="8"/>
      <c r="CC52" s="8"/>
      <c r="CD52" s="8"/>
      <c r="CE52" s="8"/>
      <c r="CF52" s="8"/>
      <c r="CG52" s="8"/>
      <c r="CH52" s="8"/>
      <c r="CI52" s="8"/>
      <c r="CJ52" s="8"/>
      <c r="CK52" s="8"/>
      <c r="CL52" s="8"/>
      <c r="CM52" s="8"/>
      <c r="CN52" s="8"/>
      <c r="CO52" s="8"/>
      <c r="CP52" s="8"/>
      <c r="CQ52" s="8"/>
      <c r="CR52" s="8"/>
      <c r="CS52" s="8"/>
      <c r="CT52" s="8"/>
      <c r="CU52" s="8"/>
      <c r="CV52" s="8"/>
      <c r="CW52" s="8"/>
      <c r="CX52" s="8"/>
      <c r="CY52" s="8"/>
      <c r="CZ52" s="8"/>
      <c r="DA52" s="8"/>
    </row>
    <row r="53" spans="1:105" ht="24" customHeight="1" x14ac:dyDescent="0.2">
      <c r="A53" s="145"/>
      <c r="B53" s="91"/>
      <c r="C53" s="91"/>
      <c r="D53" s="91"/>
      <c r="E53" s="91"/>
      <c r="F53" s="154">
        <v>2201</v>
      </c>
      <c r="G53" s="81" t="s">
        <v>171</v>
      </c>
      <c r="H53" s="784"/>
      <c r="I53" s="785"/>
      <c r="J53" s="826"/>
      <c r="K53" s="826"/>
      <c r="L53" s="826"/>
      <c r="M53" s="826"/>
      <c r="N53" s="788"/>
      <c r="O53" s="789"/>
      <c r="P53" s="788"/>
      <c r="Q53" s="793"/>
      <c r="R53" s="789"/>
      <c r="S53" s="789"/>
      <c r="T53" s="791"/>
      <c r="U53" s="690"/>
      <c r="V53" s="147"/>
      <c r="W53" s="148">
        <f t="shared" ref="W53:BL53" si="55">W54</f>
        <v>2083257220</v>
      </c>
      <c r="X53" s="148">
        <f t="shared" si="55"/>
        <v>183764000</v>
      </c>
      <c r="Y53" s="148">
        <f t="shared" si="55"/>
        <v>0</v>
      </c>
      <c r="Z53" s="148">
        <f t="shared" si="55"/>
        <v>0</v>
      </c>
      <c r="AA53" s="148"/>
      <c r="AB53" s="148"/>
      <c r="AC53" s="148">
        <f t="shared" si="55"/>
        <v>0</v>
      </c>
      <c r="AD53" s="148"/>
      <c r="AE53" s="148"/>
      <c r="AF53" s="148">
        <f t="shared" si="55"/>
        <v>0</v>
      </c>
      <c r="AG53" s="148"/>
      <c r="AH53" s="148"/>
      <c r="AI53" s="148">
        <f t="shared" si="55"/>
        <v>0</v>
      </c>
      <c r="AJ53" s="148"/>
      <c r="AK53" s="148"/>
      <c r="AL53" s="148">
        <f t="shared" si="55"/>
        <v>0</v>
      </c>
      <c r="AM53" s="148"/>
      <c r="AN53" s="148"/>
      <c r="AO53" s="148">
        <f t="shared" si="55"/>
        <v>0</v>
      </c>
      <c r="AP53" s="148"/>
      <c r="AQ53" s="148"/>
      <c r="AR53" s="148">
        <f t="shared" si="55"/>
        <v>0</v>
      </c>
      <c r="AS53" s="148"/>
      <c r="AT53" s="148"/>
      <c r="AU53" s="148">
        <f t="shared" si="55"/>
        <v>0</v>
      </c>
      <c r="AV53" s="148"/>
      <c r="AW53" s="148"/>
      <c r="AX53" s="148">
        <f t="shared" si="55"/>
        <v>0</v>
      </c>
      <c r="AY53" s="148"/>
      <c r="AZ53" s="148"/>
      <c r="BA53" s="148">
        <f t="shared" si="55"/>
        <v>0</v>
      </c>
      <c r="BB53" s="148"/>
      <c r="BC53" s="148"/>
      <c r="BD53" s="148">
        <f t="shared" si="55"/>
        <v>0</v>
      </c>
      <c r="BE53" s="148"/>
      <c r="BF53" s="148"/>
      <c r="BG53" s="148">
        <f t="shared" si="55"/>
        <v>0</v>
      </c>
      <c r="BH53" s="148"/>
      <c r="BI53" s="148"/>
      <c r="BJ53" s="148">
        <f t="shared" si="55"/>
        <v>2083257220</v>
      </c>
      <c r="BK53" s="148">
        <f t="shared" si="55"/>
        <v>183764000</v>
      </c>
      <c r="BL53" s="148">
        <f t="shared" si="55"/>
        <v>0</v>
      </c>
      <c r="BM53" s="148"/>
      <c r="BN53" s="156"/>
    </row>
    <row r="54" spans="1:105" ht="173.25" customHeight="1" x14ac:dyDescent="0.2">
      <c r="A54" s="145"/>
      <c r="B54" s="91"/>
      <c r="C54" s="91"/>
      <c r="D54" s="91"/>
      <c r="E54" s="91"/>
      <c r="F54" s="87"/>
      <c r="G54" s="468"/>
      <c r="H54" s="651" t="s">
        <v>172</v>
      </c>
      <c r="I54" s="821" t="s">
        <v>47</v>
      </c>
      <c r="J54" s="642" t="s">
        <v>173</v>
      </c>
      <c r="K54" s="821">
        <v>2201062</v>
      </c>
      <c r="L54" s="642" t="s">
        <v>174</v>
      </c>
      <c r="M54" s="821" t="s">
        <v>47</v>
      </c>
      <c r="N54" s="803" t="s">
        <v>175</v>
      </c>
      <c r="O54" s="821">
        <v>220106200</v>
      </c>
      <c r="P54" s="803" t="s">
        <v>176</v>
      </c>
      <c r="Q54" s="469" t="s">
        <v>68</v>
      </c>
      <c r="R54" s="804">
        <v>15</v>
      </c>
      <c r="S54" s="804">
        <v>0</v>
      </c>
      <c r="T54" s="805" t="s">
        <v>177</v>
      </c>
      <c r="U54" s="561" t="s">
        <v>178</v>
      </c>
      <c r="V54" s="561" t="s">
        <v>179</v>
      </c>
      <c r="W54" s="177">
        <v>2083257220</v>
      </c>
      <c r="X54" s="177">
        <v>183764000</v>
      </c>
      <c r="Y54" s="177"/>
      <c r="Z54" s="150"/>
      <c r="AA54" s="150"/>
      <c r="AB54" s="150"/>
      <c r="AC54" s="150"/>
      <c r="AD54" s="150"/>
      <c r="AE54" s="150"/>
      <c r="AF54" s="150"/>
      <c r="AG54" s="150"/>
      <c r="AH54" s="150"/>
      <c r="AI54" s="150"/>
      <c r="AJ54" s="150"/>
      <c r="AK54" s="150"/>
      <c r="AL54" s="150"/>
      <c r="AM54" s="150"/>
      <c r="AN54" s="150"/>
      <c r="AO54" s="150"/>
      <c r="AP54" s="150"/>
      <c r="AQ54" s="150"/>
      <c r="AR54" s="150"/>
      <c r="AS54" s="150"/>
      <c r="AT54" s="150"/>
      <c r="AU54" s="150"/>
      <c r="AV54" s="150"/>
      <c r="AW54" s="150"/>
      <c r="AX54" s="150"/>
      <c r="AY54" s="150"/>
      <c r="AZ54" s="150"/>
      <c r="BA54" s="161"/>
      <c r="BB54" s="161"/>
      <c r="BC54" s="161"/>
      <c r="BD54" s="150"/>
      <c r="BE54" s="150"/>
      <c r="BF54" s="150"/>
      <c r="BG54" s="175"/>
      <c r="BH54" s="175"/>
      <c r="BI54" s="175"/>
      <c r="BJ54" s="151">
        <f>+W54+Z54+AC54+AF54+AI54+AL54+AO54+AR54+AU54+AX54+BA54+BD54+BG54</f>
        <v>2083257220</v>
      </c>
      <c r="BK54" s="151">
        <f t="shared" ref="BK54:BL54" si="56">+X54+AA54+AD54+AG54+AJ54+AM54+AP54+AS54+AV54+AY54+BB54+BE54+BH54</f>
        <v>183764000</v>
      </c>
      <c r="BL54" s="151">
        <f t="shared" si="56"/>
        <v>0</v>
      </c>
      <c r="BM54" s="176" t="s">
        <v>160</v>
      </c>
      <c r="BN54" s="341" t="s">
        <v>1573</v>
      </c>
    </row>
    <row r="55" spans="1:105" s="9" customFormat="1" ht="24" customHeight="1" x14ac:dyDescent="0.25">
      <c r="A55" s="130"/>
      <c r="B55" s="83"/>
      <c r="C55" s="83"/>
      <c r="D55" s="77">
        <v>33</v>
      </c>
      <c r="E55" s="75" t="s">
        <v>180</v>
      </c>
      <c r="F55" s="135"/>
      <c r="G55" s="776"/>
      <c r="H55" s="779"/>
      <c r="I55" s="779"/>
      <c r="J55" s="781"/>
      <c r="K55" s="778"/>
      <c r="L55" s="781"/>
      <c r="M55" s="781"/>
      <c r="N55" s="782"/>
      <c r="O55" s="780"/>
      <c r="P55" s="782"/>
      <c r="Q55" s="781"/>
      <c r="R55" s="807"/>
      <c r="S55" s="807"/>
      <c r="T55" s="808"/>
      <c r="U55" s="687"/>
      <c r="V55" s="144"/>
      <c r="W55" s="144">
        <f>W56</f>
        <v>0</v>
      </c>
      <c r="X55" s="144"/>
      <c r="Y55" s="144"/>
      <c r="Z55" s="144">
        <f t="shared" ref="Z55:BG55" si="57">Z56</f>
        <v>0</v>
      </c>
      <c r="AA55" s="144"/>
      <c r="AB55" s="144"/>
      <c r="AC55" s="144">
        <f t="shared" si="57"/>
        <v>0</v>
      </c>
      <c r="AD55" s="144"/>
      <c r="AE55" s="144"/>
      <c r="AF55" s="144">
        <f t="shared" si="57"/>
        <v>0</v>
      </c>
      <c r="AG55" s="144"/>
      <c r="AH55" s="144"/>
      <c r="AI55" s="144">
        <f t="shared" si="57"/>
        <v>0</v>
      </c>
      <c r="AJ55" s="144"/>
      <c r="AK55" s="144"/>
      <c r="AL55" s="144">
        <f t="shared" si="57"/>
        <v>0</v>
      </c>
      <c r="AM55" s="144"/>
      <c r="AN55" s="144"/>
      <c r="AO55" s="144">
        <f t="shared" si="57"/>
        <v>0</v>
      </c>
      <c r="AP55" s="144"/>
      <c r="AQ55" s="144"/>
      <c r="AR55" s="144">
        <f t="shared" si="57"/>
        <v>0</v>
      </c>
      <c r="AS55" s="144"/>
      <c r="AT55" s="144"/>
      <c r="AU55" s="144">
        <f t="shared" si="57"/>
        <v>0</v>
      </c>
      <c r="AV55" s="144"/>
      <c r="AW55" s="144"/>
      <c r="AX55" s="144">
        <f t="shared" si="57"/>
        <v>0</v>
      </c>
      <c r="AY55" s="144"/>
      <c r="AZ55" s="144"/>
      <c r="BA55" s="144">
        <f t="shared" si="57"/>
        <v>30000000</v>
      </c>
      <c r="BB55" s="144">
        <f t="shared" si="57"/>
        <v>8900000</v>
      </c>
      <c r="BC55" s="144">
        <f t="shared" si="57"/>
        <v>0</v>
      </c>
      <c r="BD55" s="144">
        <f t="shared" si="57"/>
        <v>0</v>
      </c>
      <c r="BE55" s="144"/>
      <c r="BF55" s="144"/>
      <c r="BG55" s="144">
        <f t="shared" si="57"/>
        <v>0</v>
      </c>
      <c r="BH55" s="144"/>
      <c r="BI55" s="144"/>
      <c r="BJ55" s="144">
        <f>BJ56</f>
        <v>30000000</v>
      </c>
      <c r="BK55" s="144">
        <f t="shared" ref="BK55:BL55" si="58">BK56</f>
        <v>8900000</v>
      </c>
      <c r="BL55" s="144">
        <f t="shared" si="58"/>
        <v>0</v>
      </c>
      <c r="BM55" s="169"/>
      <c r="BN55" s="169"/>
      <c r="BO55" s="8"/>
      <c r="BP55" s="8"/>
      <c r="BQ55" s="8"/>
      <c r="BR55" s="8"/>
      <c r="BS55" s="8"/>
      <c r="BT55" s="8"/>
      <c r="BU55" s="8"/>
      <c r="BV55" s="8"/>
      <c r="BW55" s="8"/>
      <c r="BX55" s="8"/>
      <c r="BY55" s="8"/>
      <c r="BZ55" s="8"/>
      <c r="CA55" s="8"/>
      <c r="CB55" s="8"/>
      <c r="CC55" s="8"/>
      <c r="CD55" s="8"/>
      <c r="CE55" s="8"/>
      <c r="CF55" s="8"/>
      <c r="CG55" s="8"/>
      <c r="CH55" s="8"/>
      <c r="CI55" s="8"/>
      <c r="CJ55" s="8"/>
      <c r="CK55" s="8"/>
      <c r="CL55" s="8"/>
      <c r="CM55" s="8"/>
      <c r="CN55" s="8"/>
      <c r="CO55" s="8"/>
      <c r="CP55" s="8"/>
      <c r="CQ55" s="8"/>
      <c r="CR55" s="8"/>
      <c r="CS55" s="8"/>
      <c r="CT55" s="8"/>
      <c r="CU55" s="8"/>
      <c r="CV55" s="8"/>
      <c r="CW55" s="8"/>
      <c r="CX55" s="8"/>
      <c r="CY55" s="8"/>
      <c r="CZ55" s="8"/>
      <c r="DA55" s="8"/>
    </row>
    <row r="56" spans="1:105" ht="24" customHeight="1" x14ac:dyDescent="0.2">
      <c r="A56" s="145"/>
      <c r="B56" s="91"/>
      <c r="C56" s="91"/>
      <c r="D56" s="91"/>
      <c r="E56" s="91"/>
      <c r="F56" s="747">
        <v>3301</v>
      </c>
      <c r="G56" s="784" t="s">
        <v>181</v>
      </c>
      <c r="H56" s="785"/>
      <c r="I56" s="785"/>
      <c r="J56" s="826"/>
      <c r="K56" s="826"/>
      <c r="L56" s="826"/>
      <c r="M56" s="826"/>
      <c r="N56" s="788"/>
      <c r="O56" s="789"/>
      <c r="P56" s="788"/>
      <c r="Q56" s="793"/>
      <c r="R56" s="789"/>
      <c r="S56" s="789"/>
      <c r="T56" s="791"/>
      <c r="U56" s="690"/>
      <c r="V56" s="147"/>
      <c r="W56" s="148">
        <f>SUM(W57)</f>
        <v>0</v>
      </c>
      <c r="X56" s="148"/>
      <c r="Y56" s="148"/>
      <c r="Z56" s="148">
        <f t="shared" ref="Z56:AX56" si="59">SUM(Z57:Z60)</f>
        <v>0</v>
      </c>
      <c r="AA56" s="148"/>
      <c r="AB56" s="148"/>
      <c r="AC56" s="148">
        <f t="shared" si="59"/>
        <v>0</v>
      </c>
      <c r="AD56" s="148"/>
      <c r="AE56" s="148"/>
      <c r="AF56" s="148">
        <f t="shared" si="59"/>
        <v>0</v>
      </c>
      <c r="AG56" s="148"/>
      <c r="AH56" s="148"/>
      <c r="AI56" s="148">
        <f t="shared" si="59"/>
        <v>0</v>
      </c>
      <c r="AJ56" s="148"/>
      <c r="AK56" s="148"/>
      <c r="AL56" s="148">
        <f t="shared" si="59"/>
        <v>0</v>
      </c>
      <c r="AM56" s="148"/>
      <c r="AN56" s="148"/>
      <c r="AO56" s="148">
        <f t="shared" si="59"/>
        <v>0</v>
      </c>
      <c r="AP56" s="148"/>
      <c r="AQ56" s="148"/>
      <c r="AR56" s="148">
        <f t="shared" si="59"/>
        <v>0</v>
      </c>
      <c r="AS56" s="148"/>
      <c r="AT56" s="148"/>
      <c r="AU56" s="148">
        <f t="shared" si="59"/>
        <v>0</v>
      </c>
      <c r="AV56" s="148"/>
      <c r="AW56" s="148"/>
      <c r="AX56" s="148">
        <f t="shared" si="59"/>
        <v>0</v>
      </c>
      <c r="AY56" s="148"/>
      <c r="AZ56" s="148"/>
      <c r="BA56" s="148">
        <f>SUM(BA57)</f>
        <v>30000000</v>
      </c>
      <c r="BB56" s="148">
        <f t="shared" ref="BB56:BC56" si="60">SUM(BB57)</f>
        <v>8900000</v>
      </c>
      <c r="BC56" s="148">
        <f t="shared" si="60"/>
        <v>0</v>
      </c>
      <c r="BD56" s="148">
        <f>SUM(BD57:BD60)</f>
        <v>0</v>
      </c>
      <c r="BE56" s="148"/>
      <c r="BF56" s="148"/>
      <c r="BG56" s="148">
        <f>SUM(BG57:BG60)</f>
        <v>0</v>
      </c>
      <c r="BH56" s="148"/>
      <c r="BI56" s="148"/>
      <c r="BJ56" s="148">
        <f>SUM(BJ57)</f>
        <v>30000000</v>
      </c>
      <c r="BK56" s="148">
        <f t="shared" ref="BK56:BL56" si="61">SUM(BK57)</f>
        <v>8900000</v>
      </c>
      <c r="BL56" s="148">
        <f t="shared" si="61"/>
        <v>0</v>
      </c>
      <c r="BM56" s="148"/>
      <c r="BN56" s="156"/>
    </row>
    <row r="57" spans="1:105" ht="96" customHeight="1" x14ac:dyDescent="0.2">
      <c r="A57" s="145"/>
      <c r="B57" s="91"/>
      <c r="C57" s="91"/>
      <c r="D57" s="91"/>
      <c r="E57" s="91"/>
      <c r="F57" s="87"/>
      <c r="G57" s="822"/>
      <c r="H57" s="651" t="s">
        <v>182</v>
      </c>
      <c r="I57" s="823" t="s">
        <v>183</v>
      </c>
      <c r="J57" s="651" t="s">
        <v>184</v>
      </c>
      <c r="K57" s="823" t="s">
        <v>183</v>
      </c>
      <c r="L57" s="651" t="s">
        <v>184</v>
      </c>
      <c r="M57" s="824" t="s">
        <v>185</v>
      </c>
      <c r="N57" s="825" t="s">
        <v>186</v>
      </c>
      <c r="O57" s="824" t="s">
        <v>185</v>
      </c>
      <c r="P57" s="825" t="s">
        <v>186</v>
      </c>
      <c r="Q57" s="469" t="s">
        <v>68</v>
      </c>
      <c r="R57" s="804">
        <v>2</v>
      </c>
      <c r="S57" s="804">
        <v>0</v>
      </c>
      <c r="T57" s="805" t="s">
        <v>187</v>
      </c>
      <c r="U57" s="561" t="s">
        <v>188</v>
      </c>
      <c r="V57" s="561" t="s">
        <v>189</v>
      </c>
      <c r="W57" s="150"/>
      <c r="X57" s="150"/>
      <c r="Y57" s="150"/>
      <c r="Z57" s="150"/>
      <c r="AA57" s="150"/>
      <c r="AB57" s="150"/>
      <c r="AC57" s="150"/>
      <c r="AD57" s="150"/>
      <c r="AE57" s="150"/>
      <c r="AF57" s="150"/>
      <c r="AG57" s="150"/>
      <c r="AH57" s="150"/>
      <c r="AI57" s="150"/>
      <c r="AJ57" s="150"/>
      <c r="AK57" s="150"/>
      <c r="AL57" s="150"/>
      <c r="AM57" s="150"/>
      <c r="AN57" s="150"/>
      <c r="AO57" s="150"/>
      <c r="AP57" s="150"/>
      <c r="AQ57" s="150"/>
      <c r="AR57" s="150"/>
      <c r="AS57" s="150"/>
      <c r="AT57" s="150"/>
      <c r="AU57" s="150"/>
      <c r="AV57" s="150"/>
      <c r="AW57" s="150"/>
      <c r="AX57" s="150"/>
      <c r="AY57" s="150"/>
      <c r="AZ57" s="150"/>
      <c r="BA57" s="225">
        <v>30000000</v>
      </c>
      <c r="BB57" s="225">
        <v>8900000</v>
      </c>
      <c r="BC57" s="178"/>
      <c r="BD57" s="150"/>
      <c r="BE57" s="150"/>
      <c r="BF57" s="150"/>
      <c r="BG57" s="150"/>
      <c r="BH57" s="150"/>
      <c r="BI57" s="150"/>
      <c r="BJ57" s="339">
        <f>+W57+Z57+AC57+AF57+AI57+AL57+AO57+AR57+AU57+AX57+BA57+BD57+BG57</f>
        <v>30000000</v>
      </c>
      <c r="BK57" s="339">
        <f t="shared" ref="BK57:BL57" si="62">+X57+AA57+AD57+AG57+AJ57+AM57+AP57+AS57+AV57+AY57+BB57+BE57+BH57</f>
        <v>8900000</v>
      </c>
      <c r="BL57" s="339">
        <f t="shared" si="62"/>
        <v>0</v>
      </c>
      <c r="BM57" s="176" t="s">
        <v>160</v>
      </c>
      <c r="BN57" s="341" t="s">
        <v>1573</v>
      </c>
    </row>
    <row r="58" spans="1:105" s="9" customFormat="1" ht="24" customHeight="1" x14ac:dyDescent="0.25">
      <c r="A58" s="130"/>
      <c r="B58" s="83"/>
      <c r="C58" s="83"/>
      <c r="D58" s="77">
        <v>43</v>
      </c>
      <c r="E58" s="75" t="s">
        <v>190</v>
      </c>
      <c r="F58" s="135"/>
      <c r="G58" s="136"/>
      <c r="H58" s="818"/>
      <c r="I58" s="779"/>
      <c r="J58" s="781"/>
      <c r="K58" s="778"/>
      <c r="L58" s="781"/>
      <c r="M58" s="781"/>
      <c r="N58" s="782"/>
      <c r="O58" s="780"/>
      <c r="P58" s="782"/>
      <c r="Q58" s="781"/>
      <c r="R58" s="807"/>
      <c r="S58" s="807"/>
      <c r="T58" s="808"/>
      <c r="U58" s="687"/>
      <c r="V58" s="144"/>
      <c r="W58" s="144">
        <f>W59</f>
        <v>1836073375</v>
      </c>
      <c r="X58" s="144">
        <f t="shared" ref="X58:Y58" si="63">X59</f>
        <v>170000000</v>
      </c>
      <c r="Y58" s="144">
        <f t="shared" si="63"/>
        <v>44266000</v>
      </c>
      <c r="Z58" s="144">
        <f t="shared" ref="Z58:BL58" si="64">Z59</f>
        <v>0</v>
      </c>
      <c r="AA58" s="144"/>
      <c r="AB58" s="144"/>
      <c r="AC58" s="144">
        <f t="shared" si="64"/>
        <v>0</v>
      </c>
      <c r="AD58" s="144"/>
      <c r="AE58" s="144"/>
      <c r="AF58" s="144">
        <f t="shared" si="64"/>
        <v>0</v>
      </c>
      <c r="AG58" s="144"/>
      <c r="AH58" s="144"/>
      <c r="AI58" s="144">
        <f t="shared" si="64"/>
        <v>0</v>
      </c>
      <c r="AJ58" s="144"/>
      <c r="AK58" s="144"/>
      <c r="AL58" s="144">
        <f t="shared" si="64"/>
        <v>0</v>
      </c>
      <c r="AM58" s="144"/>
      <c r="AN58" s="144"/>
      <c r="AO58" s="144">
        <f t="shared" si="64"/>
        <v>0</v>
      </c>
      <c r="AP58" s="144"/>
      <c r="AQ58" s="144"/>
      <c r="AR58" s="144">
        <f t="shared" si="64"/>
        <v>0</v>
      </c>
      <c r="AS58" s="144"/>
      <c r="AT58" s="144"/>
      <c r="AU58" s="144">
        <f t="shared" si="64"/>
        <v>0</v>
      </c>
      <c r="AV58" s="144"/>
      <c r="AW58" s="144"/>
      <c r="AX58" s="144">
        <f t="shared" si="64"/>
        <v>0</v>
      </c>
      <c r="AY58" s="144"/>
      <c r="AZ58" s="144"/>
      <c r="BA58" s="144">
        <f t="shared" si="64"/>
        <v>0</v>
      </c>
      <c r="BB58" s="144"/>
      <c r="BC58" s="144"/>
      <c r="BD58" s="144">
        <f t="shared" si="64"/>
        <v>0</v>
      </c>
      <c r="BE58" s="144"/>
      <c r="BF58" s="144"/>
      <c r="BG58" s="144">
        <f t="shared" si="64"/>
        <v>0</v>
      </c>
      <c r="BH58" s="144"/>
      <c r="BI58" s="144"/>
      <c r="BJ58" s="144">
        <f t="shared" si="64"/>
        <v>1836073375</v>
      </c>
      <c r="BK58" s="144">
        <f t="shared" si="64"/>
        <v>170000000</v>
      </c>
      <c r="BL58" s="144">
        <f t="shared" si="64"/>
        <v>44266000</v>
      </c>
      <c r="BM58" s="169"/>
      <c r="BN58" s="169"/>
      <c r="BO58" s="8"/>
      <c r="BP58" s="8"/>
      <c r="BQ58" s="8"/>
      <c r="BR58" s="8"/>
      <c r="BS58" s="8"/>
      <c r="BT58" s="8"/>
      <c r="BU58" s="8"/>
      <c r="BV58" s="8"/>
      <c r="BW58" s="8"/>
      <c r="BX58" s="8"/>
      <c r="BY58" s="8"/>
      <c r="BZ58" s="8"/>
      <c r="CA58" s="8"/>
      <c r="CB58" s="8"/>
      <c r="CC58" s="8"/>
      <c r="CD58" s="8"/>
      <c r="CE58" s="8"/>
      <c r="CF58" s="8"/>
      <c r="CG58" s="8"/>
      <c r="CH58" s="8"/>
      <c r="CI58" s="8"/>
      <c r="CJ58" s="8"/>
      <c r="CK58" s="8"/>
      <c r="CL58" s="8"/>
      <c r="CM58" s="8"/>
      <c r="CN58" s="8"/>
      <c r="CO58" s="8"/>
      <c r="CP58" s="8"/>
      <c r="CQ58" s="8"/>
      <c r="CR58" s="8"/>
      <c r="CS58" s="8"/>
      <c r="CT58" s="8"/>
      <c r="CU58" s="8"/>
      <c r="CV58" s="8"/>
      <c r="CW58" s="8"/>
      <c r="CX58" s="8"/>
      <c r="CY58" s="8"/>
      <c r="CZ58" s="8"/>
      <c r="DA58" s="8"/>
    </row>
    <row r="59" spans="1:105" ht="24" customHeight="1" x14ac:dyDescent="0.2">
      <c r="A59" s="145"/>
      <c r="B59" s="91"/>
      <c r="C59" s="91"/>
      <c r="D59" s="91"/>
      <c r="E59" s="91"/>
      <c r="F59" s="154">
        <v>4301</v>
      </c>
      <c r="G59" s="81" t="s">
        <v>191</v>
      </c>
      <c r="H59" s="784"/>
      <c r="I59" s="785"/>
      <c r="J59" s="786"/>
      <c r="K59" s="787"/>
      <c r="L59" s="786"/>
      <c r="M59" s="786"/>
      <c r="N59" s="788"/>
      <c r="O59" s="789"/>
      <c r="P59" s="788"/>
      <c r="Q59" s="788"/>
      <c r="R59" s="789"/>
      <c r="S59" s="789"/>
      <c r="T59" s="791"/>
      <c r="U59" s="690"/>
      <c r="V59" s="147"/>
      <c r="W59" s="148">
        <f t="shared" ref="W59:BL59" si="65">W60</f>
        <v>1836073375</v>
      </c>
      <c r="X59" s="148">
        <f t="shared" si="65"/>
        <v>170000000</v>
      </c>
      <c r="Y59" s="148">
        <f t="shared" si="65"/>
        <v>44266000</v>
      </c>
      <c r="Z59" s="148">
        <f t="shared" si="65"/>
        <v>0</v>
      </c>
      <c r="AA59" s="148"/>
      <c r="AB59" s="148"/>
      <c r="AC59" s="148">
        <f t="shared" si="65"/>
        <v>0</v>
      </c>
      <c r="AD59" s="148"/>
      <c r="AE59" s="148"/>
      <c r="AF59" s="148">
        <f t="shared" si="65"/>
        <v>0</v>
      </c>
      <c r="AG59" s="148"/>
      <c r="AH59" s="148"/>
      <c r="AI59" s="148">
        <f t="shared" si="65"/>
        <v>0</v>
      </c>
      <c r="AJ59" s="148"/>
      <c r="AK59" s="148"/>
      <c r="AL59" s="148">
        <f t="shared" si="65"/>
        <v>0</v>
      </c>
      <c r="AM59" s="148"/>
      <c r="AN59" s="148"/>
      <c r="AO59" s="148">
        <f t="shared" si="65"/>
        <v>0</v>
      </c>
      <c r="AP59" s="148"/>
      <c r="AQ59" s="148"/>
      <c r="AR59" s="148">
        <f t="shared" si="65"/>
        <v>0</v>
      </c>
      <c r="AS59" s="148"/>
      <c r="AT59" s="148"/>
      <c r="AU59" s="148">
        <f t="shared" si="65"/>
        <v>0</v>
      </c>
      <c r="AV59" s="148"/>
      <c r="AW59" s="148"/>
      <c r="AX59" s="148">
        <f t="shared" si="65"/>
        <v>0</v>
      </c>
      <c r="AY59" s="148"/>
      <c r="AZ59" s="148"/>
      <c r="BA59" s="148">
        <f t="shared" si="65"/>
        <v>0</v>
      </c>
      <c r="BB59" s="148"/>
      <c r="BC59" s="148"/>
      <c r="BD59" s="148">
        <f t="shared" si="65"/>
        <v>0</v>
      </c>
      <c r="BE59" s="148"/>
      <c r="BF59" s="148"/>
      <c r="BG59" s="148">
        <f t="shared" si="65"/>
        <v>0</v>
      </c>
      <c r="BH59" s="148"/>
      <c r="BI59" s="148"/>
      <c r="BJ59" s="148">
        <f t="shared" si="65"/>
        <v>1836073375</v>
      </c>
      <c r="BK59" s="148">
        <f t="shared" si="65"/>
        <v>170000000</v>
      </c>
      <c r="BL59" s="148">
        <f t="shared" si="65"/>
        <v>44266000</v>
      </c>
      <c r="BM59" s="148"/>
      <c r="BN59" s="156"/>
    </row>
    <row r="60" spans="1:105" ht="161.25" customHeight="1" x14ac:dyDescent="0.2">
      <c r="A60" s="145"/>
      <c r="B60" s="91"/>
      <c r="C60" s="91"/>
      <c r="D60" s="91"/>
      <c r="E60" s="91"/>
      <c r="F60" s="87"/>
      <c r="G60" s="468"/>
      <c r="H60" s="651" t="s">
        <v>192</v>
      </c>
      <c r="I60" s="801" t="s">
        <v>47</v>
      </c>
      <c r="J60" s="820" t="s">
        <v>193</v>
      </c>
      <c r="K60" s="821">
        <v>4301004</v>
      </c>
      <c r="L60" s="820" t="s">
        <v>194</v>
      </c>
      <c r="M60" s="801" t="s">
        <v>47</v>
      </c>
      <c r="N60" s="820" t="s">
        <v>195</v>
      </c>
      <c r="O60" s="821">
        <v>430100401</v>
      </c>
      <c r="P60" s="820" t="s">
        <v>196</v>
      </c>
      <c r="Q60" s="469" t="s">
        <v>68</v>
      </c>
      <c r="R60" s="804">
        <v>3</v>
      </c>
      <c r="S60" s="804">
        <v>0</v>
      </c>
      <c r="T60" s="805" t="s">
        <v>197</v>
      </c>
      <c r="U60" s="561" t="s">
        <v>198</v>
      </c>
      <c r="V60" s="561" t="s">
        <v>199</v>
      </c>
      <c r="W60" s="179">
        <f>1800000000+16073375+20000000</f>
        <v>1836073375</v>
      </c>
      <c r="X60" s="179">
        <v>170000000</v>
      </c>
      <c r="Y60" s="179">
        <v>44266000</v>
      </c>
      <c r="Z60" s="150"/>
      <c r="AA60" s="150"/>
      <c r="AB60" s="150"/>
      <c r="AC60" s="150"/>
      <c r="AD60" s="150"/>
      <c r="AE60" s="150"/>
      <c r="AF60" s="150"/>
      <c r="AG60" s="150"/>
      <c r="AH60" s="150"/>
      <c r="AI60" s="150"/>
      <c r="AJ60" s="150"/>
      <c r="AK60" s="150"/>
      <c r="AL60" s="150"/>
      <c r="AM60" s="150"/>
      <c r="AN60" s="150"/>
      <c r="AO60" s="150"/>
      <c r="AP60" s="150"/>
      <c r="AQ60" s="150"/>
      <c r="AR60" s="150"/>
      <c r="AS60" s="150"/>
      <c r="AT60" s="150"/>
      <c r="AU60" s="150"/>
      <c r="AV60" s="150"/>
      <c r="AW60" s="150"/>
      <c r="AX60" s="150"/>
      <c r="AY60" s="150"/>
      <c r="AZ60" s="150"/>
      <c r="BA60" s="161"/>
      <c r="BB60" s="161"/>
      <c r="BC60" s="161"/>
      <c r="BD60" s="150"/>
      <c r="BE60" s="150"/>
      <c r="BF60" s="150"/>
      <c r="BG60" s="150"/>
      <c r="BH60" s="150"/>
      <c r="BI60" s="150"/>
      <c r="BJ60" s="151">
        <f>+W60+Z60+AC60+AF60+AI60+AL60+AO60+AR60+AU60+AX60+BA60+BD60+BG60</f>
        <v>1836073375</v>
      </c>
      <c r="BK60" s="151">
        <f t="shared" ref="BK60:BL60" si="66">+X60+AA60+AD60+AG60+AJ60+AM60+AP60+AS60+AV60+AY60+BB60+BE60+BH60</f>
        <v>170000000</v>
      </c>
      <c r="BL60" s="151">
        <f t="shared" si="66"/>
        <v>44266000</v>
      </c>
      <c r="BM60" s="176" t="s">
        <v>160</v>
      </c>
      <c r="BN60" s="341" t="s">
        <v>1573</v>
      </c>
    </row>
    <row r="61" spans="1:105" ht="24" customHeight="1" x14ac:dyDescent="0.2">
      <c r="A61" s="145"/>
      <c r="B61" s="131">
        <v>3</v>
      </c>
      <c r="C61" s="131"/>
      <c r="D61" s="76" t="s">
        <v>200</v>
      </c>
      <c r="E61" s="173"/>
      <c r="F61" s="180"/>
      <c r="G61" s="768"/>
      <c r="H61" s="769"/>
      <c r="I61" s="769"/>
      <c r="J61" s="770"/>
      <c r="K61" s="771"/>
      <c r="L61" s="770"/>
      <c r="M61" s="770"/>
      <c r="N61" s="772"/>
      <c r="O61" s="773"/>
      <c r="P61" s="772"/>
      <c r="Q61" s="806"/>
      <c r="R61" s="773"/>
      <c r="S61" s="773"/>
      <c r="T61" s="775"/>
      <c r="U61" s="184"/>
      <c r="V61" s="186"/>
      <c r="W61" s="134">
        <f>W62+W67+W71</f>
        <v>550000000.10000002</v>
      </c>
      <c r="X61" s="134">
        <f t="shared" ref="X61:Y61" si="67">X62+X67+X71</f>
        <v>0</v>
      </c>
      <c r="Y61" s="134">
        <f t="shared" si="67"/>
        <v>0</v>
      </c>
      <c r="Z61" s="134">
        <f t="shared" ref="Z61:BG61" si="68">Z62+Z67+Z71</f>
        <v>0</v>
      </c>
      <c r="AA61" s="134"/>
      <c r="AB61" s="134"/>
      <c r="AC61" s="134">
        <f t="shared" si="68"/>
        <v>56108067</v>
      </c>
      <c r="AD61" s="134">
        <f t="shared" ref="AD61:AE61" si="69">AD62+AD67+AD71</f>
        <v>56108067</v>
      </c>
      <c r="AE61" s="134">
        <f t="shared" si="69"/>
        <v>13280787</v>
      </c>
      <c r="AF61" s="134">
        <f t="shared" si="68"/>
        <v>0</v>
      </c>
      <c r="AG61" s="134"/>
      <c r="AH61" s="134"/>
      <c r="AI61" s="134">
        <f t="shared" si="68"/>
        <v>0</v>
      </c>
      <c r="AJ61" s="134"/>
      <c r="AK61" s="134"/>
      <c r="AL61" s="134">
        <f t="shared" si="68"/>
        <v>0</v>
      </c>
      <c r="AM61" s="134"/>
      <c r="AN61" s="134"/>
      <c r="AO61" s="134">
        <f t="shared" si="68"/>
        <v>0</v>
      </c>
      <c r="AP61" s="134"/>
      <c r="AQ61" s="134"/>
      <c r="AR61" s="134">
        <f t="shared" si="68"/>
        <v>0</v>
      </c>
      <c r="AS61" s="134"/>
      <c r="AT61" s="134"/>
      <c r="AU61" s="134">
        <f t="shared" si="68"/>
        <v>0</v>
      </c>
      <c r="AV61" s="134"/>
      <c r="AW61" s="134"/>
      <c r="AX61" s="134">
        <f t="shared" si="68"/>
        <v>2753011221</v>
      </c>
      <c r="AY61" s="134">
        <f t="shared" ref="AY61:AZ61" si="70">AY62+AY67+AY71</f>
        <v>0</v>
      </c>
      <c r="AZ61" s="134">
        <f t="shared" si="70"/>
        <v>0</v>
      </c>
      <c r="BA61" s="134">
        <f t="shared" si="68"/>
        <v>625000000</v>
      </c>
      <c r="BB61" s="134">
        <f t="shared" ref="BB61:BC61" si="71">BB62+BB67+BB71</f>
        <v>273720000</v>
      </c>
      <c r="BC61" s="134">
        <f t="shared" si="71"/>
        <v>38250000</v>
      </c>
      <c r="BD61" s="134">
        <f t="shared" si="68"/>
        <v>0</v>
      </c>
      <c r="BE61" s="134"/>
      <c r="BF61" s="134"/>
      <c r="BG61" s="134">
        <f t="shared" si="68"/>
        <v>0</v>
      </c>
      <c r="BH61" s="134"/>
      <c r="BI61" s="134"/>
      <c r="BJ61" s="134">
        <f>BJ62+BJ67+BJ71</f>
        <v>3984119288.0999999</v>
      </c>
      <c r="BK61" s="134">
        <f t="shared" ref="BK61:BL61" si="72">BK62+BK67+BK71</f>
        <v>329828067</v>
      </c>
      <c r="BL61" s="134">
        <f t="shared" si="72"/>
        <v>51530787</v>
      </c>
      <c r="BM61" s="134">
        <f>BM63+BM68+BM72+BM74</f>
        <v>0</v>
      </c>
      <c r="BN61" s="168"/>
    </row>
    <row r="62" spans="1:105" s="9" customFormat="1" ht="24" customHeight="1" x14ac:dyDescent="0.25">
      <c r="A62" s="130"/>
      <c r="B62" s="83"/>
      <c r="C62" s="83"/>
      <c r="D62" s="77">
        <v>24</v>
      </c>
      <c r="E62" s="75" t="s">
        <v>201</v>
      </c>
      <c r="F62" s="135"/>
      <c r="G62" s="776"/>
      <c r="H62" s="779"/>
      <c r="I62" s="779"/>
      <c r="J62" s="781"/>
      <c r="K62" s="778"/>
      <c r="L62" s="781"/>
      <c r="M62" s="781"/>
      <c r="N62" s="782"/>
      <c r="O62" s="780"/>
      <c r="P62" s="782"/>
      <c r="Q62" s="781"/>
      <c r="R62" s="807"/>
      <c r="S62" s="807"/>
      <c r="T62" s="808"/>
      <c r="U62" s="140"/>
      <c r="V62" s="187"/>
      <c r="W62" s="144">
        <f>W63</f>
        <v>0</v>
      </c>
      <c r="X62" s="144">
        <f t="shared" ref="X62:Y62" si="73">X63</f>
        <v>0</v>
      </c>
      <c r="Y62" s="144">
        <f t="shared" si="73"/>
        <v>0</v>
      </c>
      <c r="Z62" s="144">
        <f t="shared" ref="Z62:BL62" si="74">Z63</f>
        <v>0</v>
      </c>
      <c r="AA62" s="144"/>
      <c r="AB62" s="144"/>
      <c r="AC62" s="144">
        <f t="shared" si="74"/>
        <v>0</v>
      </c>
      <c r="AD62" s="144">
        <f t="shared" si="74"/>
        <v>0</v>
      </c>
      <c r="AE62" s="144">
        <f t="shared" si="74"/>
        <v>0</v>
      </c>
      <c r="AF62" s="144">
        <f t="shared" si="74"/>
        <v>0</v>
      </c>
      <c r="AG62" s="144"/>
      <c r="AH62" s="144"/>
      <c r="AI62" s="144">
        <f t="shared" si="74"/>
        <v>0</v>
      </c>
      <c r="AJ62" s="144"/>
      <c r="AK62" s="144"/>
      <c r="AL62" s="144">
        <f t="shared" si="74"/>
        <v>0</v>
      </c>
      <c r="AM62" s="144"/>
      <c r="AN62" s="144"/>
      <c r="AO62" s="144">
        <f t="shared" si="74"/>
        <v>0</v>
      </c>
      <c r="AP62" s="144"/>
      <c r="AQ62" s="144"/>
      <c r="AR62" s="144">
        <f t="shared" si="74"/>
        <v>0</v>
      </c>
      <c r="AS62" s="144"/>
      <c r="AT62" s="144"/>
      <c r="AU62" s="144">
        <f t="shared" si="74"/>
        <v>0</v>
      </c>
      <c r="AV62" s="144"/>
      <c r="AW62" s="144"/>
      <c r="AX62" s="144">
        <f t="shared" si="74"/>
        <v>0</v>
      </c>
      <c r="AY62" s="144">
        <f t="shared" si="74"/>
        <v>0</v>
      </c>
      <c r="AZ62" s="144">
        <f t="shared" si="74"/>
        <v>0</v>
      </c>
      <c r="BA62" s="144">
        <f t="shared" si="74"/>
        <v>390000000</v>
      </c>
      <c r="BB62" s="144">
        <f t="shared" si="74"/>
        <v>161100000</v>
      </c>
      <c r="BC62" s="144">
        <f t="shared" si="74"/>
        <v>35450000</v>
      </c>
      <c r="BD62" s="144">
        <f t="shared" si="74"/>
        <v>0</v>
      </c>
      <c r="BE62" s="144"/>
      <c r="BF62" s="144"/>
      <c r="BG62" s="144">
        <f t="shared" si="74"/>
        <v>0</v>
      </c>
      <c r="BH62" s="144"/>
      <c r="BI62" s="144"/>
      <c r="BJ62" s="144">
        <f t="shared" si="74"/>
        <v>390000000</v>
      </c>
      <c r="BK62" s="144">
        <f t="shared" si="74"/>
        <v>161100000</v>
      </c>
      <c r="BL62" s="144">
        <f t="shared" si="74"/>
        <v>35450000</v>
      </c>
      <c r="BM62" s="169"/>
      <c r="BN62" s="169"/>
      <c r="BO62" s="8"/>
      <c r="BP62" s="8"/>
      <c r="BQ62" s="8"/>
      <c r="BR62" s="8"/>
      <c r="BS62" s="8"/>
      <c r="BT62" s="8"/>
      <c r="BU62" s="8"/>
      <c r="BV62" s="8"/>
      <c r="BW62" s="8"/>
      <c r="BX62" s="8"/>
      <c r="BY62" s="8"/>
      <c r="BZ62" s="8"/>
      <c r="CA62" s="8"/>
      <c r="CB62" s="8"/>
      <c r="CC62" s="8"/>
      <c r="CD62" s="8"/>
      <c r="CE62" s="8"/>
      <c r="CF62" s="8"/>
      <c r="CG62" s="8"/>
      <c r="CH62" s="8"/>
      <c r="CI62" s="8"/>
      <c r="CJ62" s="8"/>
      <c r="CK62" s="8"/>
      <c r="CL62" s="8"/>
      <c r="CM62" s="8"/>
      <c r="CN62" s="8"/>
      <c r="CO62" s="8"/>
      <c r="CP62" s="8"/>
      <c r="CQ62" s="8"/>
      <c r="CR62" s="8"/>
      <c r="CS62" s="8"/>
      <c r="CT62" s="8"/>
      <c r="CU62" s="8"/>
      <c r="CV62" s="8"/>
      <c r="CW62" s="8"/>
      <c r="CX62" s="8"/>
      <c r="CY62" s="8"/>
      <c r="CZ62" s="8"/>
      <c r="DA62" s="8"/>
    </row>
    <row r="63" spans="1:105" ht="24" customHeight="1" x14ac:dyDescent="0.2">
      <c r="A63" s="145"/>
      <c r="B63" s="91"/>
      <c r="C63" s="91"/>
      <c r="D63" s="91"/>
      <c r="E63" s="91"/>
      <c r="F63" s="747">
        <v>2402</v>
      </c>
      <c r="G63" s="784" t="s">
        <v>202</v>
      </c>
      <c r="H63" s="785"/>
      <c r="I63" s="785"/>
      <c r="J63" s="786"/>
      <c r="K63" s="787"/>
      <c r="L63" s="786"/>
      <c r="M63" s="786"/>
      <c r="N63" s="788"/>
      <c r="O63" s="789"/>
      <c r="P63" s="788"/>
      <c r="Q63" s="793"/>
      <c r="R63" s="789"/>
      <c r="S63" s="789"/>
      <c r="T63" s="791"/>
      <c r="U63" s="189"/>
      <c r="V63" s="190"/>
      <c r="W63" s="148">
        <f>SUM(W64:W66)</f>
        <v>0</v>
      </c>
      <c r="X63" s="148">
        <f t="shared" ref="X63:Y63" si="75">SUM(X64:X66)</f>
        <v>0</v>
      </c>
      <c r="Y63" s="148">
        <f t="shared" si="75"/>
        <v>0</v>
      </c>
      <c r="Z63" s="148">
        <f t="shared" ref="Z63:BJ63" si="76">SUM(Z64:Z66)</f>
        <v>0</v>
      </c>
      <c r="AA63" s="148"/>
      <c r="AB63" s="148"/>
      <c r="AC63" s="148">
        <f t="shared" si="76"/>
        <v>0</v>
      </c>
      <c r="AD63" s="148">
        <f t="shared" ref="AD63:AE63" si="77">SUM(AD64:AD66)</f>
        <v>0</v>
      </c>
      <c r="AE63" s="148">
        <f t="shared" si="77"/>
        <v>0</v>
      </c>
      <c r="AF63" s="148">
        <f t="shared" si="76"/>
        <v>0</v>
      </c>
      <c r="AG63" s="148"/>
      <c r="AH63" s="148"/>
      <c r="AI63" s="148">
        <f t="shared" si="76"/>
        <v>0</v>
      </c>
      <c r="AJ63" s="148"/>
      <c r="AK63" s="148"/>
      <c r="AL63" s="148">
        <f t="shared" si="76"/>
        <v>0</v>
      </c>
      <c r="AM63" s="148"/>
      <c r="AN63" s="148"/>
      <c r="AO63" s="148">
        <f t="shared" si="76"/>
        <v>0</v>
      </c>
      <c r="AP63" s="148"/>
      <c r="AQ63" s="148"/>
      <c r="AR63" s="148">
        <f t="shared" si="76"/>
        <v>0</v>
      </c>
      <c r="AS63" s="148"/>
      <c r="AT63" s="148"/>
      <c r="AU63" s="148">
        <f t="shared" si="76"/>
        <v>0</v>
      </c>
      <c r="AV63" s="148"/>
      <c r="AW63" s="148"/>
      <c r="AX63" s="148">
        <f t="shared" si="76"/>
        <v>0</v>
      </c>
      <c r="AY63" s="148">
        <f t="shared" ref="AY63:AZ63" si="78">SUM(AY64:AY66)</f>
        <v>0</v>
      </c>
      <c r="AZ63" s="148">
        <f t="shared" si="78"/>
        <v>0</v>
      </c>
      <c r="BA63" s="148">
        <f t="shared" si="76"/>
        <v>390000000</v>
      </c>
      <c r="BB63" s="148">
        <f t="shared" ref="BB63:BC63" si="79">SUM(BB64:BB66)</f>
        <v>161100000</v>
      </c>
      <c r="BC63" s="148">
        <f t="shared" si="79"/>
        <v>35450000</v>
      </c>
      <c r="BD63" s="148">
        <f t="shared" si="76"/>
        <v>0</v>
      </c>
      <c r="BE63" s="148"/>
      <c r="BF63" s="148"/>
      <c r="BG63" s="148">
        <f t="shared" si="76"/>
        <v>0</v>
      </c>
      <c r="BH63" s="148"/>
      <c r="BI63" s="148"/>
      <c r="BJ63" s="148">
        <f t="shared" si="76"/>
        <v>390000000</v>
      </c>
      <c r="BK63" s="148">
        <f t="shared" ref="BK63:BL63" si="80">SUM(BK64:BK66)</f>
        <v>161100000</v>
      </c>
      <c r="BL63" s="148">
        <f t="shared" si="80"/>
        <v>35450000</v>
      </c>
      <c r="BM63" s="148"/>
      <c r="BN63" s="156"/>
    </row>
    <row r="64" spans="1:105" ht="125.25" customHeight="1" x14ac:dyDescent="0.2">
      <c r="A64" s="145"/>
      <c r="B64" s="91"/>
      <c r="C64" s="91"/>
      <c r="D64" s="91"/>
      <c r="E64" s="91"/>
      <c r="F64" s="87"/>
      <c r="G64" s="470"/>
      <c r="H64" s="645" t="s">
        <v>203</v>
      </c>
      <c r="I64" s="458" t="s">
        <v>47</v>
      </c>
      <c r="J64" s="819" t="s">
        <v>204</v>
      </c>
      <c r="K64" s="810">
        <v>2402022</v>
      </c>
      <c r="L64" s="819" t="s">
        <v>205</v>
      </c>
      <c r="M64" s="458" t="s">
        <v>47</v>
      </c>
      <c r="N64" s="792" t="s">
        <v>206</v>
      </c>
      <c r="O64" s="810">
        <v>240202200</v>
      </c>
      <c r="P64" s="792" t="s">
        <v>207</v>
      </c>
      <c r="Q64" s="647" t="s">
        <v>52</v>
      </c>
      <c r="R64" s="593">
        <v>1</v>
      </c>
      <c r="S64" s="593">
        <v>0</v>
      </c>
      <c r="T64" s="861" t="s">
        <v>208</v>
      </c>
      <c r="U64" s="880" t="s">
        <v>209</v>
      </c>
      <c r="V64" s="880" t="s">
        <v>210</v>
      </c>
      <c r="W64" s="150"/>
      <c r="X64" s="150"/>
      <c r="Y64" s="150"/>
      <c r="Z64" s="150"/>
      <c r="AA64" s="150"/>
      <c r="AB64" s="150"/>
      <c r="AC64" s="192"/>
      <c r="AD64" s="192"/>
      <c r="AE64" s="192"/>
      <c r="AF64" s="150"/>
      <c r="AG64" s="150"/>
      <c r="AH64" s="150"/>
      <c r="AI64" s="150"/>
      <c r="AJ64" s="150"/>
      <c r="AK64" s="150"/>
      <c r="AL64" s="150"/>
      <c r="AM64" s="150"/>
      <c r="AN64" s="150"/>
      <c r="AO64" s="150"/>
      <c r="AP64" s="150"/>
      <c r="AQ64" s="150"/>
      <c r="AR64" s="150"/>
      <c r="AS64" s="150"/>
      <c r="AT64" s="150"/>
      <c r="AU64" s="150"/>
      <c r="AV64" s="150"/>
      <c r="AW64" s="150"/>
      <c r="AX64" s="150"/>
      <c r="AY64" s="150"/>
      <c r="AZ64" s="150"/>
      <c r="BA64" s="193">
        <v>100000000</v>
      </c>
      <c r="BB64" s="193">
        <v>34900000</v>
      </c>
      <c r="BC64" s="193">
        <v>2300000</v>
      </c>
      <c r="BD64" s="150"/>
      <c r="BE64" s="150"/>
      <c r="BF64" s="150"/>
      <c r="BG64" s="150"/>
      <c r="BH64" s="150"/>
      <c r="BI64" s="150"/>
      <c r="BJ64" s="151">
        <f>+W64+Z64+AC64+AF64+AI64+AL64+AO64+AR64+AU64+AX64+BA64+BD64+BG64</f>
        <v>100000000</v>
      </c>
      <c r="BK64" s="151">
        <f t="shared" ref="BK64:BL66" si="81">+X64+AA64+AD64+AG64+AJ64+AM64+AP64+AS64+AV64+AY64+BB64+BE64+BH64</f>
        <v>34900000</v>
      </c>
      <c r="BL64" s="151">
        <f t="shared" si="81"/>
        <v>2300000</v>
      </c>
      <c r="BM64" s="176" t="s">
        <v>160</v>
      </c>
      <c r="BN64" s="341" t="s">
        <v>1573</v>
      </c>
    </row>
    <row r="65" spans="1:105" ht="144.75" customHeight="1" x14ac:dyDescent="0.2">
      <c r="A65" s="145"/>
      <c r="B65" s="91"/>
      <c r="C65" s="91"/>
      <c r="D65" s="91"/>
      <c r="E65" s="91"/>
      <c r="F65" s="87"/>
      <c r="G65" s="569"/>
      <c r="H65" s="574" t="s">
        <v>203</v>
      </c>
      <c r="I65" s="82" t="s">
        <v>47</v>
      </c>
      <c r="J65" s="111" t="s">
        <v>211</v>
      </c>
      <c r="K65" s="107">
        <v>2402041</v>
      </c>
      <c r="L65" s="111" t="s">
        <v>212</v>
      </c>
      <c r="M65" s="82" t="s">
        <v>47</v>
      </c>
      <c r="N65" s="574" t="s">
        <v>213</v>
      </c>
      <c r="O65" s="90">
        <v>240204100</v>
      </c>
      <c r="P65" s="574" t="s">
        <v>214</v>
      </c>
      <c r="Q65" s="569" t="s">
        <v>52</v>
      </c>
      <c r="R65" s="191">
        <v>130</v>
      </c>
      <c r="S65" s="191">
        <v>32.03</v>
      </c>
      <c r="T65" s="862"/>
      <c r="U65" s="880"/>
      <c r="V65" s="880"/>
      <c r="W65" s="150"/>
      <c r="X65" s="150"/>
      <c r="Y65" s="150"/>
      <c r="Z65" s="150"/>
      <c r="AA65" s="150"/>
      <c r="AB65" s="150"/>
      <c r="AC65" s="177"/>
      <c r="AD65" s="177"/>
      <c r="AE65" s="177"/>
      <c r="AF65" s="150"/>
      <c r="AG65" s="150"/>
      <c r="AH65" s="150"/>
      <c r="AI65" s="150"/>
      <c r="AJ65" s="150"/>
      <c r="AK65" s="150"/>
      <c r="AL65" s="150"/>
      <c r="AM65" s="150"/>
      <c r="AN65" s="150"/>
      <c r="AO65" s="150"/>
      <c r="AP65" s="150"/>
      <c r="AQ65" s="150"/>
      <c r="AR65" s="150"/>
      <c r="AS65" s="150"/>
      <c r="AT65" s="150"/>
      <c r="AU65" s="150"/>
      <c r="AV65" s="150"/>
      <c r="AW65" s="150"/>
      <c r="AX65" s="150"/>
      <c r="AY65" s="150"/>
      <c r="AZ65" s="150"/>
      <c r="BA65" s="193">
        <v>250000000</v>
      </c>
      <c r="BB65" s="193">
        <v>117200000</v>
      </c>
      <c r="BC65" s="193">
        <v>33150000</v>
      </c>
      <c r="BD65" s="150"/>
      <c r="BE65" s="150"/>
      <c r="BF65" s="150"/>
      <c r="BG65" s="150"/>
      <c r="BH65" s="150"/>
      <c r="BI65" s="150"/>
      <c r="BJ65" s="151">
        <f>+W65+Z65+AC65+AF65+AI65+AL65+AO65+AR65+AU65+AX65+BA65+BD65+BG65</f>
        <v>250000000</v>
      </c>
      <c r="BK65" s="151">
        <f t="shared" si="81"/>
        <v>117200000</v>
      </c>
      <c r="BL65" s="151">
        <f t="shared" si="81"/>
        <v>33150000</v>
      </c>
      <c r="BM65" s="176" t="s">
        <v>160</v>
      </c>
      <c r="BN65" s="341" t="s">
        <v>1573</v>
      </c>
    </row>
    <row r="66" spans="1:105" ht="121.5" customHeight="1" x14ac:dyDescent="0.2">
      <c r="A66" s="145"/>
      <c r="B66" s="91"/>
      <c r="C66" s="91"/>
      <c r="D66" s="91"/>
      <c r="E66" s="91"/>
      <c r="F66" s="87"/>
      <c r="G66" s="468"/>
      <c r="H66" s="795" t="s">
        <v>203</v>
      </c>
      <c r="I66" s="106" t="s">
        <v>47</v>
      </c>
      <c r="J66" s="641" t="s">
        <v>215</v>
      </c>
      <c r="K66" s="106">
        <v>2402118</v>
      </c>
      <c r="L66" s="641" t="s">
        <v>216</v>
      </c>
      <c r="M66" s="106" t="s">
        <v>47</v>
      </c>
      <c r="N66" s="648" t="s">
        <v>217</v>
      </c>
      <c r="O66" s="106">
        <v>240211800</v>
      </c>
      <c r="P66" s="854" t="s">
        <v>218</v>
      </c>
      <c r="Q66" s="468" t="s">
        <v>68</v>
      </c>
      <c r="R66" s="242">
        <v>6</v>
      </c>
      <c r="S66" s="242">
        <v>0</v>
      </c>
      <c r="T66" s="646" t="s">
        <v>219</v>
      </c>
      <c r="U66" s="565" t="s">
        <v>220</v>
      </c>
      <c r="V66" s="565" t="s">
        <v>221</v>
      </c>
      <c r="W66" s="150"/>
      <c r="X66" s="150"/>
      <c r="Y66" s="150"/>
      <c r="Z66" s="150"/>
      <c r="AA66" s="150"/>
      <c r="AB66" s="150"/>
      <c r="AC66" s="192"/>
      <c r="AD66" s="192"/>
      <c r="AE66" s="192"/>
      <c r="AF66" s="150"/>
      <c r="AG66" s="150"/>
      <c r="AH66" s="150"/>
      <c r="AI66" s="150"/>
      <c r="AJ66" s="150"/>
      <c r="AK66" s="150"/>
      <c r="AL66" s="150"/>
      <c r="AM66" s="150"/>
      <c r="AN66" s="150"/>
      <c r="AO66" s="150"/>
      <c r="AP66" s="150"/>
      <c r="AQ66" s="150"/>
      <c r="AR66" s="150"/>
      <c r="AS66" s="150"/>
      <c r="AT66" s="150"/>
      <c r="AU66" s="150"/>
      <c r="AV66" s="150"/>
      <c r="AW66" s="150"/>
      <c r="AX66" s="150"/>
      <c r="AY66" s="150"/>
      <c r="AZ66" s="150"/>
      <c r="BA66" s="193">
        <v>40000000</v>
      </c>
      <c r="BB66" s="193">
        <v>9000000</v>
      </c>
      <c r="BC66" s="193"/>
      <c r="BD66" s="150"/>
      <c r="BE66" s="150"/>
      <c r="BF66" s="150"/>
      <c r="BG66" s="150"/>
      <c r="BH66" s="150"/>
      <c r="BI66" s="150"/>
      <c r="BJ66" s="151">
        <f>+W66+Z66+AC66+AF66+AI66+AL66+AO66+AR66+AU66+AX66+BA66+BD66+BG66</f>
        <v>40000000</v>
      </c>
      <c r="BK66" s="151">
        <f t="shared" si="81"/>
        <v>9000000</v>
      </c>
      <c r="BL66" s="151">
        <f t="shared" si="81"/>
        <v>0</v>
      </c>
      <c r="BM66" s="176" t="s">
        <v>160</v>
      </c>
      <c r="BN66" s="341" t="s">
        <v>1573</v>
      </c>
    </row>
    <row r="67" spans="1:105" s="9" customFormat="1" ht="24" customHeight="1" x14ac:dyDescent="0.25">
      <c r="A67" s="130"/>
      <c r="B67" s="83"/>
      <c r="C67" s="83"/>
      <c r="D67" s="77">
        <v>32</v>
      </c>
      <c r="E67" s="75" t="s">
        <v>222</v>
      </c>
      <c r="F67" s="135"/>
      <c r="G67" s="776"/>
      <c r="H67" s="779"/>
      <c r="I67" s="779"/>
      <c r="J67" s="781"/>
      <c r="K67" s="778"/>
      <c r="L67" s="781"/>
      <c r="M67" s="781"/>
      <c r="N67" s="782"/>
      <c r="O67" s="780"/>
      <c r="P67" s="782"/>
      <c r="Q67" s="781"/>
      <c r="R67" s="807"/>
      <c r="S67" s="807"/>
      <c r="T67" s="808"/>
      <c r="U67" s="687"/>
      <c r="V67" s="144"/>
      <c r="W67" s="144">
        <f>W68</f>
        <v>0</v>
      </c>
      <c r="X67" s="144"/>
      <c r="Y67" s="144"/>
      <c r="Z67" s="144">
        <f t="shared" ref="Z67:BL67" si="82">Z68</f>
        <v>0</v>
      </c>
      <c r="AA67" s="144"/>
      <c r="AB67" s="144"/>
      <c r="AC67" s="144">
        <f t="shared" si="82"/>
        <v>56108067</v>
      </c>
      <c r="AD67" s="144">
        <f t="shared" si="82"/>
        <v>56108067</v>
      </c>
      <c r="AE67" s="144">
        <f t="shared" si="82"/>
        <v>13280787</v>
      </c>
      <c r="AF67" s="144">
        <f t="shared" si="82"/>
        <v>0</v>
      </c>
      <c r="AG67" s="144"/>
      <c r="AH67" s="144"/>
      <c r="AI67" s="144">
        <f t="shared" si="82"/>
        <v>0</v>
      </c>
      <c r="AJ67" s="144"/>
      <c r="AK67" s="144"/>
      <c r="AL67" s="144">
        <f t="shared" si="82"/>
        <v>0</v>
      </c>
      <c r="AM67" s="144"/>
      <c r="AN67" s="144"/>
      <c r="AO67" s="144">
        <f t="shared" si="82"/>
        <v>0</v>
      </c>
      <c r="AP67" s="144"/>
      <c r="AQ67" s="144"/>
      <c r="AR67" s="144">
        <f t="shared" si="82"/>
        <v>0</v>
      </c>
      <c r="AS67" s="144"/>
      <c r="AT67" s="144"/>
      <c r="AU67" s="144">
        <f t="shared" si="82"/>
        <v>0</v>
      </c>
      <c r="AV67" s="144"/>
      <c r="AW67" s="144"/>
      <c r="AX67" s="144">
        <f t="shared" si="82"/>
        <v>0</v>
      </c>
      <c r="AY67" s="144"/>
      <c r="AZ67" s="144"/>
      <c r="BA67" s="144">
        <f t="shared" si="82"/>
        <v>215000000</v>
      </c>
      <c r="BB67" s="144">
        <f t="shared" si="82"/>
        <v>112620000</v>
      </c>
      <c r="BC67" s="144">
        <f t="shared" si="82"/>
        <v>2800000</v>
      </c>
      <c r="BD67" s="144">
        <f t="shared" si="82"/>
        <v>0</v>
      </c>
      <c r="BE67" s="144"/>
      <c r="BF67" s="144"/>
      <c r="BG67" s="144">
        <f t="shared" si="82"/>
        <v>0</v>
      </c>
      <c r="BH67" s="144"/>
      <c r="BI67" s="144"/>
      <c r="BJ67" s="144">
        <f t="shared" si="82"/>
        <v>271108067</v>
      </c>
      <c r="BK67" s="144">
        <f t="shared" si="82"/>
        <v>168728067</v>
      </c>
      <c r="BL67" s="144">
        <f t="shared" si="82"/>
        <v>16080787</v>
      </c>
      <c r="BM67" s="169"/>
      <c r="BN67" s="169"/>
      <c r="BO67" s="8"/>
      <c r="BP67" s="8"/>
      <c r="BQ67" s="8"/>
      <c r="BR67" s="8"/>
      <c r="BS67" s="8"/>
      <c r="BT67" s="8"/>
      <c r="BU67" s="8"/>
      <c r="BV67" s="8"/>
      <c r="BW67" s="8"/>
      <c r="BX67" s="8"/>
      <c r="BY67" s="8"/>
      <c r="BZ67" s="8"/>
      <c r="CA67" s="8"/>
      <c r="CB67" s="8"/>
      <c r="CC67" s="8"/>
      <c r="CD67" s="8"/>
      <c r="CE67" s="8"/>
      <c r="CF67" s="8"/>
      <c r="CG67" s="8"/>
      <c r="CH67" s="8"/>
      <c r="CI67" s="8"/>
      <c r="CJ67" s="8"/>
      <c r="CK67" s="8"/>
      <c r="CL67" s="8"/>
      <c r="CM67" s="8"/>
      <c r="CN67" s="8"/>
      <c r="CO67" s="8"/>
      <c r="CP67" s="8"/>
      <c r="CQ67" s="8"/>
      <c r="CR67" s="8"/>
      <c r="CS67" s="8"/>
      <c r="CT67" s="8"/>
      <c r="CU67" s="8"/>
      <c r="CV67" s="8"/>
      <c r="CW67" s="8"/>
      <c r="CX67" s="8"/>
      <c r="CY67" s="8"/>
      <c r="CZ67" s="8"/>
      <c r="DA67" s="8"/>
    </row>
    <row r="68" spans="1:105" ht="24" customHeight="1" x14ac:dyDescent="0.2">
      <c r="A68" s="145"/>
      <c r="B68" s="91"/>
      <c r="C68" s="91"/>
      <c r="D68" s="91"/>
      <c r="E68" s="91"/>
      <c r="F68" s="747">
        <v>3205</v>
      </c>
      <c r="G68" s="784" t="s">
        <v>223</v>
      </c>
      <c r="H68" s="785"/>
      <c r="I68" s="785"/>
      <c r="J68" s="785"/>
      <c r="K68" s="785"/>
      <c r="L68" s="785"/>
      <c r="M68" s="785"/>
      <c r="N68" s="788"/>
      <c r="O68" s="789"/>
      <c r="P68" s="788"/>
      <c r="Q68" s="793"/>
      <c r="R68" s="789"/>
      <c r="S68" s="789"/>
      <c r="T68" s="791"/>
      <c r="U68" s="690"/>
      <c r="V68" s="147"/>
      <c r="W68" s="148">
        <f>SUM(W69:W70)</f>
        <v>0</v>
      </c>
      <c r="X68" s="148"/>
      <c r="Y68" s="148"/>
      <c r="Z68" s="148">
        <f t="shared" ref="Z68:BJ68" si="83">SUM(Z69:Z70)</f>
        <v>0</v>
      </c>
      <c r="AA68" s="148"/>
      <c r="AB68" s="148"/>
      <c r="AC68" s="148">
        <f t="shared" si="83"/>
        <v>56108067</v>
      </c>
      <c r="AD68" s="148">
        <f t="shared" ref="AD68:AE68" si="84">SUM(AD69:AD70)</f>
        <v>56108067</v>
      </c>
      <c r="AE68" s="148">
        <f t="shared" si="84"/>
        <v>13280787</v>
      </c>
      <c r="AF68" s="148">
        <f t="shared" si="83"/>
        <v>0</v>
      </c>
      <c r="AG68" s="148"/>
      <c r="AH68" s="148"/>
      <c r="AI68" s="148">
        <f t="shared" si="83"/>
        <v>0</v>
      </c>
      <c r="AJ68" s="148"/>
      <c r="AK68" s="148"/>
      <c r="AL68" s="148">
        <f t="shared" si="83"/>
        <v>0</v>
      </c>
      <c r="AM68" s="148"/>
      <c r="AN68" s="148"/>
      <c r="AO68" s="148">
        <f t="shared" si="83"/>
        <v>0</v>
      </c>
      <c r="AP68" s="148"/>
      <c r="AQ68" s="148"/>
      <c r="AR68" s="148">
        <f t="shared" si="83"/>
        <v>0</v>
      </c>
      <c r="AS68" s="148"/>
      <c r="AT68" s="148"/>
      <c r="AU68" s="148">
        <f t="shared" si="83"/>
        <v>0</v>
      </c>
      <c r="AV68" s="148"/>
      <c r="AW68" s="148"/>
      <c r="AX68" s="148">
        <f t="shared" si="83"/>
        <v>0</v>
      </c>
      <c r="AY68" s="148"/>
      <c r="AZ68" s="148"/>
      <c r="BA68" s="148">
        <f t="shared" si="83"/>
        <v>215000000</v>
      </c>
      <c r="BB68" s="148">
        <f t="shared" ref="BB68:BC68" si="85">SUM(BB69:BB70)</f>
        <v>112620000</v>
      </c>
      <c r="BC68" s="148">
        <f t="shared" si="85"/>
        <v>2800000</v>
      </c>
      <c r="BD68" s="148">
        <f t="shared" si="83"/>
        <v>0</v>
      </c>
      <c r="BE68" s="148"/>
      <c r="BF68" s="148"/>
      <c r="BG68" s="148">
        <f t="shared" si="83"/>
        <v>0</v>
      </c>
      <c r="BH68" s="148"/>
      <c r="BI68" s="148"/>
      <c r="BJ68" s="148">
        <f t="shared" si="83"/>
        <v>271108067</v>
      </c>
      <c r="BK68" s="148">
        <f t="shared" ref="BK68:BL68" si="86">SUM(BK69:BK70)</f>
        <v>168728067</v>
      </c>
      <c r="BL68" s="148">
        <f t="shared" si="86"/>
        <v>16080787</v>
      </c>
      <c r="BM68" s="148"/>
      <c r="BN68" s="156"/>
    </row>
    <row r="69" spans="1:105" ht="135" customHeight="1" x14ac:dyDescent="0.2">
      <c r="A69" s="145"/>
      <c r="B69" s="91"/>
      <c r="C69" s="91"/>
      <c r="D69" s="91"/>
      <c r="E69" s="91"/>
      <c r="F69" s="87"/>
      <c r="G69" s="470"/>
      <c r="H69" s="645" t="s">
        <v>224</v>
      </c>
      <c r="I69" s="117">
        <v>3205010</v>
      </c>
      <c r="J69" s="645" t="s">
        <v>225</v>
      </c>
      <c r="K69" s="117">
        <v>3205010</v>
      </c>
      <c r="L69" s="645" t="s">
        <v>225</v>
      </c>
      <c r="M69" s="117" t="s">
        <v>226</v>
      </c>
      <c r="N69" s="649" t="s">
        <v>227</v>
      </c>
      <c r="O69" s="117" t="s">
        <v>226</v>
      </c>
      <c r="P69" s="649" t="s">
        <v>227</v>
      </c>
      <c r="Q69" s="285" t="s">
        <v>68</v>
      </c>
      <c r="R69" s="220">
        <v>2</v>
      </c>
      <c r="S69" s="220">
        <v>0</v>
      </c>
      <c r="T69" s="647" t="s">
        <v>228</v>
      </c>
      <c r="U69" s="561" t="s">
        <v>229</v>
      </c>
      <c r="V69" s="561" t="s">
        <v>230</v>
      </c>
      <c r="W69" s="150">
        <v>0</v>
      </c>
      <c r="X69" s="150"/>
      <c r="Y69" s="150"/>
      <c r="Z69" s="150">
        <v>0</v>
      </c>
      <c r="AA69" s="150"/>
      <c r="AB69" s="150"/>
      <c r="AC69" s="192">
        <v>0</v>
      </c>
      <c r="AD69" s="192"/>
      <c r="AE69" s="192"/>
      <c r="AF69" s="150">
        <v>0</v>
      </c>
      <c r="AG69" s="150"/>
      <c r="AH69" s="150"/>
      <c r="AI69" s="150">
        <v>0</v>
      </c>
      <c r="AJ69" s="150"/>
      <c r="AK69" s="150"/>
      <c r="AL69" s="150">
        <v>0</v>
      </c>
      <c r="AM69" s="150"/>
      <c r="AN69" s="150"/>
      <c r="AO69" s="150">
        <v>0</v>
      </c>
      <c r="AP69" s="150"/>
      <c r="AQ69" s="150"/>
      <c r="AR69" s="150">
        <v>0</v>
      </c>
      <c r="AS69" s="150"/>
      <c r="AT69" s="150"/>
      <c r="AU69" s="150">
        <v>0</v>
      </c>
      <c r="AV69" s="150"/>
      <c r="AW69" s="150"/>
      <c r="AX69" s="150">
        <v>0</v>
      </c>
      <c r="AY69" s="150"/>
      <c r="AZ69" s="150"/>
      <c r="BA69" s="196">
        <v>100000000</v>
      </c>
      <c r="BB69" s="196">
        <v>44400000</v>
      </c>
      <c r="BC69" s="196">
        <v>2800000</v>
      </c>
      <c r="BD69" s="150">
        <v>0</v>
      </c>
      <c r="BE69" s="150"/>
      <c r="BF69" s="150"/>
      <c r="BG69" s="150">
        <v>0</v>
      </c>
      <c r="BH69" s="150"/>
      <c r="BI69" s="150"/>
      <c r="BJ69" s="151">
        <f t="shared" ref="BJ69:BJ70" si="87">+W69+Z69+AC69+AF69+AI69+AL69+AO69+AR69+AU69+AX69+BA69+BD69+BG69</f>
        <v>100000000</v>
      </c>
      <c r="BK69" s="151">
        <f t="shared" ref="BK69:BK70" si="88">+X69+AA69+AD69+AG69+AJ69+AM69+AP69+AS69+AV69+AY69+BB69+BE69+BH69</f>
        <v>44400000</v>
      </c>
      <c r="BL69" s="151">
        <f t="shared" ref="BL69:BL70" si="89">+Y69+AB69+AE69+AH69+AK69+AN69+AQ69+AT69+AW69+AZ69+BC69+BF69+BI69</f>
        <v>2800000</v>
      </c>
      <c r="BM69" s="176" t="s">
        <v>160</v>
      </c>
      <c r="BN69" s="341" t="s">
        <v>1573</v>
      </c>
    </row>
    <row r="70" spans="1:105" ht="157.5" customHeight="1" x14ac:dyDescent="0.2">
      <c r="A70" s="145"/>
      <c r="B70" s="91"/>
      <c r="C70" s="91"/>
      <c r="D70" s="91"/>
      <c r="E70" s="91"/>
      <c r="F70" s="87"/>
      <c r="G70" s="569"/>
      <c r="H70" s="644" t="s">
        <v>231</v>
      </c>
      <c r="I70" s="796">
        <v>3205021</v>
      </c>
      <c r="J70" s="644" t="s">
        <v>232</v>
      </c>
      <c r="K70" s="796">
        <v>3205021</v>
      </c>
      <c r="L70" s="644" t="s">
        <v>232</v>
      </c>
      <c r="M70" s="796">
        <v>320502100</v>
      </c>
      <c r="N70" s="648" t="s">
        <v>233</v>
      </c>
      <c r="O70" s="796">
        <v>320502100</v>
      </c>
      <c r="P70" s="648" t="s">
        <v>233</v>
      </c>
      <c r="Q70" s="814" t="s">
        <v>68</v>
      </c>
      <c r="R70" s="242">
        <v>2</v>
      </c>
      <c r="S70" s="242">
        <v>0</v>
      </c>
      <c r="T70" s="646" t="s">
        <v>234</v>
      </c>
      <c r="U70" s="561" t="s">
        <v>235</v>
      </c>
      <c r="V70" s="561" t="s">
        <v>236</v>
      </c>
      <c r="W70" s="150"/>
      <c r="X70" s="150"/>
      <c r="Y70" s="150"/>
      <c r="Z70" s="150"/>
      <c r="AA70" s="150"/>
      <c r="AB70" s="150"/>
      <c r="AC70" s="192">
        <v>56108067</v>
      </c>
      <c r="AD70" s="192">
        <v>56108067</v>
      </c>
      <c r="AE70" s="192">
        <v>13280787</v>
      </c>
      <c r="AF70" s="150"/>
      <c r="AG70" s="150"/>
      <c r="AH70" s="150"/>
      <c r="AI70" s="150"/>
      <c r="AJ70" s="150"/>
      <c r="AK70" s="150"/>
      <c r="AL70" s="150"/>
      <c r="AM70" s="150"/>
      <c r="AN70" s="150"/>
      <c r="AO70" s="150"/>
      <c r="AP70" s="150"/>
      <c r="AQ70" s="150"/>
      <c r="AR70" s="150"/>
      <c r="AS70" s="150"/>
      <c r="AT70" s="150"/>
      <c r="AU70" s="150"/>
      <c r="AV70" s="150"/>
      <c r="AW70" s="150"/>
      <c r="AX70" s="150"/>
      <c r="AY70" s="150"/>
      <c r="AZ70" s="150"/>
      <c r="BA70" s="196">
        <f>100000000+15000000</f>
        <v>115000000</v>
      </c>
      <c r="BB70" s="196">
        <f>'[1]F-PLA-47EjecucionMetasProyectos'!$T$32+'[1]F-PLA-47EjecucionMetasProyectos'!$T$34</f>
        <v>68220000</v>
      </c>
      <c r="BC70" s="196"/>
      <c r="BD70" s="150"/>
      <c r="BE70" s="150"/>
      <c r="BF70" s="150"/>
      <c r="BG70" s="150"/>
      <c r="BH70" s="150"/>
      <c r="BI70" s="150"/>
      <c r="BJ70" s="151">
        <f t="shared" si="87"/>
        <v>171108067</v>
      </c>
      <c r="BK70" s="151">
        <f t="shared" si="88"/>
        <v>124328067</v>
      </c>
      <c r="BL70" s="151">
        <f t="shared" si="89"/>
        <v>13280787</v>
      </c>
      <c r="BM70" s="176" t="s">
        <v>160</v>
      </c>
      <c r="BN70" s="341" t="s">
        <v>1573</v>
      </c>
    </row>
    <row r="71" spans="1:105" s="9" customFormat="1" ht="24" customHeight="1" x14ac:dyDescent="0.25">
      <c r="A71" s="130"/>
      <c r="B71" s="83"/>
      <c r="C71" s="83"/>
      <c r="D71" s="408">
        <v>40</v>
      </c>
      <c r="E71" s="75" t="s">
        <v>237</v>
      </c>
      <c r="F71" s="135"/>
      <c r="G71" s="136"/>
      <c r="H71" s="818"/>
      <c r="I71" s="779"/>
      <c r="J71" s="781"/>
      <c r="K71" s="778"/>
      <c r="L71" s="781"/>
      <c r="M71" s="781"/>
      <c r="N71" s="782"/>
      <c r="O71" s="780"/>
      <c r="P71" s="782"/>
      <c r="Q71" s="781"/>
      <c r="R71" s="807"/>
      <c r="S71" s="807"/>
      <c r="T71" s="808"/>
      <c r="U71" s="687"/>
      <c r="V71" s="144"/>
      <c r="W71" s="144">
        <f>W72+W74</f>
        <v>550000000.10000002</v>
      </c>
      <c r="X71" s="144">
        <f t="shared" ref="X71:Y71" si="90">X72+X74</f>
        <v>0</v>
      </c>
      <c r="Y71" s="144">
        <f t="shared" si="90"/>
        <v>0</v>
      </c>
      <c r="Z71" s="144">
        <f t="shared" ref="Z71:BJ71" si="91">Z72+Z74</f>
        <v>0</v>
      </c>
      <c r="AA71" s="144"/>
      <c r="AB71" s="144"/>
      <c r="AC71" s="144">
        <f t="shared" si="91"/>
        <v>0</v>
      </c>
      <c r="AD71" s="144"/>
      <c r="AE71" s="144"/>
      <c r="AF71" s="144">
        <f t="shared" si="91"/>
        <v>0</v>
      </c>
      <c r="AG71" s="144"/>
      <c r="AH71" s="144"/>
      <c r="AI71" s="144">
        <f t="shared" si="91"/>
        <v>0</v>
      </c>
      <c r="AJ71" s="144"/>
      <c r="AK71" s="144"/>
      <c r="AL71" s="144">
        <f t="shared" si="91"/>
        <v>0</v>
      </c>
      <c r="AM71" s="144"/>
      <c r="AN71" s="144"/>
      <c r="AO71" s="144">
        <f t="shared" si="91"/>
        <v>0</v>
      </c>
      <c r="AP71" s="144"/>
      <c r="AQ71" s="144"/>
      <c r="AR71" s="144">
        <f t="shared" si="91"/>
        <v>0</v>
      </c>
      <c r="AS71" s="144"/>
      <c r="AT71" s="144"/>
      <c r="AU71" s="144">
        <f t="shared" si="91"/>
        <v>0</v>
      </c>
      <c r="AV71" s="144"/>
      <c r="AW71" s="144"/>
      <c r="AX71" s="144">
        <f t="shared" si="91"/>
        <v>2753011221</v>
      </c>
      <c r="AY71" s="144">
        <f t="shared" ref="AY71:AZ71" si="92">AY72+AY74</f>
        <v>0</v>
      </c>
      <c r="AZ71" s="144">
        <f t="shared" si="92"/>
        <v>0</v>
      </c>
      <c r="BA71" s="144">
        <f t="shared" si="91"/>
        <v>20000000</v>
      </c>
      <c r="BB71" s="144">
        <f t="shared" ref="BB71:BC71" si="93">BB72+BB74</f>
        <v>0</v>
      </c>
      <c r="BC71" s="144">
        <f t="shared" si="93"/>
        <v>0</v>
      </c>
      <c r="BD71" s="144">
        <f t="shared" si="91"/>
        <v>0</v>
      </c>
      <c r="BE71" s="144"/>
      <c r="BF71" s="144"/>
      <c r="BG71" s="144">
        <f t="shared" si="91"/>
        <v>0</v>
      </c>
      <c r="BH71" s="144"/>
      <c r="BI71" s="144"/>
      <c r="BJ71" s="144">
        <f t="shared" si="91"/>
        <v>3323011221.0999999</v>
      </c>
      <c r="BK71" s="144">
        <f t="shared" ref="BK71:BL71" si="94">BK72+BK74</f>
        <v>0</v>
      </c>
      <c r="BL71" s="144">
        <f t="shared" si="94"/>
        <v>0</v>
      </c>
      <c r="BM71" s="169"/>
      <c r="BN71" s="169"/>
      <c r="BO71" s="8"/>
      <c r="BP71" s="8"/>
      <c r="BQ71" s="8"/>
      <c r="BR71" s="8"/>
      <c r="BS71" s="8"/>
      <c r="BT71" s="8"/>
      <c r="BU71" s="8"/>
      <c r="BV71" s="8"/>
      <c r="BW71" s="8"/>
      <c r="BX71" s="8"/>
      <c r="BY71" s="8"/>
      <c r="BZ71" s="8"/>
      <c r="CA71" s="8"/>
      <c r="CB71" s="8"/>
      <c r="CC71" s="8"/>
      <c r="CD71" s="8"/>
      <c r="CE71" s="8"/>
      <c r="CF71" s="8"/>
      <c r="CG71" s="8"/>
      <c r="CH71" s="8"/>
      <c r="CI71" s="8"/>
      <c r="CJ71" s="8"/>
      <c r="CK71" s="8"/>
      <c r="CL71" s="8"/>
      <c r="CM71" s="8"/>
      <c r="CN71" s="8"/>
      <c r="CO71" s="8"/>
      <c r="CP71" s="8"/>
      <c r="CQ71" s="8"/>
      <c r="CR71" s="8"/>
      <c r="CS71" s="8"/>
      <c r="CT71" s="8"/>
      <c r="CU71" s="8"/>
      <c r="CV71" s="8"/>
      <c r="CW71" s="8"/>
      <c r="CX71" s="8"/>
      <c r="CY71" s="8"/>
      <c r="CZ71" s="8"/>
      <c r="DA71" s="8"/>
    </row>
    <row r="72" spans="1:105" ht="24" customHeight="1" x14ac:dyDescent="0.2">
      <c r="A72" s="145"/>
      <c r="B72" s="91"/>
      <c r="C72" s="91"/>
      <c r="D72" s="91"/>
      <c r="E72" s="91"/>
      <c r="F72" s="154">
        <v>4001</v>
      </c>
      <c r="G72" s="81" t="s">
        <v>238</v>
      </c>
      <c r="H72" s="784"/>
      <c r="I72" s="785"/>
      <c r="J72" s="786"/>
      <c r="K72" s="787"/>
      <c r="L72" s="786"/>
      <c r="M72" s="786"/>
      <c r="N72" s="788"/>
      <c r="O72" s="789"/>
      <c r="P72" s="788"/>
      <c r="Q72" s="793"/>
      <c r="R72" s="789"/>
      <c r="S72" s="789"/>
      <c r="T72" s="791"/>
      <c r="U72" s="690"/>
      <c r="V72" s="147"/>
      <c r="W72" s="148">
        <f>W73</f>
        <v>100000000.09999999</v>
      </c>
      <c r="X72" s="148">
        <f t="shared" ref="X72:Y72" si="95">X73</f>
        <v>0</v>
      </c>
      <c r="Y72" s="148">
        <f t="shared" si="95"/>
        <v>0</v>
      </c>
      <c r="Z72" s="148">
        <f t="shared" ref="Z72:BL72" si="96">Z73</f>
        <v>0</v>
      </c>
      <c r="AA72" s="148"/>
      <c r="AB72" s="148"/>
      <c r="AC72" s="148">
        <f t="shared" si="96"/>
        <v>0</v>
      </c>
      <c r="AD72" s="148"/>
      <c r="AE72" s="148"/>
      <c r="AF72" s="148">
        <f t="shared" si="96"/>
        <v>0</v>
      </c>
      <c r="AG72" s="148"/>
      <c r="AH72" s="148"/>
      <c r="AI72" s="148">
        <f t="shared" si="96"/>
        <v>0</v>
      </c>
      <c r="AJ72" s="148"/>
      <c r="AK72" s="148"/>
      <c r="AL72" s="148">
        <f t="shared" si="96"/>
        <v>0</v>
      </c>
      <c r="AM72" s="148"/>
      <c r="AN72" s="148"/>
      <c r="AO72" s="148">
        <f t="shared" si="96"/>
        <v>0</v>
      </c>
      <c r="AP72" s="148"/>
      <c r="AQ72" s="148"/>
      <c r="AR72" s="148">
        <f t="shared" si="96"/>
        <v>0</v>
      </c>
      <c r="AS72" s="148"/>
      <c r="AT72" s="148"/>
      <c r="AU72" s="148">
        <f t="shared" si="96"/>
        <v>0</v>
      </c>
      <c r="AV72" s="148"/>
      <c r="AW72" s="148"/>
      <c r="AX72" s="148">
        <f t="shared" si="96"/>
        <v>0</v>
      </c>
      <c r="AY72" s="148">
        <f t="shared" si="96"/>
        <v>0</v>
      </c>
      <c r="AZ72" s="148">
        <f t="shared" si="96"/>
        <v>0</v>
      </c>
      <c r="BA72" s="148">
        <f t="shared" si="96"/>
        <v>20000000</v>
      </c>
      <c r="BB72" s="148">
        <f t="shared" si="96"/>
        <v>0</v>
      </c>
      <c r="BC72" s="148">
        <f t="shared" si="96"/>
        <v>0</v>
      </c>
      <c r="BD72" s="148">
        <f t="shared" si="96"/>
        <v>0</v>
      </c>
      <c r="BE72" s="148"/>
      <c r="BF72" s="148"/>
      <c r="BG72" s="148">
        <f t="shared" si="96"/>
        <v>0</v>
      </c>
      <c r="BH72" s="148"/>
      <c r="BI72" s="148"/>
      <c r="BJ72" s="148">
        <f t="shared" si="96"/>
        <v>120000000.09999999</v>
      </c>
      <c r="BK72" s="148">
        <f t="shared" si="96"/>
        <v>0</v>
      </c>
      <c r="BL72" s="148">
        <f t="shared" si="96"/>
        <v>0</v>
      </c>
      <c r="BM72" s="148"/>
      <c r="BN72" s="156"/>
    </row>
    <row r="73" spans="1:105" ht="126.75" customHeight="1" x14ac:dyDescent="0.2">
      <c r="A73" s="145"/>
      <c r="B73" s="91"/>
      <c r="C73" s="91"/>
      <c r="D73" s="91"/>
      <c r="E73" s="91"/>
      <c r="F73" s="87"/>
      <c r="G73" s="569"/>
      <c r="H73" s="651" t="s">
        <v>239</v>
      </c>
      <c r="I73" s="815">
        <v>4001015</v>
      </c>
      <c r="J73" s="651" t="s">
        <v>240</v>
      </c>
      <c r="K73" s="815">
        <v>4001015</v>
      </c>
      <c r="L73" s="651" t="s">
        <v>240</v>
      </c>
      <c r="M73" s="816" t="s">
        <v>241</v>
      </c>
      <c r="N73" s="817" t="s">
        <v>242</v>
      </c>
      <c r="O73" s="816" t="s">
        <v>241</v>
      </c>
      <c r="P73" s="817" t="s">
        <v>242</v>
      </c>
      <c r="Q73" s="469" t="s">
        <v>68</v>
      </c>
      <c r="R73" s="804">
        <v>50</v>
      </c>
      <c r="S73" s="804">
        <v>0</v>
      </c>
      <c r="T73" s="805" t="s">
        <v>243</v>
      </c>
      <c r="U73" s="559" t="s">
        <v>244</v>
      </c>
      <c r="V73" s="559" t="s">
        <v>245</v>
      </c>
      <c r="W73" s="150">
        <v>100000000.09999999</v>
      </c>
      <c r="X73" s="150"/>
      <c r="Y73" s="150"/>
      <c r="Z73" s="150"/>
      <c r="AA73" s="150"/>
      <c r="AB73" s="150"/>
      <c r="AC73" s="192"/>
      <c r="AD73" s="192"/>
      <c r="AE73" s="192"/>
      <c r="AF73" s="150"/>
      <c r="AG73" s="150"/>
      <c r="AH73" s="150"/>
      <c r="AI73" s="150"/>
      <c r="AJ73" s="150"/>
      <c r="AK73" s="150"/>
      <c r="AL73" s="150"/>
      <c r="AM73" s="150"/>
      <c r="AN73" s="150"/>
      <c r="AO73" s="150"/>
      <c r="AP73" s="150"/>
      <c r="AQ73" s="150"/>
      <c r="AR73" s="150"/>
      <c r="AS73" s="150"/>
      <c r="AT73" s="150"/>
      <c r="AU73" s="150"/>
      <c r="AV73" s="150"/>
      <c r="AW73" s="150"/>
      <c r="AX73" s="150"/>
      <c r="AY73" s="150"/>
      <c r="AZ73" s="150"/>
      <c r="BA73" s="161">
        <v>20000000</v>
      </c>
      <c r="BB73" s="161"/>
      <c r="BC73" s="161"/>
      <c r="BD73" s="150"/>
      <c r="BE73" s="150"/>
      <c r="BF73" s="150"/>
      <c r="BG73" s="150"/>
      <c r="BH73" s="150"/>
      <c r="BI73" s="150"/>
      <c r="BJ73" s="151">
        <f>+W73+Z73+AC73+AF73+AI73+AL73+AO73+AR73+AU73+AX73+BA73+BD73+BG73</f>
        <v>120000000.09999999</v>
      </c>
      <c r="BK73" s="151">
        <f t="shared" ref="BK73:BL73" si="97">+X73+AA73+AD73+AG73+AJ73+AM73+AP73+AS73+AV73+AY73+BB73+BE73+BH73</f>
        <v>0</v>
      </c>
      <c r="BL73" s="151">
        <f t="shared" si="97"/>
        <v>0</v>
      </c>
      <c r="BM73" s="176" t="s">
        <v>160</v>
      </c>
      <c r="BN73" s="341" t="s">
        <v>1573</v>
      </c>
    </row>
    <row r="74" spans="1:105" ht="24" customHeight="1" x14ac:dyDescent="0.2">
      <c r="A74" s="145"/>
      <c r="B74" s="91"/>
      <c r="C74" s="91"/>
      <c r="D74" s="91"/>
      <c r="E74" s="91"/>
      <c r="F74" s="154">
        <v>4003</v>
      </c>
      <c r="G74" s="81" t="s">
        <v>246</v>
      </c>
      <c r="H74" s="784"/>
      <c r="I74" s="785"/>
      <c r="J74" s="786"/>
      <c r="K74" s="787"/>
      <c r="L74" s="786"/>
      <c r="M74" s="786"/>
      <c r="N74" s="788"/>
      <c r="O74" s="789"/>
      <c r="P74" s="788"/>
      <c r="Q74" s="793"/>
      <c r="R74" s="789"/>
      <c r="S74" s="789"/>
      <c r="T74" s="791"/>
      <c r="U74" s="690"/>
      <c r="V74" s="147"/>
      <c r="W74" s="148">
        <f>SUM(W75:W80)</f>
        <v>450000000</v>
      </c>
      <c r="X74" s="148">
        <f t="shared" ref="X74:Y74" si="98">SUM(X75:X80)</f>
        <v>0</v>
      </c>
      <c r="Y74" s="148">
        <f t="shared" si="98"/>
        <v>0</v>
      </c>
      <c r="Z74" s="148">
        <f t="shared" ref="Z74:BL74" si="99">SUM(Z75:Z80)</f>
        <v>0</v>
      </c>
      <c r="AA74" s="148"/>
      <c r="AB74" s="148"/>
      <c r="AC74" s="148">
        <f t="shared" si="99"/>
        <v>0</v>
      </c>
      <c r="AD74" s="148"/>
      <c r="AE74" s="148"/>
      <c r="AF74" s="148">
        <f t="shared" si="99"/>
        <v>0</v>
      </c>
      <c r="AG74" s="148"/>
      <c r="AH74" s="148"/>
      <c r="AI74" s="148">
        <f t="shared" si="99"/>
        <v>0</v>
      </c>
      <c r="AJ74" s="148"/>
      <c r="AK74" s="148"/>
      <c r="AL74" s="148">
        <f t="shared" si="99"/>
        <v>0</v>
      </c>
      <c r="AM74" s="148"/>
      <c r="AN74" s="148"/>
      <c r="AO74" s="148">
        <f t="shared" si="99"/>
        <v>0</v>
      </c>
      <c r="AP74" s="148"/>
      <c r="AQ74" s="148"/>
      <c r="AR74" s="148">
        <f t="shared" si="99"/>
        <v>0</v>
      </c>
      <c r="AS74" s="148"/>
      <c r="AT74" s="148"/>
      <c r="AU74" s="148">
        <f t="shared" si="99"/>
        <v>0</v>
      </c>
      <c r="AV74" s="148"/>
      <c r="AW74" s="148"/>
      <c r="AX74" s="148">
        <f t="shared" si="99"/>
        <v>2753011221</v>
      </c>
      <c r="AY74" s="148">
        <f t="shared" si="99"/>
        <v>0</v>
      </c>
      <c r="AZ74" s="148">
        <f t="shared" si="99"/>
        <v>0</v>
      </c>
      <c r="BA74" s="148">
        <f t="shared" si="99"/>
        <v>0</v>
      </c>
      <c r="BB74" s="148"/>
      <c r="BC74" s="148"/>
      <c r="BD74" s="148">
        <f t="shared" si="99"/>
        <v>0</v>
      </c>
      <c r="BE74" s="148"/>
      <c r="BF74" s="148"/>
      <c r="BG74" s="148">
        <f t="shared" si="99"/>
        <v>0</v>
      </c>
      <c r="BH74" s="148"/>
      <c r="BI74" s="148"/>
      <c r="BJ74" s="148">
        <f t="shared" si="99"/>
        <v>3203011221</v>
      </c>
      <c r="BK74" s="148">
        <f t="shared" si="99"/>
        <v>0</v>
      </c>
      <c r="BL74" s="148">
        <f t="shared" si="99"/>
        <v>0</v>
      </c>
      <c r="BM74" s="148">
        <f>SUM(BM75:BM80)</f>
        <v>0</v>
      </c>
      <c r="BN74" s="156">
        <f>SUM(BN75:BN80)</f>
        <v>0</v>
      </c>
    </row>
    <row r="75" spans="1:105" ht="117" customHeight="1" x14ac:dyDescent="0.2">
      <c r="A75" s="145"/>
      <c r="B75" s="91"/>
      <c r="C75" s="91"/>
      <c r="D75" s="91"/>
      <c r="E75" s="91"/>
      <c r="F75" s="87"/>
      <c r="G75" s="197"/>
      <c r="H75" s="792" t="s">
        <v>247</v>
      </c>
      <c r="I75" s="117" t="s">
        <v>47</v>
      </c>
      <c r="J75" s="643" t="s">
        <v>248</v>
      </c>
      <c r="K75" s="810">
        <v>4003006</v>
      </c>
      <c r="L75" s="643" t="s">
        <v>249</v>
      </c>
      <c r="M75" s="117" t="s">
        <v>47</v>
      </c>
      <c r="N75" s="811" t="s">
        <v>250</v>
      </c>
      <c r="O75" s="810">
        <v>400300600</v>
      </c>
      <c r="P75" s="811" t="s">
        <v>251</v>
      </c>
      <c r="Q75" s="812" t="s">
        <v>52</v>
      </c>
      <c r="R75" s="813">
        <v>1</v>
      </c>
      <c r="S75" s="813">
        <v>0</v>
      </c>
      <c r="T75" s="871" t="s">
        <v>252</v>
      </c>
      <c r="U75" s="872" t="s">
        <v>253</v>
      </c>
      <c r="V75" s="881" t="s">
        <v>254</v>
      </c>
      <c r="W75" s="150"/>
      <c r="X75" s="150"/>
      <c r="Y75" s="150"/>
      <c r="Z75" s="150"/>
      <c r="AA75" s="150"/>
      <c r="AB75" s="150"/>
      <c r="AC75" s="192"/>
      <c r="AD75" s="192"/>
      <c r="AE75" s="192"/>
      <c r="AF75" s="150"/>
      <c r="AG75" s="150"/>
      <c r="AH75" s="150"/>
      <c r="AI75" s="150"/>
      <c r="AJ75" s="150"/>
      <c r="AK75" s="150"/>
      <c r="AL75" s="150"/>
      <c r="AM75" s="150"/>
      <c r="AN75" s="150"/>
      <c r="AO75" s="150"/>
      <c r="AP75" s="150"/>
      <c r="AQ75" s="150"/>
      <c r="AR75" s="150"/>
      <c r="AS75" s="150"/>
      <c r="AT75" s="150"/>
      <c r="AU75" s="150"/>
      <c r="AV75" s="150"/>
      <c r="AW75" s="150"/>
      <c r="AX75" s="150">
        <v>100000000</v>
      </c>
      <c r="AY75" s="150"/>
      <c r="AZ75" s="150"/>
      <c r="BA75" s="161"/>
      <c r="BB75" s="161"/>
      <c r="BC75" s="161"/>
      <c r="BD75" s="150"/>
      <c r="BE75" s="150"/>
      <c r="BF75" s="150"/>
      <c r="BG75" s="150"/>
      <c r="BH75" s="150"/>
      <c r="BI75" s="150"/>
      <c r="BJ75" s="151">
        <f t="shared" ref="BJ75:BJ80" si="100">+W75+Z75+AC75+AF75+AI75+AL75+AO75+AR75+AU75+AX75+BA75+BD75+BG75</f>
        <v>100000000</v>
      </c>
      <c r="BK75" s="151">
        <f t="shared" ref="BK75:BK80" si="101">+X75+AA75+AD75+AG75+AJ75+AM75+AP75+AS75+AV75+AY75+BB75+BE75+BH75</f>
        <v>0</v>
      </c>
      <c r="BL75" s="151">
        <f t="shared" ref="BL75:BL80" si="102">+Y75+AB75+AE75+AH75+AK75+AN75+AQ75+AT75+AW75+AZ75+BC75+BF75+BI75</f>
        <v>0</v>
      </c>
      <c r="BM75" s="176" t="s">
        <v>160</v>
      </c>
      <c r="BN75" s="341" t="s">
        <v>1573</v>
      </c>
    </row>
    <row r="76" spans="1:105" ht="60" customHeight="1" x14ac:dyDescent="0.2">
      <c r="A76" s="145"/>
      <c r="B76" s="91"/>
      <c r="C76" s="91"/>
      <c r="D76" s="91"/>
      <c r="E76" s="91"/>
      <c r="F76" s="87"/>
      <c r="G76" s="197"/>
      <c r="H76" s="574" t="s">
        <v>255</v>
      </c>
      <c r="I76" s="85">
        <v>4003018</v>
      </c>
      <c r="J76" s="574" t="s">
        <v>256</v>
      </c>
      <c r="K76" s="85">
        <v>4003018</v>
      </c>
      <c r="L76" s="574" t="s">
        <v>256</v>
      </c>
      <c r="M76" s="85">
        <v>400301802</v>
      </c>
      <c r="N76" s="110" t="s">
        <v>257</v>
      </c>
      <c r="O76" s="85">
        <v>400301802</v>
      </c>
      <c r="P76" s="110" t="s">
        <v>257</v>
      </c>
      <c r="Q76" s="569" t="s">
        <v>68</v>
      </c>
      <c r="R76" s="191">
        <v>1</v>
      </c>
      <c r="S76" s="191">
        <v>0</v>
      </c>
      <c r="T76" s="865"/>
      <c r="U76" s="872"/>
      <c r="V76" s="881"/>
      <c r="W76" s="150"/>
      <c r="X76" s="150"/>
      <c r="Y76" s="150"/>
      <c r="Z76" s="150"/>
      <c r="AA76" s="150"/>
      <c r="AB76" s="150"/>
      <c r="AC76" s="192"/>
      <c r="AD76" s="192"/>
      <c r="AE76" s="192"/>
      <c r="AF76" s="150"/>
      <c r="AG76" s="150"/>
      <c r="AH76" s="150"/>
      <c r="AI76" s="150"/>
      <c r="AJ76" s="150"/>
      <c r="AK76" s="150"/>
      <c r="AL76" s="150"/>
      <c r="AM76" s="150"/>
      <c r="AN76" s="150"/>
      <c r="AO76" s="150"/>
      <c r="AP76" s="150"/>
      <c r="AQ76" s="150"/>
      <c r="AR76" s="150"/>
      <c r="AS76" s="150"/>
      <c r="AT76" s="150"/>
      <c r="AU76" s="150"/>
      <c r="AV76" s="150"/>
      <c r="AW76" s="150"/>
      <c r="AX76" s="150">
        <v>729000000</v>
      </c>
      <c r="AY76" s="150"/>
      <c r="AZ76" s="150"/>
      <c r="BA76" s="161"/>
      <c r="BB76" s="161"/>
      <c r="BC76" s="161"/>
      <c r="BD76" s="150"/>
      <c r="BE76" s="150"/>
      <c r="BF76" s="150"/>
      <c r="BG76" s="150"/>
      <c r="BH76" s="150"/>
      <c r="BI76" s="150"/>
      <c r="BJ76" s="151">
        <f t="shared" si="100"/>
        <v>729000000</v>
      </c>
      <c r="BK76" s="151">
        <f t="shared" si="101"/>
        <v>0</v>
      </c>
      <c r="BL76" s="151">
        <f t="shared" si="102"/>
        <v>0</v>
      </c>
      <c r="BM76" s="176" t="s">
        <v>160</v>
      </c>
      <c r="BN76" s="341" t="s">
        <v>1573</v>
      </c>
    </row>
    <row r="77" spans="1:105" ht="67.5" customHeight="1" x14ac:dyDescent="0.2">
      <c r="A77" s="145"/>
      <c r="B77" s="91"/>
      <c r="C77" s="91"/>
      <c r="D77" s="91"/>
      <c r="E77" s="91"/>
      <c r="F77" s="87"/>
      <c r="G77" s="197"/>
      <c r="H77" s="574" t="s">
        <v>247</v>
      </c>
      <c r="I77" s="85">
        <v>4003025</v>
      </c>
      <c r="J77" s="574" t="s">
        <v>258</v>
      </c>
      <c r="K77" s="85">
        <v>4003025</v>
      </c>
      <c r="L77" s="574" t="s">
        <v>258</v>
      </c>
      <c r="M77" s="198">
        <v>400302500</v>
      </c>
      <c r="N77" s="199" t="s">
        <v>259</v>
      </c>
      <c r="O77" s="198">
        <v>400302500</v>
      </c>
      <c r="P77" s="199" t="s">
        <v>259</v>
      </c>
      <c r="Q77" s="200" t="s">
        <v>68</v>
      </c>
      <c r="R77" s="191">
        <v>4</v>
      </c>
      <c r="S77" s="191">
        <v>0</v>
      </c>
      <c r="T77" s="865"/>
      <c r="U77" s="872"/>
      <c r="V77" s="881"/>
      <c r="W77" s="150">
        <v>450000000</v>
      </c>
      <c r="X77" s="150"/>
      <c r="Y77" s="150"/>
      <c r="Z77" s="150"/>
      <c r="AA77" s="150"/>
      <c r="AB77" s="150"/>
      <c r="AC77" s="192"/>
      <c r="AD77" s="192"/>
      <c r="AE77" s="192"/>
      <c r="AF77" s="150"/>
      <c r="AG77" s="150"/>
      <c r="AH77" s="150"/>
      <c r="AI77" s="150"/>
      <c r="AJ77" s="150"/>
      <c r="AK77" s="150"/>
      <c r="AL77" s="150"/>
      <c r="AM77" s="150"/>
      <c r="AN77" s="150"/>
      <c r="AO77" s="150"/>
      <c r="AP77" s="150"/>
      <c r="AQ77" s="150"/>
      <c r="AR77" s="150"/>
      <c r="AS77" s="150"/>
      <c r="AT77" s="150"/>
      <c r="AU77" s="150"/>
      <c r="AV77" s="150"/>
      <c r="AW77" s="150"/>
      <c r="AX77" s="150">
        <v>230774762</v>
      </c>
      <c r="AY77" s="150"/>
      <c r="AZ77" s="150"/>
      <c r="BA77" s="161"/>
      <c r="BB77" s="161"/>
      <c r="BC77" s="161"/>
      <c r="BD77" s="150"/>
      <c r="BE77" s="150"/>
      <c r="BF77" s="150"/>
      <c r="BG77" s="150"/>
      <c r="BH77" s="150"/>
      <c r="BI77" s="150"/>
      <c r="BJ77" s="151">
        <f t="shared" si="100"/>
        <v>680774762</v>
      </c>
      <c r="BK77" s="151">
        <f t="shared" si="101"/>
        <v>0</v>
      </c>
      <c r="BL77" s="151">
        <f t="shared" si="102"/>
        <v>0</v>
      </c>
      <c r="BM77" s="176" t="s">
        <v>160</v>
      </c>
      <c r="BN77" s="341" t="s">
        <v>1573</v>
      </c>
    </row>
    <row r="78" spans="1:105" ht="72" customHeight="1" x14ac:dyDescent="0.2">
      <c r="A78" s="145"/>
      <c r="B78" s="91"/>
      <c r="C78" s="91"/>
      <c r="D78" s="91"/>
      <c r="E78" s="91"/>
      <c r="F78" s="87"/>
      <c r="G78" s="197"/>
      <c r="H78" s="574" t="s">
        <v>247</v>
      </c>
      <c r="I78" s="85">
        <v>4003028</v>
      </c>
      <c r="J78" s="574" t="s">
        <v>260</v>
      </c>
      <c r="K78" s="85">
        <v>4003028</v>
      </c>
      <c r="L78" s="574" t="s">
        <v>260</v>
      </c>
      <c r="M78" s="85">
        <v>400302801</v>
      </c>
      <c r="N78" s="110" t="s">
        <v>261</v>
      </c>
      <c r="O78" s="85">
        <v>400302801</v>
      </c>
      <c r="P78" s="110" t="s">
        <v>261</v>
      </c>
      <c r="Q78" s="569" t="s">
        <v>52</v>
      </c>
      <c r="R78" s="191">
        <v>4</v>
      </c>
      <c r="S78" s="191">
        <v>0</v>
      </c>
      <c r="T78" s="865"/>
      <c r="U78" s="872"/>
      <c r="V78" s="881"/>
      <c r="W78" s="150"/>
      <c r="X78" s="150"/>
      <c r="Y78" s="150"/>
      <c r="Z78" s="150"/>
      <c r="AA78" s="150"/>
      <c r="AB78" s="150"/>
      <c r="AC78" s="192"/>
      <c r="AD78" s="192"/>
      <c r="AE78" s="192"/>
      <c r="AF78" s="150"/>
      <c r="AG78" s="150"/>
      <c r="AH78" s="150"/>
      <c r="AI78" s="150"/>
      <c r="AJ78" s="150"/>
      <c r="AK78" s="150"/>
      <c r="AL78" s="150"/>
      <c r="AM78" s="150"/>
      <c r="AN78" s="150"/>
      <c r="AO78" s="150"/>
      <c r="AP78" s="150"/>
      <c r="AQ78" s="150"/>
      <c r="AR78" s="150"/>
      <c r="AS78" s="150"/>
      <c r="AT78" s="150"/>
      <c r="AU78" s="150"/>
      <c r="AV78" s="150"/>
      <c r="AW78" s="150"/>
      <c r="AX78" s="150">
        <v>279000000</v>
      </c>
      <c r="AY78" s="150"/>
      <c r="AZ78" s="150"/>
      <c r="BA78" s="161"/>
      <c r="BB78" s="161"/>
      <c r="BC78" s="161"/>
      <c r="BD78" s="150"/>
      <c r="BE78" s="150"/>
      <c r="BF78" s="150"/>
      <c r="BG78" s="150"/>
      <c r="BH78" s="150"/>
      <c r="BI78" s="150"/>
      <c r="BJ78" s="151">
        <f t="shared" si="100"/>
        <v>279000000</v>
      </c>
      <c r="BK78" s="151">
        <f t="shared" si="101"/>
        <v>0</v>
      </c>
      <c r="BL78" s="151">
        <f t="shared" si="102"/>
        <v>0</v>
      </c>
      <c r="BM78" s="176" t="s">
        <v>160</v>
      </c>
      <c r="BN78" s="341" t="s">
        <v>1573</v>
      </c>
    </row>
    <row r="79" spans="1:105" ht="78.75" customHeight="1" x14ac:dyDescent="0.2">
      <c r="A79" s="145"/>
      <c r="B79" s="91"/>
      <c r="C79" s="91"/>
      <c r="D79" s="91"/>
      <c r="E79" s="91"/>
      <c r="F79" s="87"/>
      <c r="G79" s="197"/>
      <c r="H79" s="574" t="s">
        <v>247</v>
      </c>
      <c r="I79" s="85">
        <v>4003042</v>
      </c>
      <c r="J79" s="574" t="s">
        <v>262</v>
      </c>
      <c r="K79" s="85">
        <v>4003042</v>
      </c>
      <c r="L79" s="574" t="s">
        <v>262</v>
      </c>
      <c r="M79" s="85">
        <v>400304200</v>
      </c>
      <c r="N79" s="110" t="s">
        <v>263</v>
      </c>
      <c r="O79" s="85">
        <v>400304200</v>
      </c>
      <c r="P79" s="110" t="s">
        <v>263</v>
      </c>
      <c r="Q79" s="569" t="s">
        <v>68</v>
      </c>
      <c r="R79" s="191">
        <v>3</v>
      </c>
      <c r="S79" s="191">
        <v>0</v>
      </c>
      <c r="T79" s="865"/>
      <c r="U79" s="872"/>
      <c r="V79" s="881"/>
      <c r="W79" s="150"/>
      <c r="X79" s="150"/>
      <c r="Y79" s="150"/>
      <c r="Z79" s="150"/>
      <c r="AA79" s="150"/>
      <c r="AB79" s="150"/>
      <c r="AC79" s="192"/>
      <c r="AD79" s="192"/>
      <c r="AE79" s="192"/>
      <c r="AF79" s="150"/>
      <c r="AG79" s="150"/>
      <c r="AH79" s="150"/>
      <c r="AI79" s="150"/>
      <c r="AJ79" s="150"/>
      <c r="AK79" s="150"/>
      <c r="AL79" s="150"/>
      <c r="AM79" s="150"/>
      <c r="AN79" s="150"/>
      <c r="AO79" s="150"/>
      <c r="AP79" s="150"/>
      <c r="AQ79" s="150"/>
      <c r="AR79" s="150"/>
      <c r="AS79" s="150"/>
      <c r="AT79" s="150"/>
      <c r="AU79" s="150"/>
      <c r="AV79" s="150"/>
      <c r="AW79" s="150"/>
      <c r="AX79" s="150">
        <v>629000000</v>
      </c>
      <c r="AY79" s="150"/>
      <c r="AZ79" s="150"/>
      <c r="BA79" s="161"/>
      <c r="BB79" s="161"/>
      <c r="BC79" s="161"/>
      <c r="BD79" s="150"/>
      <c r="BE79" s="150"/>
      <c r="BF79" s="150"/>
      <c r="BG79" s="150"/>
      <c r="BH79" s="150"/>
      <c r="BI79" s="150"/>
      <c r="BJ79" s="151">
        <f t="shared" si="100"/>
        <v>629000000</v>
      </c>
      <c r="BK79" s="151">
        <f t="shared" si="101"/>
        <v>0</v>
      </c>
      <c r="BL79" s="151">
        <f t="shared" si="102"/>
        <v>0</v>
      </c>
      <c r="BM79" s="176" t="s">
        <v>160</v>
      </c>
      <c r="BN79" s="341" t="s">
        <v>1573</v>
      </c>
    </row>
    <row r="80" spans="1:105" ht="89.25" customHeight="1" x14ac:dyDescent="0.2">
      <c r="A80" s="145"/>
      <c r="B80" s="91"/>
      <c r="C80" s="91"/>
      <c r="D80" s="91"/>
      <c r="E80" s="91"/>
      <c r="F80" s="87"/>
      <c r="G80" s="794"/>
      <c r="H80" s="795" t="s">
        <v>247</v>
      </c>
      <c r="I80" s="796" t="s">
        <v>264</v>
      </c>
      <c r="J80" s="795" t="s">
        <v>265</v>
      </c>
      <c r="K80" s="796" t="s">
        <v>264</v>
      </c>
      <c r="L80" s="795" t="s">
        <v>265</v>
      </c>
      <c r="M80" s="797">
        <v>400302600</v>
      </c>
      <c r="N80" s="798" t="s">
        <v>266</v>
      </c>
      <c r="O80" s="797">
        <v>400302600</v>
      </c>
      <c r="P80" s="798" t="s">
        <v>266</v>
      </c>
      <c r="Q80" s="592" t="s">
        <v>68</v>
      </c>
      <c r="R80" s="799">
        <v>1</v>
      </c>
      <c r="S80" s="799">
        <v>0</v>
      </c>
      <c r="T80" s="890"/>
      <c r="U80" s="872"/>
      <c r="V80" s="881"/>
      <c r="W80" s="150"/>
      <c r="X80" s="150"/>
      <c r="Y80" s="150"/>
      <c r="Z80" s="150"/>
      <c r="AA80" s="150"/>
      <c r="AB80" s="150"/>
      <c r="AC80" s="192"/>
      <c r="AD80" s="192"/>
      <c r="AE80" s="192"/>
      <c r="AF80" s="150"/>
      <c r="AG80" s="150"/>
      <c r="AH80" s="150"/>
      <c r="AI80" s="150"/>
      <c r="AJ80" s="150"/>
      <c r="AK80" s="150"/>
      <c r="AL80" s="150"/>
      <c r="AM80" s="150"/>
      <c r="AN80" s="150"/>
      <c r="AO80" s="150"/>
      <c r="AP80" s="150"/>
      <c r="AQ80" s="150"/>
      <c r="AR80" s="150"/>
      <c r="AS80" s="150"/>
      <c r="AT80" s="150"/>
      <c r="AU80" s="150"/>
      <c r="AV80" s="150"/>
      <c r="AW80" s="150"/>
      <c r="AX80" s="150">
        <v>785236459</v>
      </c>
      <c r="AY80" s="150"/>
      <c r="AZ80" s="150"/>
      <c r="BA80" s="161"/>
      <c r="BB80" s="161"/>
      <c r="BC80" s="161"/>
      <c r="BD80" s="150"/>
      <c r="BE80" s="150"/>
      <c r="BF80" s="150"/>
      <c r="BG80" s="150"/>
      <c r="BH80" s="150"/>
      <c r="BI80" s="150"/>
      <c r="BJ80" s="151">
        <f t="shared" si="100"/>
        <v>785236459</v>
      </c>
      <c r="BK80" s="151">
        <f t="shared" si="101"/>
        <v>0</v>
      </c>
      <c r="BL80" s="151">
        <f t="shared" si="102"/>
        <v>0</v>
      </c>
      <c r="BM80" s="176" t="s">
        <v>160</v>
      </c>
      <c r="BN80" s="341" t="s">
        <v>1573</v>
      </c>
    </row>
    <row r="81" spans="1:106" ht="24" customHeight="1" x14ac:dyDescent="0.2">
      <c r="A81" s="145"/>
      <c r="B81" s="131">
        <v>4</v>
      </c>
      <c r="C81" s="131"/>
      <c r="D81" s="74" t="s">
        <v>43</v>
      </c>
      <c r="E81" s="173"/>
      <c r="F81" s="180" t="s">
        <v>43</v>
      </c>
      <c r="G81" s="768"/>
      <c r="H81" s="769"/>
      <c r="I81" s="769"/>
      <c r="J81" s="770"/>
      <c r="K81" s="771"/>
      <c r="L81" s="770"/>
      <c r="M81" s="770"/>
      <c r="N81" s="772"/>
      <c r="O81" s="773"/>
      <c r="P81" s="772"/>
      <c r="Q81" s="806"/>
      <c r="R81" s="773"/>
      <c r="S81" s="773"/>
      <c r="T81" s="775"/>
      <c r="U81" s="186"/>
      <c r="V81" s="133"/>
      <c r="W81" s="134">
        <f>W82</f>
        <v>0</v>
      </c>
      <c r="X81" s="134"/>
      <c r="Y81" s="134"/>
      <c r="Z81" s="134">
        <f t="shared" ref="Z81:BG81" si="103">Z82</f>
        <v>0</v>
      </c>
      <c r="AA81" s="134"/>
      <c r="AB81" s="134"/>
      <c r="AC81" s="134">
        <f t="shared" si="103"/>
        <v>0</v>
      </c>
      <c r="AD81" s="134"/>
      <c r="AE81" s="134"/>
      <c r="AF81" s="134">
        <f t="shared" si="103"/>
        <v>0</v>
      </c>
      <c r="AG81" s="134"/>
      <c r="AH81" s="134"/>
      <c r="AI81" s="134">
        <f t="shared" si="103"/>
        <v>0</v>
      </c>
      <c r="AJ81" s="134"/>
      <c r="AK81" s="134"/>
      <c r="AL81" s="134">
        <f t="shared" si="103"/>
        <v>0</v>
      </c>
      <c r="AM81" s="134"/>
      <c r="AN81" s="134"/>
      <c r="AO81" s="134">
        <f t="shared" si="103"/>
        <v>0</v>
      </c>
      <c r="AP81" s="134"/>
      <c r="AQ81" s="134"/>
      <c r="AR81" s="134">
        <f t="shared" si="103"/>
        <v>0</v>
      </c>
      <c r="AS81" s="134"/>
      <c r="AT81" s="134"/>
      <c r="AU81" s="134">
        <f t="shared" si="103"/>
        <v>0</v>
      </c>
      <c r="AV81" s="134"/>
      <c r="AW81" s="134"/>
      <c r="AX81" s="134">
        <f t="shared" si="103"/>
        <v>0</v>
      </c>
      <c r="AY81" s="134">
        <f t="shared" si="103"/>
        <v>0</v>
      </c>
      <c r="AZ81" s="134">
        <f t="shared" si="103"/>
        <v>0</v>
      </c>
      <c r="BA81" s="134">
        <f t="shared" si="103"/>
        <v>78000000</v>
      </c>
      <c r="BB81" s="134">
        <f t="shared" si="103"/>
        <v>1068000</v>
      </c>
      <c r="BC81" s="134">
        <f t="shared" si="103"/>
        <v>0</v>
      </c>
      <c r="BD81" s="134">
        <f t="shared" si="103"/>
        <v>0</v>
      </c>
      <c r="BE81" s="134"/>
      <c r="BF81" s="134"/>
      <c r="BG81" s="134">
        <f t="shared" si="103"/>
        <v>0</v>
      </c>
      <c r="BH81" s="134"/>
      <c r="BI81" s="134"/>
      <c r="BJ81" s="134">
        <f>BJ82</f>
        <v>78000000</v>
      </c>
      <c r="BK81" s="134">
        <f t="shared" ref="BK81:BL81" si="104">BK82</f>
        <v>1068000</v>
      </c>
      <c r="BL81" s="134">
        <f t="shared" si="104"/>
        <v>0</v>
      </c>
      <c r="BM81" s="134"/>
      <c r="BN81" s="168"/>
    </row>
    <row r="82" spans="1:106" s="9" customFormat="1" ht="24" customHeight="1" x14ac:dyDescent="0.25">
      <c r="A82" s="130"/>
      <c r="B82" s="83"/>
      <c r="C82" s="83"/>
      <c r="D82" s="77">
        <v>45</v>
      </c>
      <c r="E82" s="75" t="s">
        <v>44</v>
      </c>
      <c r="F82" s="135"/>
      <c r="G82" s="776"/>
      <c r="H82" s="779"/>
      <c r="I82" s="779"/>
      <c r="J82" s="781"/>
      <c r="K82" s="778"/>
      <c r="L82" s="781"/>
      <c r="M82" s="781"/>
      <c r="N82" s="782"/>
      <c r="O82" s="780"/>
      <c r="P82" s="782"/>
      <c r="Q82" s="781"/>
      <c r="R82" s="807"/>
      <c r="S82" s="807"/>
      <c r="T82" s="808"/>
      <c r="U82" s="687"/>
      <c r="V82" s="144"/>
      <c r="W82" s="144">
        <f>W83+W85</f>
        <v>0</v>
      </c>
      <c r="X82" s="144"/>
      <c r="Y82" s="144"/>
      <c r="Z82" s="144">
        <f t="shared" ref="Z82:BJ82" si="105">Z83+Z85</f>
        <v>0</v>
      </c>
      <c r="AA82" s="144"/>
      <c r="AB82" s="144"/>
      <c r="AC82" s="144">
        <f t="shared" si="105"/>
        <v>0</v>
      </c>
      <c r="AD82" s="144"/>
      <c r="AE82" s="144"/>
      <c r="AF82" s="144">
        <f t="shared" si="105"/>
        <v>0</v>
      </c>
      <c r="AG82" s="144"/>
      <c r="AH82" s="144"/>
      <c r="AI82" s="144">
        <f t="shared" si="105"/>
        <v>0</v>
      </c>
      <c r="AJ82" s="144"/>
      <c r="AK82" s="144"/>
      <c r="AL82" s="144">
        <f t="shared" si="105"/>
        <v>0</v>
      </c>
      <c r="AM82" s="144"/>
      <c r="AN82" s="144"/>
      <c r="AO82" s="144">
        <f t="shared" si="105"/>
        <v>0</v>
      </c>
      <c r="AP82" s="144"/>
      <c r="AQ82" s="144"/>
      <c r="AR82" s="144">
        <f t="shared" si="105"/>
        <v>0</v>
      </c>
      <c r="AS82" s="144"/>
      <c r="AT82" s="144"/>
      <c r="AU82" s="144">
        <f t="shared" si="105"/>
        <v>0</v>
      </c>
      <c r="AV82" s="144"/>
      <c r="AW82" s="144"/>
      <c r="AX82" s="144">
        <f t="shared" si="105"/>
        <v>0</v>
      </c>
      <c r="AY82" s="144">
        <f t="shared" ref="AY82:AZ82" si="106">AY83+AY85</f>
        <v>0</v>
      </c>
      <c r="AZ82" s="144">
        <f t="shared" si="106"/>
        <v>0</v>
      </c>
      <c r="BA82" s="144">
        <f t="shared" si="105"/>
        <v>78000000</v>
      </c>
      <c r="BB82" s="144">
        <f t="shared" ref="BB82:BC82" si="107">BB83+BB85</f>
        <v>1068000</v>
      </c>
      <c r="BC82" s="144">
        <f t="shared" si="107"/>
        <v>0</v>
      </c>
      <c r="BD82" s="144">
        <f t="shared" si="105"/>
        <v>0</v>
      </c>
      <c r="BE82" s="144"/>
      <c r="BF82" s="144"/>
      <c r="BG82" s="144">
        <f t="shared" si="105"/>
        <v>0</v>
      </c>
      <c r="BH82" s="144"/>
      <c r="BI82" s="144"/>
      <c r="BJ82" s="144">
        <f t="shared" si="105"/>
        <v>78000000</v>
      </c>
      <c r="BK82" s="144">
        <f t="shared" ref="BK82:BL82" si="108">BK83+BK85</f>
        <v>1068000</v>
      </c>
      <c r="BL82" s="144">
        <f t="shared" si="108"/>
        <v>0</v>
      </c>
      <c r="BM82" s="169"/>
      <c r="BN82" s="169"/>
      <c r="BO82" s="8"/>
      <c r="BP82" s="8"/>
      <c r="BQ82" s="8"/>
      <c r="BR82" s="8"/>
      <c r="BS82" s="8"/>
      <c r="BT82" s="8"/>
      <c r="BU82" s="8"/>
      <c r="BV82" s="8"/>
      <c r="BW82" s="8"/>
      <c r="BX82" s="8"/>
      <c r="BY82" s="8"/>
      <c r="BZ82" s="8"/>
      <c r="CA82" s="8"/>
      <c r="CB82" s="8"/>
      <c r="CC82" s="8"/>
      <c r="CD82" s="8"/>
      <c r="CE82" s="8"/>
      <c r="CF82" s="8"/>
      <c r="CG82" s="8"/>
      <c r="CH82" s="8"/>
      <c r="CI82" s="8"/>
      <c r="CJ82" s="8"/>
      <c r="CK82" s="8"/>
      <c r="CL82" s="8"/>
      <c r="CM82" s="8"/>
      <c r="CN82" s="8"/>
      <c r="CO82" s="8"/>
      <c r="CP82" s="8"/>
      <c r="CQ82" s="8"/>
      <c r="CR82" s="8"/>
      <c r="CS82" s="8"/>
      <c r="CT82" s="8"/>
      <c r="CU82" s="8"/>
      <c r="CV82" s="8"/>
      <c r="CW82" s="8"/>
      <c r="CX82" s="8"/>
      <c r="CY82" s="8"/>
      <c r="CZ82" s="8"/>
      <c r="DA82" s="8"/>
    </row>
    <row r="83" spans="1:106" ht="24" customHeight="1" x14ac:dyDescent="0.2">
      <c r="A83" s="145"/>
      <c r="B83" s="91"/>
      <c r="C83" s="91"/>
      <c r="D83" s="91"/>
      <c r="E83" s="91"/>
      <c r="F83" s="747">
        <v>4599</v>
      </c>
      <c r="G83" s="784" t="s">
        <v>45</v>
      </c>
      <c r="H83" s="785"/>
      <c r="I83" s="785"/>
      <c r="J83" s="786"/>
      <c r="K83" s="809"/>
      <c r="L83" s="786"/>
      <c r="M83" s="786"/>
      <c r="N83" s="788"/>
      <c r="O83" s="789"/>
      <c r="P83" s="788"/>
      <c r="Q83" s="793"/>
      <c r="R83" s="789"/>
      <c r="S83" s="789"/>
      <c r="T83" s="791"/>
      <c r="U83" s="690"/>
      <c r="V83" s="147"/>
      <c r="W83" s="148">
        <f>W84</f>
        <v>0</v>
      </c>
      <c r="X83" s="148"/>
      <c r="Y83" s="148"/>
      <c r="Z83" s="148">
        <f t="shared" ref="Z83:BL83" si="109">Z84</f>
        <v>0</v>
      </c>
      <c r="AA83" s="148"/>
      <c r="AB83" s="148"/>
      <c r="AC83" s="148">
        <f t="shared" si="109"/>
        <v>0</v>
      </c>
      <c r="AD83" s="148"/>
      <c r="AE83" s="148"/>
      <c r="AF83" s="148">
        <f t="shared" si="109"/>
        <v>0</v>
      </c>
      <c r="AG83" s="148"/>
      <c r="AH83" s="148"/>
      <c r="AI83" s="148">
        <f t="shared" si="109"/>
        <v>0</v>
      </c>
      <c r="AJ83" s="148"/>
      <c r="AK83" s="148"/>
      <c r="AL83" s="148">
        <f t="shared" si="109"/>
        <v>0</v>
      </c>
      <c r="AM83" s="148"/>
      <c r="AN83" s="148"/>
      <c r="AO83" s="148">
        <f t="shared" si="109"/>
        <v>0</v>
      </c>
      <c r="AP83" s="148"/>
      <c r="AQ83" s="148"/>
      <c r="AR83" s="148">
        <f t="shared" si="109"/>
        <v>0</v>
      </c>
      <c r="AS83" s="148"/>
      <c r="AT83" s="148"/>
      <c r="AU83" s="148">
        <f t="shared" si="109"/>
        <v>0</v>
      </c>
      <c r="AV83" s="148"/>
      <c r="AW83" s="148"/>
      <c r="AX83" s="148">
        <f t="shared" si="109"/>
        <v>0</v>
      </c>
      <c r="AY83" s="148">
        <f t="shared" si="109"/>
        <v>0</v>
      </c>
      <c r="AZ83" s="148">
        <f t="shared" si="109"/>
        <v>0</v>
      </c>
      <c r="BA83" s="148">
        <f t="shared" si="109"/>
        <v>40000000</v>
      </c>
      <c r="BB83" s="148">
        <f t="shared" si="109"/>
        <v>1068000</v>
      </c>
      <c r="BC83" s="148">
        <f t="shared" si="109"/>
        <v>0</v>
      </c>
      <c r="BD83" s="148">
        <f t="shared" si="109"/>
        <v>0</v>
      </c>
      <c r="BE83" s="148"/>
      <c r="BF83" s="148"/>
      <c r="BG83" s="148">
        <f t="shared" si="109"/>
        <v>0</v>
      </c>
      <c r="BH83" s="148"/>
      <c r="BI83" s="148"/>
      <c r="BJ83" s="148">
        <f t="shared" si="109"/>
        <v>40000000</v>
      </c>
      <c r="BK83" s="148">
        <f t="shared" si="109"/>
        <v>1068000</v>
      </c>
      <c r="BL83" s="148">
        <f t="shared" si="109"/>
        <v>0</v>
      </c>
      <c r="BM83" s="148"/>
      <c r="BN83" s="156"/>
    </row>
    <row r="84" spans="1:106" ht="130.5" customHeight="1" x14ac:dyDescent="0.2">
      <c r="A84" s="145"/>
      <c r="B84" s="91"/>
      <c r="C84" s="91"/>
      <c r="D84" s="91"/>
      <c r="E84" s="91"/>
      <c r="F84" s="87"/>
      <c r="G84" s="800" t="s">
        <v>0</v>
      </c>
      <c r="H84" s="651" t="s">
        <v>46</v>
      </c>
      <c r="I84" s="801" t="s">
        <v>47</v>
      </c>
      <c r="J84" s="642" t="s">
        <v>267</v>
      </c>
      <c r="K84" s="802" t="s">
        <v>268</v>
      </c>
      <c r="L84" s="642" t="s">
        <v>176</v>
      </c>
      <c r="M84" s="801" t="s">
        <v>47</v>
      </c>
      <c r="N84" s="803" t="s">
        <v>269</v>
      </c>
      <c r="O84" s="802">
        <v>459901600</v>
      </c>
      <c r="P84" s="803" t="s">
        <v>176</v>
      </c>
      <c r="Q84" s="469" t="s">
        <v>52</v>
      </c>
      <c r="R84" s="804">
        <v>4</v>
      </c>
      <c r="S84" s="804">
        <v>0</v>
      </c>
      <c r="T84" s="805" t="s">
        <v>270</v>
      </c>
      <c r="U84" s="559" t="s">
        <v>1514</v>
      </c>
      <c r="V84" s="559" t="s">
        <v>271</v>
      </c>
      <c r="W84" s="202"/>
      <c r="X84" s="202"/>
      <c r="Y84" s="202"/>
      <c r="Z84" s="150"/>
      <c r="AA84" s="150"/>
      <c r="AB84" s="150"/>
      <c r="AC84" s="150"/>
      <c r="AD84" s="150"/>
      <c r="AE84" s="150"/>
      <c r="AF84" s="150"/>
      <c r="AG84" s="150"/>
      <c r="AH84" s="150"/>
      <c r="AI84" s="150"/>
      <c r="AJ84" s="150"/>
      <c r="AK84" s="150"/>
      <c r="AL84" s="150"/>
      <c r="AM84" s="150"/>
      <c r="AN84" s="150"/>
      <c r="AO84" s="150"/>
      <c r="AP84" s="150"/>
      <c r="AQ84" s="150"/>
      <c r="AR84" s="150"/>
      <c r="AS84" s="150"/>
      <c r="AT84" s="150"/>
      <c r="AU84" s="150"/>
      <c r="AV84" s="150"/>
      <c r="AW84" s="150"/>
      <c r="AX84" s="150"/>
      <c r="AY84" s="150"/>
      <c r="AZ84" s="150"/>
      <c r="BA84" s="161">
        <v>40000000</v>
      </c>
      <c r="BB84" s="161">
        <v>1068000</v>
      </c>
      <c r="BC84" s="161"/>
      <c r="BD84" s="203"/>
      <c r="BE84" s="203"/>
      <c r="BF84" s="203"/>
      <c r="BG84" s="150"/>
      <c r="BH84" s="150"/>
      <c r="BI84" s="150"/>
      <c r="BJ84" s="151">
        <f>+W84+Z84+AC84+AF84+AI84+AL84+AO84+AR84+AU84+AX84+BA84+BD84+BG84</f>
        <v>40000000</v>
      </c>
      <c r="BK84" s="151">
        <f t="shared" ref="BK84:BL84" si="110">+X84+AA84+AD84+AG84+AJ84+AM84+AP84+AS84+AV84+AY84+BB84+BE84+BH84</f>
        <v>1068000</v>
      </c>
      <c r="BL84" s="151">
        <f t="shared" si="110"/>
        <v>0</v>
      </c>
      <c r="BM84" s="176" t="s">
        <v>160</v>
      </c>
      <c r="BN84" s="341" t="s">
        <v>1573</v>
      </c>
    </row>
    <row r="85" spans="1:106" ht="24" customHeight="1" x14ac:dyDescent="0.2">
      <c r="A85" s="145"/>
      <c r="B85" s="91"/>
      <c r="C85" s="91"/>
      <c r="D85" s="91"/>
      <c r="E85" s="91"/>
      <c r="F85" s="747">
        <v>4502</v>
      </c>
      <c r="G85" s="784" t="s">
        <v>71</v>
      </c>
      <c r="H85" s="785"/>
      <c r="I85" s="785"/>
      <c r="J85" s="786"/>
      <c r="K85" s="787"/>
      <c r="L85" s="786"/>
      <c r="M85" s="786"/>
      <c r="N85" s="788"/>
      <c r="O85" s="789"/>
      <c r="P85" s="788"/>
      <c r="Q85" s="793"/>
      <c r="R85" s="789"/>
      <c r="S85" s="789"/>
      <c r="T85" s="791"/>
      <c r="U85" s="690"/>
      <c r="V85" s="147"/>
      <c r="W85" s="148">
        <f>W86</f>
        <v>0</v>
      </c>
      <c r="X85" s="148"/>
      <c r="Y85" s="148"/>
      <c r="Z85" s="148">
        <f t="shared" ref="Z85:BL85" si="111">Z86</f>
        <v>0</v>
      </c>
      <c r="AA85" s="148"/>
      <c r="AB85" s="148"/>
      <c r="AC85" s="148">
        <f t="shared" si="111"/>
        <v>0</v>
      </c>
      <c r="AD85" s="148"/>
      <c r="AE85" s="148"/>
      <c r="AF85" s="148">
        <f t="shared" si="111"/>
        <v>0</v>
      </c>
      <c r="AG85" s="148"/>
      <c r="AH85" s="148"/>
      <c r="AI85" s="148">
        <f t="shared" si="111"/>
        <v>0</v>
      </c>
      <c r="AJ85" s="148"/>
      <c r="AK85" s="148"/>
      <c r="AL85" s="148">
        <f t="shared" si="111"/>
        <v>0</v>
      </c>
      <c r="AM85" s="148"/>
      <c r="AN85" s="148"/>
      <c r="AO85" s="148">
        <f t="shared" si="111"/>
        <v>0</v>
      </c>
      <c r="AP85" s="148"/>
      <c r="AQ85" s="148"/>
      <c r="AR85" s="148">
        <f t="shared" si="111"/>
        <v>0</v>
      </c>
      <c r="AS85" s="148"/>
      <c r="AT85" s="148"/>
      <c r="AU85" s="148">
        <f t="shared" si="111"/>
        <v>0</v>
      </c>
      <c r="AV85" s="148"/>
      <c r="AW85" s="148"/>
      <c r="AX85" s="148">
        <f t="shared" si="111"/>
        <v>0</v>
      </c>
      <c r="AY85" s="148"/>
      <c r="AZ85" s="148"/>
      <c r="BA85" s="148">
        <f t="shared" si="111"/>
        <v>38000000</v>
      </c>
      <c r="BB85" s="148">
        <f t="shared" si="111"/>
        <v>0</v>
      </c>
      <c r="BC85" s="148">
        <f t="shared" si="111"/>
        <v>0</v>
      </c>
      <c r="BD85" s="148">
        <f t="shared" si="111"/>
        <v>0</v>
      </c>
      <c r="BE85" s="148"/>
      <c r="BF85" s="148"/>
      <c r="BG85" s="148">
        <f t="shared" si="111"/>
        <v>0</v>
      </c>
      <c r="BH85" s="148"/>
      <c r="BI85" s="148"/>
      <c r="BJ85" s="148">
        <f t="shared" si="111"/>
        <v>38000000</v>
      </c>
      <c r="BK85" s="148">
        <f t="shared" si="111"/>
        <v>0</v>
      </c>
      <c r="BL85" s="148">
        <f t="shared" si="111"/>
        <v>0</v>
      </c>
      <c r="BM85" s="148"/>
      <c r="BN85" s="156"/>
    </row>
    <row r="86" spans="1:106" ht="147.75" customHeight="1" x14ac:dyDescent="0.2">
      <c r="A86" s="145"/>
      <c r="B86" s="91"/>
      <c r="C86" s="91"/>
      <c r="D86" s="91"/>
      <c r="E86" s="91"/>
      <c r="F86" s="87"/>
      <c r="G86" s="470"/>
      <c r="H86" s="645" t="s">
        <v>81</v>
      </c>
      <c r="I86" s="117">
        <v>4502003</v>
      </c>
      <c r="J86" s="792" t="s">
        <v>272</v>
      </c>
      <c r="K86" s="117">
        <v>4502003</v>
      </c>
      <c r="L86" s="792" t="s">
        <v>273</v>
      </c>
      <c r="M86" s="117">
        <v>450200300</v>
      </c>
      <c r="N86" s="792" t="s">
        <v>272</v>
      </c>
      <c r="O86" s="117">
        <v>450200300</v>
      </c>
      <c r="P86" s="792" t="s">
        <v>272</v>
      </c>
      <c r="Q86" s="470" t="s">
        <v>68</v>
      </c>
      <c r="R86" s="220">
        <v>2</v>
      </c>
      <c r="S86" s="220">
        <v>0</v>
      </c>
      <c r="T86" s="647" t="s">
        <v>274</v>
      </c>
      <c r="U86" s="559" t="s">
        <v>275</v>
      </c>
      <c r="V86" s="559" t="s">
        <v>276</v>
      </c>
      <c r="W86" s="202"/>
      <c r="X86" s="202"/>
      <c r="Y86" s="202"/>
      <c r="Z86" s="150"/>
      <c r="AA86" s="150"/>
      <c r="AB86" s="150"/>
      <c r="AC86" s="150"/>
      <c r="AD86" s="150"/>
      <c r="AE86" s="150"/>
      <c r="AF86" s="150"/>
      <c r="AG86" s="150"/>
      <c r="AH86" s="150"/>
      <c r="AI86" s="150"/>
      <c r="AJ86" s="150"/>
      <c r="AK86" s="150"/>
      <c r="AL86" s="150"/>
      <c r="AM86" s="150"/>
      <c r="AN86" s="150"/>
      <c r="AO86" s="150"/>
      <c r="AP86" s="150"/>
      <c r="AQ86" s="150"/>
      <c r="AR86" s="150"/>
      <c r="AS86" s="150"/>
      <c r="AT86" s="150"/>
      <c r="AU86" s="150"/>
      <c r="AV86" s="150"/>
      <c r="AW86" s="150"/>
      <c r="AX86" s="150"/>
      <c r="AY86" s="150"/>
      <c r="AZ86" s="150"/>
      <c r="BA86" s="161">
        <v>38000000</v>
      </c>
      <c r="BB86" s="161"/>
      <c r="BC86" s="161"/>
      <c r="BD86" s="145"/>
      <c r="BE86" s="145"/>
      <c r="BF86" s="145"/>
      <c r="BG86" s="150"/>
      <c r="BH86" s="150"/>
      <c r="BI86" s="150"/>
      <c r="BJ86" s="151">
        <f>+W86+Z86+AC86+AF86+AI86+AL86+AO86+AR86+AU86+AX86+BA86+BD86+BG86</f>
        <v>38000000</v>
      </c>
      <c r="BK86" s="151">
        <f t="shared" ref="BK86:BL86" si="112">+X86+AA86+AD86+AG86+AJ86+AM86+AP86+AS86+AV86+AY86+BB86+BE86+BH86</f>
        <v>0</v>
      </c>
      <c r="BL86" s="151">
        <f t="shared" si="112"/>
        <v>0</v>
      </c>
      <c r="BM86" s="176" t="s">
        <v>160</v>
      </c>
      <c r="BN86" s="341" t="s">
        <v>1573</v>
      </c>
    </row>
    <row r="87" spans="1:106" s="467" customFormat="1" ht="16.5" customHeight="1" x14ac:dyDescent="0.25">
      <c r="A87" s="463"/>
      <c r="B87" s="463"/>
      <c r="C87" s="463"/>
      <c r="D87" s="463"/>
      <c r="E87" s="463"/>
      <c r="F87" s="463"/>
      <c r="G87" s="463"/>
      <c r="H87" s="465"/>
      <c r="I87" s="463"/>
      <c r="J87" s="463"/>
      <c r="K87" s="463"/>
      <c r="L87" s="463"/>
      <c r="M87" s="463"/>
      <c r="N87" s="463"/>
      <c r="O87" s="463"/>
      <c r="P87" s="463"/>
      <c r="Q87" s="465"/>
      <c r="R87" s="463"/>
      <c r="S87" s="463"/>
      <c r="T87" s="465"/>
      <c r="U87" s="465"/>
      <c r="V87" s="465"/>
      <c r="W87" s="466"/>
      <c r="X87" s="466"/>
      <c r="Y87" s="466"/>
      <c r="Z87" s="466"/>
      <c r="AA87" s="466"/>
      <c r="AB87" s="466"/>
      <c r="AC87" s="466"/>
      <c r="AD87" s="466"/>
      <c r="AE87" s="466"/>
      <c r="AF87" s="466"/>
      <c r="AG87" s="466"/>
      <c r="AH87" s="466"/>
      <c r="AI87" s="466"/>
      <c r="AJ87" s="466"/>
      <c r="AK87" s="466"/>
      <c r="AL87" s="466"/>
      <c r="AM87" s="466"/>
      <c r="AN87" s="466"/>
      <c r="AO87" s="466"/>
      <c r="AP87" s="466"/>
      <c r="AQ87" s="466"/>
      <c r="AR87" s="466"/>
      <c r="AS87" s="466"/>
      <c r="AT87" s="466"/>
      <c r="AU87" s="466"/>
      <c r="AV87" s="466"/>
      <c r="AW87" s="466"/>
      <c r="AX87" s="466"/>
      <c r="AY87" s="466"/>
      <c r="AZ87" s="466"/>
      <c r="BA87" s="466"/>
      <c r="BB87" s="466"/>
      <c r="BC87" s="466"/>
      <c r="BD87" s="466"/>
      <c r="BE87" s="466"/>
      <c r="BF87" s="466"/>
      <c r="BG87" s="466"/>
      <c r="BH87" s="466"/>
      <c r="BI87" s="466"/>
      <c r="BJ87" s="466"/>
      <c r="BK87" s="466"/>
      <c r="BL87" s="466"/>
      <c r="BM87" s="466"/>
      <c r="BN87" s="466"/>
    </row>
    <row r="88" spans="1:106" s="394" customFormat="1" ht="24" customHeight="1" x14ac:dyDescent="0.2">
      <c r="A88" s="41" t="s">
        <v>277</v>
      </c>
      <c r="B88" s="41"/>
      <c r="C88" s="41"/>
      <c r="D88" s="41"/>
      <c r="E88" s="41"/>
      <c r="F88" s="759"/>
      <c r="G88" s="761"/>
      <c r="H88" s="762"/>
      <c r="I88" s="762"/>
      <c r="J88" s="762"/>
      <c r="K88" s="763"/>
      <c r="L88" s="762"/>
      <c r="M88" s="762"/>
      <c r="N88" s="764"/>
      <c r="O88" s="765"/>
      <c r="P88" s="764"/>
      <c r="Q88" s="766"/>
      <c r="R88" s="765"/>
      <c r="S88" s="765"/>
      <c r="T88" s="767"/>
      <c r="U88" s="760"/>
      <c r="V88" s="391"/>
      <c r="W88" s="387">
        <f t="shared" ref="W88:BJ88" si="113">+W89+W113+W122</f>
        <v>0</v>
      </c>
      <c r="X88" s="387"/>
      <c r="Y88" s="387"/>
      <c r="Z88" s="387">
        <f t="shared" si="113"/>
        <v>1837447380.3299999</v>
      </c>
      <c r="AA88" s="387">
        <f t="shared" ref="AA88:AB88" si="114">+AA89+AA113+AA122</f>
        <v>121957010.33</v>
      </c>
      <c r="AB88" s="387">
        <f t="shared" si="114"/>
        <v>2885000</v>
      </c>
      <c r="AC88" s="387">
        <f t="shared" si="113"/>
        <v>0</v>
      </c>
      <c r="AD88" s="387"/>
      <c r="AE88" s="387"/>
      <c r="AF88" s="387">
        <f t="shared" si="113"/>
        <v>0</v>
      </c>
      <c r="AG88" s="387"/>
      <c r="AH88" s="387"/>
      <c r="AI88" s="387">
        <f t="shared" si="113"/>
        <v>0</v>
      </c>
      <c r="AJ88" s="387"/>
      <c r="AK88" s="387"/>
      <c r="AL88" s="387">
        <f t="shared" si="113"/>
        <v>0</v>
      </c>
      <c r="AM88" s="387"/>
      <c r="AN88" s="387"/>
      <c r="AO88" s="387">
        <f t="shared" si="113"/>
        <v>0</v>
      </c>
      <c r="AP88" s="387"/>
      <c r="AQ88" s="387"/>
      <c r="AR88" s="387">
        <f t="shared" si="113"/>
        <v>0</v>
      </c>
      <c r="AS88" s="387"/>
      <c r="AT88" s="387"/>
      <c r="AU88" s="387">
        <f t="shared" si="113"/>
        <v>0</v>
      </c>
      <c r="AV88" s="387"/>
      <c r="AW88" s="387"/>
      <c r="AX88" s="387">
        <f t="shared" si="113"/>
        <v>0</v>
      </c>
      <c r="AY88" s="387"/>
      <c r="AZ88" s="387"/>
      <c r="BA88" s="387">
        <f t="shared" si="113"/>
        <v>982000000</v>
      </c>
      <c r="BB88" s="387">
        <f t="shared" ref="BB88" si="115">+BB89+BB113+BB122</f>
        <v>410322140</v>
      </c>
      <c r="BC88" s="387">
        <f t="shared" ref="BC88" si="116">+BC89+BC113+BC122</f>
        <v>74935171</v>
      </c>
      <c r="BD88" s="387"/>
      <c r="BE88" s="387"/>
      <c r="BF88" s="387"/>
      <c r="BG88" s="387">
        <f t="shared" si="113"/>
        <v>0</v>
      </c>
      <c r="BH88" s="387"/>
      <c r="BI88" s="387"/>
      <c r="BJ88" s="387">
        <f t="shared" si="113"/>
        <v>2819447380.3299999</v>
      </c>
      <c r="BK88" s="387">
        <f t="shared" ref="BK88:BL88" si="117">+BK89+BK113+BK122</f>
        <v>532279150.32999998</v>
      </c>
      <c r="BL88" s="387">
        <f t="shared" si="117"/>
        <v>77820171</v>
      </c>
      <c r="BM88" s="387"/>
      <c r="BN88" s="388"/>
      <c r="BO88" s="393"/>
      <c r="BP88" s="393"/>
      <c r="BQ88" s="393"/>
      <c r="BR88" s="393"/>
      <c r="BS88" s="393"/>
      <c r="BT88" s="393"/>
      <c r="BU88" s="393"/>
      <c r="BV88" s="393"/>
      <c r="BW88" s="393"/>
      <c r="BX88" s="393"/>
      <c r="BY88" s="393"/>
      <c r="BZ88" s="393"/>
      <c r="CA88" s="393"/>
      <c r="CB88" s="393"/>
      <c r="CC88" s="393"/>
      <c r="CD88" s="393"/>
      <c r="CE88" s="393"/>
      <c r="CF88" s="393"/>
      <c r="CG88" s="393"/>
      <c r="CH88" s="393"/>
      <c r="CI88" s="393"/>
      <c r="CJ88" s="393"/>
      <c r="CK88" s="393"/>
      <c r="CL88" s="393"/>
      <c r="CM88" s="393"/>
      <c r="CN88" s="393"/>
      <c r="CO88" s="393"/>
      <c r="CP88" s="393"/>
      <c r="CQ88" s="393"/>
      <c r="CR88" s="393"/>
      <c r="CS88" s="393"/>
      <c r="CT88" s="393"/>
      <c r="CU88" s="393"/>
      <c r="CV88" s="393"/>
      <c r="CW88" s="393"/>
      <c r="CX88" s="393"/>
      <c r="CY88" s="393"/>
      <c r="CZ88" s="393"/>
      <c r="DA88" s="393"/>
      <c r="DB88" s="393"/>
    </row>
    <row r="89" spans="1:106" ht="24" customHeight="1" x14ac:dyDescent="0.2">
      <c r="A89" s="145"/>
      <c r="B89" s="131">
        <v>1</v>
      </c>
      <c r="C89" s="131"/>
      <c r="D89" s="76" t="s">
        <v>149</v>
      </c>
      <c r="E89" s="173"/>
      <c r="F89" s="180"/>
      <c r="G89" s="768"/>
      <c r="H89" s="769"/>
      <c r="I89" s="769"/>
      <c r="J89" s="770"/>
      <c r="K89" s="771"/>
      <c r="L89" s="770"/>
      <c r="M89" s="770"/>
      <c r="N89" s="772"/>
      <c r="O89" s="773"/>
      <c r="P89" s="772"/>
      <c r="Q89" s="774"/>
      <c r="R89" s="773"/>
      <c r="S89" s="773"/>
      <c r="T89" s="775"/>
      <c r="U89" s="186"/>
      <c r="V89" s="133"/>
      <c r="W89" s="134">
        <f>W90+W97+W100+W109</f>
        <v>0</v>
      </c>
      <c r="X89" s="134"/>
      <c r="Y89" s="134"/>
      <c r="Z89" s="134">
        <f>Z90+Z97+Z100+Z109</f>
        <v>1837447380.3299999</v>
      </c>
      <c r="AA89" s="134">
        <f t="shared" ref="AA89:AB89" si="118">AA90+AA97+AA100+AA109</f>
        <v>121957010.33</v>
      </c>
      <c r="AB89" s="134">
        <f t="shared" si="118"/>
        <v>2885000</v>
      </c>
      <c r="AC89" s="134">
        <f t="shared" ref="AC89:BG89" si="119">AC90+AC97+AC100+AC109</f>
        <v>0</v>
      </c>
      <c r="AD89" s="134"/>
      <c r="AE89" s="134"/>
      <c r="AF89" s="134">
        <f t="shared" si="119"/>
        <v>0</v>
      </c>
      <c r="AG89" s="134"/>
      <c r="AH89" s="134"/>
      <c r="AI89" s="134">
        <f t="shared" si="119"/>
        <v>0</v>
      </c>
      <c r="AJ89" s="134"/>
      <c r="AK89" s="134"/>
      <c r="AL89" s="134">
        <f t="shared" si="119"/>
        <v>0</v>
      </c>
      <c r="AM89" s="134"/>
      <c r="AN89" s="134"/>
      <c r="AO89" s="134">
        <f t="shared" si="119"/>
        <v>0</v>
      </c>
      <c r="AP89" s="134"/>
      <c r="AQ89" s="134"/>
      <c r="AR89" s="134">
        <f t="shared" si="119"/>
        <v>0</v>
      </c>
      <c r="AS89" s="134"/>
      <c r="AT89" s="134"/>
      <c r="AU89" s="134">
        <f t="shared" si="119"/>
        <v>0</v>
      </c>
      <c r="AV89" s="134"/>
      <c r="AW89" s="134"/>
      <c r="AX89" s="134">
        <f t="shared" si="119"/>
        <v>0</v>
      </c>
      <c r="AY89" s="134"/>
      <c r="AZ89" s="134"/>
      <c r="BA89" s="134">
        <f t="shared" si="119"/>
        <v>476000000</v>
      </c>
      <c r="BB89" s="134">
        <f t="shared" ref="BB89" si="120">BB90+BB97+BB100+BB109</f>
        <v>199001910</v>
      </c>
      <c r="BC89" s="134">
        <f t="shared" ref="BC89" si="121">BC90+BC97+BC100+BC109</f>
        <v>32355171</v>
      </c>
      <c r="BD89" s="134"/>
      <c r="BE89" s="134"/>
      <c r="BF89" s="134"/>
      <c r="BG89" s="134">
        <f t="shared" si="119"/>
        <v>0</v>
      </c>
      <c r="BH89" s="134"/>
      <c r="BI89" s="134"/>
      <c r="BJ89" s="134">
        <f>BJ90+BJ97+BJ100+BJ109</f>
        <v>2313447380.3299999</v>
      </c>
      <c r="BK89" s="134">
        <f t="shared" ref="BK89:BL89" si="122">BK90+BK97+BK100+BK109</f>
        <v>320958920.32999998</v>
      </c>
      <c r="BL89" s="134">
        <f t="shared" si="122"/>
        <v>35240171</v>
      </c>
      <c r="BM89" s="134"/>
      <c r="BN89" s="168"/>
    </row>
    <row r="90" spans="1:106" s="9" customFormat="1" ht="24" customHeight="1" x14ac:dyDescent="0.25">
      <c r="A90" s="130"/>
      <c r="B90" s="83"/>
      <c r="C90" s="83"/>
      <c r="D90" s="77">
        <v>12</v>
      </c>
      <c r="E90" s="75" t="s">
        <v>150</v>
      </c>
      <c r="F90" s="135"/>
      <c r="G90" s="776"/>
      <c r="H90" s="777"/>
      <c r="I90" s="777"/>
      <c r="J90" s="778"/>
      <c r="K90" s="779"/>
      <c r="L90" s="778"/>
      <c r="M90" s="778"/>
      <c r="N90" s="780"/>
      <c r="O90" s="781"/>
      <c r="P90" s="780"/>
      <c r="Q90" s="782"/>
      <c r="R90" s="781"/>
      <c r="S90" s="781"/>
      <c r="T90" s="783"/>
      <c r="U90" s="687"/>
      <c r="V90" s="143"/>
      <c r="W90" s="144">
        <f t="shared" ref="W90:BJ90" si="123">W91+W93+W95</f>
        <v>0</v>
      </c>
      <c r="X90" s="144"/>
      <c r="Y90" s="144"/>
      <c r="Z90" s="144">
        <f t="shared" si="123"/>
        <v>0</v>
      </c>
      <c r="AA90" s="144">
        <f t="shared" ref="AA90:AB90" si="124">AA91+AA93+AA95</f>
        <v>0</v>
      </c>
      <c r="AB90" s="144">
        <f t="shared" si="124"/>
        <v>0</v>
      </c>
      <c r="AC90" s="144">
        <f t="shared" si="123"/>
        <v>0</v>
      </c>
      <c r="AD90" s="144"/>
      <c r="AE90" s="144"/>
      <c r="AF90" s="144">
        <f t="shared" si="123"/>
        <v>0</v>
      </c>
      <c r="AG90" s="144"/>
      <c r="AH90" s="144"/>
      <c r="AI90" s="144">
        <f t="shared" si="123"/>
        <v>0</v>
      </c>
      <c r="AJ90" s="144"/>
      <c r="AK90" s="144"/>
      <c r="AL90" s="144">
        <f t="shared" si="123"/>
        <v>0</v>
      </c>
      <c r="AM90" s="144"/>
      <c r="AN90" s="144"/>
      <c r="AO90" s="144">
        <f t="shared" si="123"/>
        <v>0</v>
      </c>
      <c r="AP90" s="144"/>
      <c r="AQ90" s="144"/>
      <c r="AR90" s="144">
        <f t="shared" si="123"/>
        <v>0</v>
      </c>
      <c r="AS90" s="144"/>
      <c r="AT90" s="144"/>
      <c r="AU90" s="144">
        <f t="shared" si="123"/>
        <v>0</v>
      </c>
      <c r="AV90" s="144"/>
      <c r="AW90" s="144"/>
      <c r="AX90" s="144">
        <f t="shared" si="123"/>
        <v>0</v>
      </c>
      <c r="AY90" s="144"/>
      <c r="AZ90" s="144"/>
      <c r="BA90" s="144">
        <f t="shared" si="123"/>
        <v>186000000</v>
      </c>
      <c r="BB90" s="144">
        <f t="shared" ref="BB90" si="125">BB91+BB93+BB95</f>
        <v>104240000</v>
      </c>
      <c r="BC90" s="144">
        <f t="shared" ref="BC90" si="126">BC91+BC93+BC95</f>
        <v>13540000</v>
      </c>
      <c r="BD90" s="144"/>
      <c r="BE90" s="144"/>
      <c r="BF90" s="144"/>
      <c r="BG90" s="144">
        <f t="shared" si="123"/>
        <v>0</v>
      </c>
      <c r="BH90" s="144"/>
      <c r="BI90" s="144"/>
      <c r="BJ90" s="144">
        <f t="shared" si="123"/>
        <v>186000000</v>
      </c>
      <c r="BK90" s="144">
        <f t="shared" ref="BK90:BL90" si="127">BK91+BK93+BK95</f>
        <v>104240000</v>
      </c>
      <c r="BL90" s="144">
        <f t="shared" si="127"/>
        <v>13540000</v>
      </c>
      <c r="BM90" s="144"/>
      <c r="BN90" s="169"/>
      <c r="BO90" s="8"/>
      <c r="BP90" s="8"/>
      <c r="BQ90" s="8"/>
      <c r="BR90" s="8"/>
      <c r="BS90" s="8"/>
      <c r="BT90" s="8"/>
      <c r="BU90" s="8"/>
      <c r="BV90" s="8"/>
      <c r="BW90" s="8"/>
      <c r="BX90" s="8"/>
      <c r="BY90" s="8"/>
      <c r="BZ90" s="8"/>
      <c r="CA90" s="8"/>
      <c r="CB90" s="8"/>
      <c r="CC90" s="8"/>
      <c r="CD90" s="8"/>
      <c r="CE90" s="8"/>
      <c r="CF90" s="8"/>
      <c r="CG90" s="8"/>
      <c r="CH90" s="8"/>
      <c r="CI90" s="8"/>
      <c r="CJ90" s="8"/>
      <c r="CK90" s="8"/>
      <c r="CL90" s="8"/>
      <c r="CM90" s="8"/>
      <c r="CN90" s="8"/>
      <c r="CO90" s="8"/>
      <c r="CP90" s="8"/>
      <c r="CQ90" s="8"/>
      <c r="CR90" s="8"/>
      <c r="CS90" s="8"/>
      <c r="CT90" s="8"/>
      <c r="CU90" s="8"/>
      <c r="CV90" s="8"/>
      <c r="CW90" s="8"/>
      <c r="CX90" s="8"/>
      <c r="CY90" s="8"/>
      <c r="CZ90" s="8"/>
      <c r="DA90" s="8"/>
      <c r="DB90" s="8"/>
    </row>
    <row r="91" spans="1:106" ht="24" customHeight="1" x14ac:dyDescent="0.2">
      <c r="A91" s="145"/>
      <c r="B91" s="91"/>
      <c r="C91" s="91"/>
      <c r="D91" s="91"/>
      <c r="E91" s="91"/>
      <c r="F91" s="747">
        <v>1202</v>
      </c>
      <c r="G91" s="784" t="s">
        <v>151</v>
      </c>
      <c r="H91" s="785"/>
      <c r="I91" s="785"/>
      <c r="J91" s="786"/>
      <c r="K91" s="787"/>
      <c r="L91" s="786"/>
      <c r="M91" s="786"/>
      <c r="N91" s="788"/>
      <c r="O91" s="789"/>
      <c r="P91" s="788"/>
      <c r="Q91" s="790"/>
      <c r="R91" s="789"/>
      <c r="S91" s="789"/>
      <c r="T91" s="791"/>
      <c r="U91" s="690"/>
      <c r="V91" s="147"/>
      <c r="W91" s="205">
        <f t="shared" ref="W91:BL91" si="128">W92</f>
        <v>0</v>
      </c>
      <c r="X91" s="205"/>
      <c r="Y91" s="205"/>
      <c r="Z91" s="205">
        <f t="shared" si="128"/>
        <v>0</v>
      </c>
      <c r="AA91" s="205">
        <f t="shared" si="128"/>
        <v>0</v>
      </c>
      <c r="AB91" s="205">
        <f t="shared" si="128"/>
        <v>0</v>
      </c>
      <c r="AC91" s="205">
        <f t="shared" si="128"/>
        <v>0</v>
      </c>
      <c r="AD91" s="205"/>
      <c r="AE91" s="205"/>
      <c r="AF91" s="205">
        <f t="shared" si="128"/>
        <v>0</v>
      </c>
      <c r="AG91" s="205"/>
      <c r="AH91" s="205"/>
      <c r="AI91" s="205">
        <f t="shared" si="128"/>
        <v>0</v>
      </c>
      <c r="AJ91" s="205"/>
      <c r="AK91" s="205"/>
      <c r="AL91" s="205">
        <f t="shared" si="128"/>
        <v>0</v>
      </c>
      <c r="AM91" s="205"/>
      <c r="AN91" s="205"/>
      <c r="AO91" s="205">
        <f t="shared" si="128"/>
        <v>0</v>
      </c>
      <c r="AP91" s="205"/>
      <c r="AQ91" s="205"/>
      <c r="AR91" s="205">
        <f t="shared" si="128"/>
        <v>0</v>
      </c>
      <c r="AS91" s="205"/>
      <c r="AT91" s="205"/>
      <c r="AU91" s="205">
        <f t="shared" si="128"/>
        <v>0</v>
      </c>
      <c r="AV91" s="205"/>
      <c r="AW91" s="205"/>
      <c r="AX91" s="205">
        <f t="shared" si="128"/>
        <v>0</v>
      </c>
      <c r="AY91" s="205"/>
      <c r="AZ91" s="205"/>
      <c r="BA91" s="205">
        <f t="shared" si="128"/>
        <v>114000000</v>
      </c>
      <c r="BB91" s="205">
        <f t="shared" si="128"/>
        <v>68700000</v>
      </c>
      <c r="BC91" s="205">
        <f t="shared" si="128"/>
        <v>10655000</v>
      </c>
      <c r="BD91" s="205"/>
      <c r="BE91" s="205"/>
      <c r="BF91" s="205"/>
      <c r="BG91" s="205">
        <f t="shared" si="128"/>
        <v>0</v>
      </c>
      <c r="BH91" s="205"/>
      <c r="BI91" s="205"/>
      <c r="BJ91" s="205">
        <f t="shared" si="128"/>
        <v>114000000</v>
      </c>
      <c r="BK91" s="205">
        <f t="shared" si="128"/>
        <v>68700000</v>
      </c>
      <c r="BL91" s="205">
        <f t="shared" si="128"/>
        <v>10655000</v>
      </c>
      <c r="BM91" s="206"/>
      <c r="BN91" s="156"/>
    </row>
    <row r="92" spans="1:106" ht="186" customHeight="1" x14ac:dyDescent="0.2">
      <c r="A92" s="145"/>
      <c r="B92" s="91"/>
      <c r="C92" s="91"/>
      <c r="D92" s="91"/>
      <c r="E92" s="91"/>
      <c r="F92" s="87"/>
      <c r="G92" s="470"/>
      <c r="H92" s="645" t="s">
        <v>152</v>
      </c>
      <c r="I92" s="122">
        <v>1202004</v>
      </c>
      <c r="J92" s="645" t="s">
        <v>278</v>
      </c>
      <c r="K92" s="122">
        <v>1202004</v>
      </c>
      <c r="L92" s="645" t="s">
        <v>278</v>
      </c>
      <c r="M92" s="117">
        <v>120200400</v>
      </c>
      <c r="N92" s="284" t="s">
        <v>117</v>
      </c>
      <c r="O92" s="117">
        <v>120200400</v>
      </c>
      <c r="P92" s="284" t="s">
        <v>117</v>
      </c>
      <c r="Q92" s="470" t="s">
        <v>52</v>
      </c>
      <c r="R92" s="220">
        <v>12</v>
      </c>
      <c r="S92" s="220">
        <v>4</v>
      </c>
      <c r="T92" s="647" t="s">
        <v>279</v>
      </c>
      <c r="U92" s="576" t="s">
        <v>1515</v>
      </c>
      <c r="V92" s="576" t="s">
        <v>280</v>
      </c>
      <c r="W92" s="150"/>
      <c r="X92" s="150"/>
      <c r="Y92" s="150"/>
      <c r="Z92" s="207"/>
      <c r="AA92" s="207"/>
      <c r="AB92" s="207"/>
      <c r="AC92" s="150"/>
      <c r="AD92" s="150"/>
      <c r="AE92" s="150"/>
      <c r="AF92" s="150"/>
      <c r="AG92" s="150"/>
      <c r="AH92" s="150"/>
      <c r="AI92" s="150"/>
      <c r="AJ92" s="150"/>
      <c r="AK92" s="150"/>
      <c r="AL92" s="150"/>
      <c r="AM92" s="150"/>
      <c r="AN92" s="150"/>
      <c r="AO92" s="150"/>
      <c r="AP92" s="150"/>
      <c r="AQ92" s="150"/>
      <c r="AR92" s="150"/>
      <c r="AS92" s="150"/>
      <c r="AT92" s="150"/>
      <c r="AU92" s="150"/>
      <c r="AV92" s="150"/>
      <c r="AW92" s="150"/>
      <c r="AX92" s="150"/>
      <c r="AY92" s="150"/>
      <c r="AZ92" s="150"/>
      <c r="BA92" s="161">
        <v>114000000</v>
      </c>
      <c r="BB92" s="161">
        <v>68700000</v>
      </c>
      <c r="BC92" s="161">
        <v>10655000</v>
      </c>
      <c r="BD92" s="150"/>
      <c r="BE92" s="150"/>
      <c r="BF92" s="150"/>
      <c r="BG92" s="150"/>
      <c r="BH92" s="150"/>
      <c r="BI92" s="150"/>
      <c r="BJ92" s="151">
        <f>+W92+Z92+AC92+AF92+AI92+AL92+AO92+AR92+AU92+AX92+BA92+BD92+BG92</f>
        <v>114000000</v>
      </c>
      <c r="BK92" s="151">
        <f t="shared" ref="BK92:BL92" si="129">+X92+AA92+AD92+AG92+AJ92+AM92+AP92+AS92+AV92+AY92+BB92+BE92+BH92</f>
        <v>68700000</v>
      </c>
      <c r="BL92" s="151">
        <f t="shared" si="129"/>
        <v>10655000</v>
      </c>
      <c r="BM92" s="151" t="s">
        <v>281</v>
      </c>
      <c r="BN92" s="216" t="s">
        <v>1576</v>
      </c>
    </row>
    <row r="93" spans="1:106" ht="24" customHeight="1" x14ac:dyDescent="0.2">
      <c r="A93" s="145"/>
      <c r="B93" s="91"/>
      <c r="C93" s="91"/>
      <c r="D93" s="91"/>
      <c r="E93" s="91"/>
      <c r="F93" s="154">
        <v>1203</v>
      </c>
      <c r="G93" s="81" t="s">
        <v>282</v>
      </c>
      <c r="H93" s="194"/>
      <c r="I93" s="194"/>
      <c r="J93" s="693"/>
      <c r="K93" s="726"/>
      <c r="L93" s="693"/>
      <c r="M93" s="693"/>
      <c r="N93" s="688"/>
      <c r="O93" s="689"/>
      <c r="P93" s="688"/>
      <c r="Q93" s="732"/>
      <c r="R93" s="689"/>
      <c r="S93" s="689"/>
      <c r="T93" s="728"/>
      <c r="U93" s="147"/>
      <c r="V93" s="147"/>
      <c r="W93" s="148">
        <f>W94</f>
        <v>0</v>
      </c>
      <c r="X93" s="148"/>
      <c r="Y93" s="148"/>
      <c r="Z93" s="148">
        <f t="shared" ref="Z93:BL93" si="130">Z94</f>
        <v>0</v>
      </c>
      <c r="AA93" s="148"/>
      <c r="AB93" s="148"/>
      <c r="AC93" s="148">
        <f t="shared" si="130"/>
        <v>0</v>
      </c>
      <c r="AD93" s="148"/>
      <c r="AE93" s="148"/>
      <c r="AF93" s="148">
        <f t="shared" si="130"/>
        <v>0</v>
      </c>
      <c r="AG93" s="148"/>
      <c r="AH93" s="148"/>
      <c r="AI93" s="148">
        <f t="shared" si="130"/>
        <v>0</v>
      </c>
      <c r="AJ93" s="148"/>
      <c r="AK93" s="148"/>
      <c r="AL93" s="148">
        <f t="shared" si="130"/>
        <v>0</v>
      </c>
      <c r="AM93" s="148"/>
      <c r="AN93" s="148"/>
      <c r="AO93" s="148">
        <f t="shared" si="130"/>
        <v>0</v>
      </c>
      <c r="AP93" s="148"/>
      <c r="AQ93" s="148"/>
      <c r="AR93" s="148">
        <f t="shared" si="130"/>
        <v>0</v>
      </c>
      <c r="AS93" s="148"/>
      <c r="AT93" s="148"/>
      <c r="AU93" s="148">
        <f t="shared" si="130"/>
        <v>0</v>
      </c>
      <c r="AV93" s="148"/>
      <c r="AW93" s="148"/>
      <c r="AX93" s="148">
        <f t="shared" si="130"/>
        <v>0</v>
      </c>
      <c r="AY93" s="148"/>
      <c r="AZ93" s="148"/>
      <c r="BA93" s="148">
        <f t="shared" si="130"/>
        <v>36000000</v>
      </c>
      <c r="BB93" s="148">
        <f t="shared" si="130"/>
        <v>25540000</v>
      </c>
      <c r="BC93" s="148">
        <f t="shared" si="130"/>
        <v>0</v>
      </c>
      <c r="BD93" s="148">
        <f t="shared" si="130"/>
        <v>0</v>
      </c>
      <c r="BE93" s="148"/>
      <c r="BF93" s="148"/>
      <c r="BG93" s="148">
        <f t="shared" si="130"/>
        <v>0</v>
      </c>
      <c r="BH93" s="148"/>
      <c r="BI93" s="148"/>
      <c r="BJ93" s="148">
        <f t="shared" si="130"/>
        <v>36000000</v>
      </c>
      <c r="BK93" s="148">
        <f t="shared" si="130"/>
        <v>25540000</v>
      </c>
      <c r="BL93" s="148">
        <f t="shared" si="130"/>
        <v>0</v>
      </c>
      <c r="BM93" s="208"/>
      <c r="BN93" s="156"/>
    </row>
    <row r="94" spans="1:106" ht="186" customHeight="1" x14ac:dyDescent="0.2">
      <c r="A94" s="145"/>
      <c r="B94" s="91"/>
      <c r="C94" s="91"/>
      <c r="D94" s="91"/>
      <c r="E94" s="91"/>
      <c r="F94" s="87"/>
      <c r="G94" s="569"/>
      <c r="H94" s="562" t="s">
        <v>152</v>
      </c>
      <c r="I94" s="567">
        <v>1203002</v>
      </c>
      <c r="J94" s="562" t="s">
        <v>283</v>
      </c>
      <c r="K94" s="567">
        <v>1203002</v>
      </c>
      <c r="L94" s="562" t="s">
        <v>283</v>
      </c>
      <c r="M94" s="567">
        <v>120300200</v>
      </c>
      <c r="N94" s="577" t="s">
        <v>284</v>
      </c>
      <c r="O94" s="567">
        <v>120300200</v>
      </c>
      <c r="P94" s="577" t="s">
        <v>284</v>
      </c>
      <c r="Q94" s="209" t="s">
        <v>68</v>
      </c>
      <c r="R94" s="125">
        <v>40</v>
      </c>
      <c r="S94" s="125">
        <v>9</v>
      </c>
      <c r="T94" s="570" t="s">
        <v>285</v>
      </c>
      <c r="U94" s="576" t="s">
        <v>286</v>
      </c>
      <c r="V94" s="576" t="s">
        <v>287</v>
      </c>
      <c r="W94" s="150"/>
      <c r="X94" s="150"/>
      <c r="Y94" s="150"/>
      <c r="Z94" s="151"/>
      <c r="AA94" s="151"/>
      <c r="AB94" s="151"/>
      <c r="AC94" s="150"/>
      <c r="AD94" s="150"/>
      <c r="AE94" s="150"/>
      <c r="AF94" s="150"/>
      <c r="AG94" s="150"/>
      <c r="AH94" s="150"/>
      <c r="AI94" s="150"/>
      <c r="AJ94" s="150"/>
      <c r="AK94" s="150"/>
      <c r="AL94" s="150"/>
      <c r="AM94" s="150"/>
      <c r="AN94" s="150"/>
      <c r="AO94" s="150"/>
      <c r="AP94" s="150"/>
      <c r="AQ94" s="150"/>
      <c r="AR94" s="150"/>
      <c r="AS94" s="150"/>
      <c r="AT94" s="150"/>
      <c r="AU94" s="150"/>
      <c r="AV94" s="150"/>
      <c r="AW94" s="150"/>
      <c r="AX94" s="150"/>
      <c r="AY94" s="150"/>
      <c r="AZ94" s="150"/>
      <c r="BA94" s="161">
        <v>36000000</v>
      </c>
      <c r="BB94" s="161">
        <v>25540000</v>
      </c>
      <c r="BC94" s="161"/>
      <c r="BD94" s="150"/>
      <c r="BE94" s="150"/>
      <c r="BF94" s="150"/>
      <c r="BG94" s="210"/>
      <c r="BH94" s="210"/>
      <c r="BI94" s="210"/>
      <c r="BJ94" s="151">
        <f>+W94+Z94+AC94+AF94+AI94+AL94+AO94+AR94+AU94+AX94+BA94+BD94+BG94</f>
        <v>36000000</v>
      </c>
      <c r="BK94" s="151">
        <f t="shared" ref="BK94:BL94" si="131">+X94+AA94+AD94+AG94+AJ94+AM94+AP94+AS94+AV94+AY94+BB94+BE94+BH94</f>
        <v>25540000</v>
      </c>
      <c r="BL94" s="151">
        <f t="shared" si="131"/>
        <v>0</v>
      </c>
      <c r="BM94" s="151" t="s">
        <v>281</v>
      </c>
      <c r="BN94" s="216" t="s">
        <v>1576</v>
      </c>
    </row>
    <row r="95" spans="1:106" ht="24" customHeight="1" x14ac:dyDescent="0.2">
      <c r="A95" s="145"/>
      <c r="B95" s="91"/>
      <c r="C95" s="91"/>
      <c r="D95" s="91"/>
      <c r="E95" s="91"/>
      <c r="F95" s="154">
        <v>1206</v>
      </c>
      <c r="G95" s="81" t="s">
        <v>288</v>
      </c>
      <c r="H95" s="194"/>
      <c r="I95" s="194"/>
      <c r="J95" s="693"/>
      <c r="K95" s="726"/>
      <c r="L95" s="693"/>
      <c r="M95" s="693"/>
      <c r="N95" s="688"/>
      <c r="O95" s="689"/>
      <c r="P95" s="688"/>
      <c r="Q95" s="732"/>
      <c r="R95" s="689"/>
      <c r="S95" s="689"/>
      <c r="T95" s="728"/>
      <c r="U95" s="147"/>
      <c r="V95" s="147"/>
      <c r="W95" s="211">
        <f>W96</f>
        <v>0</v>
      </c>
      <c r="X95" s="211"/>
      <c r="Y95" s="211"/>
      <c r="Z95" s="211">
        <f t="shared" ref="Z95:BL95" si="132">Z96</f>
        <v>0</v>
      </c>
      <c r="AA95" s="211"/>
      <c r="AB95" s="211"/>
      <c r="AC95" s="211">
        <f t="shared" si="132"/>
        <v>0</v>
      </c>
      <c r="AD95" s="211"/>
      <c r="AE95" s="211"/>
      <c r="AF95" s="211">
        <f t="shared" si="132"/>
        <v>0</v>
      </c>
      <c r="AG95" s="211"/>
      <c r="AH95" s="211"/>
      <c r="AI95" s="211">
        <f t="shared" si="132"/>
        <v>0</v>
      </c>
      <c r="AJ95" s="211"/>
      <c r="AK95" s="211"/>
      <c r="AL95" s="211">
        <f t="shared" si="132"/>
        <v>0</v>
      </c>
      <c r="AM95" s="211"/>
      <c r="AN95" s="211"/>
      <c r="AO95" s="211">
        <f t="shared" si="132"/>
        <v>0</v>
      </c>
      <c r="AP95" s="211"/>
      <c r="AQ95" s="211"/>
      <c r="AR95" s="211">
        <f t="shared" si="132"/>
        <v>0</v>
      </c>
      <c r="AS95" s="211"/>
      <c r="AT95" s="211"/>
      <c r="AU95" s="211">
        <f t="shared" si="132"/>
        <v>0</v>
      </c>
      <c r="AV95" s="211"/>
      <c r="AW95" s="211"/>
      <c r="AX95" s="211">
        <f t="shared" si="132"/>
        <v>0</v>
      </c>
      <c r="AY95" s="211"/>
      <c r="AZ95" s="211"/>
      <c r="BA95" s="211">
        <f t="shared" si="132"/>
        <v>36000000</v>
      </c>
      <c r="BB95" s="211">
        <f t="shared" si="132"/>
        <v>10000000</v>
      </c>
      <c r="BC95" s="211">
        <f t="shared" si="132"/>
        <v>2885000</v>
      </c>
      <c r="BD95" s="211">
        <f t="shared" si="132"/>
        <v>0</v>
      </c>
      <c r="BE95" s="211"/>
      <c r="BF95" s="211"/>
      <c r="BG95" s="211">
        <f t="shared" si="132"/>
        <v>0</v>
      </c>
      <c r="BH95" s="211"/>
      <c r="BI95" s="211"/>
      <c r="BJ95" s="211">
        <f t="shared" si="132"/>
        <v>36000000</v>
      </c>
      <c r="BK95" s="211">
        <f t="shared" si="132"/>
        <v>10000000</v>
      </c>
      <c r="BL95" s="211">
        <f t="shared" si="132"/>
        <v>2885000</v>
      </c>
      <c r="BM95" s="148"/>
      <c r="BN95" s="156"/>
    </row>
    <row r="96" spans="1:106" ht="180" customHeight="1" x14ac:dyDescent="0.2">
      <c r="A96" s="145"/>
      <c r="B96" s="91"/>
      <c r="C96" s="91"/>
      <c r="D96" s="91"/>
      <c r="E96" s="91"/>
      <c r="F96" s="87"/>
      <c r="G96" s="569"/>
      <c r="H96" s="562" t="s">
        <v>152</v>
      </c>
      <c r="I96" s="567">
        <v>1206005</v>
      </c>
      <c r="J96" s="562" t="s">
        <v>289</v>
      </c>
      <c r="K96" s="567">
        <v>1206005</v>
      </c>
      <c r="L96" s="562" t="s">
        <v>289</v>
      </c>
      <c r="M96" s="85">
        <v>120600500</v>
      </c>
      <c r="N96" s="561" t="s">
        <v>290</v>
      </c>
      <c r="O96" s="85">
        <v>120600500</v>
      </c>
      <c r="P96" s="561" t="s">
        <v>290</v>
      </c>
      <c r="Q96" s="209" t="s">
        <v>68</v>
      </c>
      <c r="R96" s="125">
        <v>20</v>
      </c>
      <c r="S96" s="125">
        <v>0</v>
      </c>
      <c r="T96" s="570" t="s">
        <v>291</v>
      </c>
      <c r="U96" s="212" t="s">
        <v>292</v>
      </c>
      <c r="V96" s="212" t="s">
        <v>293</v>
      </c>
      <c r="W96" s="150"/>
      <c r="X96" s="150"/>
      <c r="Y96" s="150"/>
      <c r="Z96" s="213"/>
      <c r="AA96" s="213"/>
      <c r="AB96" s="213"/>
      <c r="AC96" s="150"/>
      <c r="AD96" s="150"/>
      <c r="AE96" s="150"/>
      <c r="AF96" s="150"/>
      <c r="AG96" s="150"/>
      <c r="AH96" s="150"/>
      <c r="AI96" s="150"/>
      <c r="AJ96" s="150"/>
      <c r="AK96" s="150"/>
      <c r="AL96" s="150"/>
      <c r="AM96" s="150"/>
      <c r="AN96" s="150"/>
      <c r="AO96" s="150"/>
      <c r="AP96" s="150"/>
      <c r="AQ96" s="150"/>
      <c r="AR96" s="150"/>
      <c r="AS96" s="150"/>
      <c r="AT96" s="150"/>
      <c r="AU96" s="150"/>
      <c r="AV96" s="150"/>
      <c r="AW96" s="150"/>
      <c r="AX96" s="150"/>
      <c r="AY96" s="150"/>
      <c r="AZ96" s="150"/>
      <c r="BA96" s="161">
        <v>36000000</v>
      </c>
      <c r="BB96" s="161">
        <v>10000000</v>
      </c>
      <c r="BC96" s="161">
        <v>2885000</v>
      </c>
      <c r="BD96" s="150"/>
      <c r="BE96" s="150"/>
      <c r="BF96" s="150"/>
      <c r="BG96" s="150"/>
      <c r="BH96" s="150"/>
      <c r="BI96" s="150"/>
      <c r="BJ96" s="151">
        <f>+W96+Z96+AC96+AF96+AI96+AL96+AO96+AR96+AU96+AX96+BA96+BD96+BG96</f>
        <v>36000000</v>
      </c>
      <c r="BK96" s="151">
        <f t="shared" ref="BK96:BL96" si="133">+X96+AA96+AD96+AG96+AJ96+AM96+AP96+AS96+AV96+AY96+BB96+BE96+BH96</f>
        <v>10000000</v>
      </c>
      <c r="BL96" s="151">
        <f t="shared" si="133"/>
        <v>2885000</v>
      </c>
      <c r="BM96" s="151" t="s">
        <v>281</v>
      </c>
      <c r="BN96" s="216" t="s">
        <v>1576</v>
      </c>
    </row>
    <row r="97" spans="1:106" s="9" customFormat="1" ht="24" customHeight="1" x14ac:dyDescent="0.25">
      <c r="A97" s="130"/>
      <c r="B97" s="83"/>
      <c r="C97" s="83"/>
      <c r="D97" s="77">
        <v>22</v>
      </c>
      <c r="E97" s="75" t="s">
        <v>170</v>
      </c>
      <c r="F97" s="75"/>
      <c r="G97" s="135"/>
      <c r="H97" s="136"/>
      <c r="I97" s="136"/>
      <c r="J97" s="138"/>
      <c r="K97" s="137"/>
      <c r="L97" s="138"/>
      <c r="M97" s="138"/>
      <c r="N97" s="140"/>
      <c r="O97" s="139"/>
      <c r="P97" s="140"/>
      <c r="Q97" s="141"/>
      <c r="R97" s="139"/>
      <c r="S97" s="139"/>
      <c r="T97" s="204"/>
      <c r="U97" s="143"/>
      <c r="V97" s="143"/>
      <c r="W97" s="144">
        <f>W98</f>
        <v>0</v>
      </c>
      <c r="X97" s="144"/>
      <c r="Y97" s="144"/>
      <c r="Z97" s="144">
        <f t="shared" ref="Z97:BK98" si="134">Z98</f>
        <v>0</v>
      </c>
      <c r="AA97" s="144"/>
      <c r="AB97" s="144"/>
      <c r="AC97" s="144">
        <f t="shared" si="134"/>
        <v>0</v>
      </c>
      <c r="AD97" s="144"/>
      <c r="AE97" s="144"/>
      <c r="AF97" s="144">
        <f t="shared" si="134"/>
        <v>0</v>
      </c>
      <c r="AG97" s="144"/>
      <c r="AH97" s="144"/>
      <c r="AI97" s="144">
        <f t="shared" si="134"/>
        <v>0</v>
      </c>
      <c r="AJ97" s="144"/>
      <c r="AK97" s="144"/>
      <c r="AL97" s="144">
        <f t="shared" si="134"/>
        <v>0</v>
      </c>
      <c r="AM97" s="144"/>
      <c r="AN97" s="144"/>
      <c r="AO97" s="144">
        <f t="shared" si="134"/>
        <v>0</v>
      </c>
      <c r="AP97" s="144"/>
      <c r="AQ97" s="144"/>
      <c r="AR97" s="144">
        <f t="shared" si="134"/>
        <v>0</v>
      </c>
      <c r="AS97" s="144"/>
      <c r="AT97" s="144"/>
      <c r="AU97" s="144">
        <f t="shared" si="134"/>
        <v>0</v>
      </c>
      <c r="AV97" s="144"/>
      <c r="AW97" s="144"/>
      <c r="AX97" s="144">
        <f t="shared" si="134"/>
        <v>0</v>
      </c>
      <c r="AY97" s="144"/>
      <c r="AZ97" s="144"/>
      <c r="BA97" s="144">
        <f t="shared" si="134"/>
        <v>30000000</v>
      </c>
      <c r="BB97" s="144">
        <f t="shared" si="134"/>
        <v>27042500</v>
      </c>
      <c r="BC97" s="144">
        <f t="shared" si="134"/>
        <v>1855000</v>
      </c>
      <c r="BD97" s="144">
        <f t="shared" si="134"/>
        <v>0</v>
      </c>
      <c r="BE97" s="144"/>
      <c r="BF97" s="144"/>
      <c r="BG97" s="144">
        <f t="shared" si="134"/>
        <v>0</v>
      </c>
      <c r="BH97" s="144"/>
      <c r="BI97" s="144"/>
      <c r="BJ97" s="144">
        <f t="shared" si="134"/>
        <v>30000000</v>
      </c>
      <c r="BK97" s="144">
        <f t="shared" si="134"/>
        <v>27042500</v>
      </c>
      <c r="BL97" s="144">
        <f t="shared" ref="BK97:BL98" si="135">BL98</f>
        <v>1855000</v>
      </c>
      <c r="BM97" s="144"/>
      <c r="BN97" s="169"/>
      <c r="BO97" s="8"/>
      <c r="BP97" s="8"/>
      <c r="BQ97" s="8"/>
      <c r="BR97" s="8"/>
      <c r="BS97" s="8"/>
      <c r="BT97" s="8"/>
      <c r="BU97" s="8"/>
      <c r="BV97" s="8"/>
      <c r="BW97" s="8"/>
      <c r="BX97" s="8"/>
      <c r="BY97" s="8"/>
      <c r="BZ97" s="8"/>
      <c r="CA97" s="8"/>
      <c r="CB97" s="8"/>
      <c r="CC97" s="8"/>
      <c r="CD97" s="8"/>
      <c r="CE97" s="8"/>
      <c r="CF97" s="8"/>
      <c r="CG97" s="8"/>
      <c r="CH97" s="8"/>
      <c r="CI97" s="8"/>
      <c r="CJ97" s="8"/>
      <c r="CK97" s="8"/>
      <c r="CL97" s="8"/>
      <c r="CM97" s="8"/>
      <c r="CN97" s="8"/>
      <c r="CO97" s="8"/>
      <c r="CP97" s="8"/>
      <c r="CQ97" s="8"/>
      <c r="CR97" s="8"/>
      <c r="CS97" s="8"/>
      <c r="CT97" s="8"/>
      <c r="CU97" s="8"/>
      <c r="CV97" s="8"/>
      <c r="CW97" s="8"/>
      <c r="CX97" s="8"/>
      <c r="CY97" s="8"/>
      <c r="CZ97" s="8"/>
      <c r="DA97" s="8"/>
      <c r="DB97" s="8"/>
    </row>
    <row r="98" spans="1:106" ht="24" customHeight="1" x14ac:dyDescent="0.2">
      <c r="A98" s="145"/>
      <c r="B98" s="91"/>
      <c r="C98" s="91"/>
      <c r="D98" s="91"/>
      <c r="E98" s="91"/>
      <c r="F98" s="154">
        <v>2201</v>
      </c>
      <c r="G98" s="81" t="s">
        <v>294</v>
      </c>
      <c r="H98" s="194"/>
      <c r="I98" s="194"/>
      <c r="J98" s="693"/>
      <c r="K98" s="726"/>
      <c r="L98" s="693"/>
      <c r="M98" s="693"/>
      <c r="N98" s="688"/>
      <c r="O98" s="689"/>
      <c r="P98" s="688"/>
      <c r="Q98" s="732"/>
      <c r="R98" s="689"/>
      <c r="S98" s="689"/>
      <c r="T98" s="728"/>
      <c r="U98" s="147"/>
      <c r="V98" s="147"/>
      <c r="W98" s="205">
        <f>W99</f>
        <v>0</v>
      </c>
      <c r="X98" s="205"/>
      <c r="Y98" s="205"/>
      <c r="Z98" s="205">
        <f t="shared" si="134"/>
        <v>0</v>
      </c>
      <c r="AA98" s="205"/>
      <c r="AB98" s="205"/>
      <c r="AC98" s="205">
        <f t="shared" si="134"/>
        <v>0</v>
      </c>
      <c r="AD98" s="205"/>
      <c r="AE98" s="205"/>
      <c r="AF98" s="205">
        <f t="shared" si="134"/>
        <v>0</v>
      </c>
      <c r="AG98" s="205"/>
      <c r="AH98" s="205"/>
      <c r="AI98" s="205">
        <f t="shared" si="134"/>
        <v>0</v>
      </c>
      <c r="AJ98" s="205"/>
      <c r="AK98" s="205"/>
      <c r="AL98" s="205">
        <f t="shared" si="134"/>
        <v>0</v>
      </c>
      <c r="AM98" s="205"/>
      <c r="AN98" s="205"/>
      <c r="AO98" s="205">
        <f t="shared" si="134"/>
        <v>0</v>
      </c>
      <c r="AP98" s="205"/>
      <c r="AQ98" s="205"/>
      <c r="AR98" s="205">
        <f t="shared" si="134"/>
        <v>0</v>
      </c>
      <c r="AS98" s="205"/>
      <c r="AT98" s="205"/>
      <c r="AU98" s="205">
        <f t="shared" si="134"/>
        <v>0</v>
      </c>
      <c r="AV98" s="205"/>
      <c r="AW98" s="205"/>
      <c r="AX98" s="205">
        <f t="shared" si="134"/>
        <v>0</v>
      </c>
      <c r="AY98" s="205"/>
      <c r="AZ98" s="205"/>
      <c r="BA98" s="205">
        <f t="shared" si="134"/>
        <v>30000000</v>
      </c>
      <c r="BB98" s="205">
        <f t="shared" si="134"/>
        <v>27042500</v>
      </c>
      <c r="BC98" s="205">
        <f t="shared" si="134"/>
        <v>1855000</v>
      </c>
      <c r="BD98" s="205">
        <f t="shared" si="134"/>
        <v>0</v>
      </c>
      <c r="BE98" s="205"/>
      <c r="BF98" s="205"/>
      <c r="BG98" s="205">
        <f t="shared" si="134"/>
        <v>0</v>
      </c>
      <c r="BH98" s="205"/>
      <c r="BI98" s="205"/>
      <c r="BJ98" s="205">
        <f t="shared" si="134"/>
        <v>30000000</v>
      </c>
      <c r="BK98" s="205">
        <f t="shared" si="135"/>
        <v>27042500</v>
      </c>
      <c r="BL98" s="205">
        <f t="shared" si="135"/>
        <v>1855000</v>
      </c>
      <c r="BM98" s="214"/>
      <c r="BN98" s="215"/>
    </row>
    <row r="99" spans="1:106" ht="129.75" customHeight="1" x14ac:dyDescent="0.2">
      <c r="A99" s="145"/>
      <c r="B99" s="91"/>
      <c r="C99" s="91"/>
      <c r="D99" s="91"/>
      <c r="E99" s="91"/>
      <c r="F99" s="87"/>
      <c r="G99" s="216"/>
      <c r="H99" s="562" t="s">
        <v>295</v>
      </c>
      <c r="I99" s="107">
        <v>2201068</v>
      </c>
      <c r="J99" s="562" t="s">
        <v>296</v>
      </c>
      <c r="K99" s="107">
        <v>2201068</v>
      </c>
      <c r="L99" s="562" t="s">
        <v>296</v>
      </c>
      <c r="M99" s="85">
        <v>220106800</v>
      </c>
      <c r="N99" s="561" t="s">
        <v>297</v>
      </c>
      <c r="O99" s="85">
        <v>220106800</v>
      </c>
      <c r="P99" s="561" t="s">
        <v>297</v>
      </c>
      <c r="Q99" s="569" t="s">
        <v>68</v>
      </c>
      <c r="R99" s="125">
        <v>70</v>
      </c>
      <c r="S99" s="125">
        <v>0</v>
      </c>
      <c r="T99" s="570" t="s">
        <v>298</v>
      </c>
      <c r="U99" s="561" t="s">
        <v>299</v>
      </c>
      <c r="V99" s="561" t="s">
        <v>300</v>
      </c>
      <c r="W99" s="150"/>
      <c r="X99" s="150"/>
      <c r="Y99" s="150"/>
      <c r="Z99" s="150"/>
      <c r="AA99" s="150"/>
      <c r="AB99" s="150"/>
      <c r="AC99" s="150"/>
      <c r="AD99" s="150"/>
      <c r="AE99" s="150"/>
      <c r="AF99" s="150"/>
      <c r="AG99" s="150"/>
      <c r="AH99" s="150"/>
      <c r="AI99" s="150"/>
      <c r="AJ99" s="150"/>
      <c r="AK99" s="150"/>
      <c r="AL99" s="150"/>
      <c r="AM99" s="150"/>
      <c r="AN99" s="150"/>
      <c r="AO99" s="150"/>
      <c r="AP99" s="150"/>
      <c r="AQ99" s="150"/>
      <c r="AR99" s="150"/>
      <c r="AS99" s="150"/>
      <c r="AT99" s="150"/>
      <c r="AU99" s="150"/>
      <c r="AV99" s="150"/>
      <c r="AW99" s="150"/>
      <c r="AX99" s="150"/>
      <c r="AY99" s="150"/>
      <c r="AZ99" s="150"/>
      <c r="BA99" s="161">
        <v>30000000</v>
      </c>
      <c r="BB99" s="161">
        <v>27042500</v>
      </c>
      <c r="BC99" s="161">
        <v>1855000</v>
      </c>
      <c r="BD99" s="150"/>
      <c r="BE99" s="150"/>
      <c r="BF99" s="150"/>
      <c r="BG99" s="150"/>
      <c r="BH99" s="150"/>
      <c r="BI99" s="150"/>
      <c r="BJ99" s="151">
        <f>+W99+Z99+AC99+AF99+AI99+AL99+AO99+AR99+AU99+AX99+BA99+BD99+BG99</f>
        <v>30000000</v>
      </c>
      <c r="BK99" s="151">
        <f t="shared" ref="BK99:BL99" si="136">+X99+AA99+AD99+AG99+AJ99+AM99+AP99+AS99+AV99+AY99+BB99+BE99+BH99</f>
        <v>27042500</v>
      </c>
      <c r="BL99" s="151">
        <f t="shared" si="136"/>
        <v>1855000</v>
      </c>
      <c r="BM99" s="151" t="s">
        <v>281</v>
      </c>
      <c r="BN99" s="216" t="s">
        <v>1576</v>
      </c>
    </row>
    <row r="100" spans="1:106" s="9" customFormat="1" ht="24" customHeight="1" x14ac:dyDescent="0.25">
      <c r="A100" s="130"/>
      <c r="B100" s="83"/>
      <c r="C100" s="83"/>
      <c r="D100" s="408">
        <v>41</v>
      </c>
      <c r="E100" s="75" t="s">
        <v>301</v>
      </c>
      <c r="F100" s="75"/>
      <c r="G100" s="135"/>
      <c r="H100" s="135"/>
      <c r="I100" s="136"/>
      <c r="J100" s="138"/>
      <c r="K100" s="137"/>
      <c r="L100" s="138"/>
      <c r="M100" s="138"/>
      <c r="N100" s="140"/>
      <c r="O100" s="139"/>
      <c r="P100" s="140"/>
      <c r="Q100" s="141"/>
      <c r="R100" s="139"/>
      <c r="S100" s="139"/>
      <c r="T100" s="204"/>
      <c r="U100" s="143"/>
      <c r="V100" s="143"/>
      <c r="W100" s="144">
        <f>W101+W107</f>
        <v>0</v>
      </c>
      <c r="X100" s="144"/>
      <c r="Y100" s="144"/>
      <c r="Z100" s="144">
        <f t="shared" ref="Z100:BJ100" si="137">Z101+Z107</f>
        <v>0</v>
      </c>
      <c r="AA100" s="144"/>
      <c r="AB100" s="144"/>
      <c r="AC100" s="144">
        <f t="shared" si="137"/>
        <v>0</v>
      </c>
      <c r="AD100" s="144"/>
      <c r="AE100" s="144"/>
      <c r="AF100" s="144">
        <f t="shared" si="137"/>
        <v>0</v>
      </c>
      <c r="AG100" s="144"/>
      <c r="AH100" s="144"/>
      <c r="AI100" s="144">
        <f t="shared" si="137"/>
        <v>0</v>
      </c>
      <c r="AJ100" s="144"/>
      <c r="AK100" s="144"/>
      <c r="AL100" s="144">
        <f t="shared" si="137"/>
        <v>0</v>
      </c>
      <c r="AM100" s="144"/>
      <c r="AN100" s="144"/>
      <c r="AO100" s="144">
        <f t="shared" si="137"/>
        <v>0</v>
      </c>
      <c r="AP100" s="144"/>
      <c r="AQ100" s="144"/>
      <c r="AR100" s="144">
        <f t="shared" si="137"/>
        <v>0</v>
      </c>
      <c r="AS100" s="144"/>
      <c r="AT100" s="144"/>
      <c r="AU100" s="144">
        <f t="shared" si="137"/>
        <v>0</v>
      </c>
      <c r="AV100" s="144"/>
      <c r="AW100" s="144"/>
      <c r="AX100" s="144">
        <f t="shared" si="137"/>
        <v>0</v>
      </c>
      <c r="AY100" s="144"/>
      <c r="AZ100" s="144"/>
      <c r="BA100" s="144">
        <f t="shared" si="137"/>
        <v>224000000</v>
      </c>
      <c r="BB100" s="144">
        <f t="shared" ref="BB100:BC100" si="138">BB101+BB107</f>
        <v>63719410</v>
      </c>
      <c r="BC100" s="144">
        <f t="shared" si="138"/>
        <v>16960171</v>
      </c>
      <c r="BD100" s="144">
        <f t="shared" si="137"/>
        <v>0</v>
      </c>
      <c r="BE100" s="144"/>
      <c r="BF100" s="144"/>
      <c r="BG100" s="144">
        <f t="shared" si="137"/>
        <v>0</v>
      </c>
      <c r="BH100" s="144"/>
      <c r="BI100" s="144"/>
      <c r="BJ100" s="144">
        <f t="shared" si="137"/>
        <v>224000000</v>
      </c>
      <c r="BK100" s="144">
        <f t="shared" ref="BK100:BL100" si="139">BK101+BK107</f>
        <v>63719410</v>
      </c>
      <c r="BL100" s="144">
        <f t="shared" si="139"/>
        <v>16960171</v>
      </c>
      <c r="BM100" s="144">
        <f>BM101</f>
        <v>0</v>
      </c>
      <c r="BN100" s="144">
        <f>BN101</f>
        <v>0</v>
      </c>
      <c r="BO100" s="8"/>
      <c r="BP100" s="8"/>
      <c r="BQ100" s="8"/>
      <c r="BR100" s="8"/>
      <c r="BS100" s="8"/>
      <c r="BT100" s="8"/>
      <c r="BU100" s="8"/>
      <c r="BV100" s="8"/>
      <c r="BW100" s="8"/>
      <c r="BX100" s="8"/>
      <c r="BY100" s="8"/>
      <c r="BZ100" s="8"/>
      <c r="CA100" s="8"/>
      <c r="CB100" s="8"/>
      <c r="CC100" s="8"/>
      <c r="CD100" s="8"/>
      <c r="CE100" s="8"/>
      <c r="CF100" s="8"/>
      <c r="CG100" s="8"/>
      <c r="CH100" s="8"/>
      <c r="CI100" s="8"/>
      <c r="CJ100" s="8"/>
      <c r="CK100" s="8"/>
      <c r="CL100" s="8"/>
      <c r="CM100" s="8"/>
      <c r="CN100" s="8"/>
      <c r="CO100" s="8"/>
      <c r="CP100" s="8"/>
      <c r="CQ100" s="8"/>
      <c r="CR100" s="8"/>
      <c r="CS100" s="8"/>
      <c r="CT100" s="8"/>
      <c r="CU100" s="8"/>
      <c r="CV100" s="8"/>
      <c r="CW100" s="8"/>
      <c r="CX100" s="8"/>
      <c r="CY100" s="8"/>
      <c r="CZ100" s="8"/>
      <c r="DA100" s="8"/>
      <c r="DB100" s="8"/>
    </row>
    <row r="101" spans="1:106" ht="24" customHeight="1" x14ac:dyDescent="0.2">
      <c r="A101" s="145"/>
      <c r="B101" s="91"/>
      <c r="C101" s="91"/>
      <c r="D101" s="91"/>
      <c r="E101" s="91"/>
      <c r="F101" s="154">
        <v>4101</v>
      </c>
      <c r="G101" s="81" t="s">
        <v>302</v>
      </c>
      <c r="H101" s="81"/>
      <c r="I101" s="194"/>
      <c r="J101" s="693"/>
      <c r="K101" s="726"/>
      <c r="L101" s="693"/>
      <c r="M101" s="693"/>
      <c r="N101" s="688"/>
      <c r="O101" s="689"/>
      <c r="P101" s="688"/>
      <c r="Q101" s="732"/>
      <c r="R101" s="689"/>
      <c r="S101" s="689"/>
      <c r="T101" s="728"/>
      <c r="U101" s="147"/>
      <c r="V101" s="147"/>
      <c r="W101" s="148">
        <f>SUM(W102:W106)</f>
        <v>0</v>
      </c>
      <c r="X101" s="148"/>
      <c r="Y101" s="148"/>
      <c r="Z101" s="148">
        <f t="shared" ref="Z101:BM101" si="140">SUM(Z102:Z106)</f>
        <v>0</v>
      </c>
      <c r="AA101" s="148"/>
      <c r="AB101" s="148"/>
      <c r="AC101" s="148">
        <f t="shared" si="140"/>
        <v>0</v>
      </c>
      <c r="AD101" s="148"/>
      <c r="AE101" s="148"/>
      <c r="AF101" s="148">
        <f t="shared" si="140"/>
        <v>0</v>
      </c>
      <c r="AG101" s="148"/>
      <c r="AH101" s="148"/>
      <c r="AI101" s="148">
        <f t="shared" si="140"/>
        <v>0</v>
      </c>
      <c r="AJ101" s="148"/>
      <c r="AK101" s="148"/>
      <c r="AL101" s="148">
        <f t="shared" si="140"/>
        <v>0</v>
      </c>
      <c r="AM101" s="148"/>
      <c r="AN101" s="148"/>
      <c r="AO101" s="148">
        <f t="shared" si="140"/>
        <v>0</v>
      </c>
      <c r="AP101" s="148"/>
      <c r="AQ101" s="148"/>
      <c r="AR101" s="148">
        <f t="shared" si="140"/>
        <v>0</v>
      </c>
      <c r="AS101" s="148"/>
      <c r="AT101" s="148"/>
      <c r="AU101" s="148">
        <f t="shared" si="140"/>
        <v>0</v>
      </c>
      <c r="AV101" s="148"/>
      <c r="AW101" s="148"/>
      <c r="AX101" s="148">
        <f t="shared" si="140"/>
        <v>0</v>
      </c>
      <c r="AY101" s="148"/>
      <c r="AZ101" s="148"/>
      <c r="BA101" s="148">
        <f t="shared" si="140"/>
        <v>206000000</v>
      </c>
      <c r="BB101" s="148">
        <f t="shared" ref="BB101:BC101" si="141">SUM(BB102:BB106)</f>
        <v>62719410</v>
      </c>
      <c r="BC101" s="148">
        <f t="shared" si="141"/>
        <v>16960171</v>
      </c>
      <c r="BD101" s="148">
        <f t="shared" si="140"/>
        <v>0</v>
      </c>
      <c r="BE101" s="148"/>
      <c r="BF101" s="148"/>
      <c r="BG101" s="148">
        <f t="shared" si="140"/>
        <v>0</v>
      </c>
      <c r="BH101" s="148"/>
      <c r="BI101" s="148"/>
      <c r="BJ101" s="148">
        <f t="shared" si="140"/>
        <v>206000000</v>
      </c>
      <c r="BK101" s="148">
        <f t="shared" ref="BK101:BL101" si="142">SUM(BK102:BK106)</f>
        <v>62719410</v>
      </c>
      <c r="BL101" s="148">
        <f t="shared" si="142"/>
        <v>16960171</v>
      </c>
      <c r="BM101" s="148">
        <f t="shared" si="140"/>
        <v>0</v>
      </c>
      <c r="BN101" s="148">
        <f t="shared" ref="BN101" si="143">SUM(BN102:BN106)</f>
        <v>0</v>
      </c>
    </row>
    <row r="102" spans="1:106" ht="140.25" customHeight="1" x14ac:dyDescent="0.2">
      <c r="A102" s="145"/>
      <c r="B102" s="91"/>
      <c r="C102" s="91"/>
      <c r="D102" s="91"/>
      <c r="E102" s="91"/>
      <c r="F102" s="567"/>
      <c r="G102" s="569"/>
      <c r="H102" s="562" t="s">
        <v>303</v>
      </c>
      <c r="I102" s="85">
        <v>4101023</v>
      </c>
      <c r="J102" s="562" t="s">
        <v>304</v>
      </c>
      <c r="K102" s="85">
        <v>4101023</v>
      </c>
      <c r="L102" s="562" t="s">
        <v>304</v>
      </c>
      <c r="M102" s="85">
        <v>410102300</v>
      </c>
      <c r="N102" s="577" t="s">
        <v>305</v>
      </c>
      <c r="O102" s="85">
        <v>410102300</v>
      </c>
      <c r="P102" s="577" t="s">
        <v>305</v>
      </c>
      <c r="Q102" s="209" t="s">
        <v>68</v>
      </c>
      <c r="R102" s="125">
        <v>500</v>
      </c>
      <c r="S102" s="125">
        <v>100</v>
      </c>
      <c r="T102" s="862" t="s">
        <v>306</v>
      </c>
      <c r="U102" s="873" t="s">
        <v>307</v>
      </c>
      <c r="V102" s="875" t="s">
        <v>308</v>
      </c>
      <c r="W102" s="150"/>
      <c r="X102" s="150"/>
      <c r="Y102" s="150"/>
      <c r="Z102" s="150"/>
      <c r="AA102" s="150"/>
      <c r="AB102" s="150"/>
      <c r="AC102" s="150"/>
      <c r="AD102" s="150"/>
      <c r="AE102" s="150"/>
      <c r="AF102" s="150"/>
      <c r="AG102" s="150"/>
      <c r="AH102" s="150"/>
      <c r="AI102" s="150"/>
      <c r="AJ102" s="150"/>
      <c r="AK102" s="150"/>
      <c r="AL102" s="150"/>
      <c r="AM102" s="150"/>
      <c r="AN102" s="150"/>
      <c r="AO102" s="150"/>
      <c r="AP102" s="150"/>
      <c r="AQ102" s="150"/>
      <c r="AR102" s="150"/>
      <c r="AS102" s="150"/>
      <c r="AT102" s="150"/>
      <c r="AU102" s="150"/>
      <c r="AV102" s="150"/>
      <c r="AW102" s="150"/>
      <c r="AX102" s="150"/>
      <c r="AY102" s="150"/>
      <c r="AZ102" s="150"/>
      <c r="BA102" s="161">
        <v>70000000</v>
      </c>
      <c r="BB102" s="161">
        <v>45089239</v>
      </c>
      <c r="BC102" s="161">
        <v>15330000</v>
      </c>
      <c r="BD102" s="150"/>
      <c r="BE102" s="150"/>
      <c r="BF102" s="150"/>
      <c r="BG102" s="150"/>
      <c r="BH102" s="150"/>
      <c r="BI102" s="150"/>
      <c r="BJ102" s="151">
        <f>+W102+Z102+AC102+AF102+AI102+AL102+AO102+AR102+AU102+AX102+BA102+BD102+BG102</f>
        <v>70000000</v>
      </c>
      <c r="BK102" s="151">
        <f t="shared" ref="BK102:BL106" si="144">+X102+AA102+AD102+AG102+AJ102+AM102+AP102+AS102+AV102+AY102+BB102+BE102+BH102</f>
        <v>45089239</v>
      </c>
      <c r="BL102" s="151">
        <f t="shared" si="144"/>
        <v>15330000</v>
      </c>
      <c r="BM102" s="151" t="s">
        <v>281</v>
      </c>
      <c r="BN102" s="216" t="s">
        <v>1576</v>
      </c>
    </row>
    <row r="103" spans="1:106" ht="69.75" customHeight="1" x14ac:dyDescent="0.2">
      <c r="A103" s="145"/>
      <c r="B103" s="91"/>
      <c r="C103" s="91"/>
      <c r="D103" s="91"/>
      <c r="E103" s="91"/>
      <c r="F103" s="567"/>
      <c r="G103" s="569"/>
      <c r="H103" s="562" t="s">
        <v>303</v>
      </c>
      <c r="I103" s="437">
        <v>4101025</v>
      </c>
      <c r="J103" s="565" t="s">
        <v>309</v>
      </c>
      <c r="K103" s="85">
        <v>4101025</v>
      </c>
      <c r="L103" s="565" t="s">
        <v>309</v>
      </c>
      <c r="M103" s="85">
        <v>410102511</v>
      </c>
      <c r="N103" s="559" t="s">
        <v>310</v>
      </c>
      <c r="O103" s="85">
        <v>410102511</v>
      </c>
      <c r="P103" s="559" t="s">
        <v>310</v>
      </c>
      <c r="Q103" s="209" t="s">
        <v>68</v>
      </c>
      <c r="R103" s="125">
        <v>100</v>
      </c>
      <c r="S103" s="125">
        <v>10</v>
      </c>
      <c r="T103" s="862"/>
      <c r="U103" s="873"/>
      <c r="V103" s="875"/>
      <c r="W103" s="150"/>
      <c r="X103" s="150"/>
      <c r="Y103" s="150"/>
      <c r="Z103" s="150"/>
      <c r="AA103" s="150"/>
      <c r="AB103" s="150"/>
      <c r="AC103" s="150"/>
      <c r="AD103" s="150"/>
      <c r="AE103" s="150"/>
      <c r="AF103" s="150"/>
      <c r="AG103" s="150"/>
      <c r="AH103" s="150"/>
      <c r="AI103" s="150"/>
      <c r="AJ103" s="150"/>
      <c r="AK103" s="150"/>
      <c r="AL103" s="150"/>
      <c r="AM103" s="150"/>
      <c r="AN103" s="150"/>
      <c r="AO103" s="150"/>
      <c r="AP103" s="150"/>
      <c r="AQ103" s="150"/>
      <c r="AR103" s="150"/>
      <c r="AS103" s="150"/>
      <c r="AT103" s="150"/>
      <c r="AU103" s="150"/>
      <c r="AV103" s="150"/>
      <c r="AW103" s="150"/>
      <c r="AX103" s="150"/>
      <c r="AY103" s="150"/>
      <c r="AZ103" s="150"/>
      <c r="BA103" s="161">
        <v>40000000</v>
      </c>
      <c r="BB103" s="161">
        <v>5000000</v>
      </c>
      <c r="BC103" s="161"/>
      <c r="BD103" s="150"/>
      <c r="BE103" s="150"/>
      <c r="BF103" s="150"/>
      <c r="BG103" s="150"/>
      <c r="BH103" s="150"/>
      <c r="BI103" s="150"/>
      <c r="BJ103" s="151">
        <f>+W103+Z103+AC103+AF103+AI103+AL103+AO103+AR103+AU103+AX103+BA103+BD103+BG103</f>
        <v>40000000</v>
      </c>
      <c r="BK103" s="151">
        <f t="shared" si="144"/>
        <v>5000000</v>
      </c>
      <c r="BL103" s="151">
        <f t="shared" si="144"/>
        <v>0</v>
      </c>
      <c r="BM103" s="151" t="s">
        <v>281</v>
      </c>
      <c r="BN103" s="216" t="s">
        <v>1576</v>
      </c>
    </row>
    <row r="104" spans="1:106" ht="69" customHeight="1" x14ac:dyDescent="0.2">
      <c r="A104" s="145"/>
      <c r="B104" s="91"/>
      <c r="C104" s="91"/>
      <c r="D104" s="91"/>
      <c r="E104" s="91"/>
      <c r="F104" s="567"/>
      <c r="G104" s="569"/>
      <c r="H104" s="562" t="s">
        <v>303</v>
      </c>
      <c r="I104" s="85">
        <v>4101038</v>
      </c>
      <c r="J104" s="562" t="s">
        <v>311</v>
      </c>
      <c r="K104" s="85">
        <v>4101038</v>
      </c>
      <c r="L104" s="562" t="s">
        <v>311</v>
      </c>
      <c r="M104" s="85">
        <v>410103800</v>
      </c>
      <c r="N104" s="561" t="s">
        <v>312</v>
      </c>
      <c r="O104" s="85">
        <v>410103800</v>
      </c>
      <c r="P104" s="561" t="s">
        <v>312</v>
      </c>
      <c r="Q104" s="209" t="s">
        <v>68</v>
      </c>
      <c r="R104" s="125">
        <v>12</v>
      </c>
      <c r="S104" s="125">
        <v>3</v>
      </c>
      <c r="T104" s="862"/>
      <c r="U104" s="873"/>
      <c r="V104" s="875"/>
      <c r="W104" s="150"/>
      <c r="X104" s="150"/>
      <c r="Y104" s="150"/>
      <c r="Z104" s="150"/>
      <c r="AA104" s="150"/>
      <c r="AB104" s="150"/>
      <c r="AC104" s="150"/>
      <c r="AD104" s="150"/>
      <c r="AE104" s="150"/>
      <c r="AF104" s="150"/>
      <c r="AG104" s="150"/>
      <c r="AH104" s="150"/>
      <c r="AI104" s="150"/>
      <c r="AJ104" s="150"/>
      <c r="AK104" s="150"/>
      <c r="AL104" s="150"/>
      <c r="AM104" s="150"/>
      <c r="AN104" s="150"/>
      <c r="AO104" s="150"/>
      <c r="AP104" s="150"/>
      <c r="AQ104" s="150"/>
      <c r="AR104" s="150"/>
      <c r="AS104" s="150"/>
      <c r="AT104" s="150"/>
      <c r="AU104" s="150"/>
      <c r="AV104" s="150"/>
      <c r="AW104" s="150"/>
      <c r="AX104" s="150"/>
      <c r="AY104" s="150"/>
      <c r="AZ104" s="150"/>
      <c r="BA104" s="161">
        <v>41000000</v>
      </c>
      <c r="BB104" s="161">
        <f>'[2]F-PLA-47EjecucionMetasProyectos'!$T$28+'[2]F-PLA-47EjecucionMetasProyectos'!$T$30</f>
        <v>9630171</v>
      </c>
      <c r="BC104" s="161">
        <v>1630171</v>
      </c>
      <c r="BD104" s="150"/>
      <c r="BE104" s="150"/>
      <c r="BF104" s="150"/>
      <c r="BG104" s="150"/>
      <c r="BH104" s="150"/>
      <c r="BI104" s="150"/>
      <c r="BJ104" s="151">
        <f>+W104+Z104+AC104+AF104+AI104+AL104+AO104+AR104+AU104+AX104+BA104+BD104+BG104</f>
        <v>41000000</v>
      </c>
      <c r="BK104" s="151">
        <f t="shared" si="144"/>
        <v>9630171</v>
      </c>
      <c r="BL104" s="151">
        <f t="shared" si="144"/>
        <v>1630171</v>
      </c>
      <c r="BM104" s="151" t="s">
        <v>281</v>
      </c>
      <c r="BN104" s="216" t="s">
        <v>1576</v>
      </c>
    </row>
    <row r="105" spans="1:106" ht="109.5" customHeight="1" x14ac:dyDescent="0.2">
      <c r="A105" s="145"/>
      <c r="B105" s="91"/>
      <c r="C105" s="91"/>
      <c r="D105" s="91"/>
      <c r="E105" s="91"/>
      <c r="F105" s="567"/>
      <c r="G105" s="569"/>
      <c r="H105" s="562" t="s">
        <v>313</v>
      </c>
      <c r="I105" s="85">
        <v>4101073</v>
      </c>
      <c r="J105" s="562" t="s">
        <v>314</v>
      </c>
      <c r="K105" s="85">
        <v>4101073</v>
      </c>
      <c r="L105" s="562" t="s">
        <v>314</v>
      </c>
      <c r="M105" s="85">
        <v>410107300</v>
      </c>
      <c r="N105" s="561" t="s">
        <v>315</v>
      </c>
      <c r="O105" s="85">
        <v>410107300</v>
      </c>
      <c r="P105" s="561" t="s">
        <v>315</v>
      </c>
      <c r="Q105" s="195" t="s">
        <v>68</v>
      </c>
      <c r="R105" s="125">
        <v>30</v>
      </c>
      <c r="S105" s="125">
        <v>0</v>
      </c>
      <c r="T105" s="862"/>
      <c r="U105" s="873"/>
      <c r="V105" s="875"/>
      <c r="W105" s="150"/>
      <c r="X105" s="150"/>
      <c r="Y105" s="150"/>
      <c r="Z105" s="150"/>
      <c r="AA105" s="150"/>
      <c r="AB105" s="150"/>
      <c r="AC105" s="150"/>
      <c r="AD105" s="150"/>
      <c r="AE105" s="150"/>
      <c r="AF105" s="150"/>
      <c r="AG105" s="150"/>
      <c r="AH105" s="150"/>
      <c r="AI105" s="150"/>
      <c r="AJ105" s="150"/>
      <c r="AK105" s="150"/>
      <c r="AL105" s="150"/>
      <c r="AM105" s="150"/>
      <c r="AN105" s="150"/>
      <c r="AO105" s="150"/>
      <c r="AP105" s="150"/>
      <c r="AQ105" s="150"/>
      <c r="AR105" s="150"/>
      <c r="AS105" s="150"/>
      <c r="AT105" s="150"/>
      <c r="AU105" s="150"/>
      <c r="AV105" s="150"/>
      <c r="AW105" s="150"/>
      <c r="AX105" s="150"/>
      <c r="AY105" s="150"/>
      <c r="AZ105" s="150"/>
      <c r="BA105" s="161">
        <v>40000000</v>
      </c>
      <c r="BB105" s="161"/>
      <c r="BC105" s="161"/>
      <c r="BD105" s="150"/>
      <c r="BE105" s="150"/>
      <c r="BF105" s="150"/>
      <c r="BG105" s="150"/>
      <c r="BH105" s="150"/>
      <c r="BI105" s="150"/>
      <c r="BJ105" s="151">
        <f>+W105+Z105+AC105+AF105+AI105+AL105+AO105+AR105+AU105+AX105+BA105+BD105+BG105</f>
        <v>40000000</v>
      </c>
      <c r="BK105" s="151">
        <f t="shared" si="144"/>
        <v>0</v>
      </c>
      <c r="BL105" s="151">
        <f t="shared" si="144"/>
        <v>0</v>
      </c>
      <c r="BM105" s="151" t="s">
        <v>281</v>
      </c>
      <c r="BN105" s="216" t="s">
        <v>1576</v>
      </c>
    </row>
    <row r="106" spans="1:106" ht="120" x14ac:dyDescent="0.2">
      <c r="A106" s="145"/>
      <c r="B106" s="91"/>
      <c r="C106" s="91"/>
      <c r="D106" s="91"/>
      <c r="E106" s="91"/>
      <c r="F106" s="567"/>
      <c r="G106" s="569"/>
      <c r="H106" s="562" t="s">
        <v>316</v>
      </c>
      <c r="I106" s="85">
        <v>4101011</v>
      </c>
      <c r="J106" s="562" t="s">
        <v>317</v>
      </c>
      <c r="K106" s="85">
        <v>4101011</v>
      </c>
      <c r="L106" s="562" t="s">
        <v>317</v>
      </c>
      <c r="M106" s="85">
        <v>410101100</v>
      </c>
      <c r="N106" s="561" t="s">
        <v>318</v>
      </c>
      <c r="O106" s="85">
        <v>410101100</v>
      </c>
      <c r="P106" s="561" t="s">
        <v>318</v>
      </c>
      <c r="Q106" s="209" t="s">
        <v>68</v>
      </c>
      <c r="R106" s="125">
        <v>2</v>
      </c>
      <c r="S106" s="125">
        <v>1</v>
      </c>
      <c r="T106" s="862"/>
      <c r="U106" s="873"/>
      <c r="V106" s="875"/>
      <c r="W106" s="150"/>
      <c r="X106" s="150"/>
      <c r="Y106" s="150"/>
      <c r="Z106" s="150"/>
      <c r="AA106" s="150"/>
      <c r="AB106" s="150"/>
      <c r="AC106" s="150"/>
      <c r="AD106" s="150"/>
      <c r="AE106" s="150"/>
      <c r="AF106" s="150"/>
      <c r="AG106" s="150"/>
      <c r="AH106" s="150"/>
      <c r="AI106" s="150"/>
      <c r="AJ106" s="150"/>
      <c r="AK106" s="150"/>
      <c r="AL106" s="150"/>
      <c r="AM106" s="150"/>
      <c r="AN106" s="150"/>
      <c r="AO106" s="150"/>
      <c r="AP106" s="150"/>
      <c r="AQ106" s="150"/>
      <c r="AR106" s="150"/>
      <c r="AS106" s="150"/>
      <c r="AT106" s="150"/>
      <c r="AU106" s="150"/>
      <c r="AV106" s="150"/>
      <c r="AW106" s="150"/>
      <c r="AX106" s="150"/>
      <c r="AY106" s="150"/>
      <c r="AZ106" s="150"/>
      <c r="BA106" s="161">
        <v>15000000</v>
      </c>
      <c r="BB106" s="161">
        <v>3000000</v>
      </c>
      <c r="BC106" s="161"/>
      <c r="BD106" s="150"/>
      <c r="BE106" s="150"/>
      <c r="BF106" s="150"/>
      <c r="BG106" s="150"/>
      <c r="BH106" s="150"/>
      <c r="BI106" s="150"/>
      <c r="BJ106" s="151">
        <f>+W106+Z106+AC106+AF106+AI106+AL106+AO106+AR106+AU106+AX106+BA106+BD106+BG106</f>
        <v>15000000</v>
      </c>
      <c r="BK106" s="151">
        <f t="shared" si="144"/>
        <v>3000000</v>
      </c>
      <c r="BL106" s="151">
        <f t="shared" si="144"/>
        <v>0</v>
      </c>
      <c r="BM106" s="151" t="s">
        <v>281</v>
      </c>
      <c r="BN106" s="216" t="s">
        <v>1576</v>
      </c>
    </row>
    <row r="107" spans="1:106" ht="24" customHeight="1" x14ac:dyDescent="0.2">
      <c r="A107" s="145"/>
      <c r="B107" s="91"/>
      <c r="C107" s="91"/>
      <c r="D107" s="91"/>
      <c r="E107" s="91"/>
      <c r="F107" s="154">
        <v>4103</v>
      </c>
      <c r="G107" s="81" t="s">
        <v>319</v>
      </c>
      <c r="H107" s="194"/>
      <c r="I107" s="194"/>
      <c r="J107" s="693"/>
      <c r="K107" s="726"/>
      <c r="L107" s="693"/>
      <c r="M107" s="693"/>
      <c r="N107" s="688"/>
      <c r="O107" s="689"/>
      <c r="P107" s="688"/>
      <c r="Q107" s="732"/>
      <c r="R107" s="689"/>
      <c r="S107" s="689"/>
      <c r="T107" s="728"/>
      <c r="U107" s="147"/>
      <c r="V107" s="147"/>
      <c r="W107" s="206">
        <f>W108</f>
        <v>0</v>
      </c>
      <c r="X107" s="206"/>
      <c r="Y107" s="206"/>
      <c r="Z107" s="206">
        <f t="shared" ref="Z107:BL107" si="145">Z108</f>
        <v>0</v>
      </c>
      <c r="AA107" s="206"/>
      <c r="AB107" s="206"/>
      <c r="AC107" s="206">
        <f t="shared" si="145"/>
        <v>0</v>
      </c>
      <c r="AD107" s="206"/>
      <c r="AE107" s="206"/>
      <c r="AF107" s="206">
        <f t="shared" si="145"/>
        <v>0</v>
      </c>
      <c r="AG107" s="206"/>
      <c r="AH107" s="206"/>
      <c r="AI107" s="206">
        <f t="shared" si="145"/>
        <v>0</v>
      </c>
      <c r="AJ107" s="206"/>
      <c r="AK107" s="206"/>
      <c r="AL107" s="206">
        <f t="shared" si="145"/>
        <v>0</v>
      </c>
      <c r="AM107" s="206"/>
      <c r="AN107" s="206"/>
      <c r="AO107" s="206">
        <f t="shared" si="145"/>
        <v>0</v>
      </c>
      <c r="AP107" s="206"/>
      <c r="AQ107" s="206"/>
      <c r="AR107" s="206">
        <f t="shared" si="145"/>
        <v>0</v>
      </c>
      <c r="AS107" s="206"/>
      <c r="AT107" s="206"/>
      <c r="AU107" s="206">
        <f t="shared" si="145"/>
        <v>0</v>
      </c>
      <c r="AV107" s="206"/>
      <c r="AW107" s="206"/>
      <c r="AX107" s="206">
        <f t="shared" si="145"/>
        <v>0</v>
      </c>
      <c r="AY107" s="206"/>
      <c r="AZ107" s="206"/>
      <c r="BA107" s="206">
        <f t="shared" si="145"/>
        <v>18000000</v>
      </c>
      <c r="BB107" s="206">
        <f t="shared" si="145"/>
        <v>1000000</v>
      </c>
      <c r="BC107" s="206">
        <f t="shared" si="145"/>
        <v>0</v>
      </c>
      <c r="BD107" s="206">
        <f t="shared" si="145"/>
        <v>0</v>
      </c>
      <c r="BE107" s="206"/>
      <c r="BF107" s="206"/>
      <c r="BG107" s="206">
        <f t="shared" si="145"/>
        <v>0</v>
      </c>
      <c r="BH107" s="206"/>
      <c r="BI107" s="206"/>
      <c r="BJ107" s="206">
        <f t="shared" si="145"/>
        <v>18000000</v>
      </c>
      <c r="BK107" s="206">
        <f t="shared" si="145"/>
        <v>1000000</v>
      </c>
      <c r="BL107" s="206">
        <f t="shared" si="145"/>
        <v>0</v>
      </c>
      <c r="BM107" s="206"/>
      <c r="BN107" s="156"/>
    </row>
    <row r="108" spans="1:106" ht="129.75" customHeight="1" x14ac:dyDescent="0.2">
      <c r="A108" s="145"/>
      <c r="B108" s="91"/>
      <c r="C108" s="91"/>
      <c r="D108" s="91"/>
      <c r="E108" s="91"/>
      <c r="F108" s="567"/>
      <c r="G108" s="569"/>
      <c r="H108" s="562" t="s">
        <v>320</v>
      </c>
      <c r="I108" s="82" t="s">
        <v>47</v>
      </c>
      <c r="J108" s="571" t="s">
        <v>321</v>
      </c>
      <c r="K108" s="90">
        <v>4103052</v>
      </c>
      <c r="L108" s="571" t="s">
        <v>322</v>
      </c>
      <c r="M108" s="82" t="s">
        <v>47</v>
      </c>
      <c r="N108" s="561" t="s">
        <v>323</v>
      </c>
      <c r="O108" s="90">
        <v>410305201</v>
      </c>
      <c r="P108" s="561" t="s">
        <v>324</v>
      </c>
      <c r="Q108" s="569" t="s">
        <v>68</v>
      </c>
      <c r="R108" s="125">
        <v>25</v>
      </c>
      <c r="S108" s="125">
        <v>7</v>
      </c>
      <c r="T108" s="570" t="s">
        <v>325</v>
      </c>
      <c r="U108" s="562" t="s">
        <v>326</v>
      </c>
      <c r="V108" s="562" t="s">
        <v>327</v>
      </c>
      <c r="W108" s="150"/>
      <c r="X108" s="150"/>
      <c r="Y108" s="150"/>
      <c r="Z108" s="150"/>
      <c r="AA108" s="150"/>
      <c r="AB108" s="150"/>
      <c r="AC108" s="150"/>
      <c r="AD108" s="150"/>
      <c r="AE108" s="150"/>
      <c r="AF108" s="150"/>
      <c r="AG108" s="150"/>
      <c r="AH108" s="150"/>
      <c r="AI108" s="150"/>
      <c r="AJ108" s="150"/>
      <c r="AK108" s="150"/>
      <c r="AL108" s="150"/>
      <c r="AM108" s="150"/>
      <c r="AN108" s="150"/>
      <c r="AO108" s="150"/>
      <c r="AP108" s="150"/>
      <c r="AQ108" s="150"/>
      <c r="AR108" s="150"/>
      <c r="AS108" s="150"/>
      <c r="AT108" s="150"/>
      <c r="AU108" s="150"/>
      <c r="AV108" s="150"/>
      <c r="AW108" s="150"/>
      <c r="AX108" s="150"/>
      <c r="AY108" s="150"/>
      <c r="AZ108" s="150"/>
      <c r="BA108" s="161">
        <v>18000000</v>
      </c>
      <c r="BB108" s="161">
        <v>1000000</v>
      </c>
      <c r="BC108" s="161"/>
      <c r="BD108" s="150"/>
      <c r="BE108" s="150"/>
      <c r="BF108" s="150"/>
      <c r="BG108" s="150"/>
      <c r="BH108" s="150"/>
      <c r="BI108" s="150"/>
      <c r="BJ108" s="151">
        <f>+W108+Z108+AC108+AF108+AI108+AL108+AO108+AR108+AU108+AX108+BA108+BD108+BG108</f>
        <v>18000000</v>
      </c>
      <c r="BK108" s="151">
        <f>+X108+AA108+AD108+AG108+AJ108+AM108+AP108+AS108+AV108+AY108+BB108+BE108+BH108</f>
        <v>1000000</v>
      </c>
      <c r="BL108" s="151">
        <f>+Y108+AB108+AE108+AH108+AK108+AN108+AQ108+AT108+AW108+AZ108+BC108+BF108+BI108</f>
        <v>0</v>
      </c>
      <c r="BM108" s="151" t="s">
        <v>281</v>
      </c>
      <c r="BN108" s="216" t="s">
        <v>1576</v>
      </c>
    </row>
    <row r="109" spans="1:106" s="9" customFormat="1" ht="24" customHeight="1" x14ac:dyDescent="0.25">
      <c r="A109" s="130"/>
      <c r="B109" s="83"/>
      <c r="C109" s="83"/>
      <c r="D109" s="77">
        <v>45</v>
      </c>
      <c r="E109" s="75" t="s">
        <v>44</v>
      </c>
      <c r="F109" s="75"/>
      <c r="G109" s="135"/>
      <c r="H109" s="136"/>
      <c r="I109" s="136"/>
      <c r="J109" s="138"/>
      <c r="K109" s="137"/>
      <c r="L109" s="138"/>
      <c r="M109" s="138"/>
      <c r="N109" s="140"/>
      <c r="O109" s="139"/>
      <c r="P109" s="140"/>
      <c r="Q109" s="141"/>
      <c r="R109" s="139"/>
      <c r="S109" s="139"/>
      <c r="T109" s="204"/>
      <c r="U109" s="143"/>
      <c r="V109" s="143"/>
      <c r="W109" s="144">
        <f>W110</f>
        <v>0</v>
      </c>
      <c r="X109" s="144"/>
      <c r="Y109" s="144"/>
      <c r="Z109" s="144">
        <f t="shared" ref="Z109:BL109" si="146">Z110</f>
        <v>1837447380.3299999</v>
      </c>
      <c r="AA109" s="144">
        <f t="shared" si="146"/>
        <v>121957010.33</v>
      </c>
      <c r="AB109" s="144">
        <f t="shared" si="146"/>
        <v>2885000</v>
      </c>
      <c r="AC109" s="144">
        <f t="shared" si="146"/>
        <v>0</v>
      </c>
      <c r="AD109" s="144"/>
      <c r="AE109" s="144"/>
      <c r="AF109" s="144">
        <f t="shared" si="146"/>
        <v>0</v>
      </c>
      <c r="AG109" s="144"/>
      <c r="AH109" s="144"/>
      <c r="AI109" s="144">
        <f t="shared" si="146"/>
        <v>0</v>
      </c>
      <c r="AJ109" s="144"/>
      <c r="AK109" s="144"/>
      <c r="AL109" s="144">
        <f t="shared" si="146"/>
        <v>0</v>
      </c>
      <c r="AM109" s="144"/>
      <c r="AN109" s="144"/>
      <c r="AO109" s="144">
        <f t="shared" si="146"/>
        <v>0</v>
      </c>
      <c r="AP109" s="144"/>
      <c r="AQ109" s="144"/>
      <c r="AR109" s="144">
        <f t="shared" si="146"/>
        <v>0</v>
      </c>
      <c r="AS109" s="144"/>
      <c r="AT109" s="144"/>
      <c r="AU109" s="144">
        <f t="shared" si="146"/>
        <v>0</v>
      </c>
      <c r="AV109" s="144"/>
      <c r="AW109" s="144"/>
      <c r="AX109" s="144">
        <f t="shared" si="146"/>
        <v>0</v>
      </c>
      <c r="AY109" s="144"/>
      <c r="AZ109" s="144"/>
      <c r="BA109" s="144">
        <f t="shared" si="146"/>
        <v>36000000</v>
      </c>
      <c r="BB109" s="144">
        <f t="shared" si="146"/>
        <v>4000000</v>
      </c>
      <c r="BC109" s="144">
        <f t="shared" si="146"/>
        <v>0</v>
      </c>
      <c r="BD109" s="144">
        <f t="shared" si="146"/>
        <v>0</v>
      </c>
      <c r="BE109" s="144"/>
      <c r="BF109" s="144"/>
      <c r="BG109" s="144">
        <f t="shared" si="146"/>
        <v>0</v>
      </c>
      <c r="BH109" s="144"/>
      <c r="BI109" s="144"/>
      <c r="BJ109" s="144">
        <f t="shared" si="146"/>
        <v>1873447380.3299999</v>
      </c>
      <c r="BK109" s="144">
        <f t="shared" si="146"/>
        <v>125957010.33</v>
      </c>
      <c r="BL109" s="144">
        <f t="shared" si="146"/>
        <v>2885000</v>
      </c>
      <c r="BM109" s="144"/>
      <c r="BN109" s="169"/>
      <c r="BO109" s="8"/>
      <c r="BP109" s="8"/>
      <c r="BQ109" s="8"/>
      <c r="BR109" s="8"/>
      <c r="BS109" s="8"/>
      <c r="BT109" s="8"/>
      <c r="BU109" s="8"/>
      <c r="BV109" s="8"/>
      <c r="BW109" s="8"/>
      <c r="BX109" s="8"/>
      <c r="BY109" s="8"/>
      <c r="BZ109" s="8"/>
      <c r="CA109" s="8"/>
      <c r="CB109" s="8"/>
      <c r="CC109" s="8"/>
      <c r="CD109" s="8"/>
      <c r="CE109" s="8"/>
      <c r="CF109" s="8"/>
      <c r="CG109" s="8"/>
      <c r="CH109" s="8"/>
      <c r="CI109" s="8"/>
      <c r="CJ109" s="8"/>
      <c r="CK109" s="8"/>
      <c r="CL109" s="8"/>
      <c r="CM109" s="8"/>
      <c r="CN109" s="8"/>
      <c r="CO109" s="8"/>
      <c r="CP109" s="8"/>
      <c r="CQ109" s="8"/>
      <c r="CR109" s="8"/>
      <c r="CS109" s="8"/>
      <c r="CT109" s="8"/>
      <c r="CU109" s="8"/>
      <c r="CV109" s="8"/>
      <c r="CW109" s="8"/>
      <c r="CX109" s="8"/>
      <c r="CY109" s="8"/>
      <c r="CZ109" s="8"/>
      <c r="DA109" s="8"/>
      <c r="DB109" s="8"/>
    </row>
    <row r="110" spans="1:106" ht="24" customHeight="1" x14ac:dyDescent="0.2">
      <c r="A110" s="145"/>
      <c r="B110" s="91"/>
      <c r="C110" s="91"/>
      <c r="D110" s="91"/>
      <c r="E110" s="91"/>
      <c r="F110" s="154">
        <v>4501</v>
      </c>
      <c r="G110" s="81" t="s">
        <v>328</v>
      </c>
      <c r="H110" s="194"/>
      <c r="I110" s="194"/>
      <c r="J110" s="194"/>
      <c r="K110" s="194"/>
      <c r="L110" s="194"/>
      <c r="M110" s="194"/>
      <c r="N110" s="194"/>
      <c r="O110" s="194"/>
      <c r="P110" s="688"/>
      <c r="Q110" s="732"/>
      <c r="R110" s="689"/>
      <c r="S110" s="689"/>
      <c r="T110" s="728"/>
      <c r="U110" s="153"/>
      <c r="V110" s="153"/>
      <c r="W110" s="206">
        <f t="shared" ref="W110:BJ110" si="147">SUM(W111:W112)</f>
        <v>0</v>
      </c>
      <c r="X110" s="206"/>
      <c r="Y110" s="206"/>
      <c r="Z110" s="206">
        <f t="shared" si="147"/>
        <v>1837447380.3299999</v>
      </c>
      <c r="AA110" s="206">
        <f t="shared" ref="AA110:AB110" si="148">SUM(AA111:AA112)</f>
        <v>121957010.33</v>
      </c>
      <c r="AB110" s="206">
        <f t="shared" si="148"/>
        <v>2885000</v>
      </c>
      <c r="AC110" s="206">
        <f t="shared" si="147"/>
        <v>0</v>
      </c>
      <c r="AD110" s="206"/>
      <c r="AE110" s="206"/>
      <c r="AF110" s="206">
        <f t="shared" si="147"/>
        <v>0</v>
      </c>
      <c r="AG110" s="206"/>
      <c r="AH110" s="206"/>
      <c r="AI110" s="206">
        <f t="shared" si="147"/>
        <v>0</v>
      </c>
      <c r="AJ110" s="206"/>
      <c r="AK110" s="206"/>
      <c r="AL110" s="206">
        <f t="shared" si="147"/>
        <v>0</v>
      </c>
      <c r="AM110" s="206"/>
      <c r="AN110" s="206"/>
      <c r="AO110" s="206">
        <f t="shared" si="147"/>
        <v>0</v>
      </c>
      <c r="AP110" s="206"/>
      <c r="AQ110" s="206"/>
      <c r="AR110" s="206">
        <f t="shared" si="147"/>
        <v>0</v>
      </c>
      <c r="AS110" s="206"/>
      <c r="AT110" s="206"/>
      <c r="AU110" s="206">
        <f t="shared" si="147"/>
        <v>0</v>
      </c>
      <c r="AV110" s="206"/>
      <c r="AW110" s="206"/>
      <c r="AX110" s="206">
        <f t="shared" si="147"/>
        <v>0</v>
      </c>
      <c r="AY110" s="206"/>
      <c r="AZ110" s="206"/>
      <c r="BA110" s="206">
        <f t="shared" si="147"/>
        <v>36000000</v>
      </c>
      <c r="BB110" s="206">
        <f t="shared" ref="BB110:BC110" si="149">SUM(BB111:BB112)</f>
        <v>4000000</v>
      </c>
      <c r="BC110" s="206">
        <f t="shared" si="149"/>
        <v>0</v>
      </c>
      <c r="BD110" s="206">
        <f t="shared" si="147"/>
        <v>0</v>
      </c>
      <c r="BE110" s="206"/>
      <c r="BF110" s="206"/>
      <c r="BG110" s="206">
        <f t="shared" si="147"/>
        <v>0</v>
      </c>
      <c r="BH110" s="206"/>
      <c r="BI110" s="206"/>
      <c r="BJ110" s="206">
        <f t="shared" si="147"/>
        <v>1873447380.3299999</v>
      </c>
      <c r="BK110" s="206">
        <f t="shared" ref="BK110:BL110" si="150">SUM(BK111:BK112)</f>
        <v>125957010.33</v>
      </c>
      <c r="BL110" s="206">
        <f t="shared" si="150"/>
        <v>2885000</v>
      </c>
      <c r="BM110" s="206"/>
      <c r="BN110" s="156"/>
    </row>
    <row r="111" spans="1:106" ht="188.25" customHeight="1" x14ac:dyDescent="0.2">
      <c r="A111" s="145"/>
      <c r="B111" s="91"/>
      <c r="C111" s="91"/>
      <c r="D111" s="91"/>
      <c r="E111" s="91"/>
      <c r="F111" s="87"/>
      <c r="G111" s="569"/>
      <c r="H111" s="562" t="s">
        <v>152</v>
      </c>
      <c r="I111" s="82" t="s">
        <v>47</v>
      </c>
      <c r="J111" s="571" t="s">
        <v>329</v>
      </c>
      <c r="K111" s="90">
        <v>4501029</v>
      </c>
      <c r="L111" s="571" t="s">
        <v>330</v>
      </c>
      <c r="M111" s="82" t="s">
        <v>47</v>
      </c>
      <c r="N111" s="561" t="s">
        <v>331</v>
      </c>
      <c r="O111" s="90">
        <v>450102900</v>
      </c>
      <c r="P111" s="561" t="s">
        <v>332</v>
      </c>
      <c r="Q111" s="209" t="s">
        <v>52</v>
      </c>
      <c r="R111" s="125">
        <v>5</v>
      </c>
      <c r="S111" s="125">
        <v>1</v>
      </c>
      <c r="T111" s="570" t="s">
        <v>333</v>
      </c>
      <c r="U111" s="562" t="s">
        <v>334</v>
      </c>
      <c r="V111" s="562" t="s">
        <v>335</v>
      </c>
      <c r="W111" s="150"/>
      <c r="X111" s="150"/>
      <c r="Y111" s="150"/>
      <c r="Z111" s="213">
        <f>1648000000+76182726+113264654.33</f>
        <v>1837447380.3299999</v>
      </c>
      <c r="AA111" s="213">
        <v>121957010.33</v>
      </c>
      <c r="AB111" s="213">
        <v>2885000</v>
      </c>
      <c r="AC111" s="150"/>
      <c r="AD111" s="150"/>
      <c r="AE111" s="150"/>
      <c r="AF111" s="150"/>
      <c r="AG111" s="150"/>
      <c r="AH111" s="150"/>
      <c r="AI111" s="150"/>
      <c r="AJ111" s="150"/>
      <c r="AK111" s="150"/>
      <c r="AL111" s="150"/>
      <c r="AM111" s="150"/>
      <c r="AN111" s="150"/>
      <c r="AO111" s="150"/>
      <c r="AP111" s="150"/>
      <c r="AQ111" s="150"/>
      <c r="AR111" s="150"/>
      <c r="AS111" s="150"/>
      <c r="AT111" s="150"/>
      <c r="AU111" s="150"/>
      <c r="AV111" s="150"/>
      <c r="AW111" s="150"/>
      <c r="AX111" s="150"/>
      <c r="AY111" s="150"/>
      <c r="AZ111" s="150"/>
      <c r="BA111" s="161"/>
      <c r="BB111" s="161"/>
      <c r="BC111" s="161"/>
      <c r="BD111" s="150"/>
      <c r="BE111" s="150"/>
      <c r="BF111" s="150"/>
      <c r="BG111" s="150"/>
      <c r="BH111" s="150"/>
      <c r="BI111" s="150"/>
      <c r="BJ111" s="151">
        <f>+W111+Z111+AC111+AF111+AI111+AL111+AO111+AR111+AU111+AX111+BA111+BD111+BG111</f>
        <v>1837447380.3299999</v>
      </c>
      <c r="BK111" s="151">
        <f t="shared" ref="BK111:BL112" si="151">+X111+AA111+AD111+AG111+AJ111+AM111+AP111+AS111+AV111+AY111+BB111+BE111+BH111</f>
        <v>121957010.33</v>
      </c>
      <c r="BL111" s="151">
        <f t="shared" si="151"/>
        <v>2885000</v>
      </c>
      <c r="BM111" s="151" t="s">
        <v>281</v>
      </c>
      <c r="BN111" s="216" t="s">
        <v>1576</v>
      </c>
    </row>
    <row r="112" spans="1:106" ht="188.25" customHeight="1" x14ac:dyDescent="0.2">
      <c r="A112" s="145"/>
      <c r="B112" s="100"/>
      <c r="C112" s="100"/>
      <c r="D112" s="100"/>
      <c r="E112" s="100"/>
      <c r="F112" s="567"/>
      <c r="G112" s="569"/>
      <c r="H112" s="562" t="s">
        <v>152</v>
      </c>
      <c r="I112" s="567">
        <v>4501001</v>
      </c>
      <c r="J112" s="98" t="s">
        <v>115</v>
      </c>
      <c r="K112" s="567">
        <v>4501001</v>
      </c>
      <c r="L112" s="98" t="s">
        <v>115</v>
      </c>
      <c r="M112" s="567">
        <v>450100100</v>
      </c>
      <c r="N112" s="832" t="s">
        <v>336</v>
      </c>
      <c r="O112" s="567">
        <v>450100100</v>
      </c>
      <c r="P112" s="561" t="s">
        <v>336</v>
      </c>
      <c r="Q112" s="209" t="s">
        <v>52</v>
      </c>
      <c r="R112" s="125">
        <v>12</v>
      </c>
      <c r="S112" s="125">
        <v>12</v>
      </c>
      <c r="T112" s="570" t="s">
        <v>337</v>
      </c>
      <c r="U112" s="562" t="s">
        <v>1516</v>
      </c>
      <c r="V112" s="98" t="s">
        <v>338</v>
      </c>
      <c r="W112" s="629">
        <v>0</v>
      </c>
      <c r="X112" s="589"/>
      <c r="Y112" s="589"/>
      <c r="Z112" s="150">
        <v>0</v>
      </c>
      <c r="AA112" s="150"/>
      <c r="AB112" s="150"/>
      <c r="AC112" s="150">
        <v>0</v>
      </c>
      <c r="AD112" s="150"/>
      <c r="AE112" s="150"/>
      <c r="AF112" s="150">
        <v>0</v>
      </c>
      <c r="AG112" s="150"/>
      <c r="AH112" s="150"/>
      <c r="AI112" s="150">
        <v>0</v>
      </c>
      <c r="AJ112" s="150"/>
      <c r="AK112" s="150"/>
      <c r="AL112" s="150">
        <v>0</v>
      </c>
      <c r="AM112" s="150"/>
      <c r="AN112" s="150"/>
      <c r="AO112" s="150">
        <v>0</v>
      </c>
      <c r="AP112" s="150"/>
      <c r="AQ112" s="150"/>
      <c r="AR112" s="150">
        <v>0</v>
      </c>
      <c r="AS112" s="150"/>
      <c r="AT112" s="150"/>
      <c r="AU112" s="150">
        <v>0</v>
      </c>
      <c r="AV112" s="150"/>
      <c r="AW112" s="150"/>
      <c r="AX112" s="150">
        <v>0</v>
      </c>
      <c r="AY112" s="150"/>
      <c r="AZ112" s="150"/>
      <c r="BA112" s="217">
        <v>36000000</v>
      </c>
      <c r="BB112" s="217">
        <v>4000000</v>
      </c>
      <c r="BC112" s="217"/>
      <c r="BD112" s="150">
        <v>0</v>
      </c>
      <c r="BE112" s="150"/>
      <c r="BF112" s="150"/>
      <c r="BG112" s="150">
        <v>0</v>
      </c>
      <c r="BH112" s="150"/>
      <c r="BI112" s="150"/>
      <c r="BJ112" s="151">
        <f>+W112+Z112+AC112+AF112+AI112+AL112+AO112+AR112+AU112+AX112+BA112+BD112+BG112</f>
        <v>36000000</v>
      </c>
      <c r="BK112" s="151">
        <f t="shared" si="151"/>
        <v>4000000</v>
      </c>
      <c r="BL112" s="151">
        <f t="shared" si="151"/>
        <v>0</v>
      </c>
      <c r="BM112" s="151" t="s">
        <v>281</v>
      </c>
      <c r="BN112" s="216" t="s">
        <v>1576</v>
      </c>
    </row>
    <row r="113" spans="1:106" ht="24" customHeight="1" x14ac:dyDescent="0.2">
      <c r="A113" s="145"/>
      <c r="B113" s="131">
        <v>3</v>
      </c>
      <c r="C113" s="131"/>
      <c r="D113" s="74" t="s">
        <v>200</v>
      </c>
      <c r="E113" s="173"/>
      <c r="F113" s="74"/>
      <c r="G113" s="180"/>
      <c r="H113" s="395"/>
      <c r="I113" s="395"/>
      <c r="J113" s="182"/>
      <c r="K113" s="181"/>
      <c r="L113" s="182"/>
      <c r="M113" s="182"/>
      <c r="N113" s="184"/>
      <c r="O113" s="183"/>
      <c r="P113" s="184"/>
      <c r="Q113" s="752"/>
      <c r="R113" s="183"/>
      <c r="S113" s="183"/>
      <c r="T113" s="729"/>
      <c r="U113" s="133"/>
      <c r="V113" s="133"/>
      <c r="W113" s="134">
        <f>W114+W117</f>
        <v>0</v>
      </c>
      <c r="X113" s="134"/>
      <c r="Y113" s="134"/>
      <c r="Z113" s="134">
        <f t="shared" ref="Z113:BG113" si="152">Z114+Z117</f>
        <v>0</v>
      </c>
      <c r="AA113" s="134"/>
      <c r="AB113" s="134"/>
      <c r="AC113" s="134">
        <f t="shared" si="152"/>
        <v>0</v>
      </c>
      <c r="AD113" s="134"/>
      <c r="AE113" s="134"/>
      <c r="AF113" s="134">
        <f t="shared" si="152"/>
        <v>0</v>
      </c>
      <c r="AG113" s="134"/>
      <c r="AH113" s="134"/>
      <c r="AI113" s="134">
        <f t="shared" si="152"/>
        <v>0</v>
      </c>
      <c r="AJ113" s="134"/>
      <c r="AK113" s="134"/>
      <c r="AL113" s="134">
        <f t="shared" si="152"/>
        <v>0</v>
      </c>
      <c r="AM113" s="134"/>
      <c r="AN113" s="134"/>
      <c r="AO113" s="134">
        <f t="shared" si="152"/>
        <v>0</v>
      </c>
      <c r="AP113" s="134"/>
      <c r="AQ113" s="134"/>
      <c r="AR113" s="134">
        <f t="shared" si="152"/>
        <v>0</v>
      </c>
      <c r="AS113" s="134"/>
      <c r="AT113" s="134"/>
      <c r="AU113" s="134">
        <f t="shared" si="152"/>
        <v>0</v>
      </c>
      <c r="AV113" s="134"/>
      <c r="AW113" s="134"/>
      <c r="AX113" s="134">
        <f t="shared" si="152"/>
        <v>0</v>
      </c>
      <c r="AY113" s="134"/>
      <c r="AZ113" s="134"/>
      <c r="BA113" s="134">
        <f t="shared" si="152"/>
        <v>193000000</v>
      </c>
      <c r="BB113" s="134">
        <f t="shared" ref="BB113:BC113" si="153">BB114+BB117</f>
        <v>89649469</v>
      </c>
      <c r="BC113" s="134">
        <f t="shared" si="153"/>
        <v>18240000</v>
      </c>
      <c r="BD113" s="134">
        <f t="shared" si="152"/>
        <v>0</v>
      </c>
      <c r="BE113" s="134"/>
      <c r="BF113" s="134"/>
      <c r="BG113" s="134">
        <f t="shared" si="152"/>
        <v>0</v>
      </c>
      <c r="BH113" s="134"/>
      <c r="BI113" s="134"/>
      <c r="BJ113" s="134">
        <f>BJ114+BJ117</f>
        <v>193000000</v>
      </c>
      <c r="BK113" s="134">
        <f t="shared" ref="BK113:BL113" si="154">BK114+BK117</f>
        <v>89649469</v>
      </c>
      <c r="BL113" s="134">
        <f t="shared" si="154"/>
        <v>18240000</v>
      </c>
      <c r="BM113" s="134"/>
      <c r="BN113" s="168"/>
    </row>
    <row r="114" spans="1:106" s="9" customFormat="1" ht="24" customHeight="1" x14ac:dyDescent="0.25">
      <c r="A114" s="130"/>
      <c r="B114" s="83"/>
      <c r="C114" s="83"/>
      <c r="D114" s="77">
        <v>32</v>
      </c>
      <c r="E114" s="75" t="s">
        <v>222</v>
      </c>
      <c r="F114" s="75"/>
      <c r="G114" s="135"/>
      <c r="H114" s="136"/>
      <c r="I114" s="136"/>
      <c r="J114" s="138"/>
      <c r="K114" s="137"/>
      <c r="L114" s="138"/>
      <c r="M114" s="138"/>
      <c r="N114" s="140"/>
      <c r="O114" s="139"/>
      <c r="P114" s="140"/>
      <c r="Q114" s="141"/>
      <c r="R114" s="139"/>
      <c r="S114" s="139"/>
      <c r="T114" s="204"/>
      <c r="U114" s="143"/>
      <c r="V114" s="143"/>
      <c r="W114" s="144">
        <f>W115</f>
        <v>0</v>
      </c>
      <c r="X114" s="144"/>
      <c r="Y114" s="144"/>
      <c r="Z114" s="144">
        <f t="shared" ref="Z114:BL114" si="155">Z115</f>
        <v>0</v>
      </c>
      <c r="AA114" s="144"/>
      <c r="AB114" s="144"/>
      <c r="AC114" s="144">
        <f t="shared" si="155"/>
        <v>0</v>
      </c>
      <c r="AD114" s="144"/>
      <c r="AE114" s="144"/>
      <c r="AF114" s="144">
        <f t="shared" si="155"/>
        <v>0</v>
      </c>
      <c r="AG114" s="144"/>
      <c r="AH114" s="144"/>
      <c r="AI114" s="144">
        <f t="shared" si="155"/>
        <v>0</v>
      </c>
      <c r="AJ114" s="144"/>
      <c r="AK114" s="144"/>
      <c r="AL114" s="144">
        <f t="shared" si="155"/>
        <v>0</v>
      </c>
      <c r="AM114" s="144"/>
      <c r="AN114" s="144"/>
      <c r="AO114" s="144">
        <f t="shared" si="155"/>
        <v>0</v>
      </c>
      <c r="AP114" s="144"/>
      <c r="AQ114" s="144"/>
      <c r="AR114" s="144">
        <f t="shared" si="155"/>
        <v>0</v>
      </c>
      <c r="AS114" s="144"/>
      <c r="AT114" s="144"/>
      <c r="AU114" s="144">
        <f t="shared" si="155"/>
        <v>0</v>
      </c>
      <c r="AV114" s="144"/>
      <c r="AW114" s="144"/>
      <c r="AX114" s="144">
        <f t="shared" si="155"/>
        <v>0</v>
      </c>
      <c r="AY114" s="144"/>
      <c r="AZ114" s="144"/>
      <c r="BA114" s="144">
        <f t="shared" si="155"/>
        <v>45000000</v>
      </c>
      <c r="BB114" s="144">
        <f t="shared" si="155"/>
        <v>25200000</v>
      </c>
      <c r="BC114" s="144">
        <f t="shared" si="155"/>
        <v>5600000</v>
      </c>
      <c r="BD114" s="144">
        <f t="shared" si="155"/>
        <v>0</v>
      </c>
      <c r="BE114" s="144"/>
      <c r="BF114" s="144"/>
      <c r="BG114" s="144">
        <f t="shared" si="155"/>
        <v>0</v>
      </c>
      <c r="BH114" s="144"/>
      <c r="BI114" s="144"/>
      <c r="BJ114" s="144">
        <f t="shared" si="155"/>
        <v>45000000</v>
      </c>
      <c r="BK114" s="144">
        <f t="shared" si="155"/>
        <v>25200000</v>
      </c>
      <c r="BL114" s="144">
        <f t="shared" si="155"/>
        <v>5600000</v>
      </c>
      <c r="BM114" s="144"/>
      <c r="BN114" s="169"/>
      <c r="BO114" s="8"/>
      <c r="BP114" s="8"/>
      <c r="BQ114" s="8"/>
      <c r="BR114" s="8"/>
      <c r="BS114" s="8"/>
      <c r="BT114" s="8"/>
      <c r="BU114" s="8"/>
      <c r="BV114" s="8"/>
      <c r="BW114" s="8"/>
      <c r="BX114" s="8"/>
      <c r="BY114" s="8"/>
      <c r="BZ114" s="8"/>
      <c r="CA114" s="8"/>
      <c r="CB114" s="8"/>
      <c r="CC114" s="8"/>
      <c r="CD114" s="8"/>
      <c r="CE114" s="8"/>
      <c r="CF114" s="8"/>
      <c r="CG114" s="8"/>
      <c r="CH114" s="8"/>
      <c r="CI114" s="8"/>
      <c r="CJ114" s="8"/>
      <c r="CK114" s="8"/>
      <c r="CL114" s="8"/>
      <c r="CM114" s="8"/>
      <c r="CN114" s="8"/>
      <c r="CO114" s="8"/>
      <c r="CP114" s="8"/>
      <c r="CQ114" s="8"/>
      <c r="CR114" s="8"/>
      <c r="CS114" s="8"/>
      <c r="CT114" s="8"/>
      <c r="CU114" s="8"/>
      <c r="CV114" s="8"/>
      <c r="CW114" s="8"/>
      <c r="CX114" s="8"/>
      <c r="CY114" s="8"/>
      <c r="CZ114" s="8"/>
      <c r="DA114" s="8"/>
      <c r="DB114" s="8"/>
    </row>
    <row r="115" spans="1:106" ht="24" customHeight="1" x14ac:dyDescent="0.2">
      <c r="A115" s="145"/>
      <c r="B115" s="91"/>
      <c r="C115" s="91"/>
      <c r="D115" s="91"/>
      <c r="E115" s="91"/>
      <c r="F115" s="154">
        <v>3205</v>
      </c>
      <c r="G115" s="81" t="s">
        <v>223</v>
      </c>
      <c r="H115" s="194"/>
      <c r="I115" s="194"/>
      <c r="J115" s="693"/>
      <c r="K115" s="726"/>
      <c r="L115" s="693"/>
      <c r="M115" s="693"/>
      <c r="N115" s="688"/>
      <c r="O115" s="689"/>
      <c r="P115" s="688"/>
      <c r="Q115" s="732"/>
      <c r="R115" s="689"/>
      <c r="S115" s="689"/>
      <c r="T115" s="728"/>
      <c r="U115" s="147"/>
      <c r="V115" s="147"/>
      <c r="W115" s="206">
        <f t="shared" ref="W115:BL115" si="156">SUM(W116:W116)</f>
        <v>0</v>
      </c>
      <c r="X115" s="206"/>
      <c r="Y115" s="206"/>
      <c r="Z115" s="206">
        <f t="shared" si="156"/>
        <v>0</v>
      </c>
      <c r="AA115" s="206"/>
      <c r="AB115" s="206"/>
      <c r="AC115" s="206">
        <f t="shared" si="156"/>
        <v>0</v>
      </c>
      <c r="AD115" s="206"/>
      <c r="AE115" s="206"/>
      <c r="AF115" s="206">
        <f t="shared" si="156"/>
        <v>0</v>
      </c>
      <c r="AG115" s="206"/>
      <c r="AH115" s="206"/>
      <c r="AI115" s="206">
        <f t="shared" si="156"/>
        <v>0</v>
      </c>
      <c r="AJ115" s="206"/>
      <c r="AK115" s="206"/>
      <c r="AL115" s="206">
        <f t="shared" si="156"/>
        <v>0</v>
      </c>
      <c r="AM115" s="206"/>
      <c r="AN115" s="206"/>
      <c r="AO115" s="206">
        <f t="shared" si="156"/>
        <v>0</v>
      </c>
      <c r="AP115" s="206"/>
      <c r="AQ115" s="206"/>
      <c r="AR115" s="206">
        <f t="shared" si="156"/>
        <v>0</v>
      </c>
      <c r="AS115" s="206"/>
      <c r="AT115" s="206"/>
      <c r="AU115" s="206">
        <f t="shared" si="156"/>
        <v>0</v>
      </c>
      <c r="AV115" s="206"/>
      <c r="AW115" s="206"/>
      <c r="AX115" s="206">
        <f t="shared" si="156"/>
        <v>0</v>
      </c>
      <c r="AY115" s="206"/>
      <c r="AZ115" s="206"/>
      <c r="BA115" s="206">
        <f t="shared" si="156"/>
        <v>45000000</v>
      </c>
      <c r="BB115" s="206">
        <f t="shared" si="156"/>
        <v>25200000</v>
      </c>
      <c r="BC115" s="206">
        <f t="shared" si="156"/>
        <v>5600000</v>
      </c>
      <c r="BD115" s="206">
        <f t="shared" si="156"/>
        <v>0</v>
      </c>
      <c r="BE115" s="206"/>
      <c r="BF115" s="206"/>
      <c r="BG115" s="206">
        <f t="shared" si="156"/>
        <v>0</v>
      </c>
      <c r="BH115" s="206"/>
      <c r="BI115" s="206"/>
      <c r="BJ115" s="206">
        <f t="shared" si="156"/>
        <v>45000000</v>
      </c>
      <c r="BK115" s="206">
        <f t="shared" si="156"/>
        <v>25200000</v>
      </c>
      <c r="BL115" s="206">
        <f t="shared" si="156"/>
        <v>5600000</v>
      </c>
      <c r="BM115" s="206"/>
      <c r="BN115" s="156"/>
    </row>
    <row r="116" spans="1:106" ht="155.25" customHeight="1" x14ac:dyDescent="0.2">
      <c r="A116" s="145"/>
      <c r="B116" s="91"/>
      <c r="C116" s="91"/>
      <c r="D116" s="91"/>
      <c r="E116" s="91"/>
      <c r="F116" s="87"/>
      <c r="G116" s="569"/>
      <c r="H116" s="562" t="s">
        <v>339</v>
      </c>
      <c r="I116" s="567">
        <v>3205002</v>
      </c>
      <c r="J116" s="562" t="s">
        <v>340</v>
      </c>
      <c r="K116" s="567">
        <v>3205002</v>
      </c>
      <c r="L116" s="562" t="s">
        <v>340</v>
      </c>
      <c r="M116" s="567">
        <v>320500200</v>
      </c>
      <c r="N116" s="561" t="s">
        <v>341</v>
      </c>
      <c r="O116" s="567">
        <v>320500200</v>
      </c>
      <c r="P116" s="561" t="s">
        <v>341</v>
      </c>
      <c r="Q116" s="195" t="s">
        <v>68</v>
      </c>
      <c r="R116" s="125">
        <v>3</v>
      </c>
      <c r="S116" s="125">
        <v>0</v>
      </c>
      <c r="T116" s="570" t="s">
        <v>342</v>
      </c>
      <c r="U116" s="561" t="s">
        <v>343</v>
      </c>
      <c r="V116" s="561" t="s">
        <v>344</v>
      </c>
      <c r="W116" s="150"/>
      <c r="X116" s="150"/>
      <c r="Y116" s="150"/>
      <c r="Z116" s="150"/>
      <c r="AA116" s="150"/>
      <c r="AB116" s="150"/>
      <c r="AC116" s="150"/>
      <c r="AD116" s="150"/>
      <c r="AE116" s="150"/>
      <c r="AF116" s="150"/>
      <c r="AG116" s="150"/>
      <c r="AH116" s="150"/>
      <c r="AI116" s="150"/>
      <c r="AJ116" s="150"/>
      <c r="AK116" s="150"/>
      <c r="AL116" s="150"/>
      <c r="AM116" s="150"/>
      <c r="AN116" s="150"/>
      <c r="AO116" s="150"/>
      <c r="AP116" s="150"/>
      <c r="AQ116" s="150"/>
      <c r="AR116" s="150"/>
      <c r="AS116" s="150"/>
      <c r="AT116" s="150"/>
      <c r="AU116" s="150"/>
      <c r="AV116" s="150"/>
      <c r="AW116" s="150"/>
      <c r="AX116" s="150"/>
      <c r="AY116" s="150"/>
      <c r="AZ116" s="150"/>
      <c r="BA116" s="218">
        <v>45000000</v>
      </c>
      <c r="BB116" s="218">
        <v>25200000</v>
      </c>
      <c r="BC116" s="218">
        <v>5600000</v>
      </c>
      <c r="BD116" s="150"/>
      <c r="BE116" s="150"/>
      <c r="BF116" s="150"/>
      <c r="BG116" s="150"/>
      <c r="BH116" s="150"/>
      <c r="BI116" s="150"/>
      <c r="BJ116" s="151">
        <f>+W116+Z116+AC116+AF116+AI116+AL116+AO116+AR116+AU116+AX116+BA116+BD116+BG116</f>
        <v>45000000</v>
      </c>
      <c r="BK116" s="151">
        <f t="shared" ref="BK116:BL116" si="157">+X116+AA116+AD116+AG116+AJ116+AM116+AP116+AS116+AV116+AY116+BB116+BE116+BH116</f>
        <v>25200000</v>
      </c>
      <c r="BL116" s="151">
        <f t="shared" si="157"/>
        <v>5600000</v>
      </c>
      <c r="BM116" s="151" t="s">
        <v>281</v>
      </c>
      <c r="BN116" s="216" t="s">
        <v>1576</v>
      </c>
    </row>
    <row r="117" spans="1:106" s="9" customFormat="1" ht="24" customHeight="1" x14ac:dyDescent="0.25">
      <c r="A117" s="130"/>
      <c r="B117" s="83"/>
      <c r="C117" s="83"/>
      <c r="D117" s="77">
        <v>45</v>
      </c>
      <c r="E117" s="75" t="s">
        <v>44</v>
      </c>
      <c r="F117" s="75"/>
      <c r="G117" s="135"/>
      <c r="H117" s="136"/>
      <c r="I117" s="136"/>
      <c r="J117" s="138"/>
      <c r="K117" s="137"/>
      <c r="L117" s="138"/>
      <c r="M117" s="138"/>
      <c r="N117" s="140"/>
      <c r="O117" s="139"/>
      <c r="P117" s="140"/>
      <c r="Q117" s="141"/>
      <c r="R117" s="139"/>
      <c r="S117" s="139"/>
      <c r="T117" s="204"/>
      <c r="U117" s="143"/>
      <c r="V117" s="143"/>
      <c r="W117" s="144">
        <f>W118</f>
        <v>0</v>
      </c>
      <c r="X117" s="144"/>
      <c r="Y117" s="144"/>
      <c r="Z117" s="144">
        <f>Z118</f>
        <v>0</v>
      </c>
      <c r="AA117" s="144"/>
      <c r="AB117" s="144"/>
      <c r="AC117" s="144">
        <f t="shared" ref="AC117:BL117" si="158">AC118</f>
        <v>0</v>
      </c>
      <c r="AD117" s="144"/>
      <c r="AE117" s="144"/>
      <c r="AF117" s="144">
        <f t="shared" si="158"/>
        <v>0</v>
      </c>
      <c r="AG117" s="144"/>
      <c r="AH117" s="144"/>
      <c r="AI117" s="144">
        <f t="shared" si="158"/>
        <v>0</v>
      </c>
      <c r="AJ117" s="144"/>
      <c r="AK117" s="144"/>
      <c r="AL117" s="144">
        <f t="shared" si="158"/>
        <v>0</v>
      </c>
      <c r="AM117" s="144"/>
      <c r="AN117" s="144"/>
      <c r="AO117" s="144">
        <f t="shared" si="158"/>
        <v>0</v>
      </c>
      <c r="AP117" s="144"/>
      <c r="AQ117" s="144"/>
      <c r="AR117" s="144">
        <f t="shared" si="158"/>
        <v>0</v>
      </c>
      <c r="AS117" s="144"/>
      <c r="AT117" s="144"/>
      <c r="AU117" s="144">
        <f t="shared" si="158"/>
        <v>0</v>
      </c>
      <c r="AV117" s="144"/>
      <c r="AW117" s="144"/>
      <c r="AX117" s="144">
        <f t="shared" si="158"/>
        <v>0</v>
      </c>
      <c r="AY117" s="144"/>
      <c r="AZ117" s="144"/>
      <c r="BA117" s="144">
        <f t="shared" si="158"/>
        <v>148000000</v>
      </c>
      <c r="BB117" s="144">
        <f t="shared" si="158"/>
        <v>64449469</v>
      </c>
      <c r="BC117" s="144">
        <f t="shared" si="158"/>
        <v>12640000</v>
      </c>
      <c r="BD117" s="144">
        <f t="shared" si="158"/>
        <v>0</v>
      </c>
      <c r="BE117" s="144"/>
      <c r="BF117" s="144"/>
      <c r="BG117" s="144">
        <f t="shared" si="158"/>
        <v>0</v>
      </c>
      <c r="BH117" s="144"/>
      <c r="BI117" s="144"/>
      <c r="BJ117" s="144">
        <f t="shared" si="158"/>
        <v>148000000</v>
      </c>
      <c r="BK117" s="144">
        <f t="shared" si="158"/>
        <v>64449469</v>
      </c>
      <c r="BL117" s="144">
        <f t="shared" si="158"/>
        <v>12640000</v>
      </c>
      <c r="BM117" s="144"/>
      <c r="BN117" s="169"/>
      <c r="BO117" s="8"/>
      <c r="BP117" s="8"/>
      <c r="BQ117" s="8"/>
      <c r="BR117" s="8"/>
      <c r="BS117" s="8"/>
      <c r="BT117" s="8"/>
      <c r="BU117" s="8"/>
      <c r="BV117" s="8"/>
      <c r="BW117" s="8"/>
      <c r="BX117" s="8"/>
      <c r="BY117" s="8"/>
      <c r="BZ117" s="8"/>
      <c r="CA117" s="8"/>
      <c r="CB117" s="8"/>
      <c r="CC117" s="8"/>
      <c r="CD117" s="8"/>
      <c r="CE117" s="8"/>
      <c r="CF117" s="8"/>
      <c r="CG117" s="8"/>
      <c r="CH117" s="8"/>
      <c r="CI117" s="8"/>
      <c r="CJ117" s="8"/>
      <c r="CK117" s="8"/>
      <c r="CL117" s="8"/>
      <c r="CM117" s="8"/>
      <c r="CN117" s="8"/>
      <c r="CO117" s="8"/>
      <c r="CP117" s="8"/>
      <c r="CQ117" s="8"/>
      <c r="CR117" s="8"/>
      <c r="CS117" s="8"/>
      <c r="CT117" s="8"/>
      <c r="CU117" s="8"/>
      <c r="CV117" s="8"/>
      <c r="CW117" s="8"/>
      <c r="CX117" s="8"/>
      <c r="CY117" s="8"/>
      <c r="CZ117" s="8"/>
      <c r="DA117" s="8"/>
      <c r="DB117" s="8"/>
    </row>
    <row r="118" spans="1:106" ht="24" customHeight="1" x14ac:dyDescent="0.2">
      <c r="A118" s="145"/>
      <c r="B118" s="91"/>
      <c r="C118" s="91"/>
      <c r="D118" s="91"/>
      <c r="E118" s="91"/>
      <c r="F118" s="154">
        <v>4503</v>
      </c>
      <c r="G118" s="81" t="s">
        <v>1517</v>
      </c>
      <c r="H118" s="194"/>
      <c r="I118" s="194"/>
      <c r="J118" s="693"/>
      <c r="K118" s="726"/>
      <c r="L118" s="693"/>
      <c r="M118" s="693"/>
      <c r="N118" s="688"/>
      <c r="O118" s="689"/>
      <c r="P118" s="688"/>
      <c r="Q118" s="732"/>
      <c r="R118" s="689"/>
      <c r="S118" s="689"/>
      <c r="T118" s="728"/>
      <c r="U118" s="147"/>
      <c r="V118" s="147"/>
      <c r="W118" s="206">
        <f>SUM(W119:W121)</f>
        <v>0</v>
      </c>
      <c r="X118" s="206"/>
      <c r="Y118" s="206"/>
      <c r="Z118" s="206">
        <f>SUM(Z119:Z121)</f>
        <v>0</v>
      </c>
      <c r="AA118" s="206"/>
      <c r="AB118" s="206"/>
      <c r="AC118" s="206">
        <f t="shared" ref="AC118:BJ118" si="159">SUM(AC119:AC121)</f>
        <v>0</v>
      </c>
      <c r="AD118" s="206"/>
      <c r="AE118" s="206"/>
      <c r="AF118" s="206">
        <f t="shared" si="159"/>
        <v>0</v>
      </c>
      <c r="AG118" s="206"/>
      <c r="AH118" s="206"/>
      <c r="AI118" s="206">
        <f t="shared" si="159"/>
        <v>0</v>
      </c>
      <c r="AJ118" s="206"/>
      <c r="AK118" s="206"/>
      <c r="AL118" s="206">
        <f t="shared" si="159"/>
        <v>0</v>
      </c>
      <c r="AM118" s="206"/>
      <c r="AN118" s="206"/>
      <c r="AO118" s="206">
        <f t="shared" si="159"/>
        <v>0</v>
      </c>
      <c r="AP118" s="206"/>
      <c r="AQ118" s="206"/>
      <c r="AR118" s="206">
        <f t="shared" si="159"/>
        <v>0</v>
      </c>
      <c r="AS118" s="206"/>
      <c r="AT118" s="206"/>
      <c r="AU118" s="206">
        <f t="shared" si="159"/>
        <v>0</v>
      </c>
      <c r="AV118" s="206"/>
      <c r="AW118" s="206"/>
      <c r="AX118" s="206">
        <f t="shared" si="159"/>
        <v>0</v>
      </c>
      <c r="AY118" s="206"/>
      <c r="AZ118" s="206"/>
      <c r="BA118" s="206">
        <f t="shared" si="159"/>
        <v>148000000</v>
      </c>
      <c r="BB118" s="206">
        <f t="shared" ref="BB118:BC118" si="160">SUM(BB119:BB121)</f>
        <v>64449469</v>
      </c>
      <c r="BC118" s="206">
        <f t="shared" si="160"/>
        <v>12640000</v>
      </c>
      <c r="BD118" s="206">
        <f t="shared" si="159"/>
        <v>0</v>
      </c>
      <c r="BE118" s="206"/>
      <c r="BF118" s="206"/>
      <c r="BG118" s="206">
        <f t="shared" si="159"/>
        <v>0</v>
      </c>
      <c r="BH118" s="206"/>
      <c r="BI118" s="206"/>
      <c r="BJ118" s="206">
        <f t="shared" si="159"/>
        <v>148000000</v>
      </c>
      <c r="BK118" s="206">
        <f t="shared" ref="BK118:BL118" si="161">SUM(BK119:BK121)</f>
        <v>64449469</v>
      </c>
      <c r="BL118" s="206">
        <f t="shared" si="161"/>
        <v>12640000</v>
      </c>
      <c r="BM118" s="206"/>
      <c r="BN118" s="156"/>
    </row>
    <row r="119" spans="1:106" ht="90" customHeight="1" x14ac:dyDescent="0.2">
      <c r="A119" s="145"/>
      <c r="B119" s="91"/>
      <c r="C119" s="91"/>
      <c r="D119" s="91"/>
      <c r="E119" s="91"/>
      <c r="F119" s="87"/>
      <c r="G119" s="216"/>
      <c r="H119" s="562" t="s">
        <v>345</v>
      </c>
      <c r="I119" s="567">
        <v>4503002</v>
      </c>
      <c r="J119" s="562" t="s">
        <v>346</v>
      </c>
      <c r="K119" s="567">
        <v>4503002</v>
      </c>
      <c r="L119" s="562" t="s">
        <v>346</v>
      </c>
      <c r="M119" s="567">
        <v>450300200</v>
      </c>
      <c r="N119" s="561" t="s">
        <v>347</v>
      </c>
      <c r="O119" s="567">
        <v>450300200</v>
      </c>
      <c r="P119" s="561" t="s">
        <v>347</v>
      </c>
      <c r="Q119" s="116" t="s">
        <v>68</v>
      </c>
      <c r="R119" s="125">
        <v>4000</v>
      </c>
      <c r="S119" s="125">
        <v>520</v>
      </c>
      <c r="T119" s="862" t="s">
        <v>348</v>
      </c>
      <c r="U119" s="879" t="s">
        <v>349</v>
      </c>
      <c r="V119" s="879" t="s">
        <v>350</v>
      </c>
      <c r="W119" s="150"/>
      <c r="X119" s="150"/>
      <c r="Y119" s="150"/>
      <c r="Z119" s="150"/>
      <c r="AA119" s="150"/>
      <c r="AB119" s="150"/>
      <c r="AC119" s="150"/>
      <c r="AD119" s="150"/>
      <c r="AE119" s="150"/>
      <c r="AF119" s="150"/>
      <c r="AG119" s="150"/>
      <c r="AH119" s="150"/>
      <c r="AI119" s="150"/>
      <c r="AJ119" s="150"/>
      <c r="AK119" s="150"/>
      <c r="AL119" s="150"/>
      <c r="AM119" s="150"/>
      <c r="AN119" s="150"/>
      <c r="AO119" s="150"/>
      <c r="AP119" s="150"/>
      <c r="AQ119" s="150"/>
      <c r="AR119" s="150"/>
      <c r="AS119" s="150"/>
      <c r="AT119" s="150"/>
      <c r="AU119" s="150"/>
      <c r="AV119" s="150"/>
      <c r="AW119" s="150"/>
      <c r="AX119" s="150"/>
      <c r="AY119" s="150"/>
      <c r="AZ119" s="150"/>
      <c r="BA119" s="161">
        <v>18000000</v>
      </c>
      <c r="BB119" s="161">
        <v>14000000</v>
      </c>
      <c r="BC119" s="161">
        <v>3500000</v>
      </c>
      <c r="BD119" s="150"/>
      <c r="BE119" s="150"/>
      <c r="BF119" s="150"/>
      <c r="BG119" s="150"/>
      <c r="BH119" s="150"/>
      <c r="BI119" s="150"/>
      <c r="BJ119" s="151">
        <f>+W119+Z119+AC119+AF119+AI119+AL119+AO119+AR119+AU119+AX119+BA119+BD119+BG119</f>
        <v>18000000</v>
      </c>
      <c r="BK119" s="151">
        <f t="shared" ref="BK119:BL121" si="162">+X119+AA119+AD119+AG119+AJ119+AM119+AP119+AS119+AV119+AY119+BB119+BE119+BH119</f>
        <v>14000000</v>
      </c>
      <c r="BL119" s="151">
        <f t="shared" si="162"/>
        <v>3500000</v>
      </c>
      <c r="BM119" s="151" t="s">
        <v>281</v>
      </c>
      <c r="BN119" s="216" t="s">
        <v>1576</v>
      </c>
    </row>
    <row r="120" spans="1:106" ht="83.25" customHeight="1" x14ac:dyDescent="0.2">
      <c r="A120" s="145"/>
      <c r="B120" s="91"/>
      <c r="C120" s="91"/>
      <c r="D120" s="91"/>
      <c r="E120" s="91"/>
      <c r="F120" s="87"/>
      <c r="G120" s="216"/>
      <c r="H120" s="562" t="s">
        <v>351</v>
      </c>
      <c r="I120" s="567">
        <v>4503003</v>
      </c>
      <c r="J120" s="562" t="s">
        <v>115</v>
      </c>
      <c r="K120" s="567">
        <v>4503003</v>
      </c>
      <c r="L120" s="562" t="s">
        <v>115</v>
      </c>
      <c r="M120" s="567">
        <v>450300300</v>
      </c>
      <c r="N120" s="561" t="s">
        <v>352</v>
      </c>
      <c r="O120" s="567">
        <v>450300300</v>
      </c>
      <c r="P120" s="561" t="s">
        <v>352</v>
      </c>
      <c r="Q120" s="569" t="s">
        <v>52</v>
      </c>
      <c r="R120" s="220">
        <v>12</v>
      </c>
      <c r="S120" s="220">
        <v>5</v>
      </c>
      <c r="T120" s="862"/>
      <c r="U120" s="879"/>
      <c r="V120" s="879"/>
      <c r="W120" s="150"/>
      <c r="X120" s="150"/>
      <c r="Y120" s="150"/>
      <c r="Z120" s="150"/>
      <c r="AA120" s="150"/>
      <c r="AB120" s="150"/>
      <c r="AC120" s="150"/>
      <c r="AD120" s="150"/>
      <c r="AE120" s="150"/>
      <c r="AF120" s="150"/>
      <c r="AG120" s="150"/>
      <c r="AH120" s="150"/>
      <c r="AI120" s="150"/>
      <c r="AJ120" s="150"/>
      <c r="AK120" s="150"/>
      <c r="AL120" s="150"/>
      <c r="AM120" s="150"/>
      <c r="AN120" s="150"/>
      <c r="AO120" s="150"/>
      <c r="AP120" s="150"/>
      <c r="AQ120" s="150"/>
      <c r="AR120" s="150"/>
      <c r="AS120" s="150"/>
      <c r="AT120" s="150"/>
      <c r="AU120" s="150"/>
      <c r="AV120" s="150"/>
      <c r="AW120" s="150"/>
      <c r="AX120" s="150"/>
      <c r="AY120" s="150"/>
      <c r="AZ120" s="150"/>
      <c r="BA120" s="161">
        <v>100000000</v>
      </c>
      <c r="BB120" s="161">
        <v>41501969</v>
      </c>
      <c r="BC120" s="161">
        <v>7285000</v>
      </c>
      <c r="BD120" s="150"/>
      <c r="BE120" s="150"/>
      <c r="BF120" s="150"/>
      <c r="BG120" s="150"/>
      <c r="BH120" s="150"/>
      <c r="BI120" s="150"/>
      <c r="BJ120" s="151">
        <f>+W120+Z120+AC120+AF120+AI120+AL120+AO120+AR120+AU120+AX120+BA120+BD120+BG120</f>
        <v>100000000</v>
      </c>
      <c r="BK120" s="151">
        <f t="shared" si="162"/>
        <v>41501969</v>
      </c>
      <c r="BL120" s="151">
        <f t="shared" si="162"/>
        <v>7285000</v>
      </c>
      <c r="BM120" s="151" t="s">
        <v>281</v>
      </c>
      <c r="BN120" s="216" t="s">
        <v>1576</v>
      </c>
    </row>
    <row r="121" spans="1:106" ht="113.25" customHeight="1" x14ac:dyDescent="0.2">
      <c r="A121" s="145"/>
      <c r="B121" s="91"/>
      <c r="C121" s="91"/>
      <c r="D121" s="91"/>
      <c r="E121" s="91"/>
      <c r="F121" s="87"/>
      <c r="G121" s="216"/>
      <c r="H121" s="562" t="s">
        <v>351</v>
      </c>
      <c r="I121" s="82">
        <v>4503004</v>
      </c>
      <c r="J121" s="571" t="s">
        <v>353</v>
      </c>
      <c r="K121" s="84">
        <v>4503016</v>
      </c>
      <c r="L121" s="571" t="s">
        <v>354</v>
      </c>
      <c r="M121" s="82" t="s">
        <v>47</v>
      </c>
      <c r="N121" s="561" t="s">
        <v>355</v>
      </c>
      <c r="O121" s="84">
        <v>450301600</v>
      </c>
      <c r="P121" s="561" t="s">
        <v>356</v>
      </c>
      <c r="Q121" s="569" t="s">
        <v>52</v>
      </c>
      <c r="R121" s="125">
        <v>1</v>
      </c>
      <c r="S121" s="125">
        <v>1</v>
      </c>
      <c r="T121" s="862"/>
      <c r="U121" s="879"/>
      <c r="V121" s="879"/>
      <c r="W121" s="150"/>
      <c r="X121" s="150"/>
      <c r="Y121" s="150"/>
      <c r="Z121" s="150"/>
      <c r="AA121" s="150"/>
      <c r="AB121" s="150"/>
      <c r="AC121" s="150"/>
      <c r="AD121" s="150"/>
      <c r="AE121" s="150"/>
      <c r="AF121" s="150"/>
      <c r="AG121" s="150"/>
      <c r="AH121" s="150"/>
      <c r="AI121" s="150"/>
      <c r="AJ121" s="150"/>
      <c r="AK121" s="150"/>
      <c r="AL121" s="150"/>
      <c r="AM121" s="150"/>
      <c r="AN121" s="150"/>
      <c r="AO121" s="150"/>
      <c r="AP121" s="150"/>
      <c r="AQ121" s="150"/>
      <c r="AR121" s="150"/>
      <c r="AS121" s="150"/>
      <c r="AT121" s="150"/>
      <c r="AU121" s="150"/>
      <c r="AV121" s="150"/>
      <c r="AW121" s="150"/>
      <c r="AX121" s="150"/>
      <c r="AY121" s="150"/>
      <c r="AZ121" s="150"/>
      <c r="BA121" s="161">
        <v>30000000</v>
      </c>
      <c r="BB121" s="161">
        <v>8947500</v>
      </c>
      <c r="BC121" s="161">
        <v>1855000</v>
      </c>
      <c r="BD121" s="150"/>
      <c r="BE121" s="150"/>
      <c r="BF121" s="150"/>
      <c r="BG121" s="150"/>
      <c r="BH121" s="150"/>
      <c r="BI121" s="150"/>
      <c r="BJ121" s="151">
        <f>+W121+Z121+AC121+AF121+AI121+AL121+AO121+AR121+AU121+AX121+BA121+BD121+BG121</f>
        <v>30000000</v>
      </c>
      <c r="BK121" s="151">
        <f t="shared" si="162"/>
        <v>8947500</v>
      </c>
      <c r="BL121" s="151">
        <f t="shared" si="162"/>
        <v>1855000</v>
      </c>
      <c r="BM121" s="151" t="s">
        <v>281</v>
      </c>
      <c r="BN121" s="216" t="s">
        <v>1576</v>
      </c>
    </row>
    <row r="122" spans="1:106" ht="24" customHeight="1" x14ac:dyDescent="0.2">
      <c r="A122" s="145"/>
      <c r="B122" s="131">
        <v>4</v>
      </c>
      <c r="C122" s="131"/>
      <c r="D122" s="74" t="s">
        <v>43</v>
      </c>
      <c r="E122" s="74"/>
      <c r="F122" s="74"/>
      <c r="G122" s="180"/>
      <c r="H122" s="180"/>
      <c r="I122" s="395"/>
      <c r="J122" s="182"/>
      <c r="K122" s="181"/>
      <c r="L122" s="182"/>
      <c r="M122" s="182"/>
      <c r="N122" s="184"/>
      <c r="O122" s="183"/>
      <c r="P122" s="184"/>
      <c r="Q122" s="752"/>
      <c r="R122" s="183"/>
      <c r="S122" s="183"/>
      <c r="T122" s="729"/>
      <c r="U122" s="133"/>
      <c r="V122" s="133"/>
      <c r="W122" s="134">
        <f>W123</f>
        <v>0</v>
      </c>
      <c r="X122" s="134"/>
      <c r="Y122" s="134"/>
      <c r="Z122" s="134">
        <f t="shared" ref="Z122:BK123" si="163">Z123</f>
        <v>0</v>
      </c>
      <c r="AA122" s="134"/>
      <c r="AB122" s="134"/>
      <c r="AC122" s="134">
        <f t="shared" si="163"/>
        <v>0</v>
      </c>
      <c r="AD122" s="134"/>
      <c r="AE122" s="134"/>
      <c r="AF122" s="134">
        <f t="shared" si="163"/>
        <v>0</v>
      </c>
      <c r="AG122" s="134"/>
      <c r="AH122" s="134"/>
      <c r="AI122" s="134">
        <f t="shared" si="163"/>
        <v>0</v>
      </c>
      <c r="AJ122" s="134"/>
      <c r="AK122" s="134"/>
      <c r="AL122" s="134">
        <f t="shared" si="163"/>
        <v>0</v>
      </c>
      <c r="AM122" s="134"/>
      <c r="AN122" s="134"/>
      <c r="AO122" s="134">
        <f t="shared" si="163"/>
        <v>0</v>
      </c>
      <c r="AP122" s="134"/>
      <c r="AQ122" s="134"/>
      <c r="AR122" s="134">
        <f t="shared" si="163"/>
        <v>0</v>
      </c>
      <c r="AS122" s="134"/>
      <c r="AT122" s="134"/>
      <c r="AU122" s="134">
        <f t="shared" si="163"/>
        <v>0</v>
      </c>
      <c r="AV122" s="134"/>
      <c r="AW122" s="134"/>
      <c r="AX122" s="134">
        <f t="shared" si="163"/>
        <v>0</v>
      </c>
      <c r="AY122" s="134"/>
      <c r="AZ122" s="134"/>
      <c r="BA122" s="134">
        <f t="shared" si="163"/>
        <v>313000000</v>
      </c>
      <c r="BB122" s="134">
        <f t="shared" si="163"/>
        <v>121670761</v>
      </c>
      <c r="BC122" s="134">
        <f t="shared" si="163"/>
        <v>24340000</v>
      </c>
      <c r="BD122" s="134">
        <f t="shared" si="163"/>
        <v>0</v>
      </c>
      <c r="BE122" s="134"/>
      <c r="BF122" s="134"/>
      <c r="BG122" s="134">
        <f t="shared" si="163"/>
        <v>0</v>
      </c>
      <c r="BH122" s="134"/>
      <c r="BI122" s="134"/>
      <c r="BJ122" s="134">
        <f>BJ123</f>
        <v>313000000</v>
      </c>
      <c r="BK122" s="134">
        <f t="shared" ref="BK122:BL123" si="164">BK123</f>
        <v>121670761</v>
      </c>
      <c r="BL122" s="134">
        <f t="shared" si="164"/>
        <v>24340000</v>
      </c>
      <c r="BM122" s="134"/>
      <c r="BN122" s="168"/>
    </row>
    <row r="123" spans="1:106" s="9" customFormat="1" ht="24" customHeight="1" x14ac:dyDescent="0.25">
      <c r="A123" s="130"/>
      <c r="B123" s="83"/>
      <c r="C123" s="83"/>
      <c r="D123" s="77">
        <v>45</v>
      </c>
      <c r="E123" s="75" t="s">
        <v>44</v>
      </c>
      <c r="F123" s="75"/>
      <c r="G123" s="135"/>
      <c r="H123" s="135"/>
      <c r="I123" s="136"/>
      <c r="J123" s="138"/>
      <c r="K123" s="137"/>
      <c r="L123" s="138"/>
      <c r="M123" s="138"/>
      <c r="N123" s="140"/>
      <c r="O123" s="139"/>
      <c r="P123" s="140"/>
      <c r="Q123" s="141"/>
      <c r="R123" s="139"/>
      <c r="S123" s="139"/>
      <c r="T123" s="204"/>
      <c r="U123" s="143"/>
      <c r="V123" s="143"/>
      <c r="W123" s="144">
        <f>W124</f>
        <v>0</v>
      </c>
      <c r="X123" s="144"/>
      <c r="Y123" s="144"/>
      <c r="Z123" s="144">
        <f t="shared" si="163"/>
        <v>0</v>
      </c>
      <c r="AA123" s="144"/>
      <c r="AB123" s="144"/>
      <c r="AC123" s="144">
        <f t="shared" si="163"/>
        <v>0</v>
      </c>
      <c r="AD123" s="144"/>
      <c r="AE123" s="144"/>
      <c r="AF123" s="144">
        <f t="shared" si="163"/>
        <v>0</v>
      </c>
      <c r="AG123" s="144"/>
      <c r="AH123" s="144"/>
      <c r="AI123" s="144">
        <f t="shared" si="163"/>
        <v>0</v>
      </c>
      <c r="AJ123" s="144"/>
      <c r="AK123" s="144"/>
      <c r="AL123" s="144">
        <f t="shared" si="163"/>
        <v>0</v>
      </c>
      <c r="AM123" s="144"/>
      <c r="AN123" s="144"/>
      <c r="AO123" s="144">
        <f t="shared" si="163"/>
        <v>0</v>
      </c>
      <c r="AP123" s="144"/>
      <c r="AQ123" s="144"/>
      <c r="AR123" s="144">
        <f t="shared" si="163"/>
        <v>0</v>
      </c>
      <c r="AS123" s="144"/>
      <c r="AT123" s="144"/>
      <c r="AU123" s="144">
        <f t="shared" si="163"/>
        <v>0</v>
      </c>
      <c r="AV123" s="144"/>
      <c r="AW123" s="144"/>
      <c r="AX123" s="144">
        <f t="shared" si="163"/>
        <v>0</v>
      </c>
      <c r="AY123" s="144"/>
      <c r="AZ123" s="144"/>
      <c r="BA123" s="144">
        <f t="shared" si="163"/>
        <v>313000000</v>
      </c>
      <c r="BB123" s="144">
        <f t="shared" si="163"/>
        <v>121670761</v>
      </c>
      <c r="BC123" s="144">
        <f t="shared" si="163"/>
        <v>24340000</v>
      </c>
      <c r="BD123" s="144">
        <f t="shared" si="163"/>
        <v>0</v>
      </c>
      <c r="BE123" s="144"/>
      <c r="BF123" s="144"/>
      <c r="BG123" s="144">
        <f t="shared" si="163"/>
        <v>0</v>
      </c>
      <c r="BH123" s="144"/>
      <c r="BI123" s="144"/>
      <c r="BJ123" s="144">
        <f t="shared" si="163"/>
        <v>313000000</v>
      </c>
      <c r="BK123" s="144">
        <f t="shared" si="163"/>
        <v>121670761</v>
      </c>
      <c r="BL123" s="144">
        <f t="shared" si="164"/>
        <v>24340000</v>
      </c>
      <c r="BM123" s="144"/>
      <c r="BN123" s="169"/>
      <c r="BO123" s="8"/>
      <c r="BP123" s="8"/>
      <c r="BQ123" s="8"/>
      <c r="BR123" s="8"/>
      <c r="BS123" s="8"/>
      <c r="BT123" s="8"/>
      <c r="BU123" s="8"/>
      <c r="BV123" s="8"/>
      <c r="BW123" s="8"/>
      <c r="BX123" s="8"/>
      <c r="BY123" s="8"/>
      <c r="BZ123" s="8"/>
      <c r="CA123" s="8"/>
      <c r="CB123" s="8"/>
      <c r="CC123" s="8"/>
      <c r="CD123" s="8"/>
      <c r="CE123" s="8"/>
      <c r="CF123" s="8"/>
      <c r="CG123" s="8"/>
      <c r="CH123" s="8"/>
      <c r="CI123" s="8"/>
      <c r="CJ123" s="8"/>
      <c r="CK123" s="8"/>
      <c r="CL123" s="8"/>
      <c r="CM123" s="8"/>
      <c r="CN123" s="8"/>
      <c r="CO123" s="8"/>
      <c r="CP123" s="8"/>
      <c r="CQ123" s="8"/>
      <c r="CR123" s="8"/>
      <c r="CS123" s="8"/>
      <c r="CT123" s="8"/>
      <c r="CU123" s="8"/>
      <c r="CV123" s="8"/>
      <c r="CW123" s="8"/>
      <c r="CX123" s="8"/>
      <c r="CY123" s="8"/>
      <c r="CZ123" s="8"/>
      <c r="DA123" s="8"/>
      <c r="DB123" s="8"/>
    </row>
    <row r="124" spans="1:106" ht="24" customHeight="1" x14ac:dyDescent="0.2">
      <c r="A124" s="145"/>
      <c r="B124" s="100"/>
      <c r="C124" s="100"/>
      <c r="D124" s="100"/>
      <c r="E124" s="100"/>
      <c r="F124" s="154">
        <v>4502</v>
      </c>
      <c r="G124" s="81" t="s">
        <v>71</v>
      </c>
      <c r="H124" s="81"/>
      <c r="I124" s="194"/>
      <c r="J124" s="693"/>
      <c r="K124" s="726"/>
      <c r="L124" s="693"/>
      <c r="M124" s="693"/>
      <c r="N124" s="688"/>
      <c r="O124" s="689"/>
      <c r="P124" s="688"/>
      <c r="Q124" s="732"/>
      <c r="R124" s="689"/>
      <c r="S124" s="689"/>
      <c r="T124" s="728"/>
      <c r="U124" s="147"/>
      <c r="V124" s="147"/>
      <c r="W124" s="148">
        <f>SUM(W126:W129)</f>
        <v>0</v>
      </c>
      <c r="X124" s="148"/>
      <c r="Y124" s="148"/>
      <c r="Z124" s="148">
        <f t="shared" ref="Z124:AX124" si="165">SUM(Z126:Z129)</f>
        <v>0</v>
      </c>
      <c r="AA124" s="148"/>
      <c r="AB124" s="148"/>
      <c r="AC124" s="148">
        <f t="shared" si="165"/>
        <v>0</v>
      </c>
      <c r="AD124" s="148"/>
      <c r="AE124" s="148"/>
      <c r="AF124" s="148">
        <f t="shared" si="165"/>
        <v>0</v>
      </c>
      <c r="AG124" s="148"/>
      <c r="AH124" s="148"/>
      <c r="AI124" s="148">
        <f t="shared" si="165"/>
        <v>0</v>
      </c>
      <c r="AJ124" s="148"/>
      <c r="AK124" s="148"/>
      <c r="AL124" s="148">
        <f t="shared" si="165"/>
        <v>0</v>
      </c>
      <c r="AM124" s="148"/>
      <c r="AN124" s="148"/>
      <c r="AO124" s="148">
        <f t="shared" si="165"/>
        <v>0</v>
      </c>
      <c r="AP124" s="148"/>
      <c r="AQ124" s="148"/>
      <c r="AR124" s="148">
        <f t="shared" si="165"/>
        <v>0</v>
      </c>
      <c r="AS124" s="148"/>
      <c r="AT124" s="148"/>
      <c r="AU124" s="148">
        <f t="shared" si="165"/>
        <v>0</v>
      </c>
      <c r="AV124" s="148"/>
      <c r="AW124" s="148"/>
      <c r="AX124" s="148">
        <f t="shared" si="165"/>
        <v>0</v>
      </c>
      <c r="AY124" s="148"/>
      <c r="AZ124" s="148"/>
      <c r="BA124" s="148">
        <f>SUM(BA125:BA129)</f>
        <v>313000000</v>
      </c>
      <c r="BB124" s="148">
        <f t="shared" ref="BB124:BC124" si="166">SUM(BB125:BB129)</f>
        <v>121670761</v>
      </c>
      <c r="BC124" s="148">
        <f t="shared" si="166"/>
        <v>24340000</v>
      </c>
      <c r="BD124" s="148">
        <f t="shared" ref="BD124:BM124" si="167">SUM(BD125:BD129)</f>
        <v>0</v>
      </c>
      <c r="BE124" s="148"/>
      <c r="BF124" s="148"/>
      <c r="BG124" s="148">
        <f t="shared" si="167"/>
        <v>0</v>
      </c>
      <c r="BH124" s="148"/>
      <c r="BI124" s="148"/>
      <c r="BJ124" s="148">
        <f t="shared" si="167"/>
        <v>313000000</v>
      </c>
      <c r="BK124" s="148">
        <f t="shared" ref="BK124:BL124" si="168">SUM(BK125:BK129)</f>
        <v>121670761</v>
      </c>
      <c r="BL124" s="148">
        <f t="shared" si="168"/>
        <v>24340000</v>
      </c>
      <c r="BM124" s="148">
        <f t="shared" si="167"/>
        <v>0</v>
      </c>
      <c r="BN124" s="148">
        <f t="shared" ref="BN124" si="169">SUM(BN125:BN129)</f>
        <v>0</v>
      </c>
    </row>
    <row r="125" spans="1:106" s="4" customFormat="1" ht="156" customHeight="1" x14ac:dyDescent="0.2">
      <c r="A125" s="68"/>
      <c r="B125" s="109"/>
      <c r="C125" s="109"/>
      <c r="D125" s="109"/>
      <c r="E125" s="109"/>
      <c r="F125" s="84"/>
      <c r="G125" s="108"/>
      <c r="H125" s="571" t="s">
        <v>357</v>
      </c>
      <c r="I125" s="84">
        <v>4502024</v>
      </c>
      <c r="J125" s="571" t="s">
        <v>358</v>
      </c>
      <c r="K125" s="84">
        <v>4502024</v>
      </c>
      <c r="L125" s="571" t="s">
        <v>358</v>
      </c>
      <c r="M125" s="113">
        <v>450202400</v>
      </c>
      <c r="N125" s="221" t="s">
        <v>359</v>
      </c>
      <c r="O125" s="415">
        <v>450202400</v>
      </c>
      <c r="P125" s="221" t="s">
        <v>359</v>
      </c>
      <c r="Q125" s="108" t="s">
        <v>52</v>
      </c>
      <c r="R125" s="125">
        <v>10</v>
      </c>
      <c r="S125" s="125">
        <v>2</v>
      </c>
      <c r="T125" s="108" t="s">
        <v>360</v>
      </c>
      <c r="U125" s="571" t="s">
        <v>361</v>
      </c>
      <c r="V125" s="571" t="s">
        <v>362</v>
      </c>
      <c r="W125" s="127"/>
      <c r="X125" s="127"/>
      <c r="Y125" s="127"/>
      <c r="Z125" s="127"/>
      <c r="AA125" s="127"/>
      <c r="AB125" s="127"/>
      <c r="AC125" s="127"/>
      <c r="AD125" s="127"/>
      <c r="AE125" s="127"/>
      <c r="AF125" s="127"/>
      <c r="AG125" s="127"/>
      <c r="AH125" s="127"/>
      <c r="AI125" s="127"/>
      <c r="AJ125" s="127"/>
      <c r="AK125" s="127"/>
      <c r="AL125" s="127"/>
      <c r="AM125" s="127"/>
      <c r="AN125" s="127"/>
      <c r="AO125" s="127"/>
      <c r="AP125" s="127"/>
      <c r="AQ125" s="127"/>
      <c r="AR125" s="127"/>
      <c r="AS125" s="127"/>
      <c r="AT125" s="127"/>
      <c r="AU125" s="127"/>
      <c r="AV125" s="127"/>
      <c r="AW125" s="127"/>
      <c r="AX125" s="127"/>
      <c r="AY125" s="127"/>
      <c r="AZ125" s="127"/>
      <c r="BA125" s="164">
        <v>50000000</v>
      </c>
      <c r="BB125" s="164">
        <v>27310761</v>
      </c>
      <c r="BC125" s="164">
        <v>3300000</v>
      </c>
      <c r="BD125" s="127"/>
      <c r="BE125" s="127"/>
      <c r="BF125" s="127"/>
      <c r="BG125" s="127"/>
      <c r="BH125" s="127"/>
      <c r="BI125" s="127"/>
      <c r="BJ125" s="222">
        <f>+W125+Z125+AC125+AF125+AI125+AL125+AO125+AR125+AU125+AX125+BA125+BD125+BG125</f>
        <v>50000000</v>
      </c>
      <c r="BK125" s="222">
        <f t="shared" ref="BK125:BL129" si="170">+X125+AA125+AD125+AG125+AJ125+AM125+AP125+AS125+AV125+AY125+BB125+BE125+BH125</f>
        <v>27310761</v>
      </c>
      <c r="BL125" s="222">
        <f t="shared" si="170"/>
        <v>3300000</v>
      </c>
      <c r="BM125" s="222" t="s">
        <v>281</v>
      </c>
      <c r="BN125" s="216" t="s">
        <v>1576</v>
      </c>
    </row>
    <row r="126" spans="1:106" ht="100.5" customHeight="1" x14ac:dyDescent="0.2">
      <c r="A126" s="145"/>
      <c r="B126" s="100"/>
      <c r="C126" s="100"/>
      <c r="D126" s="100"/>
      <c r="E126" s="100"/>
      <c r="F126" s="567"/>
      <c r="G126" s="569"/>
      <c r="H126" s="562" t="s">
        <v>72</v>
      </c>
      <c r="I126" s="89">
        <v>4502001</v>
      </c>
      <c r="J126" s="562" t="s">
        <v>83</v>
      </c>
      <c r="K126" s="89">
        <v>4502001</v>
      </c>
      <c r="L126" s="562" t="s">
        <v>83</v>
      </c>
      <c r="M126" s="567">
        <v>450200100</v>
      </c>
      <c r="N126" s="561" t="s">
        <v>363</v>
      </c>
      <c r="O126" s="82">
        <v>450200100</v>
      </c>
      <c r="P126" s="561" t="s">
        <v>85</v>
      </c>
      <c r="Q126" s="209" t="s">
        <v>52</v>
      </c>
      <c r="R126" s="125">
        <v>3</v>
      </c>
      <c r="S126" s="125">
        <v>3</v>
      </c>
      <c r="T126" s="862" t="s">
        <v>364</v>
      </c>
      <c r="U126" s="872" t="s">
        <v>365</v>
      </c>
      <c r="V126" s="887" t="s">
        <v>366</v>
      </c>
      <c r="W126" s="150"/>
      <c r="X126" s="150"/>
      <c r="Y126" s="150"/>
      <c r="Z126" s="150"/>
      <c r="AA126" s="150"/>
      <c r="AB126" s="150"/>
      <c r="AC126" s="150"/>
      <c r="AD126" s="150"/>
      <c r="AE126" s="150"/>
      <c r="AF126" s="150"/>
      <c r="AG126" s="150"/>
      <c r="AH126" s="150"/>
      <c r="AI126" s="150"/>
      <c r="AJ126" s="150"/>
      <c r="AK126" s="150"/>
      <c r="AL126" s="150"/>
      <c r="AM126" s="150"/>
      <c r="AN126" s="150"/>
      <c r="AO126" s="150"/>
      <c r="AP126" s="150"/>
      <c r="AQ126" s="150"/>
      <c r="AR126" s="150"/>
      <c r="AS126" s="150"/>
      <c r="AT126" s="150"/>
      <c r="AU126" s="150"/>
      <c r="AV126" s="150"/>
      <c r="AW126" s="150"/>
      <c r="AX126" s="150"/>
      <c r="AY126" s="150"/>
      <c r="AZ126" s="150"/>
      <c r="BA126" s="164">
        <v>130000000</v>
      </c>
      <c r="BB126" s="164">
        <v>45780000</v>
      </c>
      <c r="BC126" s="164">
        <v>9270000</v>
      </c>
      <c r="BD126" s="150"/>
      <c r="BE126" s="150"/>
      <c r="BF126" s="150"/>
      <c r="BG126" s="150"/>
      <c r="BH126" s="150"/>
      <c r="BI126" s="150"/>
      <c r="BJ126" s="151">
        <f>+W126+Z126+AC126+AF126+AI126+AL126+AO126+AR126+AU126+AX126+BA126+BD126+BG126</f>
        <v>130000000</v>
      </c>
      <c r="BK126" s="151">
        <f t="shared" si="170"/>
        <v>45780000</v>
      </c>
      <c r="BL126" s="151">
        <f t="shared" si="170"/>
        <v>9270000</v>
      </c>
      <c r="BM126" s="151" t="s">
        <v>281</v>
      </c>
      <c r="BN126" s="216" t="s">
        <v>1576</v>
      </c>
    </row>
    <row r="127" spans="1:106" ht="87" customHeight="1" x14ac:dyDescent="0.2">
      <c r="A127" s="145"/>
      <c r="B127" s="100"/>
      <c r="C127" s="100"/>
      <c r="D127" s="100"/>
      <c r="E127" s="100"/>
      <c r="F127" s="567"/>
      <c r="G127" s="569"/>
      <c r="H127" s="562" t="s">
        <v>72</v>
      </c>
      <c r="I127" s="82" t="s">
        <v>47</v>
      </c>
      <c r="J127" s="571" t="s">
        <v>367</v>
      </c>
      <c r="K127" s="114">
        <v>4502001</v>
      </c>
      <c r="L127" s="562" t="s">
        <v>83</v>
      </c>
      <c r="M127" s="82" t="s">
        <v>47</v>
      </c>
      <c r="N127" s="561" t="s">
        <v>368</v>
      </c>
      <c r="O127" s="114">
        <v>450200111</v>
      </c>
      <c r="P127" s="561" t="s">
        <v>369</v>
      </c>
      <c r="Q127" s="209" t="s">
        <v>52</v>
      </c>
      <c r="R127" s="224">
        <v>1</v>
      </c>
      <c r="S127" s="224">
        <v>1</v>
      </c>
      <c r="T127" s="862"/>
      <c r="U127" s="872"/>
      <c r="V127" s="888"/>
      <c r="W127" s="150"/>
      <c r="X127" s="150"/>
      <c r="Y127" s="150"/>
      <c r="Z127" s="150"/>
      <c r="AA127" s="150"/>
      <c r="AB127" s="150"/>
      <c r="AC127" s="150"/>
      <c r="AD127" s="150"/>
      <c r="AE127" s="150"/>
      <c r="AF127" s="150"/>
      <c r="AG127" s="150"/>
      <c r="AH127" s="150"/>
      <c r="AI127" s="150"/>
      <c r="AJ127" s="150"/>
      <c r="AK127" s="150"/>
      <c r="AL127" s="150"/>
      <c r="AM127" s="150"/>
      <c r="AN127" s="150"/>
      <c r="AO127" s="150"/>
      <c r="AP127" s="150"/>
      <c r="AQ127" s="150"/>
      <c r="AR127" s="150"/>
      <c r="AS127" s="150"/>
      <c r="AT127" s="150"/>
      <c r="AU127" s="150"/>
      <c r="AV127" s="150"/>
      <c r="AW127" s="150"/>
      <c r="AX127" s="150"/>
      <c r="AY127" s="150"/>
      <c r="AZ127" s="150"/>
      <c r="BA127" s="161">
        <v>73000000</v>
      </c>
      <c r="BB127" s="161">
        <v>17040000</v>
      </c>
      <c r="BC127" s="161">
        <v>2885000</v>
      </c>
      <c r="BD127" s="150"/>
      <c r="BE127" s="150"/>
      <c r="BF127" s="150"/>
      <c r="BG127" s="150"/>
      <c r="BH127" s="150"/>
      <c r="BI127" s="150"/>
      <c r="BJ127" s="151">
        <f>+W127+Z127+AC127+AF127+AI127+AL127+AO127+AR127+AU127+AX127+BA127+BD127+BG127</f>
        <v>73000000</v>
      </c>
      <c r="BK127" s="151">
        <f t="shared" si="170"/>
        <v>17040000</v>
      </c>
      <c r="BL127" s="151">
        <f t="shared" si="170"/>
        <v>2885000</v>
      </c>
      <c r="BM127" s="151" t="s">
        <v>281</v>
      </c>
      <c r="BN127" s="216" t="s">
        <v>1576</v>
      </c>
    </row>
    <row r="128" spans="1:106" ht="126" customHeight="1" x14ac:dyDescent="0.2">
      <c r="A128" s="145"/>
      <c r="B128" s="100"/>
      <c r="C128" s="100"/>
      <c r="D128" s="100"/>
      <c r="E128" s="100"/>
      <c r="F128" s="567"/>
      <c r="G128" s="569"/>
      <c r="H128" s="562" t="s">
        <v>72</v>
      </c>
      <c r="I128" s="82" t="s">
        <v>47</v>
      </c>
      <c r="J128" s="571" t="s">
        <v>370</v>
      </c>
      <c r="K128" s="84">
        <v>4502001</v>
      </c>
      <c r="L128" s="571" t="s">
        <v>83</v>
      </c>
      <c r="M128" s="82" t="s">
        <v>47</v>
      </c>
      <c r="N128" s="561" t="s">
        <v>1518</v>
      </c>
      <c r="O128" s="84">
        <v>450200109</v>
      </c>
      <c r="P128" s="561" t="s">
        <v>371</v>
      </c>
      <c r="Q128" s="209" t="s">
        <v>52</v>
      </c>
      <c r="R128" s="125">
        <v>12</v>
      </c>
      <c r="S128" s="125">
        <v>12</v>
      </c>
      <c r="T128" s="862"/>
      <c r="U128" s="872"/>
      <c r="V128" s="888"/>
      <c r="W128" s="150"/>
      <c r="X128" s="150"/>
      <c r="Y128" s="150"/>
      <c r="Z128" s="150"/>
      <c r="AA128" s="150"/>
      <c r="AB128" s="150"/>
      <c r="AC128" s="150"/>
      <c r="AD128" s="150"/>
      <c r="AE128" s="150"/>
      <c r="AF128" s="150"/>
      <c r="AG128" s="150"/>
      <c r="AH128" s="150"/>
      <c r="AI128" s="150"/>
      <c r="AJ128" s="150"/>
      <c r="AK128" s="150"/>
      <c r="AL128" s="150"/>
      <c r="AM128" s="150"/>
      <c r="AN128" s="150"/>
      <c r="AO128" s="150"/>
      <c r="AP128" s="150"/>
      <c r="AQ128" s="150"/>
      <c r="AR128" s="150"/>
      <c r="AS128" s="150"/>
      <c r="AT128" s="150"/>
      <c r="AU128" s="150"/>
      <c r="AV128" s="150"/>
      <c r="AW128" s="150"/>
      <c r="AX128" s="150"/>
      <c r="AY128" s="150"/>
      <c r="AZ128" s="150"/>
      <c r="BA128" s="161">
        <v>35000000</v>
      </c>
      <c r="BB128" s="161">
        <v>20000000</v>
      </c>
      <c r="BC128" s="161">
        <v>6000000</v>
      </c>
      <c r="BD128" s="150"/>
      <c r="BE128" s="150"/>
      <c r="BF128" s="150"/>
      <c r="BG128" s="150"/>
      <c r="BH128" s="150"/>
      <c r="BI128" s="150"/>
      <c r="BJ128" s="151">
        <f>+W128+Z128+AC128+AF128+AI128+AL128+AO128+AR128+AU128+AX128+BA128+BD128+BG128</f>
        <v>35000000</v>
      </c>
      <c r="BK128" s="151">
        <f t="shared" si="170"/>
        <v>20000000</v>
      </c>
      <c r="BL128" s="151">
        <f t="shared" si="170"/>
        <v>6000000</v>
      </c>
      <c r="BM128" s="151" t="s">
        <v>281</v>
      </c>
      <c r="BN128" s="216" t="s">
        <v>1576</v>
      </c>
    </row>
    <row r="129" spans="1:106" ht="80.25" customHeight="1" x14ac:dyDescent="0.2">
      <c r="A129" s="145"/>
      <c r="B129" s="100"/>
      <c r="C129" s="100"/>
      <c r="D129" s="100"/>
      <c r="E129" s="100"/>
      <c r="F129" s="567"/>
      <c r="G129" s="569"/>
      <c r="H129" s="562" t="s">
        <v>72</v>
      </c>
      <c r="I129" s="82" t="s">
        <v>47</v>
      </c>
      <c r="J129" s="571" t="s">
        <v>372</v>
      </c>
      <c r="K129" s="114">
        <v>4502035</v>
      </c>
      <c r="L129" s="571" t="s">
        <v>373</v>
      </c>
      <c r="M129" s="82" t="s">
        <v>47</v>
      </c>
      <c r="N129" s="561" t="s">
        <v>374</v>
      </c>
      <c r="O129" s="114">
        <v>450203501</v>
      </c>
      <c r="P129" s="561" t="s">
        <v>375</v>
      </c>
      <c r="Q129" s="209" t="s">
        <v>68</v>
      </c>
      <c r="R129" s="125">
        <v>0.4</v>
      </c>
      <c r="S129" s="125">
        <v>0.1</v>
      </c>
      <c r="T129" s="862"/>
      <c r="U129" s="872"/>
      <c r="V129" s="889"/>
      <c r="W129" s="150"/>
      <c r="X129" s="150"/>
      <c r="Y129" s="150"/>
      <c r="Z129" s="150"/>
      <c r="AA129" s="150"/>
      <c r="AB129" s="150"/>
      <c r="AC129" s="150"/>
      <c r="AD129" s="150"/>
      <c r="AE129" s="150"/>
      <c r="AF129" s="150"/>
      <c r="AG129" s="150"/>
      <c r="AH129" s="150"/>
      <c r="AI129" s="150"/>
      <c r="AJ129" s="150"/>
      <c r="AK129" s="150"/>
      <c r="AL129" s="150"/>
      <c r="AM129" s="150"/>
      <c r="AN129" s="150"/>
      <c r="AO129" s="150"/>
      <c r="AP129" s="150"/>
      <c r="AQ129" s="150"/>
      <c r="AR129" s="150"/>
      <c r="AS129" s="150"/>
      <c r="AT129" s="150"/>
      <c r="AU129" s="150"/>
      <c r="AV129" s="150"/>
      <c r="AW129" s="150"/>
      <c r="AX129" s="150"/>
      <c r="AY129" s="150"/>
      <c r="AZ129" s="150"/>
      <c r="BA129" s="161">
        <v>25000000</v>
      </c>
      <c r="BB129" s="161">
        <v>11540000</v>
      </c>
      <c r="BC129" s="161">
        <v>2885000</v>
      </c>
      <c r="BD129" s="150"/>
      <c r="BE129" s="150"/>
      <c r="BF129" s="150"/>
      <c r="BG129" s="150"/>
      <c r="BH129" s="150"/>
      <c r="BI129" s="150"/>
      <c r="BJ129" s="151">
        <f>+W129+Z129+AC129+AF129+AI129+AL129+AO129+AR129+AU129+AX129+BA129+BD129+BG129</f>
        <v>25000000</v>
      </c>
      <c r="BK129" s="151">
        <f t="shared" si="170"/>
        <v>11540000</v>
      </c>
      <c r="BL129" s="151">
        <f t="shared" si="170"/>
        <v>2885000</v>
      </c>
      <c r="BM129" s="151" t="s">
        <v>281</v>
      </c>
      <c r="BN129" s="216" t="s">
        <v>1576</v>
      </c>
    </row>
    <row r="130" spans="1:106" s="467" customFormat="1" ht="16.5" customHeight="1" x14ac:dyDescent="0.25">
      <c r="A130" s="463"/>
      <c r="B130" s="463"/>
      <c r="C130" s="463"/>
      <c r="D130" s="463"/>
      <c r="E130" s="463"/>
      <c r="F130" s="463"/>
      <c r="G130" s="463"/>
      <c r="H130" s="464"/>
      <c r="I130" s="463"/>
      <c r="J130" s="463"/>
      <c r="K130" s="463"/>
      <c r="L130" s="463"/>
      <c r="M130" s="463"/>
      <c r="N130" s="463"/>
      <c r="O130" s="463"/>
      <c r="P130" s="463"/>
      <c r="Q130" s="465"/>
      <c r="R130" s="463"/>
      <c r="S130" s="463"/>
      <c r="T130" s="465"/>
      <c r="U130" s="465"/>
      <c r="V130" s="465"/>
      <c r="W130" s="466"/>
      <c r="X130" s="466"/>
      <c r="Y130" s="466"/>
      <c r="Z130" s="466"/>
      <c r="AA130" s="466"/>
      <c r="AB130" s="466"/>
      <c r="AC130" s="466"/>
      <c r="AD130" s="466"/>
      <c r="AE130" s="466"/>
      <c r="AF130" s="466"/>
      <c r="AG130" s="466"/>
      <c r="AH130" s="466"/>
      <c r="AI130" s="466"/>
      <c r="AJ130" s="466"/>
      <c r="AK130" s="466"/>
      <c r="AL130" s="466"/>
      <c r="AM130" s="466"/>
      <c r="AN130" s="466"/>
      <c r="AO130" s="466"/>
      <c r="AP130" s="466"/>
      <c r="AQ130" s="466"/>
      <c r="AR130" s="466"/>
      <c r="AS130" s="466"/>
      <c r="AT130" s="466"/>
      <c r="AU130" s="466"/>
      <c r="AV130" s="466"/>
      <c r="AW130" s="466"/>
      <c r="AX130" s="466"/>
      <c r="AY130" s="466"/>
      <c r="AZ130" s="466"/>
      <c r="BA130" s="466"/>
      <c r="BB130" s="466"/>
      <c r="BC130" s="466"/>
      <c r="BD130" s="466"/>
      <c r="BE130" s="466"/>
      <c r="BF130" s="466"/>
      <c r="BG130" s="466"/>
      <c r="BH130" s="466"/>
      <c r="BI130" s="466"/>
      <c r="BJ130" s="466"/>
      <c r="BK130" s="466"/>
      <c r="BL130" s="466"/>
      <c r="BM130" s="466"/>
      <c r="BN130" s="466"/>
    </row>
    <row r="131" spans="1:106" s="394" customFormat="1" ht="24" customHeight="1" x14ac:dyDescent="0.2">
      <c r="A131" s="41" t="s">
        <v>376</v>
      </c>
      <c r="B131" s="41"/>
      <c r="C131" s="41"/>
      <c r="D131" s="41"/>
      <c r="E131" s="41"/>
      <c r="F131" s="42"/>
      <c r="G131" s="657"/>
      <c r="H131" s="700"/>
      <c r="I131" s="700"/>
      <c r="J131" s="700"/>
      <c r="K131" s="701"/>
      <c r="L131" s="700"/>
      <c r="M131" s="700"/>
      <c r="N131" s="702"/>
      <c r="O131" s="703"/>
      <c r="P131" s="702"/>
      <c r="Q131" s="704"/>
      <c r="R131" s="703"/>
      <c r="S131" s="703"/>
      <c r="T131" s="658"/>
      <c r="U131" s="391"/>
      <c r="V131" s="391"/>
      <c r="W131" s="387">
        <f>W132</f>
        <v>2980319083.0199995</v>
      </c>
      <c r="X131" s="387">
        <f t="shared" ref="X131:Y132" si="171">X132</f>
        <v>20195000</v>
      </c>
      <c r="Y131" s="387">
        <f t="shared" si="171"/>
        <v>0</v>
      </c>
      <c r="Z131" s="387">
        <f t="shared" ref="Z131:BK132" si="172">Z132</f>
        <v>0</v>
      </c>
      <c r="AA131" s="387"/>
      <c r="AB131" s="387"/>
      <c r="AC131" s="387">
        <f t="shared" si="172"/>
        <v>0</v>
      </c>
      <c r="AD131" s="387"/>
      <c r="AE131" s="387"/>
      <c r="AF131" s="387">
        <f t="shared" si="172"/>
        <v>0</v>
      </c>
      <c r="AG131" s="387"/>
      <c r="AH131" s="387"/>
      <c r="AI131" s="387">
        <f t="shared" si="172"/>
        <v>0</v>
      </c>
      <c r="AJ131" s="387"/>
      <c r="AK131" s="387"/>
      <c r="AL131" s="387">
        <f t="shared" si="172"/>
        <v>0</v>
      </c>
      <c r="AM131" s="387"/>
      <c r="AN131" s="387"/>
      <c r="AO131" s="387">
        <f t="shared" si="172"/>
        <v>0</v>
      </c>
      <c r="AP131" s="387"/>
      <c r="AQ131" s="387"/>
      <c r="AR131" s="387">
        <f t="shared" si="172"/>
        <v>0</v>
      </c>
      <c r="AS131" s="387"/>
      <c r="AT131" s="387"/>
      <c r="AU131" s="387">
        <f t="shared" si="172"/>
        <v>0</v>
      </c>
      <c r="AV131" s="387"/>
      <c r="AW131" s="387"/>
      <c r="AX131" s="387">
        <f t="shared" si="172"/>
        <v>0</v>
      </c>
      <c r="AY131" s="387"/>
      <c r="AZ131" s="387"/>
      <c r="BA131" s="387">
        <f t="shared" si="172"/>
        <v>795000000</v>
      </c>
      <c r="BB131" s="387">
        <f t="shared" si="172"/>
        <v>60800000</v>
      </c>
      <c r="BC131" s="387">
        <f t="shared" si="172"/>
        <v>0</v>
      </c>
      <c r="BD131" s="387">
        <f t="shared" si="172"/>
        <v>263038142</v>
      </c>
      <c r="BE131" s="387">
        <f t="shared" si="172"/>
        <v>0</v>
      </c>
      <c r="BF131" s="387">
        <f t="shared" si="172"/>
        <v>0</v>
      </c>
      <c r="BG131" s="387">
        <f t="shared" si="172"/>
        <v>0</v>
      </c>
      <c r="BH131" s="387"/>
      <c r="BI131" s="387"/>
      <c r="BJ131" s="387">
        <f t="shared" si="172"/>
        <v>4038357225.02</v>
      </c>
      <c r="BK131" s="387">
        <f t="shared" si="172"/>
        <v>80995000</v>
      </c>
      <c r="BL131" s="387">
        <f t="shared" ref="BL131:BL132" si="173">BL132</f>
        <v>0</v>
      </c>
      <c r="BM131" s="387"/>
      <c r="BN131" s="388"/>
      <c r="BO131" s="393"/>
      <c r="BP131" s="393"/>
      <c r="BQ131" s="393"/>
      <c r="BR131" s="393"/>
      <c r="BS131" s="393"/>
      <c r="BT131" s="393"/>
      <c r="BU131" s="393"/>
      <c r="BV131" s="393"/>
      <c r="BW131" s="393"/>
      <c r="BX131" s="393"/>
      <c r="BY131" s="393"/>
      <c r="BZ131" s="393"/>
      <c r="CA131" s="393"/>
      <c r="CB131" s="393"/>
      <c r="CC131" s="393"/>
      <c r="CD131" s="393"/>
      <c r="CE131" s="393"/>
      <c r="CF131" s="393"/>
      <c r="CG131" s="393"/>
      <c r="CH131" s="393"/>
      <c r="CI131" s="393"/>
      <c r="CJ131" s="393"/>
      <c r="CK131" s="393"/>
      <c r="CL131" s="393"/>
      <c r="CM131" s="393"/>
      <c r="CN131" s="393"/>
      <c r="CO131" s="393"/>
      <c r="CP131" s="393"/>
      <c r="CQ131" s="393"/>
      <c r="CR131" s="393"/>
      <c r="CS131" s="393"/>
      <c r="CT131" s="393"/>
      <c r="CU131" s="393"/>
      <c r="CV131" s="393"/>
      <c r="CW131" s="393"/>
      <c r="CX131" s="393"/>
      <c r="CY131" s="393"/>
      <c r="CZ131" s="393"/>
      <c r="DA131" s="393"/>
      <c r="DB131" s="393"/>
    </row>
    <row r="132" spans="1:106" ht="24" customHeight="1" x14ac:dyDescent="0.2">
      <c r="A132" s="145"/>
      <c r="B132" s="131">
        <v>1</v>
      </c>
      <c r="C132" s="131"/>
      <c r="D132" s="74" t="s">
        <v>149</v>
      </c>
      <c r="E132" s="173"/>
      <c r="F132" s="74"/>
      <c r="G132" s="180"/>
      <c r="H132" s="395"/>
      <c r="I132" s="395"/>
      <c r="J132" s="182"/>
      <c r="K132" s="181"/>
      <c r="L132" s="182"/>
      <c r="M132" s="182"/>
      <c r="N132" s="184"/>
      <c r="O132" s="183"/>
      <c r="P132" s="184"/>
      <c r="Q132" s="185"/>
      <c r="R132" s="183"/>
      <c r="S132" s="183"/>
      <c r="T132" s="729"/>
      <c r="U132" s="133"/>
      <c r="V132" s="133"/>
      <c r="W132" s="134">
        <f>W133</f>
        <v>2980319083.0199995</v>
      </c>
      <c r="X132" s="134">
        <f t="shared" si="171"/>
        <v>20195000</v>
      </c>
      <c r="Y132" s="134">
        <f t="shared" si="171"/>
        <v>0</v>
      </c>
      <c r="Z132" s="134">
        <f t="shared" si="172"/>
        <v>0</v>
      </c>
      <c r="AA132" s="134"/>
      <c r="AB132" s="134"/>
      <c r="AC132" s="134">
        <f t="shared" si="172"/>
        <v>0</v>
      </c>
      <c r="AD132" s="134"/>
      <c r="AE132" s="134"/>
      <c r="AF132" s="134">
        <f t="shared" si="172"/>
        <v>0</v>
      </c>
      <c r="AG132" s="134"/>
      <c r="AH132" s="134"/>
      <c r="AI132" s="134">
        <f t="shared" si="172"/>
        <v>0</v>
      </c>
      <c r="AJ132" s="134"/>
      <c r="AK132" s="134"/>
      <c r="AL132" s="134">
        <f t="shared" si="172"/>
        <v>0</v>
      </c>
      <c r="AM132" s="134"/>
      <c r="AN132" s="134"/>
      <c r="AO132" s="134">
        <f t="shared" si="172"/>
        <v>0</v>
      </c>
      <c r="AP132" s="134"/>
      <c r="AQ132" s="134"/>
      <c r="AR132" s="134">
        <f t="shared" si="172"/>
        <v>0</v>
      </c>
      <c r="AS132" s="134"/>
      <c r="AT132" s="134"/>
      <c r="AU132" s="134">
        <f t="shared" si="172"/>
        <v>0</v>
      </c>
      <c r="AV132" s="134"/>
      <c r="AW132" s="134"/>
      <c r="AX132" s="134">
        <f t="shared" si="172"/>
        <v>0</v>
      </c>
      <c r="AY132" s="134"/>
      <c r="AZ132" s="134"/>
      <c r="BA132" s="134">
        <f t="shared" si="172"/>
        <v>795000000</v>
      </c>
      <c r="BB132" s="134">
        <f t="shared" si="172"/>
        <v>60800000</v>
      </c>
      <c r="BC132" s="134">
        <f t="shared" si="172"/>
        <v>0</v>
      </c>
      <c r="BD132" s="134">
        <f t="shared" si="172"/>
        <v>263038142</v>
      </c>
      <c r="BE132" s="134">
        <f t="shared" si="172"/>
        <v>0</v>
      </c>
      <c r="BF132" s="134">
        <f t="shared" si="172"/>
        <v>0</v>
      </c>
      <c r="BG132" s="134">
        <f t="shared" si="172"/>
        <v>0</v>
      </c>
      <c r="BH132" s="134"/>
      <c r="BI132" s="134"/>
      <c r="BJ132" s="134">
        <f>BJ133</f>
        <v>4038357225.02</v>
      </c>
      <c r="BK132" s="134">
        <f t="shared" si="172"/>
        <v>80995000</v>
      </c>
      <c r="BL132" s="134">
        <f t="shared" si="173"/>
        <v>0</v>
      </c>
      <c r="BM132" s="134"/>
      <c r="BN132" s="168"/>
    </row>
    <row r="133" spans="1:106" s="9" customFormat="1" ht="24" customHeight="1" x14ac:dyDescent="0.25">
      <c r="A133" s="130"/>
      <c r="B133" s="83"/>
      <c r="C133" s="83"/>
      <c r="D133" s="77">
        <v>33</v>
      </c>
      <c r="E133" s="201" t="s">
        <v>180</v>
      </c>
      <c r="F133" s="75"/>
      <c r="G133" s="135"/>
      <c r="H133" s="136"/>
      <c r="I133" s="136"/>
      <c r="J133" s="138"/>
      <c r="K133" s="137"/>
      <c r="L133" s="138"/>
      <c r="M133" s="138"/>
      <c r="N133" s="140"/>
      <c r="O133" s="139"/>
      <c r="P133" s="140"/>
      <c r="Q133" s="141"/>
      <c r="R133" s="139"/>
      <c r="S133" s="139"/>
      <c r="T133" s="204"/>
      <c r="U133" s="143"/>
      <c r="V133" s="143"/>
      <c r="W133" s="144">
        <f>W134+W143</f>
        <v>2980319083.0199995</v>
      </c>
      <c r="X133" s="144">
        <f t="shared" ref="X133:Y133" si="174">X134+X143</f>
        <v>20195000</v>
      </c>
      <c r="Y133" s="144">
        <f t="shared" si="174"/>
        <v>0</v>
      </c>
      <c r="Z133" s="144">
        <f t="shared" ref="Z133:BJ133" si="175">Z134+Z143</f>
        <v>0</v>
      </c>
      <c r="AA133" s="144"/>
      <c r="AB133" s="144"/>
      <c r="AC133" s="144">
        <f t="shared" si="175"/>
        <v>0</v>
      </c>
      <c r="AD133" s="144"/>
      <c r="AE133" s="144"/>
      <c r="AF133" s="144">
        <f t="shared" si="175"/>
        <v>0</v>
      </c>
      <c r="AG133" s="144"/>
      <c r="AH133" s="144"/>
      <c r="AI133" s="144">
        <f t="shared" si="175"/>
        <v>0</v>
      </c>
      <c r="AJ133" s="144"/>
      <c r="AK133" s="144"/>
      <c r="AL133" s="144">
        <f t="shared" si="175"/>
        <v>0</v>
      </c>
      <c r="AM133" s="144"/>
      <c r="AN133" s="144"/>
      <c r="AO133" s="144">
        <f t="shared" si="175"/>
        <v>0</v>
      </c>
      <c r="AP133" s="144"/>
      <c r="AQ133" s="144"/>
      <c r="AR133" s="144">
        <f t="shared" si="175"/>
        <v>0</v>
      </c>
      <c r="AS133" s="144"/>
      <c r="AT133" s="144"/>
      <c r="AU133" s="144">
        <f t="shared" si="175"/>
        <v>0</v>
      </c>
      <c r="AV133" s="144"/>
      <c r="AW133" s="144"/>
      <c r="AX133" s="144">
        <f t="shared" si="175"/>
        <v>0</v>
      </c>
      <c r="AY133" s="144"/>
      <c r="AZ133" s="144"/>
      <c r="BA133" s="144">
        <f t="shared" si="175"/>
        <v>795000000</v>
      </c>
      <c r="BB133" s="144">
        <f t="shared" ref="BB133:BC133" si="176">BB134+BB143</f>
        <v>60800000</v>
      </c>
      <c r="BC133" s="144">
        <f t="shared" si="176"/>
        <v>0</v>
      </c>
      <c r="BD133" s="144">
        <f t="shared" si="175"/>
        <v>263038142</v>
      </c>
      <c r="BE133" s="144">
        <f t="shared" ref="BE133:BF133" si="177">BE134+BE143</f>
        <v>0</v>
      </c>
      <c r="BF133" s="144">
        <f t="shared" si="177"/>
        <v>0</v>
      </c>
      <c r="BG133" s="144">
        <f t="shared" si="175"/>
        <v>0</v>
      </c>
      <c r="BH133" s="144"/>
      <c r="BI133" s="144"/>
      <c r="BJ133" s="144">
        <f t="shared" si="175"/>
        <v>4038357225.02</v>
      </c>
      <c r="BK133" s="144">
        <f t="shared" ref="BK133:BL133" si="178">BK134+BK143</f>
        <v>80995000</v>
      </c>
      <c r="BL133" s="144">
        <f t="shared" si="178"/>
        <v>0</v>
      </c>
      <c r="BM133" s="144"/>
      <c r="BN133" s="169"/>
      <c r="BO133" s="8"/>
      <c r="BP133" s="8"/>
      <c r="BQ133" s="8"/>
      <c r="BR133" s="8"/>
      <c r="BS133" s="8"/>
      <c r="BT133" s="8"/>
      <c r="BU133" s="8"/>
      <c r="BV133" s="8"/>
      <c r="BW133" s="8"/>
      <c r="BX133" s="8"/>
      <c r="BY133" s="8"/>
      <c r="BZ133" s="8"/>
      <c r="CA133" s="8"/>
      <c r="CB133" s="8"/>
      <c r="CC133" s="8"/>
      <c r="CD133" s="8"/>
      <c r="CE133" s="8"/>
      <c r="CF133" s="8"/>
      <c r="CG133" s="8"/>
      <c r="CH133" s="8"/>
      <c r="CI133" s="8"/>
      <c r="CJ133" s="8"/>
      <c r="CK133" s="8"/>
      <c r="CL133" s="8"/>
      <c r="CM133" s="8"/>
      <c r="CN133" s="8"/>
      <c r="CO133" s="8"/>
      <c r="CP133" s="8"/>
      <c r="CQ133" s="8"/>
      <c r="CR133" s="8"/>
      <c r="CS133" s="8"/>
      <c r="CT133" s="8"/>
      <c r="CU133" s="8"/>
      <c r="CV133" s="8"/>
      <c r="CW133" s="8"/>
      <c r="CX133" s="8"/>
      <c r="CY133" s="8"/>
      <c r="CZ133" s="8"/>
      <c r="DA133" s="8"/>
      <c r="DB133" s="8"/>
    </row>
    <row r="134" spans="1:106" ht="24" customHeight="1" x14ac:dyDescent="0.2">
      <c r="A134" s="145"/>
      <c r="B134" s="91"/>
      <c r="C134" s="91"/>
      <c r="D134" s="91"/>
      <c r="E134" s="91"/>
      <c r="F134" s="154">
        <v>3301</v>
      </c>
      <c r="G134" s="81" t="s">
        <v>181</v>
      </c>
      <c r="H134" s="194"/>
      <c r="I134" s="194"/>
      <c r="J134" s="693"/>
      <c r="K134" s="726"/>
      <c r="L134" s="693"/>
      <c r="M134" s="693"/>
      <c r="N134" s="688"/>
      <c r="O134" s="689"/>
      <c r="P134" s="688"/>
      <c r="Q134" s="727"/>
      <c r="R134" s="689"/>
      <c r="S134" s="689"/>
      <c r="T134" s="728"/>
      <c r="U134" s="147"/>
      <c r="V134" s="147"/>
      <c r="W134" s="148">
        <f>SUM(W135:W142)</f>
        <v>2980319083.0199995</v>
      </c>
      <c r="X134" s="148">
        <f t="shared" ref="X134:Y134" si="179">SUM(X135:X142)</f>
        <v>20195000</v>
      </c>
      <c r="Y134" s="148">
        <f t="shared" si="179"/>
        <v>0</v>
      </c>
      <c r="Z134" s="148">
        <f t="shared" ref="Z134:BJ134" si="180">SUM(Z135:Z142)</f>
        <v>0</v>
      </c>
      <c r="AA134" s="148"/>
      <c r="AB134" s="148"/>
      <c r="AC134" s="148">
        <f t="shared" si="180"/>
        <v>0</v>
      </c>
      <c r="AD134" s="148"/>
      <c r="AE134" s="148"/>
      <c r="AF134" s="148">
        <f t="shared" si="180"/>
        <v>0</v>
      </c>
      <c r="AG134" s="148"/>
      <c r="AH134" s="148"/>
      <c r="AI134" s="148">
        <f t="shared" si="180"/>
        <v>0</v>
      </c>
      <c r="AJ134" s="148"/>
      <c r="AK134" s="148"/>
      <c r="AL134" s="148">
        <f t="shared" si="180"/>
        <v>0</v>
      </c>
      <c r="AM134" s="148"/>
      <c r="AN134" s="148"/>
      <c r="AO134" s="148">
        <f t="shared" si="180"/>
        <v>0</v>
      </c>
      <c r="AP134" s="148"/>
      <c r="AQ134" s="148"/>
      <c r="AR134" s="148">
        <f t="shared" si="180"/>
        <v>0</v>
      </c>
      <c r="AS134" s="148"/>
      <c r="AT134" s="148"/>
      <c r="AU134" s="148">
        <f t="shared" si="180"/>
        <v>0</v>
      </c>
      <c r="AV134" s="148"/>
      <c r="AW134" s="148"/>
      <c r="AX134" s="148">
        <f t="shared" si="180"/>
        <v>0</v>
      </c>
      <c r="AY134" s="148"/>
      <c r="AZ134" s="148"/>
      <c r="BA134" s="148">
        <f t="shared" si="180"/>
        <v>662000000</v>
      </c>
      <c r="BB134" s="148">
        <f t="shared" ref="BB134:BC134" si="181">SUM(BB135:BB142)</f>
        <v>41140000</v>
      </c>
      <c r="BC134" s="148">
        <f t="shared" si="181"/>
        <v>0</v>
      </c>
      <c r="BD134" s="148">
        <f t="shared" si="180"/>
        <v>0</v>
      </c>
      <c r="BE134" s="148">
        <f t="shared" ref="BE134:BF134" si="182">SUM(BE135:BE142)</f>
        <v>0</v>
      </c>
      <c r="BF134" s="148">
        <f t="shared" si="182"/>
        <v>0</v>
      </c>
      <c r="BG134" s="148">
        <f t="shared" si="180"/>
        <v>0</v>
      </c>
      <c r="BH134" s="148"/>
      <c r="BI134" s="148"/>
      <c r="BJ134" s="148">
        <f t="shared" si="180"/>
        <v>3642319083.02</v>
      </c>
      <c r="BK134" s="148">
        <f t="shared" ref="BK134:BL134" si="183">SUM(BK135:BK142)</f>
        <v>61335000</v>
      </c>
      <c r="BL134" s="148">
        <f t="shared" si="183"/>
        <v>0</v>
      </c>
      <c r="BM134" s="148"/>
      <c r="BN134" s="156"/>
    </row>
    <row r="135" spans="1:106" ht="144" customHeight="1" x14ac:dyDescent="0.2">
      <c r="A135" s="145"/>
      <c r="B135" s="91"/>
      <c r="C135" s="91"/>
      <c r="D135" s="91"/>
      <c r="E135" s="91"/>
      <c r="F135" s="87"/>
      <c r="G135" s="97"/>
      <c r="H135" s="571" t="s">
        <v>377</v>
      </c>
      <c r="I135" s="567">
        <v>3301087</v>
      </c>
      <c r="J135" s="562" t="s">
        <v>378</v>
      </c>
      <c r="K135" s="567">
        <v>3301087</v>
      </c>
      <c r="L135" s="562" t="s">
        <v>378</v>
      </c>
      <c r="M135" s="567">
        <v>330108701</v>
      </c>
      <c r="N135" s="561" t="s">
        <v>347</v>
      </c>
      <c r="O135" s="567">
        <v>330108701</v>
      </c>
      <c r="P135" s="561" t="s">
        <v>347</v>
      </c>
      <c r="Q135" s="569" t="s">
        <v>68</v>
      </c>
      <c r="R135" s="125">
        <v>5700</v>
      </c>
      <c r="S135" s="125">
        <v>148</v>
      </c>
      <c r="T135" s="865" t="s">
        <v>379</v>
      </c>
      <c r="U135" s="873" t="s">
        <v>380</v>
      </c>
      <c r="V135" s="875" t="s">
        <v>381</v>
      </c>
      <c r="W135" s="431"/>
      <c r="X135" s="431"/>
      <c r="Y135" s="431"/>
      <c r="Z135" s="150"/>
      <c r="AA135" s="150"/>
      <c r="AB135" s="150"/>
      <c r="AC135" s="150"/>
      <c r="AD135" s="150"/>
      <c r="AE135" s="150"/>
      <c r="AF135" s="150"/>
      <c r="AG135" s="150"/>
      <c r="AH135" s="150"/>
      <c r="AI135" s="150"/>
      <c r="AJ135" s="150"/>
      <c r="AK135" s="150"/>
      <c r="AL135" s="150"/>
      <c r="AM135" s="150"/>
      <c r="AN135" s="150"/>
      <c r="AO135" s="150"/>
      <c r="AP135" s="150"/>
      <c r="AQ135" s="150"/>
      <c r="AR135" s="150"/>
      <c r="AS135" s="150"/>
      <c r="AT135" s="150"/>
      <c r="AU135" s="150"/>
      <c r="AV135" s="150"/>
      <c r="AW135" s="150"/>
      <c r="AX135" s="150"/>
      <c r="AY135" s="150"/>
      <c r="AZ135" s="150"/>
      <c r="BA135" s="225">
        <f>370000000-80000000</f>
        <v>290000000</v>
      </c>
      <c r="BB135" s="225"/>
      <c r="BC135" s="225"/>
      <c r="BD135" s="150"/>
      <c r="BE135" s="150"/>
      <c r="BF135" s="150"/>
      <c r="BG135" s="150"/>
      <c r="BH135" s="150"/>
      <c r="BI135" s="150"/>
      <c r="BJ135" s="151">
        <f t="shared" ref="BJ135" si="184">+W135+Z135+AC135+AF135+AI135+AL135+AO135+AR135+AU135+AX135+BA135+BD135+BG135</f>
        <v>290000000</v>
      </c>
      <c r="BK135" s="151">
        <f t="shared" ref="BK135" si="185">+X135+AA135+AD135+AG135+AJ135+AM135+AP135+AS135+AV135+AY135+BB135+BE135+BH135</f>
        <v>0</v>
      </c>
      <c r="BL135" s="151">
        <f t="shared" ref="BL135" si="186">+Y135+AB135+AE135+AH135+AK135+AN135+AQ135+AT135+AW135+AZ135+BC135+BF135+BI135</f>
        <v>0</v>
      </c>
      <c r="BM135" s="151" t="s">
        <v>382</v>
      </c>
      <c r="BN135" s="72" t="s">
        <v>1574</v>
      </c>
    </row>
    <row r="136" spans="1:106" ht="135" customHeight="1" x14ac:dyDescent="0.2">
      <c r="A136" s="145"/>
      <c r="B136" s="91"/>
      <c r="C136" s="91"/>
      <c r="D136" s="91"/>
      <c r="E136" s="91"/>
      <c r="F136" s="87"/>
      <c r="G136" s="88"/>
      <c r="H136" s="571" t="s">
        <v>182</v>
      </c>
      <c r="I136" s="567">
        <v>3301073</v>
      </c>
      <c r="J136" s="562" t="s">
        <v>383</v>
      </c>
      <c r="K136" s="567">
        <v>3301073</v>
      </c>
      <c r="L136" s="562" t="s">
        <v>383</v>
      </c>
      <c r="M136" s="567">
        <v>330107301</v>
      </c>
      <c r="N136" s="561" t="s">
        <v>384</v>
      </c>
      <c r="O136" s="567">
        <v>330107301</v>
      </c>
      <c r="P136" s="561" t="s">
        <v>384</v>
      </c>
      <c r="Q136" s="569" t="s">
        <v>68</v>
      </c>
      <c r="R136" s="125">
        <v>500</v>
      </c>
      <c r="S136" s="125">
        <v>3</v>
      </c>
      <c r="T136" s="865"/>
      <c r="U136" s="873"/>
      <c r="V136" s="875"/>
      <c r="W136" s="225">
        <f>919912475+183982494.6+176183734.3</f>
        <v>1280078703.8999999</v>
      </c>
      <c r="X136" s="225">
        <v>8655000</v>
      </c>
      <c r="Y136" s="225"/>
      <c r="Z136" s="150"/>
      <c r="AA136" s="150"/>
      <c r="AB136" s="150"/>
      <c r="AC136" s="150"/>
      <c r="AD136" s="150"/>
      <c r="AE136" s="150"/>
      <c r="AF136" s="150"/>
      <c r="AG136" s="150"/>
      <c r="AH136" s="150"/>
      <c r="AI136" s="150"/>
      <c r="AJ136" s="150"/>
      <c r="AK136" s="150"/>
      <c r="AL136" s="150"/>
      <c r="AM136" s="150"/>
      <c r="AN136" s="150"/>
      <c r="AO136" s="150"/>
      <c r="AP136" s="150"/>
      <c r="AQ136" s="150"/>
      <c r="AR136" s="150"/>
      <c r="AS136" s="150"/>
      <c r="AT136" s="150"/>
      <c r="AU136" s="150"/>
      <c r="AV136" s="150"/>
      <c r="AW136" s="150"/>
      <c r="AX136" s="150"/>
      <c r="AY136" s="150"/>
      <c r="AZ136" s="150"/>
      <c r="BA136" s="226">
        <f>150000000+24600000+30000000+50000000</f>
        <v>254600000</v>
      </c>
      <c r="BB136" s="226">
        <v>41140000</v>
      </c>
      <c r="BC136" s="226"/>
      <c r="BD136" s="150"/>
      <c r="BE136" s="150"/>
      <c r="BF136" s="150"/>
      <c r="BG136" s="150"/>
      <c r="BH136" s="150"/>
      <c r="BI136" s="150"/>
      <c r="BJ136" s="151">
        <f t="shared" ref="BJ136:BJ142" si="187">+W136+Z136+AC136+AF136+AI136+AL136+AO136+AR136+AU136+AX136+BA136+BD136+BG136</f>
        <v>1534678703.8999999</v>
      </c>
      <c r="BK136" s="151">
        <f t="shared" ref="BK136:BK142" si="188">+X136+AA136+AD136+AG136+AJ136+AM136+AP136+AS136+AV136+AY136+BB136+BE136+BH136</f>
        <v>49795000</v>
      </c>
      <c r="BL136" s="151">
        <f t="shared" ref="BL136:BL142" si="189">+Y136+AB136+AE136+AH136+AK136+AN136+AQ136+AT136+AW136+AZ136+BC136+BF136+BI136</f>
        <v>0</v>
      </c>
      <c r="BM136" s="151" t="s">
        <v>382</v>
      </c>
      <c r="BN136" s="72" t="s">
        <v>1574</v>
      </c>
    </row>
    <row r="137" spans="1:106" ht="151.5" customHeight="1" x14ac:dyDescent="0.2">
      <c r="A137" s="145"/>
      <c r="B137" s="91"/>
      <c r="C137" s="91"/>
      <c r="D137" s="91"/>
      <c r="E137" s="91"/>
      <c r="F137" s="87"/>
      <c r="G137" s="88"/>
      <c r="H137" s="571" t="s">
        <v>385</v>
      </c>
      <c r="I137" s="82" t="s">
        <v>47</v>
      </c>
      <c r="J137" s="571" t="s">
        <v>386</v>
      </c>
      <c r="K137" s="84">
        <v>3301070</v>
      </c>
      <c r="L137" s="571" t="s">
        <v>387</v>
      </c>
      <c r="M137" s="82" t="s">
        <v>47</v>
      </c>
      <c r="N137" s="561" t="s">
        <v>388</v>
      </c>
      <c r="O137" s="84">
        <v>330107000</v>
      </c>
      <c r="P137" s="561" t="s">
        <v>98</v>
      </c>
      <c r="Q137" s="195" t="s">
        <v>68</v>
      </c>
      <c r="R137" s="125">
        <v>0.3</v>
      </c>
      <c r="S137" s="125">
        <v>0</v>
      </c>
      <c r="T137" s="865"/>
      <c r="U137" s="873"/>
      <c r="V137" s="875"/>
      <c r="W137" s="432"/>
      <c r="X137" s="432"/>
      <c r="Y137" s="432"/>
      <c r="Z137" s="150"/>
      <c r="AA137" s="150"/>
      <c r="AB137" s="150"/>
      <c r="AC137" s="150"/>
      <c r="AD137" s="150"/>
      <c r="AE137" s="150"/>
      <c r="AF137" s="150"/>
      <c r="AG137" s="150"/>
      <c r="AH137" s="150"/>
      <c r="AI137" s="150"/>
      <c r="AJ137" s="150"/>
      <c r="AK137" s="150"/>
      <c r="AL137" s="150"/>
      <c r="AM137" s="150"/>
      <c r="AN137" s="150"/>
      <c r="AO137" s="150"/>
      <c r="AP137" s="150"/>
      <c r="AQ137" s="150"/>
      <c r="AR137" s="150"/>
      <c r="AS137" s="150"/>
      <c r="AT137" s="150"/>
      <c r="AU137" s="150"/>
      <c r="AV137" s="150"/>
      <c r="AW137" s="150"/>
      <c r="AX137" s="150"/>
      <c r="AY137" s="150"/>
      <c r="AZ137" s="150"/>
      <c r="BA137" s="225">
        <v>36000000</v>
      </c>
      <c r="BB137" s="225"/>
      <c r="BC137" s="225"/>
      <c r="BD137" s="150"/>
      <c r="BE137" s="150"/>
      <c r="BF137" s="150"/>
      <c r="BG137" s="150"/>
      <c r="BH137" s="150"/>
      <c r="BI137" s="150"/>
      <c r="BJ137" s="151">
        <f>+W137+Z137+AC137+AF137+AI137+AL137+AO137+AR137+AU137+AX137+BA137+BD137+BG137</f>
        <v>36000000</v>
      </c>
      <c r="BK137" s="151">
        <f t="shared" si="188"/>
        <v>0</v>
      </c>
      <c r="BL137" s="151">
        <f t="shared" si="189"/>
        <v>0</v>
      </c>
      <c r="BM137" s="151" t="s">
        <v>382</v>
      </c>
      <c r="BN137" s="72" t="s">
        <v>1574</v>
      </c>
    </row>
    <row r="138" spans="1:106" ht="96" customHeight="1" x14ac:dyDescent="0.2">
      <c r="A138" s="145"/>
      <c r="B138" s="91"/>
      <c r="C138" s="91"/>
      <c r="D138" s="91"/>
      <c r="E138" s="91"/>
      <c r="F138" s="87"/>
      <c r="G138" s="88"/>
      <c r="H138" s="571" t="s">
        <v>182</v>
      </c>
      <c r="I138" s="84">
        <v>3301099</v>
      </c>
      <c r="J138" s="571" t="s">
        <v>1519</v>
      </c>
      <c r="K138" s="84">
        <v>3301099</v>
      </c>
      <c r="L138" s="571" t="s">
        <v>1519</v>
      </c>
      <c r="M138" s="84">
        <v>330109900</v>
      </c>
      <c r="N138" s="561" t="s">
        <v>1520</v>
      </c>
      <c r="O138" s="84">
        <v>330109900</v>
      </c>
      <c r="P138" s="561" t="s">
        <v>1520</v>
      </c>
      <c r="Q138" s="195" t="s">
        <v>52</v>
      </c>
      <c r="R138" s="125">
        <v>1</v>
      </c>
      <c r="S138" s="125">
        <v>0</v>
      </c>
      <c r="T138" s="865"/>
      <c r="U138" s="873"/>
      <c r="V138" s="875"/>
      <c r="W138" s="432"/>
      <c r="X138" s="432"/>
      <c r="Y138" s="432"/>
      <c r="Z138" s="150"/>
      <c r="AA138" s="150"/>
      <c r="AB138" s="150"/>
      <c r="AC138" s="150"/>
      <c r="AD138" s="150"/>
      <c r="AE138" s="150"/>
      <c r="AF138" s="150"/>
      <c r="AG138" s="150"/>
      <c r="AH138" s="150"/>
      <c r="AI138" s="150"/>
      <c r="AJ138" s="150"/>
      <c r="AK138" s="150"/>
      <c r="AL138" s="150"/>
      <c r="AM138" s="150"/>
      <c r="AN138" s="150"/>
      <c r="AO138" s="150"/>
      <c r="AP138" s="150"/>
      <c r="AQ138" s="150"/>
      <c r="AR138" s="150"/>
      <c r="AS138" s="150"/>
      <c r="AT138" s="150"/>
      <c r="AU138" s="150"/>
      <c r="AV138" s="150"/>
      <c r="AW138" s="150"/>
      <c r="AX138" s="150"/>
      <c r="AY138" s="150"/>
      <c r="AZ138" s="150"/>
      <c r="BA138" s="225">
        <f>30000000-24600000</f>
        <v>5400000</v>
      </c>
      <c r="BB138" s="225"/>
      <c r="BC138" s="225"/>
      <c r="BD138" s="150"/>
      <c r="BE138" s="150"/>
      <c r="BF138" s="150"/>
      <c r="BG138" s="150"/>
      <c r="BH138" s="150"/>
      <c r="BI138" s="150"/>
      <c r="BJ138" s="151">
        <f>+W138+Z138+AC138+AF138+AI138+AL138+AO138+AR138+AU138+AX138+BA138+BD138+BG138</f>
        <v>5400000</v>
      </c>
      <c r="BK138" s="151">
        <f t="shared" si="188"/>
        <v>0</v>
      </c>
      <c r="BL138" s="151">
        <f t="shared" si="189"/>
        <v>0</v>
      </c>
      <c r="BM138" s="151" t="s">
        <v>382</v>
      </c>
      <c r="BN138" s="72" t="s">
        <v>1574</v>
      </c>
    </row>
    <row r="139" spans="1:106" ht="139.5" customHeight="1" x14ac:dyDescent="0.2">
      <c r="A139" s="145"/>
      <c r="B139" s="91"/>
      <c r="C139" s="91"/>
      <c r="D139" s="91"/>
      <c r="E139" s="91"/>
      <c r="F139" s="87"/>
      <c r="G139" s="97"/>
      <c r="H139" s="571" t="s">
        <v>377</v>
      </c>
      <c r="I139" s="567">
        <v>3301052</v>
      </c>
      <c r="J139" s="565" t="s">
        <v>389</v>
      </c>
      <c r="K139" s="567">
        <v>3301052</v>
      </c>
      <c r="L139" s="565" t="s">
        <v>389</v>
      </c>
      <c r="M139" s="227">
        <v>330105203</v>
      </c>
      <c r="N139" s="561" t="s">
        <v>390</v>
      </c>
      <c r="O139" s="227">
        <v>330105203</v>
      </c>
      <c r="P139" s="561" t="s">
        <v>390</v>
      </c>
      <c r="Q139" s="195" t="s">
        <v>52</v>
      </c>
      <c r="R139" s="125">
        <v>135</v>
      </c>
      <c r="S139" s="125">
        <v>0</v>
      </c>
      <c r="T139" s="865"/>
      <c r="U139" s="873"/>
      <c r="V139" s="875"/>
      <c r="W139" s="432"/>
      <c r="X139" s="432"/>
      <c r="Y139" s="432"/>
      <c r="Z139" s="150"/>
      <c r="AA139" s="150"/>
      <c r="AB139" s="150"/>
      <c r="AC139" s="150"/>
      <c r="AD139" s="150"/>
      <c r="AE139" s="150"/>
      <c r="AF139" s="150"/>
      <c r="AG139" s="150"/>
      <c r="AH139" s="150"/>
      <c r="AI139" s="150"/>
      <c r="AJ139" s="150"/>
      <c r="AK139" s="150"/>
      <c r="AL139" s="150"/>
      <c r="AM139" s="150"/>
      <c r="AN139" s="150"/>
      <c r="AO139" s="150"/>
      <c r="AP139" s="150"/>
      <c r="AQ139" s="150"/>
      <c r="AR139" s="150"/>
      <c r="AS139" s="150"/>
      <c r="AT139" s="150"/>
      <c r="AU139" s="150"/>
      <c r="AV139" s="150"/>
      <c r="AW139" s="150"/>
      <c r="AX139" s="150"/>
      <c r="AY139" s="150"/>
      <c r="AZ139" s="150"/>
      <c r="BA139" s="225">
        <v>18000000</v>
      </c>
      <c r="BB139" s="225"/>
      <c r="BC139" s="225"/>
      <c r="BD139" s="150"/>
      <c r="BE139" s="150"/>
      <c r="BF139" s="150"/>
      <c r="BG139" s="150"/>
      <c r="BH139" s="150"/>
      <c r="BI139" s="150"/>
      <c r="BJ139" s="151">
        <f>+W139+Z139+AC139+AF139+AI139+AL139+AO139+AR139+AU139+AX139+BA139+BD139+BG139</f>
        <v>18000000</v>
      </c>
      <c r="BK139" s="151">
        <f t="shared" si="188"/>
        <v>0</v>
      </c>
      <c r="BL139" s="151">
        <f t="shared" si="189"/>
        <v>0</v>
      </c>
      <c r="BM139" s="151" t="s">
        <v>382</v>
      </c>
      <c r="BN139" s="72" t="s">
        <v>1574</v>
      </c>
    </row>
    <row r="140" spans="1:106" ht="103.5" customHeight="1" x14ac:dyDescent="0.2">
      <c r="A140" s="145"/>
      <c r="B140" s="91"/>
      <c r="C140" s="91"/>
      <c r="D140" s="91"/>
      <c r="E140" s="91"/>
      <c r="F140" s="87"/>
      <c r="G140" s="561"/>
      <c r="H140" s="571" t="s">
        <v>391</v>
      </c>
      <c r="I140" s="567">
        <v>3301085</v>
      </c>
      <c r="J140" s="562" t="s">
        <v>392</v>
      </c>
      <c r="K140" s="567">
        <v>3301085</v>
      </c>
      <c r="L140" s="562" t="s">
        <v>392</v>
      </c>
      <c r="M140" s="567" t="s">
        <v>393</v>
      </c>
      <c r="N140" s="561" t="s">
        <v>394</v>
      </c>
      <c r="O140" s="567" t="s">
        <v>393</v>
      </c>
      <c r="P140" s="561" t="s">
        <v>394</v>
      </c>
      <c r="Q140" s="569" t="s">
        <v>68</v>
      </c>
      <c r="R140" s="125">
        <v>40000</v>
      </c>
      <c r="S140" s="125">
        <v>9063</v>
      </c>
      <c r="T140" s="865" t="s">
        <v>395</v>
      </c>
      <c r="U140" s="873" t="s">
        <v>396</v>
      </c>
      <c r="V140" s="879" t="s">
        <v>397</v>
      </c>
      <c r="W140" s="225">
        <f>80000000+75000000</f>
        <v>155000000</v>
      </c>
      <c r="X140" s="225">
        <v>11540000</v>
      </c>
      <c r="Y140" s="225"/>
      <c r="Z140" s="150"/>
      <c r="AA140" s="150"/>
      <c r="AB140" s="150"/>
      <c r="AC140" s="150"/>
      <c r="AD140" s="150"/>
      <c r="AE140" s="150"/>
      <c r="AF140" s="150"/>
      <c r="AG140" s="150"/>
      <c r="AH140" s="150"/>
      <c r="AI140" s="150"/>
      <c r="AJ140" s="150"/>
      <c r="AK140" s="150"/>
      <c r="AL140" s="150"/>
      <c r="AM140" s="150"/>
      <c r="AN140" s="150"/>
      <c r="AO140" s="150"/>
      <c r="AP140" s="150"/>
      <c r="AQ140" s="150"/>
      <c r="AR140" s="150"/>
      <c r="AS140" s="150"/>
      <c r="AT140" s="150"/>
      <c r="AU140" s="150"/>
      <c r="AV140" s="150"/>
      <c r="AW140" s="150"/>
      <c r="AX140" s="150"/>
      <c r="AY140" s="150"/>
      <c r="AZ140" s="150"/>
      <c r="BA140" s="226">
        <f>20000000</f>
        <v>20000000</v>
      </c>
      <c r="BB140" s="226"/>
      <c r="BC140" s="226"/>
      <c r="BD140" s="150"/>
      <c r="BE140" s="150"/>
      <c r="BF140" s="150"/>
      <c r="BG140" s="150"/>
      <c r="BH140" s="150"/>
      <c r="BI140" s="150"/>
      <c r="BJ140" s="151">
        <f t="shared" si="187"/>
        <v>175000000</v>
      </c>
      <c r="BK140" s="151">
        <f t="shared" si="188"/>
        <v>11540000</v>
      </c>
      <c r="BL140" s="151">
        <f t="shared" si="189"/>
        <v>0</v>
      </c>
      <c r="BM140" s="151" t="s">
        <v>382</v>
      </c>
      <c r="BN140" s="72" t="s">
        <v>1574</v>
      </c>
    </row>
    <row r="141" spans="1:106" ht="100.5" customHeight="1" x14ac:dyDescent="0.2">
      <c r="A141" s="145"/>
      <c r="B141" s="91"/>
      <c r="C141" s="91"/>
      <c r="D141" s="91"/>
      <c r="E141" s="91"/>
      <c r="F141" s="87"/>
      <c r="G141" s="561"/>
      <c r="H141" s="571" t="s">
        <v>391</v>
      </c>
      <c r="I141" s="567">
        <v>3301100</v>
      </c>
      <c r="J141" s="562" t="s">
        <v>398</v>
      </c>
      <c r="K141" s="567">
        <v>3301100</v>
      </c>
      <c r="L141" s="562" t="s">
        <v>398</v>
      </c>
      <c r="M141" s="228" t="s">
        <v>399</v>
      </c>
      <c r="N141" s="577" t="s">
        <v>400</v>
      </c>
      <c r="O141" s="228" t="s">
        <v>399</v>
      </c>
      <c r="P141" s="577" t="s">
        <v>400</v>
      </c>
      <c r="Q141" s="569" t="s">
        <v>68</v>
      </c>
      <c r="R141" s="125">
        <v>10</v>
      </c>
      <c r="S141" s="125">
        <v>0</v>
      </c>
      <c r="T141" s="865"/>
      <c r="U141" s="873"/>
      <c r="V141" s="879"/>
      <c r="W141" s="225">
        <f>103982494.6+40030803</f>
        <v>144013297.59999999</v>
      </c>
      <c r="X141" s="225"/>
      <c r="Y141" s="225"/>
      <c r="Z141" s="150"/>
      <c r="AA141" s="150"/>
      <c r="AB141" s="150"/>
      <c r="AC141" s="150"/>
      <c r="AD141" s="150"/>
      <c r="AE141" s="150"/>
      <c r="AF141" s="150"/>
      <c r="AG141" s="150"/>
      <c r="AH141" s="150"/>
      <c r="AI141" s="150"/>
      <c r="AJ141" s="150"/>
      <c r="AK141" s="150"/>
      <c r="AL141" s="150"/>
      <c r="AM141" s="150"/>
      <c r="AN141" s="150"/>
      <c r="AO141" s="150"/>
      <c r="AP141" s="150"/>
      <c r="AQ141" s="150"/>
      <c r="AR141" s="150"/>
      <c r="AS141" s="150"/>
      <c r="AT141" s="150"/>
      <c r="AU141" s="150"/>
      <c r="AV141" s="150"/>
      <c r="AW141" s="150"/>
      <c r="AX141" s="150"/>
      <c r="AY141" s="150"/>
      <c r="AZ141" s="150"/>
      <c r="BA141" s="229">
        <f>18000000</f>
        <v>18000000</v>
      </c>
      <c r="BB141" s="229"/>
      <c r="BC141" s="229"/>
      <c r="BD141" s="150"/>
      <c r="BE141" s="150"/>
      <c r="BF141" s="150"/>
      <c r="BG141" s="150"/>
      <c r="BH141" s="150"/>
      <c r="BI141" s="150"/>
      <c r="BJ141" s="151">
        <f t="shared" si="187"/>
        <v>162013297.59999999</v>
      </c>
      <c r="BK141" s="151">
        <f t="shared" si="188"/>
        <v>0</v>
      </c>
      <c r="BL141" s="151">
        <f t="shared" si="189"/>
        <v>0</v>
      </c>
      <c r="BM141" s="151" t="s">
        <v>382</v>
      </c>
      <c r="BN141" s="72" t="s">
        <v>1574</v>
      </c>
    </row>
    <row r="142" spans="1:106" ht="148.5" customHeight="1" x14ac:dyDescent="0.2">
      <c r="A142" s="145"/>
      <c r="B142" s="91"/>
      <c r="C142" s="91"/>
      <c r="D142" s="91"/>
      <c r="E142" s="91"/>
      <c r="F142" s="87"/>
      <c r="G142" s="97"/>
      <c r="H142" s="571" t="s">
        <v>182</v>
      </c>
      <c r="I142" s="567">
        <v>3301095</v>
      </c>
      <c r="J142" s="562" t="s">
        <v>401</v>
      </c>
      <c r="K142" s="567">
        <v>3301095</v>
      </c>
      <c r="L142" s="562" t="s">
        <v>401</v>
      </c>
      <c r="M142" s="567" t="s">
        <v>402</v>
      </c>
      <c r="N142" s="561" t="s">
        <v>403</v>
      </c>
      <c r="O142" s="567" t="s">
        <v>402</v>
      </c>
      <c r="P142" s="561" t="s">
        <v>403</v>
      </c>
      <c r="Q142" s="252" t="s">
        <v>68</v>
      </c>
      <c r="R142" s="125">
        <v>150</v>
      </c>
      <c r="S142" s="125">
        <v>0</v>
      </c>
      <c r="T142" s="570" t="s">
        <v>404</v>
      </c>
      <c r="U142" s="576" t="s">
        <v>405</v>
      </c>
      <c r="V142" s="576" t="s">
        <v>406</v>
      </c>
      <c r="W142" s="432">
        <f>183982494.6+1217244586.92</f>
        <v>1401227081.52</v>
      </c>
      <c r="X142" s="432"/>
      <c r="Y142" s="432"/>
      <c r="Z142" s="150"/>
      <c r="AA142" s="150"/>
      <c r="AB142" s="150"/>
      <c r="AC142" s="150"/>
      <c r="AD142" s="150"/>
      <c r="AE142" s="150"/>
      <c r="AF142" s="150"/>
      <c r="AG142" s="150"/>
      <c r="AH142" s="150"/>
      <c r="AI142" s="150"/>
      <c r="AJ142" s="150"/>
      <c r="AK142" s="150"/>
      <c r="AL142" s="150"/>
      <c r="AM142" s="150"/>
      <c r="AN142" s="150"/>
      <c r="AO142" s="150"/>
      <c r="AP142" s="150"/>
      <c r="AQ142" s="150"/>
      <c r="AR142" s="150"/>
      <c r="AS142" s="150"/>
      <c r="AT142" s="150"/>
      <c r="AU142" s="150"/>
      <c r="AV142" s="150"/>
      <c r="AW142" s="150"/>
      <c r="AX142" s="150"/>
      <c r="AY142" s="150"/>
      <c r="AZ142" s="150"/>
      <c r="BA142" s="225">
        <v>20000000</v>
      </c>
      <c r="BB142" s="225"/>
      <c r="BC142" s="225"/>
      <c r="BD142" s="150"/>
      <c r="BE142" s="150"/>
      <c r="BF142" s="150"/>
      <c r="BG142" s="150"/>
      <c r="BH142" s="150"/>
      <c r="BI142" s="150"/>
      <c r="BJ142" s="151">
        <f t="shared" si="187"/>
        <v>1421227081.52</v>
      </c>
      <c r="BK142" s="151">
        <f t="shared" si="188"/>
        <v>0</v>
      </c>
      <c r="BL142" s="151">
        <f t="shared" si="189"/>
        <v>0</v>
      </c>
      <c r="BM142" s="151" t="s">
        <v>382</v>
      </c>
      <c r="BN142" s="72" t="s">
        <v>1574</v>
      </c>
    </row>
    <row r="143" spans="1:106" ht="24" customHeight="1" x14ac:dyDescent="0.2">
      <c r="A143" s="145"/>
      <c r="B143" s="91"/>
      <c r="C143" s="91"/>
      <c r="D143" s="91"/>
      <c r="E143" s="91"/>
      <c r="F143" s="154">
        <v>3302</v>
      </c>
      <c r="G143" s="81" t="s">
        <v>407</v>
      </c>
      <c r="H143" s="81"/>
      <c r="I143" s="194"/>
      <c r="J143" s="693"/>
      <c r="K143" s="726"/>
      <c r="L143" s="693"/>
      <c r="M143" s="693"/>
      <c r="N143" s="688"/>
      <c r="O143" s="689"/>
      <c r="P143" s="688"/>
      <c r="Q143" s="727"/>
      <c r="R143" s="689"/>
      <c r="S143" s="689"/>
      <c r="T143" s="728"/>
      <c r="U143" s="147"/>
      <c r="V143" s="147"/>
      <c r="W143" s="148">
        <f t="shared" ref="W143:BG143" si="190">SUM(W144:W145)</f>
        <v>0</v>
      </c>
      <c r="X143" s="148"/>
      <c r="Y143" s="148"/>
      <c r="Z143" s="148">
        <f t="shared" si="190"/>
        <v>0</v>
      </c>
      <c r="AA143" s="148"/>
      <c r="AB143" s="148"/>
      <c r="AC143" s="148">
        <f t="shared" si="190"/>
        <v>0</v>
      </c>
      <c r="AD143" s="148"/>
      <c r="AE143" s="148"/>
      <c r="AF143" s="148">
        <f t="shared" si="190"/>
        <v>0</v>
      </c>
      <c r="AG143" s="148"/>
      <c r="AH143" s="148"/>
      <c r="AI143" s="148">
        <f t="shared" si="190"/>
        <v>0</v>
      </c>
      <c r="AJ143" s="148"/>
      <c r="AK143" s="148"/>
      <c r="AL143" s="148">
        <f t="shared" si="190"/>
        <v>0</v>
      </c>
      <c r="AM143" s="148"/>
      <c r="AN143" s="148"/>
      <c r="AO143" s="148">
        <f t="shared" si="190"/>
        <v>0</v>
      </c>
      <c r="AP143" s="148"/>
      <c r="AQ143" s="148"/>
      <c r="AR143" s="148">
        <f t="shared" si="190"/>
        <v>0</v>
      </c>
      <c r="AS143" s="148"/>
      <c r="AT143" s="148"/>
      <c r="AU143" s="148">
        <f t="shared" si="190"/>
        <v>0</v>
      </c>
      <c r="AV143" s="148"/>
      <c r="AW143" s="148"/>
      <c r="AX143" s="148">
        <f t="shared" si="190"/>
        <v>0</v>
      </c>
      <c r="AY143" s="148"/>
      <c r="AZ143" s="148"/>
      <c r="BA143" s="148">
        <f>SUM(BA144:BA145)</f>
        <v>133000000</v>
      </c>
      <c r="BB143" s="148">
        <f t="shared" ref="BB143:BC143" si="191">SUM(BB144:BB145)</f>
        <v>19660000</v>
      </c>
      <c r="BC143" s="148">
        <f t="shared" si="191"/>
        <v>0</v>
      </c>
      <c r="BD143" s="148">
        <f>SUM(BD144:BD145)</f>
        <v>263038142</v>
      </c>
      <c r="BE143" s="148">
        <f t="shared" ref="BE143:BF143" si="192">SUM(BE144:BE145)</f>
        <v>0</v>
      </c>
      <c r="BF143" s="148">
        <f t="shared" si="192"/>
        <v>0</v>
      </c>
      <c r="BG143" s="148">
        <f t="shared" si="190"/>
        <v>0</v>
      </c>
      <c r="BH143" s="148"/>
      <c r="BI143" s="148"/>
      <c r="BJ143" s="148">
        <f>SUM(BJ144:BJ145)</f>
        <v>396038142</v>
      </c>
      <c r="BK143" s="148">
        <f t="shared" ref="BK143:BL143" si="193">SUM(BK144:BK145)</f>
        <v>19660000</v>
      </c>
      <c r="BL143" s="148">
        <f t="shared" si="193"/>
        <v>0</v>
      </c>
      <c r="BM143" s="148"/>
      <c r="BN143" s="156"/>
    </row>
    <row r="144" spans="1:106" ht="123" customHeight="1" x14ac:dyDescent="0.2">
      <c r="A144" s="145"/>
      <c r="B144" s="91"/>
      <c r="C144" s="91"/>
      <c r="D144" s="91"/>
      <c r="E144" s="91"/>
      <c r="F144" s="87"/>
      <c r="G144" s="97"/>
      <c r="H144" s="562" t="s">
        <v>408</v>
      </c>
      <c r="I144" s="86">
        <v>3302042</v>
      </c>
      <c r="J144" s="562" t="s">
        <v>409</v>
      </c>
      <c r="K144" s="86">
        <v>3302042</v>
      </c>
      <c r="L144" s="562" t="s">
        <v>409</v>
      </c>
      <c r="M144" s="567" t="s">
        <v>410</v>
      </c>
      <c r="N144" s="561" t="s">
        <v>411</v>
      </c>
      <c r="O144" s="567" t="s">
        <v>410</v>
      </c>
      <c r="P144" s="561" t="s">
        <v>411</v>
      </c>
      <c r="Q144" s="569" t="s">
        <v>68</v>
      </c>
      <c r="R144" s="125">
        <v>12</v>
      </c>
      <c r="S144" s="125">
        <v>2</v>
      </c>
      <c r="T144" s="862" t="s">
        <v>412</v>
      </c>
      <c r="U144" s="870" t="s">
        <v>413</v>
      </c>
      <c r="V144" s="886" t="s">
        <v>414</v>
      </c>
      <c r="W144" s="150"/>
      <c r="X144" s="150"/>
      <c r="Y144" s="150"/>
      <c r="Z144" s="150"/>
      <c r="AA144" s="150"/>
      <c r="AB144" s="150"/>
      <c r="AC144" s="150"/>
      <c r="AD144" s="150"/>
      <c r="AE144" s="150"/>
      <c r="AF144" s="150"/>
      <c r="AG144" s="150"/>
      <c r="AH144" s="150"/>
      <c r="AI144" s="150"/>
      <c r="AJ144" s="150"/>
      <c r="AK144" s="150"/>
      <c r="AL144" s="150"/>
      <c r="AM144" s="150"/>
      <c r="AN144" s="150"/>
      <c r="AO144" s="150"/>
      <c r="AP144" s="150"/>
      <c r="AQ144" s="150"/>
      <c r="AR144" s="150"/>
      <c r="AS144" s="150"/>
      <c r="AT144" s="150"/>
      <c r="AU144" s="150"/>
      <c r="AV144" s="150"/>
      <c r="AW144" s="150"/>
      <c r="AX144" s="150"/>
      <c r="AY144" s="150"/>
      <c r="AZ144" s="150"/>
      <c r="BA144" s="161">
        <v>66500000</v>
      </c>
      <c r="BB144" s="161"/>
      <c r="BC144" s="161"/>
      <c r="BD144" s="229"/>
      <c r="BE144" s="229"/>
      <c r="BF144" s="229"/>
      <c r="BG144" s="210"/>
      <c r="BH144" s="210"/>
      <c r="BI144" s="210"/>
      <c r="BJ144" s="151">
        <f>+W144+Z144+AC144+AF144+AI144+AL144+AO144+AR144+AU144+AX144+BA144+BD144+BG144</f>
        <v>66500000</v>
      </c>
      <c r="BK144" s="151">
        <f t="shared" ref="BK144:BL145" si="194">+X144+AA144+AD144+AG144+AJ144+AM144+AP144+AS144+AV144+AY144+BB144+BE144+BH144</f>
        <v>0</v>
      </c>
      <c r="BL144" s="151">
        <f t="shared" si="194"/>
        <v>0</v>
      </c>
      <c r="BM144" s="151" t="s">
        <v>382</v>
      </c>
      <c r="BN144" s="72" t="s">
        <v>1574</v>
      </c>
    </row>
    <row r="145" spans="1:106" ht="130.5" customHeight="1" x14ac:dyDescent="0.2">
      <c r="A145" s="145"/>
      <c r="B145" s="91"/>
      <c r="C145" s="91"/>
      <c r="D145" s="91"/>
      <c r="E145" s="91"/>
      <c r="F145" s="87"/>
      <c r="G145" s="97"/>
      <c r="H145" s="562" t="s">
        <v>408</v>
      </c>
      <c r="I145" s="86">
        <v>3302070</v>
      </c>
      <c r="J145" s="562" t="s">
        <v>415</v>
      </c>
      <c r="K145" s="86">
        <v>3302070</v>
      </c>
      <c r="L145" s="562" t="s">
        <v>415</v>
      </c>
      <c r="M145" s="228" t="s">
        <v>416</v>
      </c>
      <c r="N145" s="577" t="s">
        <v>400</v>
      </c>
      <c r="O145" s="228" t="s">
        <v>416</v>
      </c>
      <c r="P145" s="577" t="s">
        <v>400</v>
      </c>
      <c r="Q145" s="569" t="s">
        <v>52</v>
      </c>
      <c r="R145" s="125">
        <v>4</v>
      </c>
      <c r="S145" s="125">
        <v>0</v>
      </c>
      <c r="T145" s="862"/>
      <c r="U145" s="870"/>
      <c r="V145" s="886"/>
      <c r="W145" s="145"/>
      <c r="X145" s="145"/>
      <c r="Y145" s="145"/>
      <c r="Z145" s="150"/>
      <c r="AA145" s="150"/>
      <c r="AB145" s="150"/>
      <c r="AC145" s="150"/>
      <c r="AD145" s="150"/>
      <c r="AE145" s="150"/>
      <c r="AF145" s="150"/>
      <c r="AG145" s="150"/>
      <c r="AH145" s="150"/>
      <c r="AI145" s="150"/>
      <c r="AJ145" s="150"/>
      <c r="AK145" s="150"/>
      <c r="AL145" s="150"/>
      <c r="AM145" s="150"/>
      <c r="AN145" s="150"/>
      <c r="AO145" s="150"/>
      <c r="AP145" s="150"/>
      <c r="AQ145" s="150"/>
      <c r="AR145" s="150"/>
      <c r="AS145" s="150"/>
      <c r="AT145" s="150"/>
      <c r="AU145" s="150"/>
      <c r="AV145" s="150"/>
      <c r="AW145" s="150"/>
      <c r="AX145" s="150"/>
      <c r="AY145" s="150"/>
      <c r="AZ145" s="150"/>
      <c r="BA145" s="161">
        <v>66500000</v>
      </c>
      <c r="BB145" s="161">
        <v>19660000</v>
      </c>
      <c r="BC145" s="161"/>
      <c r="BD145" s="230">
        <v>263038142</v>
      </c>
      <c r="BE145" s="230"/>
      <c r="BF145" s="230"/>
      <c r="BG145" s="210"/>
      <c r="BH145" s="210"/>
      <c r="BI145" s="210"/>
      <c r="BJ145" s="151">
        <f>+W145+Z145+AC145+AF145+AI145+AL145+AO145+AR145+AU145+AX145+BA145+BD145+BG145</f>
        <v>329538142</v>
      </c>
      <c r="BK145" s="151">
        <f t="shared" si="194"/>
        <v>19660000</v>
      </c>
      <c r="BL145" s="151">
        <f t="shared" si="194"/>
        <v>0</v>
      </c>
      <c r="BM145" s="151" t="s">
        <v>382</v>
      </c>
      <c r="BN145" s="72" t="s">
        <v>1574</v>
      </c>
    </row>
    <row r="146" spans="1:106" s="467" customFormat="1" ht="16.5" customHeight="1" x14ac:dyDescent="0.25">
      <c r="A146" s="463"/>
      <c r="B146" s="463"/>
      <c r="C146" s="463"/>
      <c r="D146" s="463"/>
      <c r="E146" s="463"/>
      <c r="F146" s="463"/>
      <c r="G146" s="463"/>
      <c r="H146" s="464"/>
      <c r="I146" s="463"/>
      <c r="J146" s="463"/>
      <c r="K146" s="463"/>
      <c r="L146" s="463"/>
      <c r="M146" s="463"/>
      <c r="N146" s="463"/>
      <c r="O146" s="463"/>
      <c r="P146" s="463"/>
      <c r="Q146" s="465"/>
      <c r="R146" s="463"/>
      <c r="S146" s="463"/>
      <c r="T146" s="465"/>
      <c r="U146" s="465"/>
      <c r="V146" s="465"/>
      <c r="W146" s="466"/>
      <c r="X146" s="466"/>
      <c r="Y146" s="466"/>
      <c r="Z146" s="466"/>
      <c r="AA146" s="466"/>
      <c r="AB146" s="466"/>
      <c r="AC146" s="466"/>
      <c r="AD146" s="466"/>
      <c r="AE146" s="466"/>
      <c r="AF146" s="466"/>
      <c r="AG146" s="466"/>
      <c r="AH146" s="466"/>
      <c r="AI146" s="466"/>
      <c r="AJ146" s="466"/>
      <c r="AK146" s="466"/>
      <c r="AL146" s="466"/>
      <c r="AM146" s="466"/>
      <c r="AN146" s="466"/>
      <c r="AO146" s="466"/>
      <c r="AP146" s="466"/>
      <c r="AQ146" s="466"/>
      <c r="AR146" s="466"/>
      <c r="AS146" s="466"/>
      <c r="AT146" s="466"/>
      <c r="AU146" s="466"/>
      <c r="AV146" s="466"/>
      <c r="AW146" s="466"/>
      <c r="AX146" s="466"/>
      <c r="AY146" s="466"/>
      <c r="AZ146" s="466"/>
      <c r="BA146" s="466"/>
      <c r="BB146" s="466"/>
      <c r="BC146" s="466"/>
      <c r="BD146" s="466"/>
      <c r="BE146" s="466"/>
      <c r="BF146" s="466"/>
      <c r="BG146" s="466"/>
      <c r="BH146" s="466"/>
      <c r="BI146" s="466"/>
      <c r="BJ146" s="466"/>
      <c r="BK146" s="466"/>
      <c r="BL146" s="466"/>
      <c r="BM146" s="466"/>
      <c r="BN146" s="466"/>
    </row>
    <row r="147" spans="1:106" s="394" customFormat="1" ht="24" customHeight="1" x14ac:dyDescent="0.2">
      <c r="A147" s="41" t="s">
        <v>417</v>
      </c>
      <c r="B147" s="41"/>
      <c r="C147" s="41"/>
      <c r="D147" s="41"/>
      <c r="E147" s="41"/>
      <c r="F147" s="42"/>
      <c r="G147" s="43"/>
      <c r="H147" s="386"/>
      <c r="I147" s="386"/>
      <c r="J147" s="386"/>
      <c r="K147" s="389"/>
      <c r="L147" s="386"/>
      <c r="M147" s="386"/>
      <c r="N147" s="391"/>
      <c r="O147" s="390"/>
      <c r="P147" s="391"/>
      <c r="Q147" s="392"/>
      <c r="R147" s="390"/>
      <c r="S147" s="390"/>
      <c r="T147" s="43"/>
      <c r="U147" s="391"/>
      <c r="V147" s="391"/>
      <c r="W147" s="387">
        <f>W148</f>
        <v>0</v>
      </c>
      <c r="X147" s="387"/>
      <c r="Y147" s="387"/>
      <c r="Z147" s="387">
        <f t="shared" ref="Z147:BG147" si="195">Z148</f>
        <v>0</v>
      </c>
      <c r="AA147" s="387"/>
      <c r="AB147" s="387"/>
      <c r="AC147" s="387">
        <f t="shared" si="195"/>
        <v>0</v>
      </c>
      <c r="AD147" s="387"/>
      <c r="AE147" s="387"/>
      <c r="AF147" s="387">
        <f t="shared" si="195"/>
        <v>0</v>
      </c>
      <c r="AG147" s="387"/>
      <c r="AH147" s="387"/>
      <c r="AI147" s="387">
        <f t="shared" si="195"/>
        <v>0</v>
      </c>
      <c r="AJ147" s="387"/>
      <c r="AK147" s="387"/>
      <c r="AL147" s="387">
        <f t="shared" si="195"/>
        <v>0</v>
      </c>
      <c r="AM147" s="387"/>
      <c r="AN147" s="387"/>
      <c r="AO147" s="387">
        <f t="shared" si="195"/>
        <v>0</v>
      </c>
      <c r="AP147" s="387"/>
      <c r="AQ147" s="387"/>
      <c r="AR147" s="387">
        <f t="shared" si="195"/>
        <v>0</v>
      </c>
      <c r="AS147" s="387"/>
      <c r="AT147" s="387"/>
      <c r="AU147" s="387">
        <f t="shared" si="195"/>
        <v>0</v>
      </c>
      <c r="AV147" s="387"/>
      <c r="AW147" s="387"/>
      <c r="AX147" s="387">
        <f t="shared" si="195"/>
        <v>0</v>
      </c>
      <c r="AY147" s="387"/>
      <c r="AZ147" s="387"/>
      <c r="BA147" s="387">
        <f t="shared" si="195"/>
        <v>2261356036</v>
      </c>
      <c r="BB147" s="387">
        <f t="shared" si="195"/>
        <v>178840000</v>
      </c>
      <c r="BC147" s="387">
        <f t="shared" si="195"/>
        <v>22430000</v>
      </c>
      <c r="BD147" s="387">
        <f t="shared" si="195"/>
        <v>664872303.75999999</v>
      </c>
      <c r="BE147" s="387">
        <f t="shared" si="195"/>
        <v>74820000</v>
      </c>
      <c r="BF147" s="387">
        <f t="shared" si="195"/>
        <v>6185000</v>
      </c>
      <c r="BG147" s="387">
        <f t="shared" si="195"/>
        <v>0</v>
      </c>
      <c r="BH147" s="387"/>
      <c r="BI147" s="387"/>
      <c r="BJ147" s="387">
        <f>BJ148</f>
        <v>2926228339.7600002</v>
      </c>
      <c r="BK147" s="387">
        <f t="shared" ref="BK147:BL147" si="196">BK148</f>
        <v>253660000</v>
      </c>
      <c r="BL147" s="387">
        <f t="shared" si="196"/>
        <v>28615000</v>
      </c>
      <c r="BM147" s="387"/>
      <c r="BN147" s="388"/>
      <c r="BO147" s="393"/>
      <c r="BP147" s="393"/>
      <c r="BQ147" s="393"/>
      <c r="BR147" s="393"/>
      <c r="BS147" s="393"/>
      <c r="BT147" s="393"/>
      <c r="BU147" s="393"/>
      <c r="BV147" s="393"/>
      <c r="BW147" s="393"/>
      <c r="BX147" s="393"/>
      <c r="BY147" s="393"/>
      <c r="BZ147" s="393"/>
      <c r="CA147" s="393"/>
      <c r="CB147" s="393"/>
      <c r="CC147" s="393"/>
      <c r="CD147" s="393"/>
      <c r="CE147" s="393"/>
      <c r="CF147" s="393"/>
      <c r="CG147" s="393"/>
      <c r="CH147" s="393"/>
      <c r="CI147" s="393"/>
      <c r="CJ147" s="393"/>
      <c r="CK147" s="393"/>
      <c r="CL147" s="393"/>
      <c r="CM147" s="393"/>
      <c r="CN147" s="393"/>
      <c r="CO147" s="393"/>
      <c r="CP147" s="393"/>
      <c r="CQ147" s="393"/>
      <c r="CR147" s="393"/>
      <c r="CS147" s="393"/>
      <c r="CT147" s="393"/>
      <c r="CU147" s="393"/>
      <c r="CV147" s="393"/>
      <c r="CW147" s="393"/>
      <c r="CX147" s="393"/>
      <c r="CY147" s="393"/>
      <c r="CZ147" s="393"/>
      <c r="DA147" s="393"/>
      <c r="DB147" s="393"/>
    </row>
    <row r="148" spans="1:106" ht="24" customHeight="1" x14ac:dyDescent="0.2">
      <c r="A148" s="145"/>
      <c r="B148" s="231">
        <v>2</v>
      </c>
      <c r="C148" s="231"/>
      <c r="D148" s="74" t="s">
        <v>418</v>
      </c>
      <c r="E148" s="76"/>
      <c r="F148" s="74"/>
      <c r="G148" s="180"/>
      <c r="H148" s="180"/>
      <c r="I148" s="395"/>
      <c r="J148" s="182"/>
      <c r="K148" s="181"/>
      <c r="L148" s="182"/>
      <c r="M148" s="182"/>
      <c r="N148" s="184"/>
      <c r="O148" s="183"/>
      <c r="P148" s="184"/>
      <c r="Q148" s="185"/>
      <c r="R148" s="183"/>
      <c r="S148" s="183"/>
      <c r="T148" s="729"/>
      <c r="U148" s="133"/>
      <c r="V148" s="133"/>
      <c r="W148" s="134">
        <f t="shared" ref="W148:BJ148" si="197">W149+W159</f>
        <v>0</v>
      </c>
      <c r="X148" s="134"/>
      <c r="Y148" s="134"/>
      <c r="Z148" s="134">
        <f t="shared" si="197"/>
        <v>0</v>
      </c>
      <c r="AA148" s="134"/>
      <c r="AB148" s="134"/>
      <c r="AC148" s="134">
        <f t="shared" si="197"/>
        <v>0</v>
      </c>
      <c r="AD148" s="134"/>
      <c r="AE148" s="134"/>
      <c r="AF148" s="134">
        <f t="shared" si="197"/>
        <v>0</v>
      </c>
      <c r="AG148" s="134"/>
      <c r="AH148" s="134"/>
      <c r="AI148" s="134">
        <f t="shared" si="197"/>
        <v>0</v>
      </c>
      <c r="AJ148" s="134"/>
      <c r="AK148" s="134"/>
      <c r="AL148" s="134">
        <f t="shared" si="197"/>
        <v>0</v>
      </c>
      <c r="AM148" s="134"/>
      <c r="AN148" s="134"/>
      <c r="AO148" s="134">
        <f t="shared" si="197"/>
        <v>0</v>
      </c>
      <c r="AP148" s="134"/>
      <c r="AQ148" s="134"/>
      <c r="AR148" s="134">
        <f t="shared" si="197"/>
        <v>0</v>
      </c>
      <c r="AS148" s="134"/>
      <c r="AT148" s="134"/>
      <c r="AU148" s="134">
        <f t="shared" si="197"/>
        <v>0</v>
      </c>
      <c r="AV148" s="134"/>
      <c r="AW148" s="134"/>
      <c r="AX148" s="134">
        <f t="shared" si="197"/>
        <v>0</v>
      </c>
      <c r="AY148" s="134"/>
      <c r="AZ148" s="134"/>
      <c r="BA148" s="134">
        <f t="shared" si="197"/>
        <v>2261356036</v>
      </c>
      <c r="BB148" s="134">
        <f t="shared" ref="BB148:BC148" si="198">BB149+BB159</f>
        <v>178840000</v>
      </c>
      <c r="BC148" s="134">
        <f t="shared" si="198"/>
        <v>22430000</v>
      </c>
      <c r="BD148" s="134">
        <f t="shared" si="197"/>
        <v>664872303.75999999</v>
      </c>
      <c r="BE148" s="134">
        <f t="shared" ref="BE148:BF148" si="199">BE149+BE159</f>
        <v>74820000</v>
      </c>
      <c r="BF148" s="134">
        <f t="shared" si="199"/>
        <v>6185000</v>
      </c>
      <c r="BG148" s="134">
        <f t="shared" si="197"/>
        <v>0</v>
      </c>
      <c r="BH148" s="134"/>
      <c r="BI148" s="134"/>
      <c r="BJ148" s="134">
        <f t="shared" si="197"/>
        <v>2926228339.7600002</v>
      </c>
      <c r="BK148" s="134">
        <f t="shared" ref="BK148:BL148" si="200">BK149+BK159</f>
        <v>253660000</v>
      </c>
      <c r="BL148" s="134">
        <f t="shared" si="200"/>
        <v>28615000</v>
      </c>
      <c r="BM148" s="134"/>
      <c r="BN148" s="168"/>
    </row>
    <row r="149" spans="1:106" s="9" customFormat="1" ht="24" customHeight="1" x14ac:dyDescent="0.25">
      <c r="A149" s="130"/>
      <c r="B149" s="83"/>
      <c r="C149" s="83"/>
      <c r="D149" s="77">
        <v>35</v>
      </c>
      <c r="E149" s="75" t="s">
        <v>419</v>
      </c>
      <c r="F149" s="75"/>
      <c r="G149" s="135"/>
      <c r="H149" s="135"/>
      <c r="I149" s="136"/>
      <c r="J149" s="138"/>
      <c r="K149" s="137"/>
      <c r="L149" s="138"/>
      <c r="M149" s="138"/>
      <c r="N149" s="140"/>
      <c r="O149" s="139"/>
      <c r="P149" s="140"/>
      <c r="Q149" s="141"/>
      <c r="R149" s="139"/>
      <c r="S149" s="139"/>
      <c r="T149" s="204"/>
      <c r="U149" s="143"/>
      <c r="V149" s="143"/>
      <c r="W149" s="144">
        <f>W150</f>
        <v>0</v>
      </c>
      <c r="X149" s="144"/>
      <c r="Y149" s="144"/>
      <c r="Z149" s="144">
        <f t="shared" ref="Z149:BG149" si="201">Z150</f>
        <v>0</v>
      </c>
      <c r="AA149" s="144"/>
      <c r="AB149" s="144"/>
      <c r="AC149" s="144">
        <f t="shared" si="201"/>
        <v>0</v>
      </c>
      <c r="AD149" s="144"/>
      <c r="AE149" s="144"/>
      <c r="AF149" s="144">
        <f t="shared" si="201"/>
        <v>0</v>
      </c>
      <c r="AG149" s="144"/>
      <c r="AH149" s="144"/>
      <c r="AI149" s="144">
        <f t="shared" si="201"/>
        <v>0</v>
      </c>
      <c r="AJ149" s="144"/>
      <c r="AK149" s="144"/>
      <c r="AL149" s="144">
        <f t="shared" si="201"/>
        <v>0</v>
      </c>
      <c r="AM149" s="144"/>
      <c r="AN149" s="144"/>
      <c r="AO149" s="144">
        <f t="shared" si="201"/>
        <v>0</v>
      </c>
      <c r="AP149" s="144"/>
      <c r="AQ149" s="144"/>
      <c r="AR149" s="144">
        <f t="shared" si="201"/>
        <v>0</v>
      </c>
      <c r="AS149" s="144"/>
      <c r="AT149" s="144"/>
      <c r="AU149" s="144">
        <f t="shared" si="201"/>
        <v>0</v>
      </c>
      <c r="AV149" s="144"/>
      <c r="AW149" s="144"/>
      <c r="AX149" s="144">
        <f t="shared" si="201"/>
        <v>0</v>
      </c>
      <c r="AY149" s="144"/>
      <c r="AZ149" s="144"/>
      <c r="BA149" s="144">
        <f t="shared" si="201"/>
        <v>2023856036</v>
      </c>
      <c r="BB149" s="144">
        <f t="shared" si="201"/>
        <v>135960000</v>
      </c>
      <c r="BC149" s="144">
        <f t="shared" si="201"/>
        <v>17895000</v>
      </c>
      <c r="BD149" s="144">
        <f t="shared" si="201"/>
        <v>664872303.75999999</v>
      </c>
      <c r="BE149" s="144">
        <f t="shared" si="201"/>
        <v>74820000</v>
      </c>
      <c r="BF149" s="144">
        <f t="shared" si="201"/>
        <v>6185000</v>
      </c>
      <c r="BG149" s="144">
        <f t="shared" si="201"/>
        <v>0</v>
      </c>
      <c r="BH149" s="144"/>
      <c r="BI149" s="144"/>
      <c r="BJ149" s="144">
        <f>BJ150</f>
        <v>2688728339.7600002</v>
      </c>
      <c r="BK149" s="144">
        <f t="shared" ref="BK149:BL149" si="202">BK150</f>
        <v>210780000</v>
      </c>
      <c r="BL149" s="144">
        <f t="shared" si="202"/>
        <v>24080000</v>
      </c>
      <c r="BM149" s="144"/>
      <c r="BN149" s="169"/>
      <c r="BO149" s="8"/>
      <c r="BP149" s="8"/>
      <c r="BQ149" s="8"/>
      <c r="BR149" s="8"/>
      <c r="BS149" s="8"/>
      <c r="BT149" s="8"/>
      <c r="BU149" s="8"/>
      <c r="BV149" s="8"/>
      <c r="BW149" s="8"/>
      <c r="BX149" s="8"/>
      <c r="BY149" s="8"/>
      <c r="BZ149" s="8"/>
      <c r="CA149" s="8"/>
      <c r="CB149" s="8"/>
      <c r="CC149" s="8"/>
      <c r="CD149" s="8"/>
      <c r="CE149" s="8"/>
      <c r="CF149" s="8"/>
      <c r="CG149" s="8"/>
      <c r="CH149" s="8"/>
      <c r="CI149" s="8"/>
      <c r="CJ149" s="8"/>
      <c r="CK149" s="8"/>
      <c r="CL149" s="8"/>
      <c r="CM149" s="8"/>
      <c r="CN149" s="8"/>
      <c r="CO149" s="8"/>
      <c r="CP149" s="8"/>
      <c r="CQ149" s="8"/>
      <c r="CR149" s="8"/>
      <c r="CS149" s="8"/>
      <c r="CT149" s="8"/>
      <c r="CU149" s="8"/>
      <c r="CV149" s="8"/>
      <c r="CW149" s="8"/>
      <c r="CX149" s="8"/>
      <c r="CY149" s="8"/>
      <c r="CZ149" s="8"/>
      <c r="DA149" s="8"/>
      <c r="DB149" s="8"/>
    </row>
    <row r="150" spans="1:106" ht="24" customHeight="1" x14ac:dyDescent="0.2">
      <c r="A150" s="145"/>
      <c r="B150" s="87"/>
      <c r="C150" s="87"/>
      <c r="D150" s="87"/>
      <c r="E150" s="87"/>
      <c r="F150" s="146">
        <v>3502</v>
      </c>
      <c r="G150" s="81" t="s">
        <v>420</v>
      </c>
      <c r="H150" s="81"/>
      <c r="I150" s="194"/>
      <c r="J150" s="693"/>
      <c r="K150" s="726"/>
      <c r="L150" s="693"/>
      <c r="M150" s="693"/>
      <c r="N150" s="688"/>
      <c r="O150" s="689"/>
      <c r="P150" s="688"/>
      <c r="Q150" s="727"/>
      <c r="R150" s="689"/>
      <c r="S150" s="689"/>
      <c r="T150" s="728"/>
      <c r="U150" s="147"/>
      <c r="V150" s="147"/>
      <c r="W150" s="148">
        <f t="shared" ref="W150:BM150" si="203">SUM(W151:W158)</f>
        <v>0</v>
      </c>
      <c r="X150" s="148"/>
      <c r="Y150" s="148"/>
      <c r="Z150" s="148">
        <f t="shared" si="203"/>
        <v>0</v>
      </c>
      <c r="AA150" s="148"/>
      <c r="AB150" s="148"/>
      <c r="AC150" s="148">
        <f t="shared" si="203"/>
        <v>0</v>
      </c>
      <c r="AD150" s="148"/>
      <c r="AE150" s="148"/>
      <c r="AF150" s="148">
        <f t="shared" si="203"/>
        <v>0</v>
      </c>
      <c r="AG150" s="148"/>
      <c r="AH150" s="148"/>
      <c r="AI150" s="148">
        <f t="shared" si="203"/>
        <v>0</v>
      </c>
      <c r="AJ150" s="148"/>
      <c r="AK150" s="148"/>
      <c r="AL150" s="148">
        <f t="shared" si="203"/>
        <v>0</v>
      </c>
      <c r="AM150" s="148"/>
      <c r="AN150" s="148"/>
      <c r="AO150" s="148">
        <f t="shared" si="203"/>
        <v>0</v>
      </c>
      <c r="AP150" s="148"/>
      <c r="AQ150" s="148"/>
      <c r="AR150" s="148">
        <f t="shared" si="203"/>
        <v>0</v>
      </c>
      <c r="AS150" s="148"/>
      <c r="AT150" s="148"/>
      <c r="AU150" s="148">
        <f t="shared" si="203"/>
        <v>0</v>
      </c>
      <c r="AV150" s="148"/>
      <c r="AW150" s="148"/>
      <c r="AX150" s="148">
        <f t="shared" si="203"/>
        <v>0</v>
      </c>
      <c r="AY150" s="148"/>
      <c r="AZ150" s="148"/>
      <c r="BA150" s="148">
        <f t="shared" si="203"/>
        <v>2023856036</v>
      </c>
      <c r="BB150" s="148">
        <f t="shared" ref="BB150:BC150" si="204">SUM(BB151:BB158)</f>
        <v>135960000</v>
      </c>
      <c r="BC150" s="148">
        <f t="shared" si="204"/>
        <v>17895000</v>
      </c>
      <c r="BD150" s="148">
        <f t="shared" si="203"/>
        <v>664872303.75999999</v>
      </c>
      <c r="BE150" s="148">
        <f t="shared" ref="BE150:BF150" si="205">SUM(BE151:BE158)</f>
        <v>74820000</v>
      </c>
      <c r="BF150" s="148">
        <f t="shared" si="205"/>
        <v>6185000</v>
      </c>
      <c r="BG150" s="148">
        <f t="shared" si="203"/>
        <v>0</v>
      </c>
      <c r="BH150" s="148"/>
      <c r="BI150" s="148"/>
      <c r="BJ150" s="148">
        <f t="shared" si="203"/>
        <v>2688728339.7600002</v>
      </c>
      <c r="BK150" s="148">
        <f t="shared" ref="BK150:BL150" si="206">SUM(BK151:BK158)</f>
        <v>210780000</v>
      </c>
      <c r="BL150" s="148">
        <f t="shared" si="206"/>
        <v>24080000</v>
      </c>
      <c r="BM150" s="148">
        <f t="shared" si="203"/>
        <v>0</v>
      </c>
      <c r="BN150" s="859"/>
    </row>
    <row r="151" spans="1:106" ht="72.75" customHeight="1" x14ac:dyDescent="0.2">
      <c r="A151" s="145"/>
      <c r="B151" s="87"/>
      <c r="C151" s="87"/>
      <c r="D151" s="87"/>
      <c r="E151" s="87"/>
      <c r="F151" s="87"/>
      <c r="G151" s="115"/>
      <c r="H151" s="571" t="s">
        <v>421</v>
      </c>
      <c r="I151" s="89">
        <v>3502006</v>
      </c>
      <c r="J151" s="571" t="s">
        <v>422</v>
      </c>
      <c r="K151" s="89">
        <v>3502006</v>
      </c>
      <c r="L151" s="571" t="s">
        <v>422</v>
      </c>
      <c r="M151" s="84" t="s">
        <v>423</v>
      </c>
      <c r="N151" s="568" t="s">
        <v>424</v>
      </c>
      <c r="O151" s="84" t="s">
        <v>423</v>
      </c>
      <c r="P151" s="568" t="s">
        <v>424</v>
      </c>
      <c r="Q151" s="209" t="s">
        <v>68</v>
      </c>
      <c r="R151" s="125">
        <v>1</v>
      </c>
      <c r="S151" s="125">
        <v>0.1</v>
      </c>
      <c r="T151" s="862" t="s">
        <v>425</v>
      </c>
      <c r="U151" s="870" t="s">
        <v>426</v>
      </c>
      <c r="V151" s="870" t="s">
        <v>427</v>
      </c>
      <c r="W151" s="232"/>
      <c r="X151" s="232"/>
      <c r="Y151" s="232"/>
      <c r="Z151" s="232"/>
      <c r="AA151" s="232"/>
      <c r="AB151" s="232"/>
      <c r="AC151" s="232"/>
      <c r="AD151" s="232"/>
      <c r="AE151" s="232"/>
      <c r="AF151" s="232"/>
      <c r="AG151" s="232"/>
      <c r="AH151" s="232"/>
      <c r="AI151" s="232"/>
      <c r="AJ151" s="232"/>
      <c r="AK151" s="232"/>
      <c r="AL151" s="232"/>
      <c r="AM151" s="232"/>
      <c r="AN151" s="232"/>
      <c r="AO151" s="232"/>
      <c r="AP151" s="232"/>
      <c r="AQ151" s="232"/>
      <c r="AR151" s="232"/>
      <c r="AS151" s="232"/>
      <c r="AT151" s="232"/>
      <c r="AU151" s="232"/>
      <c r="AV151" s="232"/>
      <c r="AW151" s="232"/>
      <c r="AX151" s="232"/>
      <c r="AY151" s="232"/>
      <c r="AZ151" s="232"/>
      <c r="BA151" s="233">
        <v>27000000</v>
      </c>
      <c r="BB151" s="233">
        <v>13200000</v>
      </c>
      <c r="BC151" s="233"/>
      <c r="BD151" s="232"/>
      <c r="BE151" s="232"/>
      <c r="BF151" s="232"/>
      <c r="BG151" s="150"/>
      <c r="BH151" s="150"/>
      <c r="BI151" s="150"/>
      <c r="BJ151" s="151">
        <f>+W151+Z151+AC151+AF151+AI151+AL151+AO151+AR151+AU151+AX151+BA151+BD151+BG151</f>
        <v>27000000</v>
      </c>
      <c r="BK151" s="151">
        <f t="shared" ref="BK151:BL158" si="207">+X151+AA151+AD151+AG151+AJ151+AM151+AP151+AS151+AV151+AY151+BB151+BE151+BH151</f>
        <v>13200000</v>
      </c>
      <c r="BL151" s="151">
        <f t="shared" si="207"/>
        <v>0</v>
      </c>
      <c r="BM151" s="858" t="s">
        <v>428</v>
      </c>
      <c r="BN151" s="860" t="s">
        <v>1579</v>
      </c>
    </row>
    <row r="152" spans="1:106" ht="87" customHeight="1" x14ac:dyDescent="0.2">
      <c r="A152" s="145"/>
      <c r="B152" s="87"/>
      <c r="C152" s="87"/>
      <c r="D152" s="87"/>
      <c r="E152" s="87"/>
      <c r="F152" s="87"/>
      <c r="G152" s="216"/>
      <c r="H152" s="562" t="s">
        <v>421</v>
      </c>
      <c r="I152" s="89">
        <v>3502007</v>
      </c>
      <c r="J152" s="562" t="s">
        <v>429</v>
      </c>
      <c r="K152" s="89">
        <v>3502007</v>
      </c>
      <c r="L152" s="562" t="s">
        <v>429</v>
      </c>
      <c r="M152" s="567" t="s">
        <v>430</v>
      </c>
      <c r="N152" s="561" t="s">
        <v>431</v>
      </c>
      <c r="O152" s="567" t="s">
        <v>430</v>
      </c>
      <c r="P152" s="561" t="s">
        <v>431</v>
      </c>
      <c r="Q152" s="209" t="s">
        <v>52</v>
      </c>
      <c r="R152" s="125">
        <v>7</v>
      </c>
      <c r="S152" s="125">
        <v>1</v>
      </c>
      <c r="T152" s="862"/>
      <c r="U152" s="870"/>
      <c r="V152" s="870"/>
      <c r="W152" s="150"/>
      <c r="X152" s="150"/>
      <c r="Y152" s="150"/>
      <c r="Z152" s="150"/>
      <c r="AA152" s="150"/>
      <c r="AB152" s="150"/>
      <c r="AC152" s="150"/>
      <c r="AD152" s="150"/>
      <c r="AE152" s="150"/>
      <c r="AF152" s="150"/>
      <c r="AG152" s="150"/>
      <c r="AH152" s="150"/>
      <c r="AI152" s="150"/>
      <c r="AJ152" s="150"/>
      <c r="AK152" s="150"/>
      <c r="AL152" s="150"/>
      <c r="AM152" s="150"/>
      <c r="AN152" s="150"/>
      <c r="AO152" s="150"/>
      <c r="AP152" s="150"/>
      <c r="AQ152" s="150"/>
      <c r="AR152" s="150"/>
      <c r="AS152" s="150"/>
      <c r="AT152" s="150"/>
      <c r="AU152" s="150"/>
      <c r="AV152" s="150"/>
      <c r="AW152" s="150"/>
      <c r="AX152" s="150"/>
      <c r="AY152" s="150"/>
      <c r="AZ152" s="150"/>
      <c r="BA152" s="161">
        <v>50000000</v>
      </c>
      <c r="BB152" s="161">
        <v>11540000</v>
      </c>
      <c r="BC152" s="161"/>
      <c r="BD152" s="150"/>
      <c r="BE152" s="150"/>
      <c r="BF152" s="150"/>
      <c r="BG152" s="150"/>
      <c r="BH152" s="150"/>
      <c r="BI152" s="150"/>
      <c r="BJ152" s="151">
        <f>+W152+Z152+AC152+AF152+AI152+AL152+AO152+AR152+AU152+AX152+BA152+BD152+BG152</f>
        <v>50000000</v>
      </c>
      <c r="BK152" s="151">
        <f t="shared" si="207"/>
        <v>11540000</v>
      </c>
      <c r="BL152" s="151">
        <f t="shared" si="207"/>
        <v>0</v>
      </c>
      <c r="BM152" s="855" t="s">
        <v>428</v>
      </c>
      <c r="BN152" s="860" t="s">
        <v>1579</v>
      </c>
    </row>
    <row r="153" spans="1:106" ht="60" customHeight="1" x14ac:dyDescent="0.2">
      <c r="A153" s="145"/>
      <c r="B153" s="87"/>
      <c r="C153" s="87"/>
      <c r="D153" s="87"/>
      <c r="E153" s="87"/>
      <c r="F153" s="87"/>
      <c r="G153" s="569"/>
      <c r="H153" s="571" t="s">
        <v>421</v>
      </c>
      <c r="I153" s="85">
        <v>3502022</v>
      </c>
      <c r="J153" s="562" t="s">
        <v>1521</v>
      </c>
      <c r="K153" s="85">
        <v>3502022</v>
      </c>
      <c r="L153" s="562" t="s">
        <v>1521</v>
      </c>
      <c r="M153" s="198" t="s">
        <v>432</v>
      </c>
      <c r="N153" s="577" t="s">
        <v>433</v>
      </c>
      <c r="O153" s="198" t="s">
        <v>432</v>
      </c>
      <c r="P153" s="577" t="s">
        <v>433</v>
      </c>
      <c r="Q153" s="252" t="s">
        <v>52</v>
      </c>
      <c r="R153" s="252">
        <v>14</v>
      </c>
      <c r="S153" s="252">
        <v>1</v>
      </c>
      <c r="T153" s="862" t="s">
        <v>434</v>
      </c>
      <c r="U153" s="873" t="s">
        <v>435</v>
      </c>
      <c r="V153" s="873" t="s">
        <v>436</v>
      </c>
      <c r="W153" s="232"/>
      <c r="X153" s="232"/>
      <c r="Y153" s="232"/>
      <c r="Z153" s="232"/>
      <c r="AA153" s="232"/>
      <c r="AB153" s="232"/>
      <c r="AC153" s="232"/>
      <c r="AD153" s="232"/>
      <c r="AE153" s="232"/>
      <c r="AF153" s="232"/>
      <c r="AG153" s="232"/>
      <c r="AH153" s="232"/>
      <c r="AI153" s="232"/>
      <c r="AJ153" s="232"/>
      <c r="AK153" s="232"/>
      <c r="AL153" s="232"/>
      <c r="AM153" s="232"/>
      <c r="AN153" s="232"/>
      <c r="AO153" s="232"/>
      <c r="AP153" s="232"/>
      <c r="AQ153" s="232"/>
      <c r="AR153" s="232"/>
      <c r="AS153" s="232"/>
      <c r="AT153" s="232"/>
      <c r="AU153" s="232"/>
      <c r="AV153" s="232"/>
      <c r="AW153" s="232"/>
      <c r="AX153" s="232"/>
      <c r="AY153" s="232"/>
      <c r="AZ153" s="232"/>
      <c r="BA153" s="233">
        <v>90000000</v>
      </c>
      <c r="BB153" s="233">
        <v>13200000</v>
      </c>
      <c r="BC153" s="233"/>
      <c r="BD153" s="232"/>
      <c r="BE153" s="232"/>
      <c r="BF153" s="232"/>
      <c r="BG153" s="150"/>
      <c r="BH153" s="150"/>
      <c r="BI153" s="150"/>
      <c r="BJ153" s="151">
        <f t="shared" ref="BJ153:BJ158" si="208">+W153+Z153+AC153+AF153+AI153+AL153+AO153+AR153+AU153+AX153+BA153+BD153+BG153</f>
        <v>90000000</v>
      </c>
      <c r="BK153" s="151">
        <f t="shared" si="207"/>
        <v>13200000</v>
      </c>
      <c r="BL153" s="151">
        <f t="shared" si="207"/>
        <v>0</v>
      </c>
      <c r="BM153" s="855" t="s">
        <v>428</v>
      </c>
      <c r="BN153" s="860" t="s">
        <v>1579</v>
      </c>
    </row>
    <row r="154" spans="1:106" ht="84.75" customHeight="1" x14ac:dyDescent="0.2">
      <c r="A154" s="145"/>
      <c r="B154" s="87"/>
      <c r="C154" s="87"/>
      <c r="D154" s="87"/>
      <c r="E154" s="87"/>
      <c r="F154" s="87"/>
      <c r="G154" s="569"/>
      <c r="H154" s="571" t="s">
        <v>421</v>
      </c>
      <c r="I154" s="85">
        <v>3502047</v>
      </c>
      <c r="J154" s="562" t="s">
        <v>249</v>
      </c>
      <c r="K154" s="85">
        <v>3502047</v>
      </c>
      <c r="L154" s="562" t="s">
        <v>249</v>
      </c>
      <c r="M154" s="198" t="s">
        <v>437</v>
      </c>
      <c r="N154" s="577" t="s">
        <v>251</v>
      </c>
      <c r="O154" s="198" t="s">
        <v>437</v>
      </c>
      <c r="P154" s="577" t="s">
        <v>251</v>
      </c>
      <c r="Q154" s="570" t="s">
        <v>68</v>
      </c>
      <c r="R154" s="252" t="s">
        <v>438</v>
      </c>
      <c r="S154" s="252">
        <v>0.1</v>
      </c>
      <c r="T154" s="862"/>
      <c r="U154" s="873"/>
      <c r="V154" s="873"/>
      <c r="W154" s="150"/>
      <c r="X154" s="150"/>
      <c r="Y154" s="150"/>
      <c r="Z154" s="150"/>
      <c r="AA154" s="150"/>
      <c r="AB154" s="150"/>
      <c r="AC154" s="150"/>
      <c r="AD154" s="150"/>
      <c r="AE154" s="150"/>
      <c r="AF154" s="150"/>
      <c r="AG154" s="150"/>
      <c r="AH154" s="150"/>
      <c r="AI154" s="150"/>
      <c r="AJ154" s="150"/>
      <c r="AK154" s="150"/>
      <c r="AL154" s="150"/>
      <c r="AM154" s="150"/>
      <c r="AN154" s="150"/>
      <c r="AO154" s="150"/>
      <c r="AP154" s="150"/>
      <c r="AQ154" s="150"/>
      <c r="AR154" s="150"/>
      <c r="AS154" s="150"/>
      <c r="AT154" s="150"/>
      <c r="AU154" s="150"/>
      <c r="AV154" s="150"/>
      <c r="AW154" s="150"/>
      <c r="AX154" s="150"/>
      <c r="AY154" s="150"/>
      <c r="AZ154" s="150"/>
      <c r="BA154" s="164">
        <f>130000000+30000000</f>
        <v>160000000</v>
      </c>
      <c r="BB154" s="164">
        <v>24740000</v>
      </c>
      <c r="BC154" s="164">
        <v>3300000</v>
      </c>
      <c r="BD154" s="150"/>
      <c r="BE154" s="150"/>
      <c r="BF154" s="150"/>
      <c r="BG154" s="150"/>
      <c r="BH154" s="150"/>
      <c r="BI154" s="150"/>
      <c r="BJ154" s="151">
        <f t="shared" si="208"/>
        <v>160000000</v>
      </c>
      <c r="BK154" s="151">
        <f t="shared" si="207"/>
        <v>24740000</v>
      </c>
      <c r="BL154" s="151">
        <f t="shared" si="207"/>
        <v>3300000</v>
      </c>
      <c r="BM154" s="855" t="s">
        <v>428</v>
      </c>
      <c r="BN154" s="860" t="s">
        <v>1579</v>
      </c>
    </row>
    <row r="155" spans="1:106" ht="69.75" customHeight="1" x14ac:dyDescent="0.2">
      <c r="A155" s="145"/>
      <c r="B155" s="87"/>
      <c r="C155" s="87"/>
      <c r="D155" s="87"/>
      <c r="E155" s="87"/>
      <c r="F155" s="87"/>
      <c r="G155" s="569"/>
      <c r="H155" s="571" t="s">
        <v>439</v>
      </c>
      <c r="I155" s="85">
        <v>3502039</v>
      </c>
      <c r="J155" s="562" t="s">
        <v>440</v>
      </c>
      <c r="K155" s="85">
        <v>3502039</v>
      </c>
      <c r="L155" s="562" t="s">
        <v>440</v>
      </c>
      <c r="M155" s="567" t="s">
        <v>441</v>
      </c>
      <c r="N155" s="561" t="s">
        <v>117</v>
      </c>
      <c r="O155" s="567" t="s">
        <v>441</v>
      </c>
      <c r="P155" s="561" t="s">
        <v>117</v>
      </c>
      <c r="Q155" s="570" t="s">
        <v>52</v>
      </c>
      <c r="R155" s="252">
        <v>12</v>
      </c>
      <c r="S155" s="252">
        <v>10</v>
      </c>
      <c r="T155" s="862" t="s">
        <v>442</v>
      </c>
      <c r="U155" s="873" t="s">
        <v>443</v>
      </c>
      <c r="V155" s="875" t="s">
        <v>444</v>
      </c>
      <c r="W155" s="150"/>
      <c r="X155" s="150"/>
      <c r="Y155" s="150"/>
      <c r="Z155" s="150"/>
      <c r="AA155" s="150"/>
      <c r="AB155" s="150"/>
      <c r="AC155" s="150"/>
      <c r="AD155" s="150"/>
      <c r="AE155" s="150"/>
      <c r="AF155" s="150"/>
      <c r="AG155" s="150"/>
      <c r="AH155" s="150"/>
      <c r="AI155" s="150"/>
      <c r="AJ155" s="150"/>
      <c r="AK155" s="150"/>
      <c r="AL155" s="150"/>
      <c r="AM155" s="150"/>
      <c r="AN155" s="150"/>
      <c r="AO155" s="150"/>
      <c r="AP155" s="150"/>
      <c r="AQ155" s="150"/>
      <c r="AR155" s="150"/>
      <c r="AS155" s="150"/>
      <c r="AT155" s="150"/>
      <c r="AU155" s="150"/>
      <c r="AV155" s="150"/>
      <c r="AW155" s="150"/>
      <c r="AX155" s="150"/>
      <c r="AY155" s="150"/>
      <c r="AZ155" s="150"/>
      <c r="BA155" s="161">
        <v>80000000</v>
      </c>
      <c r="BB155" s="161">
        <v>73280000</v>
      </c>
      <c r="BC155" s="161">
        <v>14595000</v>
      </c>
      <c r="BD155" s="150"/>
      <c r="BE155" s="150"/>
      <c r="BF155" s="150"/>
      <c r="BG155" s="150"/>
      <c r="BH155" s="150"/>
      <c r="BI155" s="150"/>
      <c r="BJ155" s="151">
        <f t="shared" si="208"/>
        <v>80000000</v>
      </c>
      <c r="BK155" s="151">
        <f t="shared" si="207"/>
        <v>73280000</v>
      </c>
      <c r="BL155" s="151">
        <f t="shared" si="207"/>
        <v>14595000</v>
      </c>
      <c r="BM155" s="855" t="s">
        <v>428</v>
      </c>
      <c r="BN155" s="860" t="s">
        <v>1579</v>
      </c>
    </row>
    <row r="156" spans="1:106" ht="76.5" customHeight="1" x14ac:dyDescent="0.2">
      <c r="A156" s="145"/>
      <c r="B156" s="87"/>
      <c r="C156" s="87"/>
      <c r="D156" s="87"/>
      <c r="E156" s="87"/>
      <c r="F156" s="87"/>
      <c r="G156" s="569"/>
      <c r="H156" s="571" t="s">
        <v>421</v>
      </c>
      <c r="I156" s="85">
        <v>3502047</v>
      </c>
      <c r="J156" s="562" t="s">
        <v>249</v>
      </c>
      <c r="K156" s="85">
        <v>3502047</v>
      </c>
      <c r="L156" s="562" t="s">
        <v>249</v>
      </c>
      <c r="M156" s="567" t="s">
        <v>437</v>
      </c>
      <c r="N156" s="561" t="s">
        <v>251</v>
      </c>
      <c r="O156" s="567" t="s">
        <v>437</v>
      </c>
      <c r="P156" s="561" t="s">
        <v>251</v>
      </c>
      <c r="Q156" s="570" t="s">
        <v>68</v>
      </c>
      <c r="R156" s="252" t="s">
        <v>438</v>
      </c>
      <c r="S156" s="252">
        <v>0.1</v>
      </c>
      <c r="T156" s="862"/>
      <c r="U156" s="873"/>
      <c r="V156" s="875"/>
      <c r="W156" s="150"/>
      <c r="X156" s="150"/>
      <c r="Y156" s="150"/>
      <c r="Z156" s="150"/>
      <c r="AA156" s="150"/>
      <c r="AB156" s="150"/>
      <c r="AC156" s="150"/>
      <c r="AD156" s="150"/>
      <c r="AE156" s="150"/>
      <c r="AF156" s="150"/>
      <c r="AG156" s="150"/>
      <c r="AH156" s="150"/>
      <c r="AI156" s="150"/>
      <c r="AJ156" s="150"/>
      <c r="AK156" s="150"/>
      <c r="AL156" s="150"/>
      <c r="AM156" s="150"/>
      <c r="AN156" s="150"/>
      <c r="AO156" s="150"/>
      <c r="AP156" s="150"/>
      <c r="AQ156" s="150"/>
      <c r="AR156" s="150"/>
      <c r="AS156" s="150"/>
      <c r="AT156" s="150"/>
      <c r="AU156" s="150"/>
      <c r="AV156" s="150"/>
      <c r="AW156" s="150"/>
      <c r="AX156" s="150"/>
      <c r="AY156" s="150"/>
      <c r="AZ156" s="150"/>
      <c r="BA156" s="161">
        <v>18000000</v>
      </c>
      <c r="BB156" s="161"/>
      <c r="BC156" s="161"/>
      <c r="BD156" s="150"/>
      <c r="BE156" s="150"/>
      <c r="BF156" s="150"/>
      <c r="BG156" s="150"/>
      <c r="BH156" s="150"/>
      <c r="BI156" s="150"/>
      <c r="BJ156" s="151">
        <f>+W156+Z156+AC156+AF156+AI156+AL156+AO156+AR156+AU156+AX156+BA156+BD156+BG156</f>
        <v>18000000</v>
      </c>
      <c r="BK156" s="151">
        <f t="shared" si="207"/>
        <v>0</v>
      </c>
      <c r="BL156" s="151">
        <f t="shared" si="207"/>
        <v>0</v>
      </c>
      <c r="BM156" s="855" t="s">
        <v>428</v>
      </c>
      <c r="BN156" s="860" t="s">
        <v>1579</v>
      </c>
    </row>
    <row r="157" spans="1:106" s="4" customFormat="1" ht="85.5" customHeight="1" x14ac:dyDescent="0.2">
      <c r="A157" s="68"/>
      <c r="B157" s="112"/>
      <c r="C157" s="112"/>
      <c r="D157" s="112"/>
      <c r="E157" s="112"/>
      <c r="F157" s="112"/>
      <c r="G157" s="108"/>
      <c r="H157" s="571" t="s">
        <v>439</v>
      </c>
      <c r="I157" s="90">
        <v>3502039</v>
      </c>
      <c r="J157" s="571" t="s">
        <v>440</v>
      </c>
      <c r="K157" s="90">
        <v>3502039</v>
      </c>
      <c r="L157" s="571" t="s">
        <v>440</v>
      </c>
      <c r="M157" s="234">
        <v>350203910</v>
      </c>
      <c r="N157" s="221" t="s">
        <v>445</v>
      </c>
      <c r="O157" s="234">
        <v>350203910</v>
      </c>
      <c r="P157" s="221" t="s">
        <v>445</v>
      </c>
      <c r="Q157" s="570" t="s">
        <v>68</v>
      </c>
      <c r="R157" s="252">
        <v>1</v>
      </c>
      <c r="S157" s="252">
        <v>0.1</v>
      </c>
      <c r="T157" s="862"/>
      <c r="U157" s="873"/>
      <c r="V157" s="875"/>
      <c r="W157" s="127"/>
      <c r="X157" s="127"/>
      <c r="Y157" s="127"/>
      <c r="Z157" s="127"/>
      <c r="AA157" s="127"/>
      <c r="AB157" s="127"/>
      <c r="AC157" s="127"/>
      <c r="AD157" s="127"/>
      <c r="AE157" s="127"/>
      <c r="AF157" s="127"/>
      <c r="AG157" s="127"/>
      <c r="AH157" s="127"/>
      <c r="AI157" s="127"/>
      <c r="AJ157" s="127"/>
      <c r="AK157" s="127"/>
      <c r="AL157" s="127"/>
      <c r="AM157" s="127"/>
      <c r="AN157" s="127"/>
      <c r="AO157" s="127"/>
      <c r="AP157" s="127"/>
      <c r="AQ157" s="127"/>
      <c r="AR157" s="127"/>
      <c r="AS157" s="127"/>
      <c r="AT157" s="127"/>
      <c r="AU157" s="127"/>
      <c r="AV157" s="127"/>
      <c r="AW157" s="127"/>
      <c r="AX157" s="127"/>
      <c r="AY157" s="127"/>
      <c r="AZ157" s="127"/>
      <c r="BA157" s="161">
        <f>100000000+1498856036</f>
        <v>1598856036</v>
      </c>
      <c r="BB157" s="161"/>
      <c r="BC157" s="161"/>
      <c r="BD157" s="150"/>
      <c r="BE157" s="150"/>
      <c r="BF157" s="150"/>
      <c r="BG157" s="127"/>
      <c r="BH157" s="127"/>
      <c r="BI157" s="127"/>
      <c r="BJ157" s="222">
        <f t="shared" si="208"/>
        <v>1598856036</v>
      </c>
      <c r="BK157" s="222">
        <f t="shared" si="207"/>
        <v>0</v>
      </c>
      <c r="BL157" s="222">
        <f t="shared" si="207"/>
        <v>0</v>
      </c>
      <c r="BM157" s="855" t="s">
        <v>428</v>
      </c>
      <c r="BN157" s="860" t="s">
        <v>1579</v>
      </c>
    </row>
    <row r="158" spans="1:106" s="21" customFormat="1" ht="117" customHeight="1" x14ac:dyDescent="0.25">
      <c r="A158" s="235"/>
      <c r="B158" s="87"/>
      <c r="C158" s="87"/>
      <c r="D158" s="87"/>
      <c r="E158" s="87"/>
      <c r="F158" s="87"/>
      <c r="G158" s="569"/>
      <c r="H158" s="562" t="s">
        <v>439</v>
      </c>
      <c r="I158" s="85">
        <v>3502046</v>
      </c>
      <c r="J158" s="562" t="s">
        <v>446</v>
      </c>
      <c r="K158" s="85">
        <v>3502046</v>
      </c>
      <c r="L158" s="562" t="s">
        <v>446</v>
      </c>
      <c r="M158" s="567" t="s">
        <v>447</v>
      </c>
      <c r="N158" s="561" t="s">
        <v>448</v>
      </c>
      <c r="O158" s="567" t="s">
        <v>447</v>
      </c>
      <c r="P158" s="561" t="s">
        <v>448</v>
      </c>
      <c r="Q158" s="569" t="s">
        <v>68</v>
      </c>
      <c r="R158" s="125">
        <v>1</v>
      </c>
      <c r="S158" s="242">
        <v>0.1</v>
      </c>
      <c r="T158" s="236" t="s">
        <v>449</v>
      </c>
      <c r="U158" s="571" t="s">
        <v>450</v>
      </c>
      <c r="V158" s="571" t="s">
        <v>451</v>
      </c>
      <c r="W158" s="150"/>
      <c r="X158" s="150"/>
      <c r="Y158" s="150"/>
      <c r="Z158" s="150"/>
      <c r="AA158" s="150"/>
      <c r="AB158" s="150"/>
      <c r="AC158" s="150"/>
      <c r="AD158" s="150"/>
      <c r="AE158" s="150"/>
      <c r="AF158" s="150"/>
      <c r="AG158" s="150"/>
      <c r="AH158" s="150"/>
      <c r="AI158" s="150"/>
      <c r="AJ158" s="150"/>
      <c r="AK158" s="150"/>
      <c r="AL158" s="150"/>
      <c r="AM158" s="150"/>
      <c r="AN158" s="150"/>
      <c r="AO158" s="150"/>
      <c r="AP158" s="150"/>
      <c r="AQ158" s="150"/>
      <c r="AR158" s="150"/>
      <c r="AS158" s="150"/>
      <c r="AT158" s="150"/>
      <c r="AU158" s="150"/>
      <c r="AV158" s="150"/>
      <c r="AW158" s="150"/>
      <c r="AX158" s="150"/>
      <c r="AY158" s="150"/>
      <c r="AZ158" s="150"/>
      <c r="BA158" s="161"/>
      <c r="BB158" s="161"/>
      <c r="BC158" s="161"/>
      <c r="BD158" s="237">
        <f>664872303.76</f>
        <v>664872303.75999999</v>
      </c>
      <c r="BE158" s="237">
        <v>74820000</v>
      </c>
      <c r="BF158" s="237">
        <v>6185000</v>
      </c>
      <c r="BG158" s="207"/>
      <c r="BH158" s="207"/>
      <c r="BI158" s="207"/>
      <c r="BJ158" s="151">
        <f t="shared" si="208"/>
        <v>664872303.75999999</v>
      </c>
      <c r="BK158" s="151">
        <f t="shared" si="207"/>
        <v>74820000</v>
      </c>
      <c r="BL158" s="151">
        <f t="shared" si="207"/>
        <v>6185000</v>
      </c>
      <c r="BM158" s="855" t="s">
        <v>428</v>
      </c>
      <c r="BN158" s="860" t="s">
        <v>1579</v>
      </c>
      <c r="BO158" s="20"/>
      <c r="BP158" s="20"/>
      <c r="BQ158" s="20"/>
      <c r="BR158" s="20"/>
      <c r="BS158" s="20"/>
      <c r="BT158" s="20"/>
      <c r="BU158" s="20"/>
      <c r="BV158" s="20"/>
      <c r="BW158" s="20"/>
      <c r="BX158" s="20"/>
      <c r="BY158" s="20"/>
      <c r="BZ158" s="20"/>
      <c r="CA158" s="20"/>
      <c r="CB158" s="20"/>
      <c r="CC158" s="20"/>
      <c r="CD158" s="20"/>
      <c r="CE158" s="20"/>
      <c r="CF158" s="20"/>
      <c r="CG158" s="20"/>
      <c r="CH158" s="20"/>
      <c r="CI158" s="20"/>
      <c r="CJ158" s="20"/>
      <c r="CK158" s="20"/>
      <c r="CL158" s="20"/>
      <c r="CM158" s="20"/>
      <c r="CN158" s="20"/>
      <c r="CO158" s="20"/>
      <c r="CP158" s="20"/>
      <c r="CQ158" s="20"/>
      <c r="CR158" s="20"/>
      <c r="CS158" s="20"/>
      <c r="CT158" s="20"/>
      <c r="CU158" s="20"/>
      <c r="CV158" s="20"/>
      <c r="CW158" s="20"/>
      <c r="CX158" s="20"/>
      <c r="CY158" s="20"/>
      <c r="CZ158" s="20"/>
      <c r="DA158" s="20"/>
      <c r="DB158" s="20"/>
    </row>
    <row r="159" spans="1:106" s="9" customFormat="1" ht="24" customHeight="1" x14ac:dyDescent="0.25">
      <c r="A159" s="130"/>
      <c r="B159" s="83"/>
      <c r="C159" s="83"/>
      <c r="D159" s="77">
        <v>36</v>
      </c>
      <c r="E159" s="201" t="s">
        <v>452</v>
      </c>
      <c r="F159" s="75"/>
      <c r="G159" s="135"/>
      <c r="H159" s="136"/>
      <c r="I159" s="136"/>
      <c r="J159" s="138"/>
      <c r="K159" s="137"/>
      <c r="L159" s="138"/>
      <c r="M159" s="138"/>
      <c r="N159" s="140"/>
      <c r="O159" s="139"/>
      <c r="P159" s="140"/>
      <c r="Q159" s="141"/>
      <c r="R159" s="139"/>
      <c r="S159" s="139"/>
      <c r="T159" s="204"/>
      <c r="U159" s="143"/>
      <c r="V159" s="143"/>
      <c r="W159" s="144">
        <f>W160</f>
        <v>0</v>
      </c>
      <c r="X159" s="144"/>
      <c r="Y159" s="144"/>
      <c r="Z159" s="144">
        <f t="shared" ref="Z159:BL159" si="209">Z160</f>
        <v>0</v>
      </c>
      <c r="AA159" s="144"/>
      <c r="AB159" s="144"/>
      <c r="AC159" s="144">
        <f t="shared" si="209"/>
        <v>0</v>
      </c>
      <c r="AD159" s="144"/>
      <c r="AE159" s="144"/>
      <c r="AF159" s="144">
        <f t="shared" si="209"/>
        <v>0</v>
      </c>
      <c r="AG159" s="144"/>
      <c r="AH159" s="144"/>
      <c r="AI159" s="144">
        <f t="shared" si="209"/>
        <v>0</v>
      </c>
      <c r="AJ159" s="144"/>
      <c r="AK159" s="144"/>
      <c r="AL159" s="144">
        <f t="shared" si="209"/>
        <v>0</v>
      </c>
      <c r="AM159" s="144"/>
      <c r="AN159" s="144"/>
      <c r="AO159" s="144">
        <f t="shared" si="209"/>
        <v>0</v>
      </c>
      <c r="AP159" s="144"/>
      <c r="AQ159" s="144"/>
      <c r="AR159" s="144">
        <f t="shared" si="209"/>
        <v>0</v>
      </c>
      <c r="AS159" s="144"/>
      <c r="AT159" s="144"/>
      <c r="AU159" s="144">
        <f t="shared" si="209"/>
        <v>0</v>
      </c>
      <c r="AV159" s="144"/>
      <c r="AW159" s="144"/>
      <c r="AX159" s="144">
        <f t="shared" si="209"/>
        <v>0</v>
      </c>
      <c r="AY159" s="144"/>
      <c r="AZ159" s="144"/>
      <c r="BA159" s="144">
        <f t="shared" si="209"/>
        <v>237500000</v>
      </c>
      <c r="BB159" s="144">
        <f t="shared" si="209"/>
        <v>42880000</v>
      </c>
      <c r="BC159" s="144">
        <f t="shared" si="209"/>
        <v>4535000</v>
      </c>
      <c r="BD159" s="144">
        <f t="shared" si="209"/>
        <v>0</v>
      </c>
      <c r="BE159" s="144"/>
      <c r="BF159" s="144"/>
      <c r="BG159" s="144">
        <f t="shared" si="209"/>
        <v>0</v>
      </c>
      <c r="BH159" s="144"/>
      <c r="BI159" s="144"/>
      <c r="BJ159" s="144">
        <f t="shared" si="209"/>
        <v>237500000</v>
      </c>
      <c r="BK159" s="144">
        <f t="shared" si="209"/>
        <v>42880000</v>
      </c>
      <c r="BL159" s="144">
        <f t="shared" si="209"/>
        <v>4535000</v>
      </c>
      <c r="BM159" s="856"/>
      <c r="BN159" s="169"/>
      <c r="BO159" s="8"/>
      <c r="BP159" s="8"/>
      <c r="BQ159" s="8"/>
      <c r="BR159" s="8"/>
      <c r="BS159" s="8"/>
      <c r="BT159" s="8"/>
      <c r="BU159" s="8"/>
      <c r="BV159" s="8"/>
      <c r="BW159" s="8"/>
      <c r="BX159" s="8"/>
      <c r="BY159" s="8"/>
      <c r="BZ159" s="8"/>
      <c r="CA159" s="8"/>
      <c r="CB159" s="8"/>
      <c r="CC159" s="8"/>
      <c r="CD159" s="8"/>
      <c r="CE159" s="8"/>
      <c r="CF159" s="8"/>
      <c r="CG159" s="8"/>
      <c r="CH159" s="8"/>
      <c r="CI159" s="8"/>
      <c r="CJ159" s="8"/>
      <c r="CK159" s="8"/>
      <c r="CL159" s="8"/>
      <c r="CM159" s="8"/>
      <c r="CN159" s="8"/>
      <c r="CO159" s="8"/>
      <c r="CP159" s="8"/>
      <c r="CQ159" s="8"/>
      <c r="CR159" s="8"/>
      <c r="CS159" s="8"/>
      <c r="CT159" s="8"/>
      <c r="CU159" s="8"/>
      <c r="CV159" s="8"/>
      <c r="CW159" s="8"/>
      <c r="CX159" s="8"/>
      <c r="CY159" s="8"/>
      <c r="CZ159" s="8"/>
      <c r="DA159" s="8"/>
      <c r="DB159" s="8"/>
    </row>
    <row r="160" spans="1:106" ht="24" customHeight="1" x14ac:dyDescent="0.2">
      <c r="A160" s="145"/>
      <c r="B160" s="87"/>
      <c r="C160" s="87"/>
      <c r="D160" s="87"/>
      <c r="E160" s="87"/>
      <c r="F160" s="146">
        <v>3602</v>
      </c>
      <c r="G160" s="81" t="s">
        <v>453</v>
      </c>
      <c r="H160" s="194"/>
      <c r="I160" s="194"/>
      <c r="J160" s="693"/>
      <c r="K160" s="726"/>
      <c r="L160" s="693"/>
      <c r="M160" s="693"/>
      <c r="N160" s="688"/>
      <c r="O160" s="689"/>
      <c r="P160" s="688"/>
      <c r="Q160" s="727"/>
      <c r="R160" s="689"/>
      <c r="S160" s="689"/>
      <c r="T160" s="728"/>
      <c r="U160" s="153"/>
      <c r="V160" s="153"/>
      <c r="W160" s="148">
        <f>SUM(W161:W164)</f>
        <v>0</v>
      </c>
      <c r="X160" s="148"/>
      <c r="Y160" s="148"/>
      <c r="Z160" s="148">
        <f t="shared" ref="Z160:BJ160" si="210">SUM(Z161:Z164)</f>
        <v>0</v>
      </c>
      <c r="AA160" s="148"/>
      <c r="AB160" s="148"/>
      <c r="AC160" s="148">
        <f t="shared" si="210"/>
        <v>0</v>
      </c>
      <c r="AD160" s="148"/>
      <c r="AE160" s="148"/>
      <c r="AF160" s="148">
        <f t="shared" si="210"/>
        <v>0</v>
      </c>
      <c r="AG160" s="148"/>
      <c r="AH160" s="148"/>
      <c r="AI160" s="148">
        <f t="shared" si="210"/>
        <v>0</v>
      </c>
      <c r="AJ160" s="148"/>
      <c r="AK160" s="148"/>
      <c r="AL160" s="148">
        <f t="shared" si="210"/>
        <v>0</v>
      </c>
      <c r="AM160" s="148"/>
      <c r="AN160" s="148"/>
      <c r="AO160" s="148">
        <f t="shared" si="210"/>
        <v>0</v>
      </c>
      <c r="AP160" s="148"/>
      <c r="AQ160" s="148"/>
      <c r="AR160" s="148">
        <f t="shared" si="210"/>
        <v>0</v>
      </c>
      <c r="AS160" s="148"/>
      <c r="AT160" s="148"/>
      <c r="AU160" s="148">
        <f t="shared" si="210"/>
        <v>0</v>
      </c>
      <c r="AV160" s="148"/>
      <c r="AW160" s="148"/>
      <c r="AX160" s="148">
        <f t="shared" si="210"/>
        <v>0</v>
      </c>
      <c r="AY160" s="148"/>
      <c r="AZ160" s="148"/>
      <c r="BA160" s="148">
        <f t="shared" si="210"/>
        <v>237500000</v>
      </c>
      <c r="BB160" s="148">
        <f t="shared" ref="BB160:BC160" si="211">SUM(BB161:BB164)</f>
        <v>42880000</v>
      </c>
      <c r="BC160" s="148">
        <f t="shared" si="211"/>
        <v>4535000</v>
      </c>
      <c r="BD160" s="148">
        <f t="shared" si="210"/>
        <v>0</v>
      </c>
      <c r="BE160" s="148"/>
      <c r="BF160" s="148"/>
      <c r="BG160" s="148">
        <f t="shared" si="210"/>
        <v>0</v>
      </c>
      <c r="BH160" s="148"/>
      <c r="BI160" s="148"/>
      <c r="BJ160" s="148">
        <f t="shared" si="210"/>
        <v>237500000</v>
      </c>
      <c r="BK160" s="148">
        <f t="shared" ref="BK160:BL160" si="212">SUM(BK161:BK164)</f>
        <v>42880000</v>
      </c>
      <c r="BL160" s="148">
        <f t="shared" si="212"/>
        <v>4535000</v>
      </c>
      <c r="BM160" s="857"/>
      <c r="BN160" s="156"/>
    </row>
    <row r="161" spans="1:106" ht="71.25" customHeight="1" x14ac:dyDescent="0.2">
      <c r="A161" s="145"/>
      <c r="B161" s="87"/>
      <c r="C161" s="87"/>
      <c r="D161" s="87"/>
      <c r="E161" s="87"/>
      <c r="F161" s="87"/>
      <c r="G161" s="569"/>
      <c r="H161" s="571" t="s">
        <v>421</v>
      </c>
      <c r="I161" s="567">
        <v>3602018</v>
      </c>
      <c r="J161" s="562" t="s">
        <v>454</v>
      </c>
      <c r="K161" s="567">
        <v>3602018</v>
      </c>
      <c r="L161" s="562" t="s">
        <v>454</v>
      </c>
      <c r="M161" s="198" t="s">
        <v>455</v>
      </c>
      <c r="N161" s="577" t="s">
        <v>456</v>
      </c>
      <c r="O161" s="198" t="s">
        <v>455</v>
      </c>
      <c r="P161" s="577" t="s">
        <v>456</v>
      </c>
      <c r="Q161" s="125" t="s">
        <v>68</v>
      </c>
      <c r="R161" s="125">
        <v>3</v>
      </c>
      <c r="S161" s="125">
        <v>0</v>
      </c>
      <c r="T161" s="862" t="s">
        <v>457</v>
      </c>
      <c r="U161" s="892" t="s">
        <v>458</v>
      </c>
      <c r="V161" s="892" t="s">
        <v>459</v>
      </c>
      <c r="W161" s="232"/>
      <c r="X161" s="232"/>
      <c r="Y161" s="232"/>
      <c r="Z161" s="232"/>
      <c r="AA161" s="232"/>
      <c r="AB161" s="232"/>
      <c r="AC161" s="232"/>
      <c r="AD161" s="232"/>
      <c r="AE161" s="232"/>
      <c r="AF161" s="232"/>
      <c r="AG161" s="232"/>
      <c r="AH161" s="232"/>
      <c r="AI161" s="232"/>
      <c r="AJ161" s="232"/>
      <c r="AK161" s="232"/>
      <c r="AL161" s="232"/>
      <c r="AM161" s="232"/>
      <c r="AN161" s="232"/>
      <c r="AO161" s="232"/>
      <c r="AP161" s="232"/>
      <c r="AQ161" s="232"/>
      <c r="AR161" s="232"/>
      <c r="AS161" s="232"/>
      <c r="AT161" s="232"/>
      <c r="AU161" s="232"/>
      <c r="AV161" s="232"/>
      <c r="AW161" s="232"/>
      <c r="AX161" s="232"/>
      <c r="AY161" s="232"/>
      <c r="AZ161" s="232"/>
      <c r="BA161" s="233">
        <v>120000000</v>
      </c>
      <c r="BB161" s="233"/>
      <c r="BC161" s="233"/>
      <c r="BD161" s="232"/>
      <c r="BE161" s="232"/>
      <c r="BF161" s="232"/>
      <c r="BG161" s="150"/>
      <c r="BH161" s="150"/>
      <c r="BI161" s="150"/>
      <c r="BJ161" s="151">
        <f>+W161+Z161+AC161+AF161+AI161+AL161+AO161+AR161+AU161+AX161+BA161+BD161+BG161</f>
        <v>120000000</v>
      </c>
      <c r="BK161" s="151">
        <f t="shared" ref="BK161:BL164" si="213">+X161+AA161+AD161+AG161+AJ161+AM161+AP161+AS161+AV161+AY161+BB161+BE161+BH161</f>
        <v>0</v>
      </c>
      <c r="BL161" s="151">
        <f t="shared" si="213"/>
        <v>0</v>
      </c>
      <c r="BM161" s="855" t="s">
        <v>428</v>
      </c>
      <c r="BN161" s="860" t="s">
        <v>1579</v>
      </c>
    </row>
    <row r="162" spans="1:106" ht="71.25" customHeight="1" x14ac:dyDescent="0.2">
      <c r="A162" s="145"/>
      <c r="B162" s="87"/>
      <c r="C162" s="87"/>
      <c r="D162" s="87"/>
      <c r="E162" s="87"/>
      <c r="F162" s="87"/>
      <c r="G162" s="569"/>
      <c r="H162" s="571" t="s">
        <v>421</v>
      </c>
      <c r="I162" s="89">
        <v>3602032</v>
      </c>
      <c r="J162" s="562" t="s">
        <v>460</v>
      </c>
      <c r="K162" s="89">
        <v>3602032</v>
      </c>
      <c r="L162" s="562" t="s">
        <v>460</v>
      </c>
      <c r="M162" s="198" t="s">
        <v>461</v>
      </c>
      <c r="N162" s="577" t="s">
        <v>462</v>
      </c>
      <c r="O162" s="198" t="s">
        <v>461</v>
      </c>
      <c r="P162" s="577" t="s">
        <v>462</v>
      </c>
      <c r="Q162" s="125" t="s">
        <v>52</v>
      </c>
      <c r="R162" s="125">
        <v>14</v>
      </c>
      <c r="S162" s="125">
        <v>5</v>
      </c>
      <c r="T162" s="862"/>
      <c r="U162" s="892"/>
      <c r="V162" s="892"/>
      <c r="W162" s="232"/>
      <c r="X162" s="232"/>
      <c r="Y162" s="232"/>
      <c r="Z162" s="232"/>
      <c r="AA162" s="232"/>
      <c r="AB162" s="232"/>
      <c r="AC162" s="232"/>
      <c r="AD162" s="232"/>
      <c r="AE162" s="232"/>
      <c r="AF162" s="232"/>
      <c r="AG162" s="232"/>
      <c r="AH162" s="232"/>
      <c r="AI162" s="232"/>
      <c r="AJ162" s="232"/>
      <c r="AK162" s="232"/>
      <c r="AL162" s="232"/>
      <c r="AM162" s="232"/>
      <c r="AN162" s="232"/>
      <c r="AO162" s="232"/>
      <c r="AP162" s="232"/>
      <c r="AQ162" s="232"/>
      <c r="AR162" s="232"/>
      <c r="AS162" s="232"/>
      <c r="AT162" s="232"/>
      <c r="AU162" s="232"/>
      <c r="AV162" s="232"/>
      <c r="AW162" s="232"/>
      <c r="AX162" s="232"/>
      <c r="AY162" s="232"/>
      <c r="AZ162" s="232"/>
      <c r="BA162" s="233">
        <v>60000000</v>
      </c>
      <c r="BB162" s="233">
        <v>42880000</v>
      </c>
      <c r="BC162" s="233">
        <v>4535000</v>
      </c>
      <c r="BD162" s="232"/>
      <c r="BE162" s="232"/>
      <c r="BF162" s="232"/>
      <c r="BG162" s="150"/>
      <c r="BH162" s="150"/>
      <c r="BI162" s="150"/>
      <c r="BJ162" s="151">
        <f>+W162+Z162+AC162+AF162+AI162+AL162+AO162+AR162+AU162+AX162+BA162+BD162+BG162</f>
        <v>60000000</v>
      </c>
      <c r="BK162" s="151">
        <f t="shared" si="213"/>
        <v>42880000</v>
      </c>
      <c r="BL162" s="151">
        <f t="shared" si="213"/>
        <v>4535000</v>
      </c>
      <c r="BM162" s="855" t="s">
        <v>428</v>
      </c>
      <c r="BN162" s="860" t="s">
        <v>1579</v>
      </c>
    </row>
    <row r="163" spans="1:106" ht="71.25" customHeight="1" x14ac:dyDescent="0.2">
      <c r="A163" s="145"/>
      <c r="B163" s="87"/>
      <c r="C163" s="87"/>
      <c r="D163" s="87"/>
      <c r="E163" s="87"/>
      <c r="F163" s="87"/>
      <c r="G163" s="569"/>
      <c r="H163" s="571" t="s">
        <v>421</v>
      </c>
      <c r="I163" s="89">
        <v>3602029</v>
      </c>
      <c r="J163" s="562" t="s">
        <v>463</v>
      </c>
      <c r="K163" s="89">
        <v>3602029</v>
      </c>
      <c r="L163" s="562" t="s">
        <v>463</v>
      </c>
      <c r="M163" s="198" t="s">
        <v>464</v>
      </c>
      <c r="N163" s="577" t="s">
        <v>465</v>
      </c>
      <c r="O163" s="198" t="s">
        <v>464</v>
      </c>
      <c r="P163" s="577" t="s">
        <v>465</v>
      </c>
      <c r="Q163" s="125" t="s">
        <v>68</v>
      </c>
      <c r="R163" s="125">
        <v>12</v>
      </c>
      <c r="S163" s="125">
        <v>3</v>
      </c>
      <c r="T163" s="862"/>
      <c r="U163" s="892"/>
      <c r="V163" s="892"/>
      <c r="W163" s="232"/>
      <c r="X163" s="232"/>
      <c r="Y163" s="232"/>
      <c r="Z163" s="232"/>
      <c r="AA163" s="232"/>
      <c r="AB163" s="232"/>
      <c r="AC163" s="232"/>
      <c r="AD163" s="232"/>
      <c r="AE163" s="232"/>
      <c r="AF163" s="232"/>
      <c r="AG163" s="232"/>
      <c r="AH163" s="232"/>
      <c r="AI163" s="232"/>
      <c r="AJ163" s="232"/>
      <c r="AK163" s="232"/>
      <c r="AL163" s="232"/>
      <c r="AM163" s="232"/>
      <c r="AN163" s="232"/>
      <c r="AO163" s="232"/>
      <c r="AP163" s="232"/>
      <c r="AQ163" s="232"/>
      <c r="AR163" s="232"/>
      <c r="AS163" s="232"/>
      <c r="AT163" s="232"/>
      <c r="AU163" s="232"/>
      <c r="AV163" s="232"/>
      <c r="AW163" s="232"/>
      <c r="AX163" s="232"/>
      <c r="AY163" s="232"/>
      <c r="AZ163" s="232"/>
      <c r="BA163" s="233">
        <v>22500000</v>
      </c>
      <c r="BB163" s="233"/>
      <c r="BC163" s="233"/>
      <c r="BD163" s="232"/>
      <c r="BE163" s="232"/>
      <c r="BF163" s="232"/>
      <c r="BG163" s="150"/>
      <c r="BH163" s="150"/>
      <c r="BI163" s="150"/>
      <c r="BJ163" s="151">
        <f>+W163+Z163+AC163+AF163+AI163+AL163+AO163+AR163+AU163+AX163+BA163+BD163+BG163</f>
        <v>22500000</v>
      </c>
      <c r="BK163" s="151">
        <f t="shared" si="213"/>
        <v>0</v>
      </c>
      <c r="BL163" s="151">
        <f t="shared" si="213"/>
        <v>0</v>
      </c>
      <c r="BM163" s="855" t="s">
        <v>428</v>
      </c>
      <c r="BN163" s="860" t="s">
        <v>1579</v>
      </c>
    </row>
    <row r="164" spans="1:106" ht="71.25" customHeight="1" x14ac:dyDescent="0.2">
      <c r="A164" s="145"/>
      <c r="B164" s="87"/>
      <c r="C164" s="87"/>
      <c r="D164" s="87"/>
      <c r="E164" s="87"/>
      <c r="F164" s="87"/>
      <c r="G164" s="569"/>
      <c r="H164" s="571" t="s">
        <v>421</v>
      </c>
      <c r="I164" s="89">
        <v>3602030</v>
      </c>
      <c r="J164" s="562" t="s">
        <v>466</v>
      </c>
      <c r="K164" s="89">
        <v>3602030</v>
      </c>
      <c r="L164" s="562" t="s">
        <v>466</v>
      </c>
      <c r="M164" s="198" t="s">
        <v>467</v>
      </c>
      <c r="N164" s="577" t="s">
        <v>468</v>
      </c>
      <c r="O164" s="198" t="s">
        <v>467</v>
      </c>
      <c r="P164" s="577" t="s">
        <v>468</v>
      </c>
      <c r="Q164" s="238" t="s">
        <v>68</v>
      </c>
      <c r="R164" s="125">
        <v>3</v>
      </c>
      <c r="S164" s="125">
        <v>0.5</v>
      </c>
      <c r="T164" s="862"/>
      <c r="U164" s="892"/>
      <c r="V164" s="892"/>
      <c r="W164" s="232"/>
      <c r="X164" s="232"/>
      <c r="Y164" s="232"/>
      <c r="Z164" s="232"/>
      <c r="AA164" s="232"/>
      <c r="AB164" s="232"/>
      <c r="AC164" s="232"/>
      <c r="AD164" s="232"/>
      <c r="AE164" s="232"/>
      <c r="AF164" s="232"/>
      <c r="AG164" s="232"/>
      <c r="AH164" s="232"/>
      <c r="AI164" s="232"/>
      <c r="AJ164" s="232"/>
      <c r="AK164" s="232"/>
      <c r="AL164" s="232"/>
      <c r="AM164" s="232"/>
      <c r="AN164" s="232"/>
      <c r="AO164" s="232"/>
      <c r="AP164" s="232"/>
      <c r="AQ164" s="232"/>
      <c r="AR164" s="232"/>
      <c r="AS164" s="232"/>
      <c r="AT164" s="232"/>
      <c r="AU164" s="232"/>
      <c r="AV164" s="232"/>
      <c r="AW164" s="232"/>
      <c r="AX164" s="232"/>
      <c r="AY164" s="232"/>
      <c r="AZ164" s="232"/>
      <c r="BA164" s="233">
        <v>35000000</v>
      </c>
      <c r="BB164" s="233"/>
      <c r="BC164" s="233"/>
      <c r="BD164" s="232"/>
      <c r="BE164" s="232"/>
      <c r="BF164" s="232"/>
      <c r="BG164" s="150"/>
      <c r="BH164" s="150"/>
      <c r="BI164" s="150"/>
      <c r="BJ164" s="151">
        <f>+W164+Z164+AC164+AF164+AI164+AL164+AO164+AR164+AU164+AX164+BA164+BD164+BG164</f>
        <v>35000000</v>
      </c>
      <c r="BK164" s="151">
        <f t="shared" si="213"/>
        <v>0</v>
      </c>
      <c r="BL164" s="151">
        <f t="shared" si="213"/>
        <v>0</v>
      </c>
      <c r="BM164" s="855" t="s">
        <v>428</v>
      </c>
      <c r="BN164" s="860" t="s">
        <v>1579</v>
      </c>
    </row>
    <row r="165" spans="1:106" s="467" customFormat="1" ht="16.5" customHeight="1" x14ac:dyDescent="0.25">
      <c r="A165" s="463"/>
      <c r="B165" s="463"/>
      <c r="C165" s="463"/>
      <c r="D165" s="463"/>
      <c r="E165" s="463"/>
      <c r="F165" s="463"/>
      <c r="G165" s="463"/>
      <c r="H165" s="464"/>
      <c r="I165" s="463"/>
      <c r="J165" s="463"/>
      <c r="K165" s="463"/>
      <c r="L165" s="463"/>
      <c r="M165" s="463"/>
      <c r="N165" s="463"/>
      <c r="O165" s="463"/>
      <c r="P165" s="463"/>
      <c r="Q165" s="465"/>
      <c r="R165" s="463"/>
      <c r="S165" s="463"/>
      <c r="T165" s="465"/>
      <c r="U165" s="465"/>
      <c r="V165" s="465"/>
      <c r="W165" s="466"/>
      <c r="X165" s="466"/>
      <c r="Y165" s="466"/>
      <c r="Z165" s="466"/>
      <c r="AA165" s="466"/>
      <c r="AB165" s="466"/>
      <c r="AC165" s="466"/>
      <c r="AD165" s="466"/>
      <c r="AE165" s="466"/>
      <c r="AF165" s="466"/>
      <c r="AG165" s="466"/>
      <c r="AH165" s="466"/>
      <c r="AI165" s="466"/>
      <c r="AJ165" s="466"/>
      <c r="AK165" s="466"/>
      <c r="AL165" s="466"/>
      <c r="AM165" s="466"/>
      <c r="AN165" s="466"/>
      <c r="AO165" s="466"/>
      <c r="AP165" s="466"/>
      <c r="AQ165" s="466"/>
      <c r="AR165" s="466"/>
      <c r="AS165" s="466"/>
      <c r="AT165" s="466"/>
      <c r="AU165" s="466"/>
      <c r="AV165" s="466"/>
      <c r="AW165" s="466"/>
      <c r="AX165" s="466"/>
      <c r="AY165" s="466"/>
      <c r="AZ165" s="466"/>
      <c r="BA165" s="466"/>
      <c r="BB165" s="466"/>
      <c r="BC165" s="466"/>
      <c r="BD165" s="466"/>
      <c r="BE165" s="466"/>
      <c r="BF165" s="466"/>
      <c r="BG165" s="466"/>
      <c r="BH165" s="466"/>
      <c r="BI165" s="466"/>
      <c r="BJ165" s="466"/>
      <c r="BK165" s="466"/>
      <c r="BL165" s="466"/>
      <c r="BM165" s="466"/>
      <c r="BN165" s="466"/>
    </row>
    <row r="166" spans="1:106" s="394" customFormat="1" ht="24" customHeight="1" x14ac:dyDescent="0.2">
      <c r="A166" s="41" t="s">
        <v>469</v>
      </c>
      <c r="B166" s="41"/>
      <c r="C166" s="41"/>
      <c r="D166" s="41"/>
      <c r="E166" s="41"/>
      <c r="F166" s="42"/>
      <c r="G166" s="657"/>
      <c r="H166" s="741"/>
      <c r="I166" s="700"/>
      <c r="J166" s="700"/>
      <c r="K166" s="701"/>
      <c r="L166" s="700"/>
      <c r="M166" s="700"/>
      <c r="N166" s="702"/>
      <c r="O166" s="703"/>
      <c r="P166" s="702"/>
      <c r="Q166" s="704"/>
      <c r="R166" s="703"/>
      <c r="S166" s="703"/>
      <c r="T166" s="658"/>
      <c r="U166" s="391"/>
      <c r="V166" s="391"/>
      <c r="W166" s="387">
        <f t="shared" ref="W166:BJ166" si="214">W167+W201</f>
        <v>0</v>
      </c>
      <c r="X166" s="387"/>
      <c r="Y166" s="387"/>
      <c r="Z166" s="387">
        <f t="shared" si="214"/>
        <v>0</v>
      </c>
      <c r="AA166" s="387"/>
      <c r="AB166" s="387"/>
      <c r="AC166" s="387">
        <f t="shared" si="214"/>
        <v>0</v>
      </c>
      <c r="AD166" s="387"/>
      <c r="AE166" s="387"/>
      <c r="AF166" s="387">
        <f t="shared" si="214"/>
        <v>0</v>
      </c>
      <c r="AG166" s="387"/>
      <c r="AH166" s="387"/>
      <c r="AI166" s="387">
        <f t="shared" si="214"/>
        <v>0</v>
      </c>
      <c r="AJ166" s="387"/>
      <c r="AK166" s="387"/>
      <c r="AL166" s="387">
        <f t="shared" si="214"/>
        <v>0</v>
      </c>
      <c r="AM166" s="387"/>
      <c r="AN166" s="387"/>
      <c r="AO166" s="387">
        <f t="shared" si="214"/>
        <v>0</v>
      </c>
      <c r="AP166" s="387"/>
      <c r="AQ166" s="387"/>
      <c r="AR166" s="387">
        <f t="shared" si="214"/>
        <v>0</v>
      </c>
      <c r="AS166" s="387"/>
      <c r="AT166" s="387"/>
      <c r="AU166" s="387">
        <f t="shared" si="214"/>
        <v>0</v>
      </c>
      <c r="AV166" s="387"/>
      <c r="AW166" s="387"/>
      <c r="AX166" s="387">
        <f t="shared" si="214"/>
        <v>0</v>
      </c>
      <c r="AY166" s="387"/>
      <c r="AZ166" s="387"/>
      <c r="BA166" s="387">
        <f t="shared" si="214"/>
        <v>2573248186</v>
      </c>
      <c r="BB166" s="387">
        <f t="shared" ref="BB166:BC166" si="215">BB167+BB201</f>
        <v>590027500</v>
      </c>
      <c r="BC166" s="387">
        <f t="shared" si="215"/>
        <v>60425000</v>
      </c>
      <c r="BD166" s="387">
        <f t="shared" si="214"/>
        <v>0</v>
      </c>
      <c r="BE166" s="387"/>
      <c r="BF166" s="387"/>
      <c r="BG166" s="387">
        <f t="shared" si="214"/>
        <v>0</v>
      </c>
      <c r="BH166" s="387"/>
      <c r="BI166" s="387"/>
      <c r="BJ166" s="387">
        <f t="shared" si="214"/>
        <v>2573248186</v>
      </c>
      <c r="BK166" s="387">
        <f t="shared" ref="BK166:BL166" si="216">BK167+BK201</f>
        <v>590027500</v>
      </c>
      <c r="BL166" s="387">
        <f t="shared" si="216"/>
        <v>60425000</v>
      </c>
      <c r="BM166" s="387"/>
      <c r="BN166" s="387"/>
      <c r="BO166" s="393"/>
      <c r="BP166" s="393"/>
      <c r="BQ166" s="393"/>
      <c r="BR166" s="393"/>
      <c r="BS166" s="393"/>
      <c r="BT166" s="393"/>
      <c r="BU166" s="393"/>
      <c r="BV166" s="393"/>
      <c r="BW166" s="393"/>
      <c r="BX166" s="393"/>
      <c r="BY166" s="393"/>
      <c r="BZ166" s="393"/>
      <c r="CA166" s="393"/>
      <c r="CB166" s="393"/>
      <c r="CC166" s="393"/>
      <c r="CD166" s="393"/>
      <c r="CE166" s="393"/>
      <c r="CF166" s="393"/>
      <c r="CG166" s="393"/>
      <c r="CH166" s="393"/>
      <c r="CI166" s="393"/>
      <c r="CJ166" s="393"/>
      <c r="CK166" s="393"/>
      <c r="CL166" s="393"/>
      <c r="CM166" s="393"/>
      <c r="CN166" s="393"/>
      <c r="CO166" s="393"/>
      <c r="CP166" s="393"/>
      <c r="CQ166" s="393"/>
      <c r="CR166" s="393"/>
      <c r="CS166" s="393"/>
      <c r="CT166" s="393"/>
      <c r="CU166" s="393"/>
      <c r="CV166" s="393"/>
      <c r="CW166" s="393"/>
      <c r="CX166" s="393"/>
      <c r="CY166" s="393"/>
      <c r="CZ166" s="393"/>
      <c r="DA166" s="393"/>
      <c r="DB166" s="393"/>
    </row>
    <row r="167" spans="1:106" ht="24" customHeight="1" x14ac:dyDescent="0.2">
      <c r="A167" s="145"/>
      <c r="B167" s="131">
        <v>2</v>
      </c>
      <c r="C167" s="131"/>
      <c r="D167" s="76" t="s">
        <v>418</v>
      </c>
      <c r="E167" s="173"/>
      <c r="F167" s="74"/>
      <c r="G167" s="180"/>
      <c r="H167" s="180"/>
      <c r="I167" s="395"/>
      <c r="J167" s="182"/>
      <c r="K167" s="181"/>
      <c r="L167" s="182"/>
      <c r="M167" s="182"/>
      <c r="N167" s="184"/>
      <c r="O167" s="183"/>
      <c r="P167" s="184"/>
      <c r="Q167" s="185"/>
      <c r="R167" s="183"/>
      <c r="S167" s="183"/>
      <c r="T167" s="729"/>
      <c r="U167" s="133"/>
      <c r="V167" s="133"/>
      <c r="W167" s="134">
        <f>W168+W197</f>
        <v>0</v>
      </c>
      <c r="X167" s="134"/>
      <c r="Y167" s="134"/>
      <c r="Z167" s="134">
        <f t="shared" ref="Z167:BG167" si="217">Z168+Z197</f>
        <v>0</v>
      </c>
      <c r="AA167" s="134"/>
      <c r="AB167" s="134"/>
      <c r="AC167" s="134">
        <f t="shared" si="217"/>
        <v>0</v>
      </c>
      <c r="AD167" s="134"/>
      <c r="AE167" s="134"/>
      <c r="AF167" s="134">
        <f t="shared" si="217"/>
        <v>0</v>
      </c>
      <c r="AG167" s="134"/>
      <c r="AH167" s="134"/>
      <c r="AI167" s="134">
        <f t="shared" si="217"/>
        <v>0</v>
      </c>
      <c r="AJ167" s="134"/>
      <c r="AK167" s="134"/>
      <c r="AL167" s="134">
        <f t="shared" si="217"/>
        <v>0</v>
      </c>
      <c r="AM167" s="134"/>
      <c r="AN167" s="134"/>
      <c r="AO167" s="134">
        <f t="shared" si="217"/>
        <v>0</v>
      </c>
      <c r="AP167" s="134"/>
      <c r="AQ167" s="134"/>
      <c r="AR167" s="134">
        <f t="shared" si="217"/>
        <v>0</v>
      </c>
      <c r="AS167" s="134"/>
      <c r="AT167" s="134"/>
      <c r="AU167" s="134">
        <f t="shared" si="217"/>
        <v>0</v>
      </c>
      <c r="AV167" s="134"/>
      <c r="AW167" s="134"/>
      <c r="AX167" s="134">
        <f t="shared" si="217"/>
        <v>0</v>
      </c>
      <c r="AY167" s="134"/>
      <c r="AZ167" s="134"/>
      <c r="BA167" s="134">
        <f t="shared" si="217"/>
        <v>1226000000</v>
      </c>
      <c r="BB167" s="134">
        <f t="shared" ref="BB167:BC167" si="218">BB168+BB197</f>
        <v>340960000</v>
      </c>
      <c r="BC167" s="134">
        <f t="shared" si="218"/>
        <v>44180000</v>
      </c>
      <c r="BD167" s="134">
        <f t="shared" si="217"/>
        <v>0</v>
      </c>
      <c r="BE167" s="134"/>
      <c r="BF167" s="134"/>
      <c r="BG167" s="134">
        <f t="shared" si="217"/>
        <v>0</v>
      </c>
      <c r="BH167" s="134"/>
      <c r="BI167" s="134"/>
      <c r="BJ167" s="134">
        <f>BJ168+BJ197</f>
        <v>1226000000</v>
      </c>
      <c r="BK167" s="134">
        <f t="shared" ref="BK167:BL167" si="219">BK168+BK197</f>
        <v>340960000</v>
      </c>
      <c r="BL167" s="134">
        <f t="shared" si="219"/>
        <v>44180000</v>
      </c>
      <c r="BM167" s="134"/>
      <c r="BN167" s="134"/>
    </row>
    <row r="168" spans="1:106" s="9" customFormat="1" ht="24" customHeight="1" x14ac:dyDescent="0.25">
      <c r="A168" s="130"/>
      <c r="B168" s="83"/>
      <c r="C168" s="83"/>
      <c r="D168" s="77">
        <v>17</v>
      </c>
      <c r="E168" s="75" t="s">
        <v>470</v>
      </c>
      <c r="F168" s="75"/>
      <c r="G168" s="135"/>
      <c r="H168" s="135"/>
      <c r="I168" s="136"/>
      <c r="J168" s="138"/>
      <c r="K168" s="137"/>
      <c r="L168" s="138"/>
      <c r="M168" s="138"/>
      <c r="N168" s="140"/>
      <c r="O168" s="139"/>
      <c r="P168" s="140"/>
      <c r="Q168" s="141"/>
      <c r="R168" s="139"/>
      <c r="S168" s="139"/>
      <c r="T168" s="204"/>
      <c r="U168" s="143"/>
      <c r="V168" s="143"/>
      <c r="W168" s="144">
        <f>W169+W181+W183+W186+W188+W190+W193</f>
        <v>0</v>
      </c>
      <c r="X168" s="144"/>
      <c r="Y168" s="144"/>
      <c r="Z168" s="144">
        <f t="shared" ref="Z168:BJ168" si="220">Z169+Z181+Z183+Z186+Z188+Z190+Z193</f>
        <v>0</v>
      </c>
      <c r="AA168" s="144"/>
      <c r="AB168" s="144"/>
      <c r="AC168" s="144">
        <f t="shared" si="220"/>
        <v>0</v>
      </c>
      <c r="AD168" s="144"/>
      <c r="AE168" s="144"/>
      <c r="AF168" s="144">
        <f t="shared" si="220"/>
        <v>0</v>
      </c>
      <c r="AG168" s="144"/>
      <c r="AH168" s="144"/>
      <c r="AI168" s="144">
        <f t="shared" si="220"/>
        <v>0</v>
      </c>
      <c r="AJ168" s="144"/>
      <c r="AK168" s="144"/>
      <c r="AL168" s="144">
        <f t="shared" si="220"/>
        <v>0</v>
      </c>
      <c r="AM168" s="144"/>
      <c r="AN168" s="144"/>
      <c r="AO168" s="144">
        <f t="shared" si="220"/>
        <v>0</v>
      </c>
      <c r="AP168" s="144"/>
      <c r="AQ168" s="144"/>
      <c r="AR168" s="144">
        <f t="shared" si="220"/>
        <v>0</v>
      </c>
      <c r="AS168" s="144"/>
      <c r="AT168" s="144"/>
      <c r="AU168" s="144">
        <f t="shared" si="220"/>
        <v>0</v>
      </c>
      <c r="AV168" s="144"/>
      <c r="AW168" s="144"/>
      <c r="AX168" s="144">
        <f t="shared" si="220"/>
        <v>0</v>
      </c>
      <c r="AY168" s="144"/>
      <c r="AZ168" s="144"/>
      <c r="BA168" s="144">
        <f t="shared" si="220"/>
        <v>1190000000</v>
      </c>
      <c r="BB168" s="144">
        <f t="shared" ref="BB168:BC168" si="221">BB169+BB181+BB183+BB186+BB188+BB190+BB193</f>
        <v>340960000</v>
      </c>
      <c r="BC168" s="144">
        <f t="shared" si="221"/>
        <v>44180000</v>
      </c>
      <c r="BD168" s="144">
        <f t="shared" si="220"/>
        <v>0</v>
      </c>
      <c r="BE168" s="144"/>
      <c r="BF168" s="144"/>
      <c r="BG168" s="144">
        <f t="shared" si="220"/>
        <v>0</v>
      </c>
      <c r="BH168" s="144"/>
      <c r="BI168" s="144"/>
      <c r="BJ168" s="144">
        <f t="shared" si="220"/>
        <v>1190000000</v>
      </c>
      <c r="BK168" s="144">
        <f t="shared" ref="BK168:BL168" si="222">BK169+BK181+BK183+BK186+BK188+BK190+BK193</f>
        <v>340960000</v>
      </c>
      <c r="BL168" s="144">
        <f t="shared" si="222"/>
        <v>44180000</v>
      </c>
      <c r="BM168" s="144"/>
      <c r="BN168" s="144"/>
      <c r="BO168" s="8"/>
      <c r="BP168" s="8"/>
      <c r="BQ168" s="8"/>
      <c r="BR168" s="8"/>
      <c r="BS168" s="8"/>
      <c r="BT168" s="8"/>
      <c r="BU168" s="8"/>
      <c r="BV168" s="8"/>
      <c r="BW168" s="8"/>
      <c r="BX168" s="8"/>
      <c r="BY168" s="8"/>
      <c r="BZ168" s="8"/>
      <c r="CA168" s="8"/>
      <c r="CB168" s="8"/>
      <c r="CC168" s="8"/>
      <c r="CD168" s="8"/>
      <c r="CE168" s="8"/>
      <c r="CF168" s="8"/>
      <c r="CG168" s="8"/>
      <c r="CH168" s="8"/>
      <c r="CI168" s="8"/>
      <c r="CJ168" s="8"/>
      <c r="CK168" s="8"/>
      <c r="CL168" s="8"/>
      <c r="CM168" s="8"/>
      <c r="CN168" s="8"/>
      <c r="CO168" s="8"/>
      <c r="CP168" s="8"/>
      <c r="CQ168" s="8"/>
      <c r="CR168" s="8"/>
      <c r="CS168" s="8"/>
      <c r="CT168" s="8"/>
      <c r="CU168" s="8"/>
      <c r="CV168" s="8"/>
      <c r="CW168" s="8"/>
      <c r="CX168" s="8"/>
      <c r="CY168" s="8"/>
      <c r="CZ168" s="8"/>
      <c r="DA168" s="8"/>
      <c r="DB168" s="8"/>
    </row>
    <row r="169" spans="1:106" ht="24" customHeight="1" x14ac:dyDescent="0.2">
      <c r="A169" s="145"/>
      <c r="B169" s="91"/>
      <c r="C169" s="91"/>
      <c r="D169" s="91"/>
      <c r="E169" s="91"/>
      <c r="F169" s="154">
        <v>1702</v>
      </c>
      <c r="G169" s="81" t="s">
        <v>471</v>
      </c>
      <c r="H169" s="81"/>
      <c r="I169" s="194"/>
      <c r="J169" s="693"/>
      <c r="K169" s="726"/>
      <c r="L169" s="693"/>
      <c r="M169" s="693"/>
      <c r="N169" s="688"/>
      <c r="O169" s="689"/>
      <c r="P169" s="688"/>
      <c r="Q169" s="727"/>
      <c r="R169" s="689"/>
      <c r="S169" s="689"/>
      <c r="T169" s="728"/>
      <c r="U169" s="147"/>
      <c r="V169" s="147"/>
      <c r="W169" s="148">
        <f>SUM(W170:W180)</f>
        <v>0</v>
      </c>
      <c r="X169" s="148"/>
      <c r="Y169" s="148"/>
      <c r="Z169" s="148">
        <f t="shared" ref="Z169:BJ169" si="223">SUM(Z170:Z180)</f>
        <v>0</v>
      </c>
      <c r="AA169" s="148"/>
      <c r="AB169" s="148"/>
      <c r="AC169" s="148">
        <f t="shared" si="223"/>
        <v>0</v>
      </c>
      <c r="AD169" s="148"/>
      <c r="AE169" s="148"/>
      <c r="AF169" s="148">
        <f t="shared" si="223"/>
        <v>0</v>
      </c>
      <c r="AG169" s="148"/>
      <c r="AH169" s="148"/>
      <c r="AI169" s="148">
        <f t="shared" si="223"/>
        <v>0</v>
      </c>
      <c r="AJ169" s="148"/>
      <c r="AK169" s="148"/>
      <c r="AL169" s="148">
        <f t="shared" si="223"/>
        <v>0</v>
      </c>
      <c r="AM169" s="148"/>
      <c r="AN169" s="148"/>
      <c r="AO169" s="148">
        <f t="shared" si="223"/>
        <v>0</v>
      </c>
      <c r="AP169" s="148"/>
      <c r="AQ169" s="148"/>
      <c r="AR169" s="148">
        <f t="shared" si="223"/>
        <v>0</v>
      </c>
      <c r="AS169" s="148"/>
      <c r="AT169" s="148"/>
      <c r="AU169" s="148">
        <f t="shared" si="223"/>
        <v>0</v>
      </c>
      <c r="AV169" s="148"/>
      <c r="AW169" s="148"/>
      <c r="AX169" s="148">
        <f t="shared" si="223"/>
        <v>0</v>
      </c>
      <c r="AY169" s="148"/>
      <c r="AZ169" s="148"/>
      <c r="BA169" s="148">
        <f t="shared" si="223"/>
        <v>834000000</v>
      </c>
      <c r="BB169" s="148">
        <f t="shared" ref="BB169:BC169" si="224">SUM(BB170:BB180)</f>
        <v>220780000</v>
      </c>
      <c r="BC169" s="148">
        <f t="shared" si="224"/>
        <v>23985000</v>
      </c>
      <c r="BD169" s="148">
        <f t="shared" si="223"/>
        <v>0</v>
      </c>
      <c r="BE169" s="148"/>
      <c r="BF169" s="148"/>
      <c r="BG169" s="148">
        <f t="shared" si="223"/>
        <v>0</v>
      </c>
      <c r="BH169" s="148"/>
      <c r="BI169" s="148"/>
      <c r="BJ169" s="148">
        <f t="shared" si="223"/>
        <v>834000000</v>
      </c>
      <c r="BK169" s="148">
        <f t="shared" ref="BK169:BL169" si="225">SUM(BK170:BK180)</f>
        <v>220780000</v>
      </c>
      <c r="BL169" s="148">
        <f t="shared" si="225"/>
        <v>23985000</v>
      </c>
      <c r="BM169" s="148"/>
      <c r="BN169" s="148"/>
    </row>
    <row r="170" spans="1:106" ht="88.5" customHeight="1" x14ac:dyDescent="0.2">
      <c r="A170" s="145"/>
      <c r="B170" s="91"/>
      <c r="C170" s="91"/>
      <c r="D170" s="91"/>
      <c r="E170" s="91"/>
      <c r="F170" s="87"/>
      <c r="G170" s="569"/>
      <c r="H170" s="562" t="s">
        <v>472</v>
      </c>
      <c r="I170" s="85">
        <v>1702011</v>
      </c>
      <c r="J170" s="562" t="s">
        <v>473</v>
      </c>
      <c r="K170" s="85">
        <v>1702011</v>
      </c>
      <c r="L170" s="562" t="s">
        <v>473</v>
      </c>
      <c r="M170" s="567" t="s">
        <v>474</v>
      </c>
      <c r="N170" s="561" t="s">
        <v>475</v>
      </c>
      <c r="O170" s="567" t="s">
        <v>474</v>
      </c>
      <c r="P170" s="561" t="s">
        <v>475</v>
      </c>
      <c r="Q170" s="569" t="s">
        <v>52</v>
      </c>
      <c r="R170" s="125">
        <v>30</v>
      </c>
      <c r="S170" s="125">
        <v>5</v>
      </c>
      <c r="T170" s="862" t="s">
        <v>476</v>
      </c>
      <c r="U170" s="875" t="s">
        <v>477</v>
      </c>
      <c r="V170" s="875" t="s">
        <v>478</v>
      </c>
      <c r="W170" s="150"/>
      <c r="X170" s="150"/>
      <c r="Y170" s="150"/>
      <c r="Z170" s="150"/>
      <c r="AA170" s="150"/>
      <c r="AB170" s="150"/>
      <c r="AC170" s="150"/>
      <c r="AD170" s="150"/>
      <c r="AE170" s="150"/>
      <c r="AF170" s="150"/>
      <c r="AG170" s="150"/>
      <c r="AH170" s="150"/>
      <c r="AI170" s="150"/>
      <c r="AJ170" s="150"/>
      <c r="AK170" s="150"/>
      <c r="AL170" s="150"/>
      <c r="AM170" s="150"/>
      <c r="AN170" s="150"/>
      <c r="AO170" s="150"/>
      <c r="AP170" s="150"/>
      <c r="AQ170" s="150"/>
      <c r="AR170" s="150"/>
      <c r="AS170" s="150"/>
      <c r="AT170" s="150"/>
      <c r="AU170" s="150"/>
      <c r="AV170" s="150"/>
      <c r="AW170" s="150"/>
      <c r="AX170" s="150"/>
      <c r="AY170" s="150"/>
      <c r="AZ170" s="150"/>
      <c r="BA170" s="225">
        <v>226000000</v>
      </c>
      <c r="BB170" s="225">
        <v>62620000</v>
      </c>
      <c r="BC170" s="225">
        <v>8655000</v>
      </c>
      <c r="BD170" s="240"/>
      <c r="BE170" s="240"/>
      <c r="BF170" s="240"/>
      <c r="BG170" s="240"/>
      <c r="BH170" s="240"/>
      <c r="BI170" s="240"/>
      <c r="BJ170" s="151">
        <f t="shared" ref="BJ170:BJ191" si="226">+W170+Z170+AC170+AF170+AI170+AL170+AO170+AR170+AU170+AX170+BA170+BD170+BG170</f>
        <v>226000000</v>
      </c>
      <c r="BK170" s="151">
        <f t="shared" ref="BK170:BK180" si="227">+X170+AA170+AD170+AG170+AJ170+AM170+AP170+AS170+AV170+AY170+BB170+BE170+BH170</f>
        <v>62620000</v>
      </c>
      <c r="BL170" s="151">
        <f t="shared" ref="BL170:BL180" si="228">+Y170+AB170+AE170+AH170+AK170+AN170+AQ170+AT170+AW170+AZ170+BC170+BF170+BI170</f>
        <v>8655000</v>
      </c>
      <c r="BM170" s="241" t="s">
        <v>479</v>
      </c>
      <c r="BN170" s="240" t="s">
        <v>480</v>
      </c>
    </row>
    <row r="171" spans="1:106" ht="64.5" customHeight="1" x14ac:dyDescent="0.2">
      <c r="A171" s="145"/>
      <c r="B171" s="91"/>
      <c r="C171" s="91"/>
      <c r="D171" s="91"/>
      <c r="E171" s="91"/>
      <c r="F171" s="87"/>
      <c r="G171" s="197"/>
      <c r="H171" s="562" t="s">
        <v>472</v>
      </c>
      <c r="I171" s="85">
        <v>1702007</v>
      </c>
      <c r="J171" s="562" t="s">
        <v>481</v>
      </c>
      <c r="K171" s="85">
        <v>1702007</v>
      </c>
      <c r="L171" s="562" t="s">
        <v>481</v>
      </c>
      <c r="M171" s="198" t="s">
        <v>482</v>
      </c>
      <c r="N171" s="577" t="s">
        <v>483</v>
      </c>
      <c r="O171" s="198" t="s">
        <v>482</v>
      </c>
      <c r="P171" s="577" t="s">
        <v>483</v>
      </c>
      <c r="Q171" s="115" t="s">
        <v>68</v>
      </c>
      <c r="R171" s="125">
        <v>4</v>
      </c>
      <c r="S171" s="125">
        <v>0</v>
      </c>
      <c r="T171" s="862"/>
      <c r="U171" s="875"/>
      <c r="V171" s="875"/>
      <c r="W171" s="176"/>
      <c r="X171" s="176"/>
      <c r="Y171" s="176"/>
      <c r="Z171" s="176"/>
      <c r="AA171" s="176"/>
      <c r="AB171" s="176"/>
      <c r="AC171" s="176"/>
      <c r="AD171" s="176"/>
      <c r="AE171" s="176"/>
      <c r="AF171" s="176"/>
      <c r="AG171" s="176"/>
      <c r="AH171" s="176"/>
      <c r="AI171" s="176"/>
      <c r="AJ171" s="176"/>
      <c r="AK171" s="176"/>
      <c r="AL171" s="176"/>
      <c r="AM171" s="176"/>
      <c r="AN171" s="176"/>
      <c r="AO171" s="176"/>
      <c r="AP171" s="176"/>
      <c r="AQ171" s="176"/>
      <c r="AR171" s="176"/>
      <c r="AS171" s="176"/>
      <c r="AT171" s="176"/>
      <c r="AU171" s="176"/>
      <c r="AV171" s="176"/>
      <c r="AW171" s="176"/>
      <c r="AX171" s="176"/>
      <c r="AY171" s="176"/>
      <c r="AZ171" s="176"/>
      <c r="BA171" s="225">
        <v>123000000</v>
      </c>
      <c r="BB171" s="239"/>
      <c r="BC171" s="239"/>
      <c r="BD171" s="240"/>
      <c r="BE171" s="240"/>
      <c r="BF171" s="240"/>
      <c r="BG171" s="240"/>
      <c r="BH171" s="240"/>
      <c r="BI171" s="240"/>
      <c r="BJ171" s="151">
        <f t="shared" si="226"/>
        <v>123000000</v>
      </c>
      <c r="BK171" s="151">
        <f t="shared" si="227"/>
        <v>0</v>
      </c>
      <c r="BL171" s="151">
        <f t="shared" si="228"/>
        <v>0</v>
      </c>
      <c r="BM171" s="241" t="s">
        <v>479</v>
      </c>
      <c r="BN171" s="240" t="s">
        <v>480</v>
      </c>
    </row>
    <row r="172" spans="1:106" ht="78" customHeight="1" x14ac:dyDescent="0.2">
      <c r="A172" s="145"/>
      <c r="B172" s="91"/>
      <c r="C172" s="91"/>
      <c r="D172" s="91"/>
      <c r="E172" s="91"/>
      <c r="F172" s="87"/>
      <c r="G172" s="569"/>
      <c r="H172" s="562" t="s">
        <v>472</v>
      </c>
      <c r="I172" s="85">
        <v>1702009</v>
      </c>
      <c r="J172" s="562" t="s">
        <v>484</v>
      </c>
      <c r="K172" s="85">
        <v>1702009</v>
      </c>
      <c r="L172" s="562" t="s">
        <v>484</v>
      </c>
      <c r="M172" s="198" t="s">
        <v>485</v>
      </c>
      <c r="N172" s="577" t="s">
        <v>486</v>
      </c>
      <c r="O172" s="198" t="s">
        <v>485</v>
      </c>
      <c r="P172" s="577" t="s">
        <v>486</v>
      </c>
      <c r="Q172" s="558" t="s">
        <v>68</v>
      </c>
      <c r="R172" s="409">
        <v>168</v>
      </c>
      <c r="S172" s="409">
        <v>0</v>
      </c>
      <c r="T172" s="862"/>
      <c r="U172" s="875"/>
      <c r="V172" s="875"/>
      <c r="W172" s="176"/>
      <c r="X172" s="176"/>
      <c r="Y172" s="176"/>
      <c r="Z172" s="176"/>
      <c r="AA172" s="176"/>
      <c r="AB172" s="176"/>
      <c r="AC172" s="176"/>
      <c r="AD172" s="176"/>
      <c r="AE172" s="176"/>
      <c r="AF172" s="176"/>
      <c r="AG172" s="176"/>
      <c r="AH172" s="176"/>
      <c r="AI172" s="176"/>
      <c r="AJ172" s="176"/>
      <c r="AK172" s="176"/>
      <c r="AL172" s="176"/>
      <c r="AM172" s="176"/>
      <c r="AN172" s="176"/>
      <c r="AO172" s="176"/>
      <c r="AP172" s="176"/>
      <c r="AQ172" s="176"/>
      <c r="AR172" s="176"/>
      <c r="AS172" s="176"/>
      <c r="AT172" s="176"/>
      <c r="AU172" s="176"/>
      <c r="AV172" s="176"/>
      <c r="AW172" s="176"/>
      <c r="AX172" s="176"/>
      <c r="AY172" s="176"/>
      <c r="AZ172" s="176"/>
      <c r="BA172" s="225">
        <v>90000000</v>
      </c>
      <c r="BB172" s="239"/>
      <c r="BC172" s="239"/>
      <c r="BD172" s="240"/>
      <c r="BE172" s="240"/>
      <c r="BF172" s="240"/>
      <c r="BG172" s="240"/>
      <c r="BH172" s="240"/>
      <c r="BI172" s="240"/>
      <c r="BJ172" s="151">
        <f t="shared" si="226"/>
        <v>90000000</v>
      </c>
      <c r="BK172" s="151">
        <f t="shared" si="227"/>
        <v>0</v>
      </c>
      <c r="BL172" s="151">
        <f t="shared" si="228"/>
        <v>0</v>
      </c>
      <c r="BM172" s="241" t="s">
        <v>479</v>
      </c>
      <c r="BN172" s="240" t="s">
        <v>480</v>
      </c>
    </row>
    <row r="173" spans="1:106" ht="102" customHeight="1" x14ac:dyDescent="0.2">
      <c r="A173" s="145"/>
      <c r="B173" s="91"/>
      <c r="C173" s="91"/>
      <c r="D173" s="91"/>
      <c r="E173" s="91"/>
      <c r="F173" s="87"/>
      <c r="G173" s="569"/>
      <c r="H173" s="562" t="s">
        <v>472</v>
      </c>
      <c r="I173" s="92">
        <v>1702017</v>
      </c>
      <c r="J173" s="562" t="s">
        <v>487</v>
      </c>
      <c r="K173" s="92">
        <v>1702017</v>
      </c>
      <c r="L173" s="562" t="s">
        <v>487</v>
      </c>
      <c r="M173" s="198" t="s">
        <v>488</v>
      </c>
      <c r="N173" s="577" t="s">
        <v>489</v>
      </c>
      <c r="O173" s="198" t="s">
        <v>488</v>
      </c>
      <c r="P173" s="577" t="s">
        <v>489</v>
      </c>
      <c r="Q173" s="243" t="s">
        <v>68</v>
      </c>
      <c r="R173" s="125">
        <v>750</v>
      </c>
      <c r="S173" s="125">
        <v>0</v>
      </c>
      <c r="T173" s="865" t="s">
        <v>490</v>
      </c>
      <c r="U173" s="893" t="s">
        <v>491</v>
      </c>
      <c r="V173" s="893" t="s">
        <v>492</v>
      </c>
      <c r="W173" s="176"/>
      <c r="X173" s="176"/>
      <c r="Y173" s="176"/>
      <c r="Z173" s="176"/>
      <c r="AA173" s="176"/>
      <c r="AB173" s="176"/>
      <c r="AC173" s="176"/>
      <c r="AD173" s="176"/>
      <c r="AE173" s="176"/>
      <c r="AF173" s="176"/>
      <c r="AG173" s="176"/>
      <c r="AH173" s="176"/>
      <c r="AI173" s="176"/>
      <c r="AJ173" s="176"/>
      <c r="AK173" s="176"/>
      <c r="AL173" s="176"/>
      <c r="AM173" s="176"/>
      <c r="AN173" s="176"/>
      <c r="AO173" s="176"/>
      <c r="AP173" s="176"/>
      <c r="AQ173" s="176"/>
      <c r="AR173" s="176"/>
      <c r="AS173" s="176"/>
      <c r="AT173" s="176"/>
      <c r="AU173" s="176"/>
      <c r="AV173" s="176"/>
      <c r="AW173" s="176"/>
      <c r="AX173" s="176"/>
      <c r="AY173" s="176"/>
      <c r="AZ173" s="176"/>
      <c r="BA173" s="611">
        <v>130000000</v>
      </c>
      <c r="BB173" s="611">
        <v>30500000</v>
      </c>
      <c r="BC173" s="244"/>
      <c r="BD173" s="240"/>
      <c r="BE173" s="240"/>
      <c r="BF173" s="240"/>
      <c r="BG173" s="240"/>
      <c r="BH173" s="240"/>
      <c r="BI173" s="240"/>
      <c r="BJ173" s="151">
        <f t="shared" si="226"/>
        <v>130000000</v>
      </c>
      <c r="BK173" s="151">
        <f t="shared" si="227"/>
        <v>30500000</v>
      </c>
      <c r="BL173" s="151">
        <f t="shared" si="228"/>
        <v>0</v>
      </c>
      <c r="BM173" s="241" t="s">
        <v>479</v>
      </c>
      <c r="BN173" s="240" t="s">
        <v>480</v>
      </c>
    </row>
    <row r="174" spans="1:106" ht="96" customHeight="1" x14ac:dyDescent="0.2">
      <c r="A174" s="145"/>
      <c r="B174" s="91"/>
      <c r="C174" s="91"/>
      <c r="D174" s="91"/>
      <c r="E174" s="91"/>
      <c r="F174" s="87"/>
      <c r="G174" s="569"/>
      <c r="H174" s="562" t="s">
        <v>472</v>
      </c>
      <c r="I174" s="85">
        <v>1702014</v>
      </c>
      <c r="J174" s="562" t="s">
        <v>493</v>
      </c>
      <c r="K174" s="85">
        <v>1702014</v>
      </c>
      <c r="L174" s="562" t="s">
        <v>493</v>
      </c>
      <c r="M174" s="198" t="s">
        <v>494</v>
      </c>
      <c r="N174" s="577" t="s">
        <v>495</v>
      </c>
      <c r="O174" s="198" t="s">
        <v>494</v>
      </c>
      <c r="P174" s="577" t="s">
        <v>495</v>
      </c>
      <c r="Q174" s="195" t="s">
        <v>68</v>
      </c>
      <c r="R174" s="220">
        <v>25</v>
      </c>
      <c r="S174" s="220">
        <v>0</v>
      </c>
      <c r="T174" s="865"/>
      <c r="U174" s="893"/>
      <c r="V174" s="893"/>
      <c r="W174" s="176"/>
      <c r="X174" s="176"/>
      <c r="Y174" s="176"/>
      <c r="Z174" s="176"/>
      <c r="AA174" s="176"/>
      <c r="AB174" s="176"/>
      <c r="AC174" s="176"/>
      <c r="AD174" s="176"/>
      <c r="AE174" s="176"/>
      <c r="AF174" s="176"/>
      <c r="AG174" s="176"/>
      <c r="AH174" s="176"/>
      <c r="AI174" s="176"/>
      <c r="AJ174" s="176"/>
      <c r="AK174" s="176"/>
      <c r="AL174" s="176"/>
      <c r="AM174" s="176"/>
      <c r="AN174" s="176"/>
      <c r="AO174" s="176"/>
      <c r="AP174" s="176"/>
      <c r="AQ174" s="176"/>
      <c r="AR174" s="176"/>
      <c r="AS174" s="176"/>
      <c r="AT174" s="176"/>
      <c r="AU174" s="176"/>
      <c r="AV174" s="176"/>
      <c r="AW174" s="176"/>
      <c r="AX174" s="176"/>
      <c r="AY174" s="176"/>
      <c r="AZ174" s="176"/>
      <c r="BA174" s="225">
        <v>45000000</v>
      </c>
      <c r="BB174" s="239"/>
      <c r="BC174" s="239"/>
      <c r="BD174" s="240"/>
      <c r="BE174" s="240"/>
      <c r="BF174" s="240"/>
      <c r="BG174" s="240"/>
      <c r="BH174" s="240"/>
      <c r="BI174" s="240"/>
      <c r="BJ174" s="151">
        <f t="shared" si="226"/>
        <v>45000000</v>
      </c>
      <c r="BK174" s="151">
        <f t="shared" si="227"/>
        <v>0</v>
      </c>
      <c r="BL174" s="151">
        <f t="shared" si="228"/>
        <v>0</v>
      </c>
      <c r="BM174" s="241" t="s">
        <v>479</v>
      </c>
      <c r="BN174" s="240" t="s">
        <v>480</v>
      </c>
    </row>
    <row r="175" spans="1:106" ht="85.5" customHeight="1" x14ac:dyDescent="0.2">
      <c r="A175" s="145"/>
      <c r="B175" s="91"/>
      <c r="C175" s="91"/>
      <c r="D175" s="91"/>
      <c r="E175" s="91"/>
      <c r="F175" s="87"/>
      <c r="G175" s="569"/>
      <c r="H175" s="562" t="s">
        <v>472</v>
      </c>
      <c r="I175" s="85">
        <v>1702021</v>
      </c>
      <c r="J175" s="562" t="s">
        <v>496</v>
      </c>
      <c r="K175" s="85">
        <v>1702021</v>
      </c>
      <c r="L175" s="562" t="s">
        <v>496</v>
      </c>
      <c r="M175" s="198" t="s">
        <v>497</v>
      </c>
      <c r="N175" s="577" t="s">
        <v>498</v>
      </c>
      <c r="O175" s="198" t="s">
        <v>497</v>
      </c>
      <c r="P175" s="577" t="s">
        <v>498</v>
      </c>
      <c r="Q175" s="195" t="s">
        <v>68</v>
      </c>
      <c r="R175" s="125">
        <v>150</v>
      </c>
      <c r="S175" s="125">
        <v>0</v>
      </c>
      <c r="T175" s="865"/>
      <c r="U175" s="893"/>
      <c r="V175" s="893"/>
      <c r="W175" s="176"/>
      <c r="X175" s="176"/>
      <c r="Y175" s="176"/>
      <c r="Z175" s="176"/>
      <c r="AA175" s="176"/>
      <c r="AB175" s="176"/>
      <c r="AC175" s="176"/>
      <c r="AD175" s="176"/>
      <c r="AE175" s="176"/>
      <c r="AF175" s="176"/>
      <c r="AG175" s="176"/>
      <c r="AH175" s="176"/>
      <c r="AI175" s="176"/>
      <c r="AJ175" s="176"/>
      <c r="AK175" s="176"/>
      <c r="AL175" s="176"/>
      <c r="AM175" s="176"/>
      <c r="AN175" s="176"/>
      <c r="AO175" s="176"/>
      <c r="AP175" s="176"/>
      <c r="AQ175" s="176"/>
      <c r="AR175" s="176"/>
      <c r="AS175" s="176"/>
      <c r="AT175" s="176"/>
      <c r="AU175" s="176"/>
      <c r="AV175" s="176"/>
      <c r="AW175" s="176"/>
      <c r="AX175" s="176"/>
      <c r="AY175" s="176"/>
      <c r="AZ175" s="176"/>
      <c r="BA175" s="225">
        <v>20000000</v>
      </c>
      <c r="BB175" s="225">
        <v>7420000</v>
      </c>
      <c r="BC175" s="225"/>
      <c r="BD175" s="240"/>
      <c r="BE175" s="240"/>
      <c r="BF175" s="240"/>
      <c r="BG175" s="240"/>
      <c r="BH175" s="240"/>
      <c r="BI175" s="240"/>
      <c r="BJ175" s="151">
        <f t="shared" si="226"/>
        <v>20000000</v>
      </c>
      <c r="BK175" s="151">
        <f t="shared" si="227"/>
        <v>7420000</v>
      </c>
      <c r="BL175" s="151">
        <f t="shared" si="228"/>
        <v>0</v>
      </c>
      <c r="BM175" s="241" t="s">
        <v>479</v>
      </c>
      <c r="BN175" s="240" t="s">
        <v>480</v>
      </c>
    </row>
    <row r="176" spans="1:106" ht="65.25" customHeight="1" x14ac:dyDescent="0.2">
      <c r="A176" s="145"/>
      <c r="B176" s="91"/>
      <c r="C176" s="91"/>
      <c r="D176" s="91"/>
      <c r="E176" s="91"/>
      <c r="F176" s="87"/>
      <c r="G176" s="569"/>
      <c r="H176" s="562" t="s">
        <v>472</v>
      </c>
      <c r="I176" s="85">
        <v>1702038</v>
      </c>
      <c r="J176" s="562" t="s">
        <v>499</v>
      </c>
      <c r="K176" s="85">
        <v>1702038</v>
      </c>
      <c r="L176" s="562" t="s">
        <v>499</v>
      </c>
      <c r="M176" s="567" t="s">
        <v>500</v>
      </c>
      <c r="N176" s="561" t="s">
        <v>501</v>
      </c>
      <c r="O176" s="567" t="s">
        <v>500</v>
      </c>
      <c r="P176" s="561" t="s">
        <v>501</v>
      </c>
      <c r="Q176" s="195" t="s">
        <v>52</v>
      </c>
      <c r="R176" s="125">
        <v>30</v>
      </c>
      <c r="S176" s="125">
        <v>5</v>
      </c>
      <c r="T176" s="862" t="s">
        <v>502</v>
      </c>
      <c r="U176" s="873" t="s">
        <v>503</v>
      </c>
      <c r="V176" s="884" t="s">
        <v>504</v>
      </c>
      <c r="W176" s="176"/>
      <c r="X176" s="176"/>
      <c r="Y176" s="176"/>
      <c r="Z176" s="176"/>
      <c r="AA176" s="176"/>
      <c r="AB176" s="176"/>
      <c r="AC176" s="176"/>
      <c r="AD176" s="176"/>
      <c r="AE176" s="176"/>
      <c r="AF176" s="176"/>
      <c r="AG176" s="176"/>
      <c r="AH176" s="176"/>
      <c r="AI176" s="176"/>
      <c r="AJ176" s="176"/>
      <c r="AK176" s="176"/>
      <c r="AL176" s="176"/>
      <c r="AM176" s="176"/>
      <c r="AN176" s="176"/>
      <c r="AO176" s="176"/>
      <c r="AP176" s="176"/>
      <c r="AQ176" s="176"/>
      <c r="AR176" s="176"/>
      <c r="AS176" s="176"/>
      <c r="AT176" s="176"/>
      <c r="AU176" s="176"/>
      <c r="AV176" s="176"/>
      <c r="AW176" s="176"/>
      <c r="AX176" s="176"/>
      <c r="AY176" s="176"/>
      <c r="AZ176" s="176"/>
      <c r="BA176" s="225">
        <v>65000000</v>
      </c>
      <c r="BB176" s="225">
        <v>29340000</v>
      </c>
      <c r="BC176" s="225">
        <v>4450000</v>
      </c>
      <c r="BD176" s="240"/>
      <c r="BE176" s="240"/>
      <c r="BF176" s="240"/>
      <c r="BG176" s="240"/>
      <c r="BH176" s="240"/>
      <c r="BI176" s="240"/>
      <c r="BJ176" s="151">
        <f t="shared" si="226"/>
        <v>65000000</v>
      </c>
      <c r="BK176" s="151">
        <f t="shared" si="227"/>
        <v>29340000</v>
      </c>
      <c r="BL176" s="151">
        <f t="shared" si="228"/>
        <v>4450000</v>
      </c>
      <c r="BM176" s="241" t="s">
        <v>479</v>
      </c>
      <c r="BN176" s="240" t="s">
        <v>480</v>
      </c>
    </row>
    <row r="177" spans="1:66" ht="129.75" customHeight="1" x14ac:dyDescent="0.2">
      <c r="A177" s="145"/>
      <c r="B177" s="91"/>
      <c r="C177" s="91"/>
      <c r="D177" s="91"/>
      <c r="E177" s="91"/>
      <c r="F177" s="87"/>
      <c r="G177" s="569"/>
      <c r="H177" s="562" t="s">
        <v>472</v>
      </c>
      <c r="I177" s="85">
        <v>1702038</v>
      </c>
      <c r="J177" s="562" t="s">
        <v>499</v>
      </c>
      <c r="K177" s="85">
        <v>1702038</v>
      </c>
      <c r="L177" s="562" t="s">
        <v>499</v>
      </c>
      <c r="M177" s="567" t="s">
        <v>505</v>
      </c>
      <c r="N177" s="561" t="s">
        <v>506</v>
      </c>
      <c r="O177" s="567" t="s">
        <v>505</v>
      </c>
      <c r="P177" s="561" t="s">
        <v>506</v>
      </c>
      <c r="Q177" s="195" t="s">
        <v>68</v>
      </c>
      <c r="R177" s="125">
        <v>80</v>
      </c>
      <c r="S177" s="125">
        <v>0</v>
      </c>
      <c r="T177" s="862"/>
      <c r="U177" s="873"/>
      <c r="V177" s="885"/>
      <c r="W177" s="176"/>
      <c r="X177" s="176"/>
      <c r="Y177" s="176"/>
      <c r="Z177" s="176"/>
      <c r="AA177" s="176"/>
      <c r="AB177" s="176"/>
      <c r="AC177" s="176"/>
      <c r="AD177" s="176"/>
      <c r="AE177" s="176"/>
      <c r="AF177" s="176"/>
      <c r="AG177" s="176"/>
      <c r="AH177" s="176"/>
      <c r="AI177" s="176"/>
      <c r="AJ177" s="176"/>
      <c r="AK177" s="176"/>
      <c r="AL177" s="176"/>
      <c r="AM177" s="176"/>
      <c r="AN177" s="176"/>
      <c r="AO177" s="176"/>
      <c r="AP177" s="176"/>
      <c r="AQ177" s="176"/>
      <c r="AR177" s="176"/>
      <c r="AS177" s="176"/>
      <c r="AT177" s="176"/>
      <c r="AU177" s="176"/>
      <c r="AV177" s="176"/>
      <c r="AW177" s="176"/>
      <c r="AX177" s="176"/>
      <c r="AY177" s="176"/>
      <c r="AZ177" s="176"/>
      <c r="BA177" s="225">
        <v>18000000</v>
      </c>
      <c r="BB177" s="225"/>
      <c r="BC177" s="225"/>
      <c r="BD177" s="240"/>
      <c r="BE177" s="240"/>
      <c r="BF177" s="240"/>
      <c r="BG177" s="240"/>
      <c r="BH177" s="240"/>
      <c r="BI177" s="240"/>
      <c r="BJ177" s="151">
        <f t="shared" si="226"/>
        <v>18000000</v>
      </c>
      <c r="BK177" s="151">
        <f t="shared" si="227"/>
        <v>0</v>
      </c>
      <c r="BL177" s="151">
        <f t="shared" si="228"/>
        <v>0</v>
      </c>
      <c r="BM177" s="241" t="s">
        <v>479</v>
      </c>
      <c r="BN177" s="240" t="s">
        <v>480</v>
      </c>
    </row>
    <row r="178" spans="1:66" ht="74.25" customHeight="1" x14ac:dyDescent="0.2">
      <c r="A178" s="145"/>
      <c r="B178" s="91"/>
      <c r="C178" s="91"/>
      <c r="D178" s="91"/>
      <c r="E178" s="91"/>
      <c r="F178" s="87"/>
      <c r="G178" s="569"/>
      <c r="H178" s="562" t="s">
        <v>472</v>
      </c>
      <c r="I178" s="85">
        <v>1702023</v>
      </c>
      <c r="J178" s="562" t="s">
        <v>249</v>
      </c>
      <c r="K178" s="85">
        <v>1702023</v>
      </c>
      <c r="L178" s="562" t="s">
        <v>249</v>
      </c>
      <c r="M178" s="567" t="s">
        <v>507</v>
      </c>
      <c r="N178" s="561" t="s">
        <v>508</v>
      </c>
      <c r="O178" s="567" t="s">
        <v>507</v>
      </c>
      <c r="P178" s="561" t="s">
        <v>508</v>
      </c>
      <c r="Q178" s="216" t="s">
        <v>52</v>
      </c>
      <c r="R178" s="125">
        <v>1</v>
      </c>
      <c r="S178" s="125">
        <v>1</v>
      </c>
      <c r="T178" s="865" t="s">
        <v>509</v>
      </c>
      <c r="U178" s="873" t="s">
        <v>510</v>
      </c>
      <c r="V178" s="875" t="s">
        <v>511</v>
      </c>
      <c r="W178" s="176"/>
      <c r="X178" s="176"/>
      <c r="Y178" s="176"/>
      <c r="Z178" s="176"/>
      <c r="AA178" s="176"/>
      <c r="AB178" s="176"/>
      <c r="AC178" s="176"/>
      <c r="AD178" s="176"/>
      <c r="AE178" s="176"/>
      <c r="AF178" s="176"/>
      <c r="AG178" s="176"/>
      <c r="AH178" s="176"/>
      <c r="AI178" s="176"/>
      <c r="AJ178" s="176"/>
      <c r="AK178" s="176"/>
      <c r="AL178" s="176"/>
      <c r="AM178" s="176"/>
      <c r="AN178" s="176"/>
      <c r="AO178" s="176"/>
      <c r="AP178" s="176"/>
      <c r="AQ178" s="176"/>
      <c r="AR178" s="176"/>
      <c r="AS178" s="176"/>
      <c r="AT178" s="176"/>
      <c r="AU178" s="176"/>
      <c r="AV178" s="176"/>
      <c r="AW178" s="176"/>
      <c r="AX178" s="176"/>
      <c r="AY178" s="176"/>
      <c r="AZ178" s="176"/>
      <c r="BA178" s="225">
        <v>45000000</v>
      </c>
      <c r="BB178" s="225">
        <v>27860000</v>
      </c>
      <c r="BC178" s="225">
        <v>2885000</v>
      </c>
      <c r="BD178" s="240"/>
      <c r="BE178" s="240"/>
      <c r="BF178" s="240"/>
      <c r="BG178" s="240"/>
      <c r="BH178" s="240"/>
      <c r="BI178" s="240"/>
      <c r="BJ178" s="151">
        <f t="shared" si="226"/>
        <v>45000000</v>
      </c>
      <c r="BK178" s="151">
        <f t="shared" si="227"/>
        <v>27860000</v>
      </c>
      <c r="BL178" s="151">
        <f t="shared" si="228"/>
        <v>2885000</v>
      </c>
      <c r="BM178" s="241" t="s">
        <v>479</v>
      </c>
      <c r="BN178" s="240" t="s">
        <v>480</v>
      </c>
    </row>
    <row r="179" spans="1:66" ht="108" customHeight="1" x14ac:dyDescent="0.2">
      <c r="A179" s="145"/>
      <c r="B179" s="91"/>
      <c r="C179" s="91"/>
      <c r="D179" s="91"/>
      <c r="E179" s="91"/>
      <c r="F179" s="87"/>
      <c r="G179" s="569"/>
      <c r="H179" s="562" t="s">
        <v>472</v>
      </c>
      <c r="I179" s="85">
        <v>1702024</v>
      </c>
      <c r="J179" s="562" t="s">
        <v>512</v>
      </c>
      <c r="K179" s="85">
        <v>1702024</v>
      </c>
      <c r="L179" s="562" t="s">
        <v>512</v>
      </c>
      <c r="M179" s="198" t="s">
        <v>513</v>
      </c>
      <c r="N179" s="577" t="s">
        <v>514</v>
      </c>
      <c r="O179" s="198" t="s">
        <v>513</v>
      </c>
      <c r="P179" s="577" t="s">
        <v>514</v>
      </c>
      <c r="Q179" s="216" t="s">
        <v>52</v>
      </c>
      <c r="R179" s="125">
        <v>12</v>
      </c>
      <c r="S179" s="125">
        <v>3</v>
      </c>
      <c r="T179" s="865"/>
      <c r="U179" s="873"/>
      <c r="V179" s="875"/>
      <c r="W179" s="176"/>
      <c r="X179" s="176"/>
      <c r="Y179" s="176"/>
      <c r="Z179" s="176"/>
      <c r="AA179" s="176"/>
      <c r="AB179" s="176"/>
      <c r="AC179" s="176"/>
      <c r="AD179" s="176"/>
      <c r="AE179" s="176"/>
      <c r="AF179" s="176"/>
      <c r="AG179" s="176"/>
      <c r="AH179" s="176"/>
      <c r="AI179" s="176"/>
      <c r="AJ179" s="176"/>
      <c r="AK179" s="176"/>
      <c r="AL179" s="176"/>
      <c r="AM179" s="176"/>
      <c r="AN179" s="176"/>
      <c r="AO179" s="176"/>
      <c r="AP179" s="176"/>
      <c r="AQ179" s="176"/>
      <c r="AR179" s="176"/>
      <c r="AS179" s="176"/>
      <c r="AT179" s="176"/>
      <c r="AU179" s="176"/>
      <c r="AV179" s="176"/>
      <c r="AW179" s="176"/>
      <c r="AX179" s="176"/>
      <c r="AY179" s="176"/>
      <c r="AZ179" s="176"/>
      <c r="BA179" s="225">
        <v>45000000</v>
      </c>
      <c r="BB179" s="225">
        <v>36100000</v>
      </c>
      <c r="BC179" s="225">
        <v>7995000</v>
      </c>
      <c r="BD179" s="240"/>
      <c r="BE179" s="240"/>
      <c r="BF179" s="240"/>
      <c r="BG179" s="240"/>
      <c r="BH179" s="240"/>
      <c r="BI179" s="240"/>
      <c r="BJ179" s="151">
        <f t="shared" si="226"/>
        <v>45000000</v>
      </c>
      <c r="BK179" s="151">
        <f t="shared" si="227"/>
        <v>36100000</v>
      </c>
      <c r="BL179" s="151">
        <f t="shared" si="228"/>
        <v>7995000</v>
      </c>
      <c r="BM179" s="241" t="s">
        <v>479</v>
      </c>
      <c r="BN179" s="240" t="s">
        <v>480</v>
      </c>
    </row>
    <row r="180" spans="1:66" ht="171.75" customHeight="1" x14ac:dyDescent="0.2">
      <c r="A180" s="145"/>
      <c r="B180" s="91"/>
      <c r="C180" s="91"/>
      <c r="D180" s="91"/>
      <c r="E180" s="91"/>
      <c r="F180" s="87"/>
      <c r="G180" s="569"/>
      <c r="H180" s="562" t="s">
        <v>472</v>
      </c>
      <c r="I180" s="85">
        <v>1702025</v>
      </c>
      <c r="J180" s="562" t="s">
        <v>515</v>
      </c>
      <c r="K180" s="85">
        <v>1702025</v>
      </c>
      <c r="L180" s="562" t="s">
        <v>515</v>
      </c>
      <c r="M180" s="198" t="s">
        <v>516</v>
      </c>
      <c r="N180" s="577" t="s">
        <v>517</v>
      </c>
      <c r="O180" s="198" t="s">
        <v>516</v>
      </c>
      <c r="P180" s="577" t="s">
        <v>517</v>
      </c>
      <c r="Q180" s="216" t="s">
        <v>68</v>
      </c>
      <c r="R180" s="125">
        <v>25</v>
      </c>
      <c r="S180" s="125">
        <v>0</v>
      </c>
      <c r="T180" s="570" t="s">
        <v>518</v>
      </c>
      <c r="U180" s="561" t="s">
        <v>519</v>
      </c>
      <c r="V180" s="562" t="s">
        <v>520</v>
      </c>
      <c r="W180" s="176"/>
      <c r="X180" s="176"/>
      <c r="Y180" s="176"/>
      <c r="Z180" s="176"/>
      <c r="AA180" s="176"/>
      <c r="AB180" s="176"/>
      <c r="AC180" s="176"/>
      <c r="AD180" s="176"/>
      <c r="AE180" s="176"/>
      <c r="AF180" s="176"/>
      <c r="AG180" s="176"/>
      <c r="AH180" s="176"/>
      <c r="AI180" s="176"/>
      <c r="AJ180" s="176"/>
      <c r="AK180" s="176"/>
      <c r="AL180" s="176"/>
      <c r="AM180" s="176"/>
      <c r="AN180" s="176"/>
      <c r="AO180" s="176"/>
      <c r="AP180" s="176"/>
      <c r="AQ180" s="176"/>
      <c r="AR180" s="176"/>
      <c r="AS180" s="176"/>
      <c r="AT180" s="176"/>
      <c r="AU180" s="176"/>
      <c r="AV180" s="176"/>
      <c r="AW180" s="176"/>
      <c r="AX180" s="176"/>
      <c r="AY180" s="176"/>
      <c r="AZ180" s="176"/>
      <c r="BA180" s="225">
        <v>27000000</v>
      </c>
      <c r="BB180" s="225">
        <v>26940000</v>
      </c>
      <c r="BC180" s="239"/>
      <c r="BD180" s="240"/>
      <c r="BE180" s="240"/>
      <c r="BF180" s="240"/>
      <c r="BG180" s="240"/>
      <c r="BH180" s="240"/>
      <c r="BI180" s="240"/>
      <c r="BJ180" s="151">
        <f t="shared" si="226"/>
        <v>27000000</v>
      </c>
      <c r="BK180" s="151">
        <f t="shared" si="227"/>
        <v>26940000</v>
      </c>
      <c r="BL180" s="151">
        <f t="shared" si="228"/>
        <v>0</v>
      </c>
      <c r="BM180" s="241" t="s">
        <v>479</v>
      </c>
      <c r="BN180" s="240" t="s">
        <v>480</v>
      </c>
    </row>
    <row r="181" spans="1:66" ht="24" customHeight="1" x14ac:dyDescent="0.2">
      <c r="A181" s="145"/>
      <c r="B181" s="91"/>
      <c r="C181" s="91"/>
      <c r="D181" s="91"/>
      <c r="E181" s="91"/>
      <c r="F181" s="154">
        <v>1703</v>
      </c>
      <c r="G181" s="81" t="s">
        <v>521</v>
      </c>
      <c r="H181" s="81"/>
      <c r="I181" s="194"/>
      <c r="J181" s="693"/>
      <c r="K181" s="726"/>
      <c r="L181" s="693"/>
      <c r="M181" s="693"/>
      <c r="N181" s="688"/>
      <c r="O181" s="689"/>
      <c r="P181" s="688"/>
      <c r="Q181" s="727"/>
      <c r="R181" s="689"/>
      <c r="S181" s="689"/>
      <c r="T181" s="728"/>
      <c r="U181" s="147"/>
      <c r="V181" s="147"/>
      <c r="W181" s="148">
        <f>SUM(W182)</f>
        <v>0</v>
      </c>
      <c r="X181" s="148"/>
      <c r="Y181" s="148"/>
      <c r="Z181" s="148">
        <f t="shared" ref="Z181:BL181" si="229">SUM(Z182)</f>
        <v>0</v>
      </c>
      <c r="AA181" s="148"/>
      <c r="AB181" s="148"/>
      <c r="AC181" s="148">
        <f t="shared" si="229"/>
        <v>0</v>
      </c>
      <c r="AD181" s="148"/>
      <c r="AE181" s="148"/>
      <c r="AF181" s="148">
        <f t="shared" si="229"/>
        <v>0</v>
      </c>
      <c r="AG181" s="148"/>
      <c r="AH181" s="148"/>
      <c r="AI181" s="148">
        <f t="shared" si="229"/>
        <v>0</v>
      </c>
      <c r="AJ181" s="148"/>
      <c r="AK181" s="148"/>
      <c r="AL181" s="148">
        <f t="shared" si="229"/>
        <v>0</v>
      </c>
      <c r="AM181" s="148"/>
      <c r="AN181" s="148"/>
      <c r="AO181" s="148">
        <f t="shared" si="229"/>
        <v>0</v>
      </c>
      <c r="AP181" s="148"/>
      <c r="AQ181" s="148"/>
      <c r="AR181" s="148">
        <f t="shared" si="229"/>
        <v>0</v>
      </c>
      <c r="AS181" s="148"/>
      <c r="AT181" s="148"/>
      <c r="AU181" s="148">
        <f t="shared" si="229"/>
        <v>0</v>
      </c>
      <c r="AV181" s="148"/>
      <c r="AW181" s="148"/>
      <c r="AX181" s="148">
        <f t="shared" si="229"/>
        <v>0</v>
      </c>
      <c r="AY181" s="148"/>
      <c r="AZ181" s="148"/>
      <c r="BA181" s="211">
        <f t="shared" si="229"/>
        <v>75000000</v>
      </c>
      <c r="BB181" s="148">
        <f t="shared" si="229"/>
        <v>57700000</v>
      </c>
      <c r="BC181" s="148">
        <f t="shared" si="229"/>
        <v>11540000</v>
      </c>
      <c r="BD181" s="148">
        <f t="shared" si="229"/>
        <v>0</v>
      </c>
      <c r="BE181" s="148"/>
      <c r="BF181" s="148"/>
      <c r="BG181" s="148">
        <f t="shared" si="229"/>
        <v>0</v>
      </c>
      <c r="BH181" s="148"/>
      <c r="BI181" s="148"/>
      <c r="BJ181" s="211">
        <f t="shared" si="229"/>
        <v>75000000</v>
      </c>
      <c r="BK181" s="211">
        <f t="shared" si="229"/>
        <v>57700000</v>
      </c>
      <c r="BL181" s="211">
        <f t="shared" si="229"/>
        <v>11540000</v>
      </c>
      <c r="BM181" s="148" t="s">
        <v>0</v>
      </c>
      <c r="BN181" s="156"/>
    </row>
    <row r="182" spans="1:66" ht="187.5" customHeight="1" x14ac:dyDescent="0.2">
      <c r="A182" s="145"/>
      <c r="B182" s="91"/>
      <c r="C182" s="91"/>
      <c r="D182" s="91"/>
      <c r="E182" s="91"/>
      <c r="F182" s="87"/>
      <c r="G182" s="569"/>
      <c r="H182" s="562" t="s">
        <v>472</v>
      </c>
      <c r="I182" s="85">
        <v>1703013</v>
      </c>
      <c r="J182" s="562" t="s">
        <v>522</v>
      </c>
      <c r="K182" s="85">
        <v>1703013</v>
      </c>
      <c r="L182" s="562" t="s">
        <v>522</v>
      </c>
      <c r="M182" s="198" t="s">
        <v>523</v>
      </c>
      <c r="N182" s="577" t="s">
        <v>524</v>
      </c>
      <c r="O182" s="198" t="s">
        <v>523</v>
      </c>
      <c r="P182" s="577" t="s">
        <v>524</v>
      </c>
      <c r="Q182" s="216" t="s">
        <v>68</v>
      </c>
      <c r="R182" s="125">
        <v>100</v>
      </c>
      <c r="S182" s="125">
        <v>0</v>
      </c>
      <c r="T182" s="570" t="s">
        <v>525</v>
      </c>
      <c r="U182" s="561" t="s">
        <v>526</v>
      </c>
      <c r="V182" s="562" t="s">
        <v>527</v>
      </c>
      <c r="W182" s="176"/>
      <c r="X182" s="176"/>
      <c r="Y182" s="176"/>
      <c r="Z182" s="176"/>
      <c r="AA182" s="176"/>
      <c r="AB182" s="176"/>
      <c r="AC182" s="176"/>
      <c r="AD182" s="176"/>
      <c r="AE182" s="176"/>
      <c r="AF182" s="176"/>
      <c r="AG182" s="176"/>
      <c r="AH182" s="176"/>
      <c r="AI182" s="176"/>
      <c r="AJ182" s="176"/>
      <c r="AK182" s="176"/>
      <c r="AL182" s="176"/>
      <c r="AM182" s="176"/>
      <c r="AN182" s="176"/>
      <c r="AO182" s="176"/>
      <c r="AP182" s="176"/>
      <c r="AQ182" s="176"/>
      <c r="AR182" s="176"/>
      <c r="AS182" s="176"/>
      <c r="AT182" s="176"/>
      <c r="AU182" s="176"/>
      <c r="AV182" s="176"/>
      <c r="AW182" s="176"/>
      <c r="AX182" s="176"/>
      <c r="AY182" s="176"/>
      <c r="AZ182" s="176"/>
      <c r="BA182" s="225">
        <v>75000000</v>
      </c>
      <c r="BB182" s="225">
        <v>57700000</v>
      </c>
      <c r="BC182" s="225">
        <v>11540000</v>
      </c>
      <c r="BD182" s="240"/>
      <c r="BE182" s="240"/>
      <c r="BF182" s="240"/>
      <c r="BG182" s="240"/>
      <c r="BH182" s="240"/>
      <c r="BI182" s="240"/>
      <c r="BJ182" s="151">
        <f t="shared" si="226"/>
        <v>75000000</v>
      </c>
      <c r="BK182" s="151">
        <f t="shared" ref="BK182" si="230">+X182+AA182+AD182+AG182+AJ182+AM182+AP182+AS182+AV182+AY182+BB182+BE182+BH182</f>
        <v>57700000</v>
      </c>
      <c r="BL182" s="151">
        <f t="shared" ref="BL182" si="231">+Y182+AB182+AE182+AH182+AK182+AN182+AQ182+AT182+AW182+AZ182+BC182+BF182+BI182</f>
        <v>11540000</v>
      </c>
      <c r="BM182" s="241" t="s">
        <v>479</v>
      </c>
      <c r="BN182" s="240" t="s">
        <v>480</v>
      </c>
    </row>
    <row r="183" spans="1:66" ht="24" customHeight="1" x14ac:dyDescent="0.2">
      <c r="A183" s="145"/>
      <c r="B183" s="91"/>
      <c r="C183" s="91"/>
      <c r="D183" s="91"/>
      <c r="E183" s="91"/>
      <c r="F183" s="154">
        <v>1704</v>
      </c>
      <c r="G183" s="81" t="s">
        <v>528</v>
      </c>
      <c r="H183" s="81"/>
      <c r="I183" s="194"/>
      <c r="J183" s="693"/>
      <c r="K183" s="748"/>
      <c r="L183" s="693"/>
      <c r="M183" s="693"/>
      <c r="N183" s="749"/>
      <c r="O183" s="748"/>
      <c r="P183" s="749"/>
      <c r="Q183" s="749"/>
      <c r="R183" s="749"/>
      <c r="S183" s="749"/>
      <c r="T183" s="751"/>
      <c r="U183" s="245"/>
      <c r="V183" s="245"/>
      <c r="W183" s="246">
        <f>SUM(W184:W185)</f>
        <v>0</v>
      </c>
      <c r="X183" s="246"/>
      <c r="Y183" s="246"/>
      <c r="Z183" s="246">
        <f t="shared" ref="Z183:BL183" si="232">SUM(Z184:Z185)</f>
        <v>0</v>
      </c>
      <c r="AA183" s="246"/>
      <c r="AB183" s="246"/>
      <c r="AC183" s="246">
        <f t="shared" si="232"/>
        <v>0</v>
      </c>
      <c r="AD183" s="246"/>
      <c r="AE183" s="246"/>
      <c r="AF183" s="246">
        <f t="shared" si="232"/>
        <v>0</v>
      </c>
      <c r="AG183" s="246"/>
      <c r="AH183" s="246"/>
      <c r="AI183" s="246">
        <f t="shared" si="232"/>
        <v>0</v>
      </c>
      <c r="AJ183" s="246"/>
      <c r="AK183" s="246"/>
      <c r="AL183" s="246">
        <f t="shared" si="232"/>
        <v>0</v>
      </c>
      <c r="AM183" s="246"/>
      <c r="AN183" s="246"/>
      <c r="AO183" s="246">
        <f t="shared" si="232"/>
        <v>0</v>
      </c>
      <c r="AP183" s="246"/>
      <c r="AQ183" s="246"/>
      <c r="AR183" s="246">
        <f t="shared" si="232"/>
        <v>0</v>
      </c>
      <c r="AS183" s="246"/>
      <c r="AT183" s="246"/>
      <c r="AU183" s="246">
        <f t="shared" si="232"/>
        <v>0</v>
      </c>
      <c r="AV183" s="246"/>
      <c r="AW183" s="246"/>
      <c r="AX183" s="246">
        <f t="shared" si="232"/>
        <v>0</v>
      </c>
      <c r="AY183" s="246"/>
      <c r="AZ183" s="246"/>
      <c r="BA183" s="608">
        <f>SUM(BA184:BA185)</f>
        <v>70000000</v>
      </c>
      <c r="BB183" s="247">
        <f t="shared" ref="BB183:BC183" si="233">SUM(BB184:BB185)</f>
        <v>30500000</v>
      </c>
      <c r="BC183" s="247">
        <f t="shared" si="233"/>
        <v>5770000</v>
      </c>
      <c r="BD183" s="247">
        <f t="shared" si="232"/>
        <v>0</v>
      </c>
      <c r="BE183" s="247"/>
      <c r="BF183" s="247"/>
      <c r="BG183" s="247">
        <f t="shared" si="232"/>
        <v>0</v>
      </c>
      <c r="BH183" s="247"/>
      <c r="BI183" s="247"/>
      <c r="BJ183" s="608">
        <f t="shared" si="232"/>
        <v>70000000</v>
      </c>
      <c r="BK183" s="608">
        <f t="shared" si="232"/>
        <v>30500000</v>
      </c>
      <c r="BL183" s="608">
        <f t="shared" si="232"/>
        <v>5770000</v>
      </c>
      <c r="BM183" s="247"/>
      <c r="BN183" s="248"/>
    </row>
    <row r="184" spans="1:66" ht="80.25" customHeight="1" x14ac:dyDescent="0.2">
      <c r="A184" s="145"/>
      <c r="B184" s="96"/>
      <c r="C184" s="96"/>
      <c r="D184" s="96"/>
      <c r="E184" s="96"/>
      <c r="F184" s="89"/>
      <c r="G184" s="249"/>
      <c r="H184" s="562" t="s">
        <v>472</v>
      </c>
      <c r="I184" s="85">
        <v>1704002</v>
      </c>
      <c r="J184" s="562" t="s">
        <v>96</v>
      </c>
      <c r="K184" s="85">
        <v>1704002</v>
      </c>
      <c r="L184" s="562" t="s">
        <v>96</v>
      </c>
      <c r="M184" s="567" t="s">
        <v>529</v>
      </c>
      <c r="N184" s="561" t="s">
        <v>530</v>
      </c>
      <c r="O184" s="567" t="s">
        <v>529</v>
      </c>
      <c r="P184" s="561" t="s">
        <v>530</v>
      </c>
      <c r="Q184" s="195" t="s">
        <v>52</v>
      </c>
      <c r="R184" s="125">
        <v>1</v>
      </c>
      <c r="S184" s="125">
        <v>0</v>
      </c>
      <c r="T184" s="865" t="s">
        <v>531</v>
      </c>
      <c r="U184" s="873" t="s">
        <v>532</v>
      </c>
      <c r="V184" s="875" t="s">
        <v>533</v>
      </c>
      <c r="W184" s="145"/>
      <c r="X184" s="145"/>
      <c r="Y184" s="145"/>
      <c r="Z184" s="145"/>
      <c r="AA184" s="145"/>
      <c r="AB184" s="145"/>
      <c r="AC184" s="145"/>
      <c r="AD184" s="145"/>
      <c r="AE184" s="145"/>
      <c r="AF184" s="145"/>
      <c r="AG184" s="145"/>
      <c r="AH184" s="145"/>
      <c r="AI184" s="145"/>
      <c r="AJ184" s="145"/>
      <c r="AK184" s="145"/>
      <c r="AL184" s="145"/>
      <c r="AM184" s="145"/>
      <c r="AN184" s="145"/>
      <c r="AO184" s="145"/>
      <c r="AP184" s="145"/>
      <c r="AQ184" s="145"/>
      <c r="AR184" s="145"/>
      <c r="AS184" s="145"/>
      <c r="AT184" s="145"/>
      <c r="AU184" s="145"/>
      <c r="AV184" s="145"/>
      <c r="AW184" s="145"/>
      <c r="AX184" s="145"/>
      <c r="AY184" s="145"/>
      <c r="AZ184" s="145"/>
      <c r="BA184" s="607">
        <v>42000000</v>
      </c>
      <c r="BB184" s="607">
        <v>23080000</v>
      </c>
      <c r="BC184" s="607">
        <v>5770000</v>
      </c>
      <c r="BD184" s="240"/>
      <c r="BE184" s="240"/>
      <c r="BF184" s="240"/>
      <c r="BG184" s="240"/>
      <c r="BH184" s="240"/>
      <c r="BI184" s="240"/>
      <c r="BJ184" s="151">
        <f t="shared" si="226"/>
        <v>42000000</v>
      </c>
      <c r="BK184" s="151">
        <f t="shared" ref="BK184:BK185" si="234">+X184+AA184+AD184+AG184+AJ184+AM184+AP184+AS184+AV184+AY184+BB184+BE184+BH184</f>
        <v>23080000</v>
      </c>
      <c r="BL184" s="151">
        <f t="shared" ref="BL184:BL185" si="235">+Y184+AB184+AE184+AH184+AK184+AN184+AQ184+AT184+AW184+AZ184+BC184+BF184+BI184</f>
        <v>5770000</v>
      </c>
      <c r="BM184" s="241" t="s">
        <v>479</v>
      </c>
      <c r="BN184" s="240" t="s">
        <v>480</v>
      </c>
    </row>
    <row r="185" spans="1:66" ht="105" customHeight="1" x14ac:dyDescent="0.2">
      <c r="A185" s="145"/>
      <c r="B185" s="96"/>
      <c r="C185" s="96"/>
      <c r="D185" s="96"/>
      <c r="E185" s="96"/>
      <c r="F185" s="89"/>
      <c r="G185" s="249"/>
      <c r="H185" s="562" t="s">
        <v>472</v>
      </c>
      <c r="I185" s="85">
        <v>1704017</v>
      </c>
      <c r="J185" s="562" t="s">
        <v>534</v>
      </c>
      <c r="K185" s="85">
        <v>1704017</v>
      </c>
      <c r="L185" s="562" t="s">
        <v>534</v>
      </c>
      <c r="M185" s="567" t="s">
        <v>535</v>
      </c>
      <c r="N185" s="561" t="s">
        <v>536</v>
      </c>
      <c r="O185" s="567" t="s">
        <v>535</v>
      </c>
      <c r="P185" s="561" t="s">
        <v>536</v>
      </c>
      <c r="Q185" s="195" t="s">
        <v>68</v>
      </c>
      <c r="R185" s="125">
        <v>150</v>
      </c>
      <c r="S185" s="125">
        <v>0</v>
      </c>
      <c r="T185" s="865"/>
      <c r="U185" s="873"/>
      <c r="V185" s="875"/>
      <c r="W185" s="145"/>
      <c r="X185" s="145"/>
      <c r="Y185" s="145"/>
      <c r="Z185" s="145"/>
      <c r="AA185" s="145"/>
      <c r="AB185" s="145"/>
      <c r="AC185" s="145"/>
      <c r="AD185" s="145"/>
      <c r="AE185" s="145"/>
      <c r="AF185" s="145"/>
      <c r="AG185" s="145"/>
      <c r="AH185" s="145"/>
      <c r="AI185" s="145"/>
      <c r="AJ185" s="145"/>
      <c r="AK185" s="145"/>
      <c r="AL185" s="145"/>
      <c r="AM185" s="145"/>
      <c r="AN185" s="145"/>
      <c r="AO185" s="145"/>
      <c r="AP185" s="145"/>
      <c r="AQ185" s="145"/>
      <c r="AR185" s="145"/>
      <c r="AS185" s="145"/>
      <c r="AT185" s="145"/>
      <c r="AU185" s="145"/>
      <c r="AV185" s="145"/>
      <c r="AW185" s="145"/>
      <c r="AX185" s="145"/>
      <c r="AY185" s="145"/>
      <c r="AZ185" s="145"/>
      <c r="BA185" s="607">
        <v>28000000</v>
      </c>
      <c r="BB185" s="607">
        <v>7420000</v>
      </c>
      <c r="BC185" s="607"/>
      <c r="BD185" s="240"/>
      <c r="BE185" s="240"/>
      <c r="BF185" s="240"/>
      <c r="BG185" s="240"/>
      <c r="BH185" s="240"/>
      <c r="BI185" s="240"/>
      <c r="BJ185" s="151">
        <f t="shared" si="226"/>
        <v>28000000</v>
      </c>
      <c r="BK185" s="151">
        <f t="shared" si="234"/>
        <v>7420000</v>
      </c>
      <c r="BL185" s="151">
        <f t="shared" si="235"/>
        <v>0</v>
      </c>
      <c r="BM185" s="241" t="s">
        <v>479</v>
      </c>
      <c r="BN185" s="240" t="s">
        <v>480</v>
      </c>
    </row>
    <row r="186" spans="1:66" ht="24" customHeight="1" x14ac:dyDescent="0.2">
      <c r="A186" s="145"/>
      <c r="B186" s="91"/>
      <c r="C186" s="91"/>
      <c r="D186" s="91"/>
      <c r="E186" s="91"/>
      <c r="F186" s="154">
        <v>1706</v>
      </c>
      <c r="G186" s="81" t="s">
        <v>537</v>
      </c>
      <c r="H186" s="81"/>
      <c r="I186" s="194"/>
      <c r="J186" s="693"/>
      <c r="K186" s="726"/>
      <c r="L186" s="693"/>
      <c r="M186" s="693"/>
      <c r="N186" s="688"/>
      <c r="O186" s="689"/>
      <c r="P186" s="688"/>
      <c r="Q186" s="727"/>
      <c r="R186" s="689"/>
      <c r="S186" s="689"/>
      <c r="T186" s="728"/>
      <c r="U186" s="147"/>
      <c r="V186" s="147"/>
      <c r="W186" s="148">
        <f>SUM(W187)</f>
        <v>0</v>
      </c>
      <c r="X186" s="148"/>
      <c r="Y186" s="148"/>
      <c r="Z186" s="148">
        <f t="shared" ref="Z186:BL186" si="236">SUM(Z187)</f>
        <v>0</v>
      </c>
      <c r="AA186" s="148"/>
      <c r="AB186" s="148"/>
      <c r="AC186" s="148">
        <f t="shared" si="236"/>
        <v>0</v>
      </c>
      <c r="AD186" s="148"/>
      <c r="AE186" s="148"/>
      <c r="AF186" s="148">
        <f t="shared" si="236"/>
        <v>0</v>
      </c>
      <c r="AG186" s="148"/>
      <c r="AH186" s="148"/>
      <c r="AI186" s="148">
        <f t="shared" si="236"/>
        <v>0</v>
      </c>
      <c r="AJ186" s="148"/>
      <c r="AK186" s="148"/>
      <c r="AL186" s="148">
        <f t="shared" si="236"/>
        <v>0</v>
      </c>
      <c r="AM186" s="148"/>
      <c r="AN186" s="148"/>
      <c r="AO186" s="148">
        <f t="shared" si="236"/>
        <v>0</v>
      </c>
      <c r="AP186" s="148"/>
      <c r="AQ186" s="148"/>
      <c r="AR186" s="148">
        <f t="shared" si="236"/>
        <v>0</v>
      </c>
      <c r="AS186" s="148"/>
      <c r="AT186" s="148"/>
      <c r="AU186" s="148">
        <f t="shared" si="236"/>
        <v>0</v>
      </c>
      <c r="AV186" s="148"/>
      <c r="AW186" s="148"/>
      <c r="AX186" s="148">
        <f t="shared" si="236"/>
        <v>0</v>
      </c>
      <c r="AY186" s="148"/>
      <c r="AZ186" s="148"/>
      <c r="BA186" s="211">
        <f t="shared" si="236"/>
        <v>20000000</v>
      </c>
      <c r="BB186" s="148">
        <f t="shared" si="236"/>
        <v>0</v>
      </c>
      <c r="BC186" s="148">
        <f t="shared" si="236"/>
        <v>0</v>
      </c>
      <c r="BD186" s="148">
        <f t="shared" si="236"/>
        <v>0</v>
      </c>
      <c r="BE186" s="148"/>
      <c r="BF186" s="148"/>
      <c r="BG186" s="148">
        <f t="shared" si="236"/>
        <v>0</v>
      </c>
      <c r="BH186" s="148"/>
      <c r="BI186" s="148"/>
      <c r="BJ186" s="211">
        <f t="shared" si="236"/>
        <v>20000000</v>
      </c>
      <c r="BK186" s="148">
        <f t="shared" si="236"/>
        <v>0</v>
      </c>
      <c r="BL186" s="148">
        <f t="shared" si="236"/>
        <v>0</v>
      </c>
      <c r="BM186" s="148"/>
      <c r="BN186" s="156"/>
    </row>
    <row r="187" spans="1:66" ht="148.5" customHeight="1" x14ac:dyDescent="0.2">
      <c r="A187" s="145"/>
      <c r="B187" s="91"/>
      <c r="C187" s="91"/>
      <c r="D187" s="91"/>
      <c r="E187" s="91"/>
      <c r="F187" s="87"/>
      <c r="G187" s="216"/>
      <c r="H187" s="562" t="s">
        <v>472</v>
      </c>
      <c r="I187" s="85">
        <v>1706004</v>
      </c>
      <c r="J187" s="562" t="s">
        <v>538</v>
      </c>
      <c r="K187" s="85">
        <v>1706004</v>
      </c>
      <c r="L187" s="562" t="s">
        <v>538</v>
      </c>
      <c r="M187" s="567" t="s">
        <v>539</v>
      </c>
      <c r="N187" s="561" t="s">
        <v>540</v>
      </c>
      <c r="O187" s="567" t="s">
        <v>539</v>
      </c>
      <c r="P187" s="561" t="s">
        <v>540</v>
      </c>
      <c r="Q187" s="195" t="s">
        <v>52</v>
      </c>
      <c r="R187" s="125">
        <v>10</v>
      </c>
      <c r="S187" s="125">
        <v>0</v>
      </c>
      <c r="T187" s="570" t="s">
        <v>541</v>
      </c>
      <c r="U187" s="561" t="s">
        <v>542</v>
      </c>
      <c r="V187" s="561" t="s">
        <v>543</v>
      </c>
      <c r="W187" s="150"/>
      <c r="X187" s="150"/>
      <c r="Y187" s="150"/>
      <c r="Z187" s="150"/>
      <c r="AA187" s="150"/>
      <c r="AB187" s="150"/>
      <c r="AC187" s="150"/>
      <c r="AD187" s="150"/>
      <c r="AE187" s="150"/>
      <c r="AF187" s="150"/>
      <c r="AG187" s="150"/>
      <c r="AH187" s="150"/>
      <c r="AI187" s="150"/>
      <c r="AJ187" s="150"/>
      <c r="AK187" s="150"/>
      <c r="AL187" s="150"/>
      <c r="AM187" s="150"/>
      <c r="AN187" s="150"/>
      <c r="AO187" s="150"/>
      <c r="AP187" s="150"/>
      <c r="AQ187" s="150"/>
      <c r="AR187" s="150"/>
      <c r="AS187" s="150"/>
      <c r="AT187" s="150"/>
      <c r="AU187" s="150"/>
      <c r="AV187" s="150"/>
      <c r="AW187" s="150"/>
      <c r="AX187" s="150"/>
      <c r="AY187" s="150"/>
      <c r="AZ187" s="150"/>
      <c r="BA187" s="607">
        <v>20000000</v>
      </c>
      <c r="BB187" s="607"/>
      <c r="BC187" s="607"/>
      <c r="BD187" s="240"/>
      <c r="BE187" s="240"/>
      <c r="BF187" s="240"/>
      <c r="BG187" s="240"/>
      <c r="BH187" s="240"/>
      <c r="BI187" s="240"/>
      <c r="BJ187" s="151">
        <f t="shared" si="226"/>
        <v>20000000</v>
      </c>
      <c r="BK187" s="151">
        <f t="shared" ref="BK187" si="237">+X187+AA187+AD187+AG187+AJ187+AM187+AP187+AS187+AV187+AY187+BB187+BE187+BH187</f>
        <v>0</v>
      </c>
      <c r="BL187" s="151">
        <f t="shared" ref="BL187" si="238">+Y187+AB187+AE187+AH187+AK187+AN187+AQ187+AT187+AW187+AZ187+BC187+BF187+BI187</f>
        <v>0</v>
      </c>
      <c r="BM187" s="241" t="s">
        <v>479</v>
      </c>
      <c r="BN187" s="240" t="s">
        <v>480</v>
      </c>
    </row>
    <row r="188" spans="1:66" ht="24" customHeight="1" x14ac:dyDescent="0.2">
      <c r="A188" s="145"/>
      <c r="B188" s="91"/>
      <c r="C188" s="91"/>
      <c r="D188" s="91"/>
      <c r="E188" s="91"/>
      <c r="F188" s="154">
        <v>1707</v>
      </c>
      <c r="G188" s="81" t="s">
        <v>544</v>
      </c>
      <c r="H188" s="81"/>
      <c r="I188" s="194"/>
      <c r="J188" s="693"/>
      <c r="K188" s="726"/>
      <c r="L188" s="693"/>
      <c r="M188" s="693"/>
      <c r="N188" s="688"/>
      <c r="O188" s="689"/>
      <c r="P188" s="688"/>
      <c r="Q188" s="727"/>
      <c r="R188" s="689"/>
      <c r="S188" s="689"/>
      <c r="T188" s="728"/>
      <c r="U188" s="147"/>
      <c r="V188" s="147"/>
      <c r="W188" s="148">
        <f>SUM(W189)</f>
        <v>0</v>
      </c>
      <c r="X188" s="148"/>
      <c r="Y188" s="148"/>
      <c r="Z188" s="148">
        <f t="shared" ref="Z188:BL188" si="239">SUM(Z189)</f>
        <v>0</v>
      </c>
      <c r="AA188" s="148"/>
      <c r="AB188" s="148"/>
      <c r="AC188" s="148">
        <f t="shared" si="239"/>
        <v>0</v>
      </c>
      <c r="AD188" s="148"/>
      <c r="AE188" s="148"/>
      <c r="AF188" s="148">
        <f t="shared" si="239"/>
        <v>0</v>
      </c>
      <c r="AG188" s="148"/>
      <c r="AH188" s="148"/>
      <c r="AI188" s="148">
        <f t="shared" si="239"/>
        <v>0</v>
      </c>
      <c r="AJ188" s="148"/>
      <c r="AK188" s="148"/>
      <c r="AL188" s="148">
        <f t="shared" si="239"/>
        <v>0</v>
      </c>
      <c r="AM188" s="148"/>
      <c r="AN188" s="148"/>
      <c r="AO188" s="148">
        <f t="shared" si="239"/>
        <v>0</v>
      </c>
      <c r="AP188" s="148"/>
      <c r="AQ188" s="148"/>
      <c r="AR188" s="148">
        <f t="shared" si="239"/>
        <v>0</v>
      </c>
      <c r="AS188" s="148"/>
      <c r="AT188" s="148"/>
      <c r="AU188" s="148">
        <f t="shared" si="239"/>
        <v>0</v>
      </c>
      <c r="AV188" s="148"/>
      <c r="AW188" s="148"/>
      <c r="AX188" s="148">
        <f t="shared" si="239"/>
        <v>0</v>
      </c>
      <c r="AY188" s="148"/>
      <c r="AZ188" s="148"/>
      <c r="BA188" s="211">
        <f>SUM(BA189)</f>
        <v>43000000</v>
      </c>
      <c r="BB188" s="148">
        <f t="shared" ref="BB188:BC188" si="240">SUM(BB189)</f>
        <v>0</v>
      </c>
      <c r="BC188" s="148">
        <f t="shared" si="240"/>
        <v>0</v>
      </c>
      <c r="BD188" s="148">
        <f t="shared" si="239"/>
        <v>0</v>
      </c>
      <c r="BE188" s="148"/>
      <c r="BF188" s="148"/>
      <c r="BG188" s="148">
        <f t="shared" si="239"/>
        <v>0</v>
      </c>
      <c r="BH188" s="148"/>
      <c r="BI188" s="148"/>
      <c r="BJ188" s="211">
        <f t="shared" si="239"/>
        <v>43000000</v>
      </c>
      <c r="BK188" s="211">
        <f t="shared" si="239"/>
        <v>0</v>
      </c>
      <c r="BL188" s="211">
        <f t="shared" si="239"/>
        <v>0</v>
      </c>
      <c r="BM188" s="148"/>
      <c r="BN188" s="156"/>
    </row>
    <row r="189" spans="1:66" ht="156" customHeight="1" x14ac:dyDescent="0.2">
      <c r="A189" s="145"/>
      <c r="B189" s="91"/>
      <c r="C189" s="91"/>
      <c r="D189" s="91"/>
      <c r="E189" s="91"/>
      <c r="F189" s="87"/>
      <c r="G189" s="569"/>
      <c r="H189" s="562" t="s">
        <v>472</v>
      </c>
      <c r="I189" s="85">
        <v>1707069</v>
      </c>
      <c r="J189" s="562" t="s">
        <v>545</v>
      </c>
      <c r="K189" s="85">
        <v>1707069</v>
      </c>
      <c r="L189" s="562" t="s">
        <v>545</v>
      </c>
      <c r="M189" s="567" t="s">
        <v>546</v>
      </c>
      <c r="N189" s="561" t="s">
        <v>547</v>
      </c>
      <c r="O189" s="567" t="s">
        <v>546</v>
      </c>
      <c r="P189" s="561" t="s">
        <v>547</v>
      </c>
      <c r="Q189" s="195" t="s">
        <v>68</v>
      </c>
      <c r="R189" s="125">
        <v>5</v>
      </c>
      <c r="S189" s="125">
        <v>0</v>
      </c>
      <c r="T189" s="570" t="s">
        <v>548</v>
      </c>
      <c r="U189" s="561" t="s">
        <v>549</v>
      </c>
      <c r="V189" s="562" t="s">
        <v>550</v>
      </c>
      <c r="W189" s="176"/>
      <c r="X189" s="176"/>
      <c r="Y189" s="176"/>
      <c r="Z189" s="176"/>
      <c r="AA189" s="176"/>
      <c r="AB189" s="176"/>
      <c r="AC189" s="176"/>
      <c r="AD189" s="176"/>
      <c r="AE189" s="176"/>
      <c r="AF189" s="176"/>
      <c r="AG189" s="176"/>
      <c r="AH189" s="176"/>
      <c r="AI189" s="176"/>
      <c r="AJ189" s="176"/>
      <c r="AK189" s="176"/>
      <c r="AL189" s="176"/>
      <c r="AM189" s="176"/>
      <c r="AN189" s="176"/>
      <c r="AO189" s="176"/>
      <c r="AP189" s="176"/>
      <c r="AQ189" s="176"/>
      <c r="AR189" s="176"/>
      <c r="AS189" s="176"/>
      <c r="AT189" s="176"/>
      <c r="AU189" s="176"/>
      <c r="AV189" s="176"/>
      <c r="AW189" s="176"/>
      <c r="AX189" s="176"/>
      <c r="AY189" s="176"/>
      <c r="AZ189" s="176"/>
      <c r="BA189" s="225">
        <v>43000000</v>
      </c>
      <c r="BB189" s="239"/>
      <c r="BC189" s="239"/>
      <c r="BD189" s="240"/>
      <c r="BE189" s="240"/>
      <c r="BF189" s="240"/>
      <c r="BG189" s="240"/>
      <c r="BH189" s="240"/>
      <c r="BI189" s="240"/>
      <c r="BJ189" s="151">
        <f t="shared" si="226"/>
        <v>43000000</v>
      </c>
      <c r="BK189" s="151">
        <f t="shared" ref="BK189" si="241">+X189+AA189+AD189+AG189+AJ189+AM189+AP189+AS189+AV189+AY189+BB189+BE189+BH189</f>
        <v>0</v>
      </c>
      <c r="BL189" s="151">
        <f t="shared" ref="BL189" si="242">+Y189+AB189+AE189+AH189+AK189+AN189+AQ189+AT189+AW189+AZ189+BC189+BF189+BI189</f>
        <v>0</v>
      </c>
      <c r="BM189" s="241" t="s">
        <v>479</v>
      </c>
      <c r="BN189" s="240" t="s">
        <v>480</v>
      </c>
    </row>
    <row r="190" spans="1:66" ht="24" customHeight="1" x14ac:dyDescent="0.2">
      <c r="A190" s="145"/>
      <c r="B190" s="91"/>
      <c r="C190" s="91"/>
      <c r="D190" s="91"/>
      <c r="E190" s="91"/>
      <c r="F190" s="154">
        <v>1708</v>
      </c>
      <c r="G190" s="81" t="s">
        <v>551</v>
      </c>
      <c r="H190" s="81"/>
      <c r="I190" s="194"/>
      <c r="J190" s="693"/>
      <c r="K190" s="726"/>
      <c r="L190" s="693"/>
      <c r="M190" s="693"/>
      <c r="N190" s="688"/>
      <c r="O190" s="689"/>
      <c r="P190" s="688"/>
      <c r="Q190" s="727"/>
      <c r="R190" s="689"/>
      <c r="S190" s="689"/>
      <c r="T190" s="728"/>
      <c r="U190" s="147"/>
      <c r="V190" s="147"/>
      <c r="W190" s="148">
        <f>SUM(W191:W192)</f>
        <v>0</v>
      </c>
      <c r="X190" s="148"/>
      <c r="Y190" s="148"/>
      <c r="Z190" s="148">
        <f t="shared" ref="Z190:BL190" si="243">SUM(Z191:Z192)</f>
        <v>0</v>
      </c>
      <c r="AA190" s="148"/>
      <c r="AB190" s="148"/>
      <c r="AC190" s="148">
        <f t="shared" si="243"/>
        <v>0</v>
      </c>
      <c r="AD190" s="148"/>
      <c r="AE190" s="148"/>
      <c r="AF190" s="148">
        <f t="shared" si="243"/>
        <v>0</v>
      </c>
      <c r="AG190" s="148"/>
      <c r="AH190" s="148"/>
      <c r="AI190" s="148">
        <f t="shared" si="243"/>
        <v>0</v>
      </c>
      <c r="AJ190" s="148"/>
      <c r="AK190" s="148"/>
      <c r="AL190" s="148">
        <f t="shared" si="243"/>
        <v>0</v>
      </c>
      <c r="AM190" s="148"/>
      <c r="AN190" s="148"/>
      <c r="AO190" s="148">
        <f t="shared" si="243"/>
        <v>0</v>
      </c>
      <c r="AP190" s="148"/>
      <c r="AQ190" s="148"/>
      <c r="AR190" s="148">
        <f t="shared" si="243"/>
        <v>0</v>
      </c>
      <c r="AS190" s="148"/>
      <c r="AT190" s="148"/>
      <c r="AU190" s="148">
        <f t="shared" si="243"/>
        <v>0</v>
      </c>
      <c r="AV190" s="148"/>
      <c r="AW190" s="148"/>
      <c r="AX190" s="148">
        <f t="shared" si="243"/>
        <v>0</v>
      </c>
      <c r="AY190" s="148"/>
      <c r="AZ190" s="148"/>
      <c r="BA190" s="211">
        <f t="shared" si="243"/>
        <v>40000000</v>
      </c>
      <c r="BB190" s="148">
        <f t="shared" si="243"/>
        <v>8900000</v>
      </c>
      <c r="BC190" s="148">
        <f t="shared" si="243"/>
        <v>0</v>
      </c>
      <c r="BD190" s="148">
        <f t="shared" si="243"/>
        <v>0</v>
      </c>
      <c r="BE190" s="148"/>
      <c r="BF190" s="148"/>
      <c r="BG190" s="148">
        <f t="shared" si="243"/>
        <v>0</v>
      </c>
      <c r="BH190" s="148"/>
      <c r="BI190" s="148"/>
      <c r="BJ190" s="211">
        <f t="shared" si="243"/>
        <v>40000000</v>
      </c>
      <c r="BK190" s="211">
        <f t="shared" si="243"/>
        <v>8900000</v>
      </c>
      <c r="BL190" s="211">
        <f t="shared" si="243"/>
        <v>0</v>
      </c>
      <c r="BM190" s="148"/>
      <c r="BN190" s="156"/>
    </row>
    <row r="191" spans="1:66" ht="88.5" customHeight="1" x14ac:dyDescent="0.2">
      <c r="A191" s="145"/>
      <c r="B191" s="91"/>
      <c r="C191" s="91"/>
      <c r="D191" s="91"/>
      <c r="E191" s="91"/>
      <c r="F191" s="87"/>
      <c r="G191" s="216"/>
      <c r="H191" s="562" t="s">
        <v>472</v>
      </c>
      <c r="I191" s="85">
        <v>1708016</v>
      </c>
      <c r="J191" s="562" t="s">
        <v>96</v>
      </c>
      <c r="K191" s="85">
        <v>1708016</v>
      </c>
      <c r="L191" s="562" t="s">
        <v>96</v>
      </c>
      <c r="M191" s="198" t="s">
        <v>552</v>
      </c>
      <c r="N191" s="577" t="s">
        <v>553</v>
      </c>
      <c r="O191" s="198" t="s">
        <v>552</v>
      </c>
      <c r="P191" s="577" t="s">
        <v>553</v>
      </c>
      <c r="Q191" s="195" t="s">
        <v>52</v>
      </c>
      <c r="R191" s="125">
        <v>2</v>
      </c>
      <c r="S191" s="125">
        <v>0</v>
      </c>
      <c r="T191" s="865" t="s">
        <v>554</v>
      </c>
      <c r="U191" s="873" t="s">
        <v>555</v>
      </c>
      <c r="V191" s="884" t="s">
        <v>556</v>
      </c>
      <c r="W191" s="150"/>
      <c r="X191" s="150"/>
      <c r="Y191" s="150"/>
      <c r="Z191" s="150"/>
      <c r="AA191" s="150"/>
      <c r="AB191" s="150"/>
      <c r="AC191" s="150"/>
      <c r="AD191" s="150"/>
      <c r="AE191" s="150"/>
      <c r="AF191" s="150"/>
      <c r="AG191" s="150"/>
      <c r="AH191" s="150"/>
      <c r="AI191" s="150"/>
      <c r="AJ191" s="150"/>
      <c r="AK191" s="150"/>
      <c r="AL191" s="150"/>
      <c r="AM191" s="150"/>
      <c r="AN191" s="150"/>
      <c r="AO191" s="150"/>
      <c r="AP191" s="150"/>
      <c r="AQ191" s="150"/>
      <c r="AR191" s="150"/>
      <c r="AS191" s="150"/>
      <c r="AT191" s="150"/>
      <c r="AU191" s="150"/>
      <c r="AV191" s="150"/>
      <c r="AW191" s="150"/>
      <c r="AX191" s="150"/>
      <c r="AY191" s="150"/>
      <c r="AZ191" s="150"/>
      <c r="BA191" s="607">
        <v>20000000</v>
      </c>
      <c r="BB191" s="607">
        <v>8900000</v>
      </c>
      <c r="BC191" s="607"/>
      <c r="BD191" s="240"/>
      <c r="BE191" s="240"/>
      <c r="BF191" s="240"/>
      <c r="BG191" s="240"/>
      <c r="BH191" s="240"/>
      <c r="BI191" s="240"/>
      <c r="BJ191" s="151">
        <f t="shared" si="226"/>
        <v>20000000</v>
      </c>
      <c r="BK191" s="151">
        <f t="shared" ref="BK191:BK192" si="244">+X191+AA191+AD191+AG191+AJ191+AM191+AP191+AS191+AV191+AY191+BB191+BE191+BH191</f>
        <v>8900000</v>
      </c>
      <c r="BL191" s="151">
        <f t="shared" ref="BL191:BL192" si="245">+Y191+AB191+AE191+AH191+AK191+AN191+AQ191+AT191+AW191+AZ191+BC191+BF191+BI191</f>
        <v>0</v>
      </c>
      <c r="BM191" s="241" t="s">
        <v>479</v>
      </c>
      <c r="BN191" s="240" t="s">
        <v>480</v>
      </c>
    </row>
    <row r="192" spans="1:66" ht="187.5" customHeight="1" x14ac:dyDescent="0.2">
      <c r="A192" s="145"/>
      <c r="B192" s="91"/>
      <c r="C192" s="91"/>
      <c r="D192" s="91"/>
      <c r="E192" s="91"/>
      <c r="F192" s="87"/>
      <c r="G192" s="569"/>
      <c r="H192" s="562" t="s">
        <v>472</v>
      </c>
      <c r="I192" s="85">
        <v>1708051</v>
      </c>
      <c r="J192" s="562" t="s">
        <v>557</v>
      </c>
      <c r="K192" s="85">
        <v>1708051</v>
      </c>
      <c r="L192" s="562" t="s">
        <v>557</v>
      </c>
      <c r="M192" s="198" t="s">
        <v>558</v>
      </c>
      <c r="N192" s="577" t="s">
        <v>559</v>
      </c>
      <c r="O192" s="198" t="s">
        <v>558</v>
      </c>
      <c r="P192" s="577" t="s">
        <v>559</v>
      </c>
      <c r="Q192" s="569" t="s">
        <v>52</v>
      </c>
      <c r="R192" s="125">
        <v>1</v>
      </c>
      <c r="S192" s="125">
        <v>0</v>
      </c>
      <c r="T192" s="865"/>
      <c r="U192" s="873"/>
      <c r="V192" s="885"/>
      <c r="W192" s="150"/>
      <c r="X192" s="150"/>
      <c r="Y192" s="150"/>
      <c r="Z192" s="150"/>
      <c r="AA192" s="150"/>
      <c r="AB192" s="150"/>
      <c r="AC192" s="150"/>
      <c r="AD192" s="150"/>
      <c r="AE192" s="150"/>
      <c r="AF192" s="150"/>
      <c r="AG192" s="150"/>
      <c r="AH192" s="150"/>
      <c r="AI192" s="150"/>
      <c r="AJ192" s="150"/>
      <c r="AK192" s="150"/>
      <c r="AL192" s="150"/>
      <c r="AM192" s="150"/>
      <c r="AN192" s="150"/>
      <c r="AO192" s="150"/>
      <c r="AP192" s="150"/>
      <c r="AQ192" s="150"/>
      <c r="AR192" s="150"/>
      <c r="AS192" s="150"/>
      <c r="AT192" s="150"/>
      <c r="AU192" s="150"/>
      <c r="AV192" s="150"/>
      <c r="AW192" s="150"/>
      <c r="AX192" s="150"/>
      <c r="AY192" s="150"/>
      <c r="AZ192" s="150"/>
      <c r="BA192" s="607">
        <v>20000000</v>
      </c>
      <c r="BB192" s="607"/>
      <c r="BC192" s="607"/>
      <c r="BD192" s="240"/>
      <c r="BE192" s="240"/>
      <c r="BF192" s="240"/>
      <c r="BG192" s="240"/>
      <c r="BH192" s="240"/>
      <c r="BI192" s="240"/>
      <c r="BJ192" s="151">
        <f>+W192+Z192+AC192+AF192+AI192+AL192+AO192+AR192+AU192+AX192+BA192+BD192+BG192</f>
        <v>20000000</v>
      </c>
      <c r="BK192" s="151">
        <f t="shared" si="244"/>
        <v>0</v>
      </c>
      <c r="BL192" s="151">
        <f t="shared" si="245"/>
        <v>0</v>
      </c>
      <c r="BM192" s="241" t="s">
        <v>479</v>
      </c>
      <c r="BN192" s="240" t="s">
        <v>480</v>
      </c>
    </row>
    <row r="193" spans="1:106" ht="24" customHeight="1" x14ac:dyDescent="0.2">
      <c r="A193" s="145"/>
      <c r="B193" s="91"/>
      <c r="C193" s="91"/>
      <c r="D193" s="91"/>
      <c r="E193" s="91"/>
      <c r="F193" s="154">
        <v>1709</v>
      </c>
      <c r="G193" s="81" t="s">
        <v>560</v>
      </c>
      <c r="H193" s="81"/>
      <c r="I193" s="194"/>
      <c r="J193" s="693"/>
      <c r="K193" s="748"/>
      <c r="L193" s="693"/>
      <c r="M193" s="693"/>
      <c r="N193" s="749"/>
      <c r="O193" s="748"/>
      <c r="P193" s="749"/>
      <c r="Q193" s="749"/>
      <c r="R193" s="749"/>
      <c r="S193" s="749"/>
      <c r="T193" s="750"/>
      <c r="U193" s="245"/>
      <c r="V193" s="245"/>
      <c r="W193" s="246">
        <f>SUM(W194:W196)</f>
        <v>0</v>
      </c>
      <c r="X193" s="246"/>
      <c r="Y193" s="246"/>
      <c r="Z193" s="246">
        <f t="shared" ref="Z193:BL193" si="246">SUM(Z194:Z196)</f>
        <v>0</v>
      </c>
      <c r="AA193" s="246"/>
      <c r="AB193" s="246"/>
      <c r="AC193" s="246">
        <f t="shared" si="246"/>
        <v>0</v>
      </c>
      <c r="AD193" s="246"/>
      <c r="AE193" s="246"/>
      <c r="AF193" s="246">
        <f t="shared" si="246"/>
        <v>0</v>
      </c>
      <c r="AG193" s="246"/>
      <c r="AH193" s="246"/>
      <c r="AI193" s="246">
        <f t="shared" si="246"/>
        <v>0</v>
      </c>
      <c r="AJ193" s="246"/>
      <c r="AK193" s="246"/>
      <c r="AL193" s="246">
        <f t="shared" si="246"/>
        <v>0</v>
      </c>
      <c r="AM193" s="246"/>
      <c r="AN193" s="246"/>
      <c r="AO193" s="246">
        <f t="shared" si="246"/>
        <v>0</v>
      </c>
      <c r="AP193" s="246"/>
      <c r="AQ193" s="246"/>
      <c r="AR193" s="246">
        <f t="shared" si="246"/>
        <v>0</v>
      </c>
      <c r="AS193" s="246"/>
      <c r="AT193" s="246"/>
      <c r="AU193" s="246">
        <f t="shared" si="246"/>
        <v>0</v>
      </c>
      <c r="AV193" s="246"/>
      <c r="AW193" s="246"/>
      <c r="AX193" s="246">
        <f t="shared" si="246"/>
        <v>0</v>
      </c>
      <c r="AY193" s="246"/>
      <c r="AZ193" s="246"/>
      <c r="BA193" s="608">
        <f>SUM(BA194:BA196)</f>
        <v>108000000</v>
      </c>
      <c r="BB193" s="247">
        <f t="shared" ref="BB193:BC193" si="247">SUM(BB194:BB196)</f>
        <v>23080000</v>
      </c>
      <c r="BC193" s="247">
        <f t="shared" si="247"/>
        <v>2885000</v>
      </c>
      <c r="BD193" s="247">
        <f t="shared" si="246"/>
        <v>0</v>
      </c>
      <c r="BE193" s="247"/>
      <c r="BF193" s="247"/>
      <c r="BG193" s="247">
        <f t="shared" si="246"/>
        <v>0</v>
      </c>
      <c r="BH193" s="247"/>
      <c r="BI193" s="247"/>
      <c r="BJ193" s="608">
        <f t="shared" si="246"/>
        <v>108000000</v>
      </c>
      <c r="BK193" s="608">
        <f t="shared" si="246"/>
        <v>23080000</v>
      </c>
      <c r="BL193" s="608">
        <f t="shared" si="246"/>
        <v>2885000</v>
      </c>
      <c r="BM193" s="247"/>
      <c r="BN193" s="248"/>
    </row>
    <row r="194" spans="1:106" ht="75" customHeight="1" x14ac:dyDescent="0.2">
      <c r="A194" s="145"/>
      <c r="B194" s="96"/>
      <c r="C194" s="96"/>
      <c r="D194" s="96"/>
      <c r="E194" s="96"/>
      <c r="F194" s="89"/>
      <c r="G194" s="249"/>
      <c r="H194" s="562" t="s">
        <v>472</v>
      </c>
      <c r="I194" s="85">
        <v>1709019</v>
      </c>
      <c r="J194" s="562" t="s">
        <v>561</v>
      </c>
      <c r="K194" s="85">
        <v>1709019</v>
      </c>
      <c r="L194" s="562" t="s">
        <v>561</v>
      </c>
      <c r="M194" s="198">
        <v>170901900</v>
      </c>
      <c r="N194" s="577" t="s">
        <v>561</v>
      </c>
      <c r="O194" s="198">
        <v>170901900</v>
      </c>
      <c r="P194" s="577" t="s">
        <v>561</v>
      </c>
      <c r="Q194" s="195" t="s">
        <v>68</v>
      </c>
      <c r="R194" s="125">
        <v>4</v>
      </c>
      <c r="S194" s="125">
        <v>0</v>
      </c>
      <c r="T194" s="864" t="s">
        <v>562</v>
      </c>
      <c r="U194" s="873" t="s">
        <v>563</v>
      </c>
      <c r="V194" s="875" t="s">
        <v>564</v>
      </c>
      <c r="W194" s="145"/>
      <c r="X194" s="145"/>
      <c r="Y194" s="145"/>
      <c r="Z194" s="145"/>
      <c r="AA194" s="145"/>
      <c r="AB194" s="145"/>
      <c r="AC194" s="145"/>
      <c r="AD194" s="145"/>
      <c r="AE194" s="145"/>
      <c r="AF194" s="145"/>
      <c r="AG194" s="145"/>
      <c r="AH194" s="145"/>
      <c r="AI194" s="145"/>
      <c r="AJ194" s="145"/>
      <c r="AK194" s="145"/>
      <c r="AL194" s="145"/>
      <c r="AM194" s="145"/>
      <c r="AN194" s="145"/>
      <c r="AO194" s="145"/>
      <c r="AP194" s="145"/>
      <c r="AQ194" s="145"/>
      <c r="AR194" s="145"/>
      <c r="AS194" s="145"/>
      <c r="AT194" s="145"/>
      <c r="AU194" s="145"/>
      <c r="AV194" s="145"/>
      <c r="AW194" s="145"/>
      <c r="AX194" s="145"/>
      <c r="AY194" s="145"/>
      <c r="AZ194" s="145"/>
      <c r="BA194" s="607">
        <v>43000000</v>
      </c>
      <c r="BB194" s="240"/>
      <c r="BC194" s="240"/>
      <c r="BD194" s="240"/>
      <c r="BE194" s="240"/>
      <c r="BF194" s="240"/>
      <c r="BG194" s="240"/>
      <c r="BH194" s="240"/>
      <c r="BI194" s="240"/>
      <c r="BJ194" s="151">
        <f t="shared" ref="BJ194:BJ196" si="248">+W194+Z194+AC194+AF194+AI194+AL194+AO194+AR194+AU194+AX194+BA194+BD194+BG194</f>
        <v>43000000</v>
      </c>
      <c r="BK194" s="151">
        <f t="shared" ref="BK194:BK196" si="249">+X194+AA194+AD194+AG194+AJ194+AM194+AP194+AS194+AV194+AY194+BB194+BE194+BH194</f>
        <v>0</v>
      </c>
      <c r="BL194" s="151">
        <f t="shared" ref="BL194:BL196" si="250">+Y194+AB194+AE194+AH194+AK194+AN194+AQ194+AT194+AW194+AZ194+BC194+BF194+BI194</f>
        <v>0</v>
      </c>
      <c r="BM194" s="241" t="s">
        <v>479</v>
      </c>
      <c r="BN194" s="240" t="s">
        <v>480</v>
      </c>
    </row>
    <row r="195" spans="1:106" ht="48.75" customHeight="1" x14ac:dyDescent="0.2">
      <c r="A195" s="145"/>
      <c r="B195" s="96"/>
      <c r="C195" s="96"/>
      <c r="D195" s="96"/>
      <c r="E195" s="96"/>
      <c r="F195" s="89"/>
      <c r="G195" s="249"/>
      <c r="H195" s="562" t="s">
        <v>472</v>
      </c>
      <c r="I195" s="85">
        <v>1709034</v>
      </c>
      <c r="J195" s="562" t="s">
        <v>565</v>
      </c>
      <c r="K195" s="85">
        <v>1709034</v>
      </c>
      <c r="L195" s="562" t="s">
        <v>565</v>
      </c>
      <c r="M195" s="198" t="s">
        <v>566</v>
      </c>
      <c r="N195" s="577" t="s">
        <v>565</v>
      </c>
      <c r="O195" s="198" t="s">
        <v>566</v>
      </c>
      <c r="P195" s="577" t="s">
        <v>565</v>
      </c>
      <c r="Q195" s="195" t="s">
        <v>68</v>
      </c>
      <c r="R195" s="125">
        <v>3</v>
      </c>
      <c r="S195" s="125">
        <v>0</v>
      </c>
      <c r="T195" s="864"/>
      <c r="U195" s="873"/>
      <c r="V195" s="875"/>
      <c r="W195" s="145"/>
      <c r="X195" s="145"/>
      <c r="Y195" s="145"/>
      <c r="Z195" s="145"/>
      <c r="AA195" s="145"/>
      <c r="AB195" s="145"/>
      <c r="AC195" s="145"/>
      <c r="AD195" s="145"/>
      <c r="AE195" s="145"/>
      <c r="AF195" s="145"/>
      <c r="AG195" s="145"/>
      <c r="AH195" s="145"/>
      <c r="AI195" s="145"/>
      <c r="AJ195" s="145"/>
      <c r="AK195" s="145"/>
      <c r="AL195" s="145"/>
      <c r="AM195" s="145"/>
      <c r="AN195" s="145"/>
      <c r="AO195" s="145"/>
      <c r="AP195" s="145"/>
      <c r="AQ195" s="145"/>
      <c r="AR195" s="145"/>
      <c r="AS195" s="145"/>
      <c r="AT195" s="145"/>
      <c r="AU195" s="145"/>
      <c r="AV195" s="145"/>
      <c r="AW195" s="145"/>
      <c r="AX195" s="145"/>
      <c r="AY195" s="145"/>
      <c r="AZ195" s="145"/>
      <c r="BA195" s="607">
        <v>43000000</v>
      </c>
      <c r="BB195" s="607">
        <v>23080000</v>
      </c>
      <c r="BC195" s="607">
        <v>2885000</v>
      </c>
      <c r="BD195" s="240"/>
      <c r="BE195" s="240"/>
      <c r="BF195" s="240"/>
      <c r="BG195" s="240"/>
      <c r="BH195" s="240"/>
      <c r="BI195" s="240"/>
      <c r="BJ195" s="151">
        <f t="shared" si="248"/>
        <v>43000000</v>
      </c>
      <c r="BK195" s="151">
        <f t="shared" si="249"/>
        <v>23080000</v>
      </c>
      <c r="BL195" s="151">
        <f t="shared" si="250"/>
        <v>2885000</v>
      </c>
      <c r="BM195" s="241" t="s">
        <v>479</v>
      </c>
      <c r="BN195" s="240" t="s">
        <v>480</v>
      </c>
    </row>
    <row r="196" spans="1:106" ht="77.25" customHeight="1" x14ac:dyDescent="0.2">
      <c r="A196" s="145"/>
      <c r="B196" s="96"/>
      <c r="C196" s="96"/>
      <c r="D196" s="96"/>
      <c r="E196" s="96"/>
      <c r="F196" s="89"/>
      <c r="G196" s="249"/>
      <c r="H196" s="562" t="s">
        <v>472</v>
      </c>
      <c r="I196" s="85">
        <v>1709093</v>
      </c>
      <c r="J196" s="562" t="s">
        <v>567</v>
      </c>
      <c r="K196" s="85">
        <v>1709093</v>
      </c>
      <c r="L196" s="562" t="s">
        <v>567</v>
      </c>
      <c r="M196" s="567" t="s">
        <v>568</v>
      </c>
      <c r="N196" s="561" t="s">
        <v>569</v>
      </c>
      <c r="O196" s="567" t="s">
        <v>568</v>
      </c>
      <c r="P196" s="561" t="s">
        <v>569</v>
      </c>
      <c r="Q196" s="195" t="s">
        <v>68</v>
      </c>
      <c r="R196" s="125">
        <v>2</v>
      </c>
      <c r="S196" s="125">
        <v>0</v>
      </c>
      <c r="T196" s="864"/>
      <c r="U196" s="873"/>
      <c r="V196" s="875"/>
      <c r="W196" s="145"/>
      <c r="X196" s="145"/>
      <c r="Y196" s="145"/>
      <c r="Z196" s="145"/>
      <c r="AA196" s="145"/>
      <c r="AB196" s="145"/>
      <c r="AC196" s="145"/>
      <c r="AD196" s="145"/>
      <c r="AE196" s="145"/>
      <c r="AF196" s="145"/>
      <c r="AG196" s="145"/>
      <c r="AH196" s="145"/>
      <c r="AI196" s="145"/>
      <c r="AJ196" s="145"/>
      <c r="AK196" s="145"/>
      <c r="AL196" s="145"/>
      <c r="AM196" s="145"/>
      <c r="AN196" s="145"/>
      <c r="AO196" s="145"/>
      <c r="AP196" s="145"/>
      <c r="AQ196" s="145"/>
      <c r="AR196" s="145"/>
      <c r="AS196" s="145"/>
      <c r="AT196" s="145"/>
      <c r="AU196" s="145"/>
      <c r="AV196" s="145"/>
      <c r="AW196" s="145"/>
      <c r="AX196" s="145"/>
      <c r="AY196" s="145"/>
      <c r="AZ196" s="145"/>
      <c r="BA196" s="607">
        <v>22000000</v>
      </c>
      <c r="BB196" s="240"/>
      <c r="BC196" s="240"/>
      <c r="BD196" s="240"/>
      <c r="BE196" s="240"/>
      <c r="BF196" s="240"/>
      <c r="BG196" s="240"/>
      <c r="BH196" s="240"/>
      <c r="BI196" s="240"/>
      <c r="BJ196" s="151">
        <f t="shared" si="248"/>
        <v>22000000</v>
      </c>
      <c r="BK196" s="151">
        <f t="shared" si="249"/>
        <v>0</v>
      </c>
      <c r="BL196" s="151">
        <f t="shared" si="250"/>
        <v>0</v>
      </c>
      <c r="BM196" s="241" t="s">
        <v>479</v>
      </c>
      <c r="BN196" s="240" t="s">
        <v>480</v>
      </c>
    </row>
    <row r="197" spans="1:106" s="9" customFormat="1" ht="24" customHeight="1" x14ac:dyDescent="0.25">
      <c r="A197" s="130"/>
      <c r="B197" s="83"/>
      <c r="C197" s="83"/>
      <c r="D197" s="77">
        <v>35</v>
      </c>
      <c r="E197" s="75" t="s">
        <v>419</v>
      </c>
      <c r="F197" s="75"/>
      <c r="G197" s="135"/>
      <c r="H197" s="136"/>
      <c r="I197" s="136"/>
      <c r="J197" s="138"/>
      <c r="K197" s="137"/>
      <c r="L197" s="138"/>
      <c r="M197" s="138"/>
      <c r="N197" s="140"/>
      <c r="O197" s="139"/>
      <c r="P197" s="140"/>
      <c r="Q197" s="141"/>
      <c r="R197" s="139"/>
      <c r="S197" s="139"/>
      <c r="T197" s="204"/>
      <c r="U197" s="143"/>
      <c r="V197" s="143"/>
      <c r="W197" s="144">
        <f>W198</f>
        <v>0</v>
      </c>
      <c r="X197" s="144"/>
      <c r="Y197" s="144"/>
      <c r="Z197" s="144">
        <f t="shared" ref="Z197:BL197" si="251">Z198</f>
        <v>0</v>
      </c>
      <c r="AA197" s="144"/>
      <c r="AB197" s="144"/>
      <c r="AC197" s="144">
        <f t="shared" si="251"/>
        <v>0</v>
      </c>
      <c r="AD197" s="144"/>
      <c r="AE197" s="144"/>
      <c r="AF197" s="144">
        <f t="shared" si="251"/>
        <v>0</v>
      </c>
      <c r="AG197" s="144"/>
      <c r="AH197" s="144"/>
      <c r="AI197" s="144">
        <f t="shared" si="251"/>
        <v>0</v>
      </c>
      <c r="AJ197" s="144"/>
      <c r="AK197" s="144"/>
      <c r="AL197" s="144">
        <f t="shared" si="251"/>
        <v>0</v>
      </c>
      <c r="AM197" s="144"/>
      <c r="AN197" s="144"/>
      <c r="AO197" s="144">
        <f t="shared" si="251"/>
        <v>0</v>
      </c>
      <c r="AP197" s="144"/>
      <c r="AQ197" s="144"/>
      <c r="AR197" s="144">
        <f t="shared" si="251"/>
        <v>0</v>
      </c>
      <c r="AS197" s="144"/>
      <c r="AT197" s="144"/>
      <c r="AU197" s="144">
        <f t="shared" si="251"/>
        <v>0</v>
      </c>
      <c r="AV197" s="144"/>
      <c r="AW197" s="144"/>
      <c r="AX197" s="144">
        <f t="shared" si="251"/>
        <v>0</v>
      </c>
      <c r="AY197" s="144"/>
      <c r="AZ197" s="144"/>
      <c r="BA197" s="144">
        <f t="shared" si="251"/>
        <v>36000000</v>
      </c>
      <c r="BB197" s="144">
        <f t="shared" si="251"/>
        <v>0</v>
      </c>
      <c r="BC197" s="144">
        <f t="shared" si="251"/>
        <v>0</v>
      </c>
      <c r="BD197" s="144">
        <f t="shared" si="251"/>
        <v>0</v>
      </c>
      <c r="BE197" s="144"/>
      <c r="BF197" s="144"/>
      <c r="BG197" s="144">
        <f t="shared" si="251"/>
        <v>0</v>
      </c>
      <c r="BH197" s="144"/>
      <c r="BI197" s="144"/>
      <c r="BJ197" s="609">
        <f t="shared" si="251"/>
        <v>36000000</v>
      </c>
      <c r="BK197" s="609">
        <f t="shared" si="251"/>
        <v>0</v>
      </c>
      <c r="BL197" s="609">
        <f t="shared" si="251"/>
        <v>0</v>
      </c>
      <c r="BM197" s="144"/>
      <c r="BN197" s="169"/>
      <c r="BO197" s="8"/>
      <c r="BP197" s="8"/>
      <c r="BQ197" s="8"/>
      <c r="BR197" s="8"/>
      <c r="BS197" s="8"/>
      <c r="BT197" s="8"/>
      <c r="BU197" s="8"/>
      <c r="BV197" s="8"/>
      <c r="BW197" s="8"/>
      <c r="BX197" s="8"/>
      <c r="BY197" s="8"/>
      <c r="BZ197" s="8"/>
      <c r="CA197" s="8"/>
      <c r="CB197" s="8"/>
      <c r="CC197" s="8"/>
      <c r="CD197" s="8"/>
      <c r="CE197" s="8"/>
      <c r="CF197" s="8"/>
      <c r="CG197" s="8"/>
      <c r="CH197" s="8"/>
      <c r="CI197" s="8"/>
      <c r="CJ197" s="8"/>
      <c r="CK197" s="8"/>
      <c r="CL197" s="8"/>
      <c r="CM197" s="8"/>
      <c r="CN197" s="8"/>
      <c r="CO197" s="8"/>
      <c r="CP197" s="8"/>
      <c r="CQ197" s="8"/>
      <c r="CR197" s="8"/>
      <c r="CS197" s="8"/>
      <c r="CT197" s="8"/>
      <c r="CU197" s="8"/>
      <c r="CV197" s="8"/>
      <c r="CW197" s="8"/>
      <c r="CX197" s="8"/>
      <c r="CY197" s="8"/>
      <c r="CZ197" s="8"/>
      <c r="DA197" s="8"/>
      <c r="DB197" s="8"/>
    </row>
    <row r="198" spans="1:106" ht="24" customHeight="1" x14ac:dyDescent="0.2">
      <c r="A198" s="145"/>
      <c r="B198" s="91"/>
      <c r="C198" s="91"/>
      <c r="D198" s="91"/>
      <c r="E198" s="91"/>
      <c r="F198" s="154">
        <v>3502</v>
      </c>
      <c r="G198" s="81" t="s">
        <v>420</v>
      </c>
      <c r="H198" s="194"/>
      <c r="I198" s="194"/>
      <c r="J198" s="693"/>
      <c r="K198" s="726"/>
      <c r="L198" s="693"/>
      <c r="M198" s="693"/>
      <c r="N198" s="688"/>
      <c r="O198" s="689"/>
      <c r="P198" s="688"/>
      <c r="Q198" s="727"/>
      <c r="R198" s="689"/>
      <c r="S198" s="689"/>
      <c r="T198" s="728"/>
      <c r="U198" s="147"/>
      <c r="V198" s="147"/>
      <c r="W198" s="148">
        <f>SUM(W199:W200)</f>
        <v>0</v>
      </c>
      <c r="X198" s="148"/>
      <c r="Y198" s="148"/>
      <c r="Z198" s="148">
        <f t="shared" ref="Z198:BJ198" si="252">SUM(Z199:Z200)</f>
        <v>0</v>
      </c>
      <c r="AA198" s="148"/>
      <c r="AB198" s="148"/>
      <c r="AC198" s="148">
        <f t="shared" si="252"/>
        <v>0</v>
      </c>
      <c r="AD198" s="148"/>
      <c r="AE198" s="148"/>
      <c r="AF198" s="148">
        <f t="shared" si="252"/>
        <v>0</v>
      </c>
      <c r="AG198" s="148"/>
      <c r="AH198" s="148"/>
      <c r="AI198" s="148">
        <f t="shared" si="252"/>
        <v>0</v>
      </c>
      <c r="AJ198" s="148"/>
      <c r="AK198" s="148"/>
      <c r="AL198" s="148">
        <f t="shared" si="252"/>
        <v>0</v>
      </c>
      <c r="AM198" s="148"/>
      <c r="AN198" s="148"/>
      <c r="AO198" s="148">
        <f t="shared" si="252"/>
        <v>0</v>
      </c>
      <c r="AP198" s="148"/>
      <c r="AQ198" s="148"/>
      <c r="AR198" s="148">
        <f t="shared" si="252"/>
        <v>0</v>
      </c>
      <c r="AS198" s="148"/>
      <c r="AT198" s="148"/>
      <c r="AU198" s="148">
        <f t="shared" si="252"/>
        <v>0</v>
      </c>
      <c r="AV198" s="148"/>
      <c r="AW198" s="148"/>
      <c r="AX198" s="148">
        <f t="shared" si="252"/>
        <v>0</v>
      </c>
      <c r="AY198" s="148"/>
      <c r="AZ198" s="148"/>
      <c r="BA198" s="148">
        <f t="shared" si="252"/>
        <v>36000000</v>
      </c>
      <c r="BB198" s="148">
        <f t="shared" ref="BB198:BC198" si="253">SUM(BB199:BB200)</f>
        <v>0</v>
      </c>
      <c r="BC198" s="148">
        <f t="shared" si="253"/>
        <v>0</v>
      </c>
      <c r="BD198" s="148">
        <f t="shared" si="252"/>
        <v>0</v>
      </c>
      <c r="BE198" s="148"/>
      <c r="BF198" s="148"/>
      <c r="BG198" s="148">
        <f t="shared" si="252"/>
        <v>0</v>
      </c>
      <c r="BH198" s="148"/>
      <c r="BI198" s="148"/>
      <c r="BJ198" s="211">
        <f t="shared" si="252"/>
        <v>36000000</v>
      </c>
      <c r="BK198" s="211">
        <f t="shared" ref="BK198:BL198" si="254">SUM(BK199:BK200)</f>
        <v>0</v>
      </c>
      <c r="BL198" s="211">
        <f t="shared" si="254"/>
        <v>0</v>
      </c>
      <c r="BM198" s="148"/>
      <c r="BN198" s="156"/>
    </row>
    <row r="199" spans="1:106" ht="90.75" customHeight="1" x14ac:dyDescent="0.2">
      <c r="A199" s="145"/>
      <c r="B199" s="91"/>
      <c r="C199" s="91"/>
      <c r="D199" s="91"/>
      <c r="E199" s="91"/>
      <c r="F199" s="567"/>
      <c r="G199" s="569"/>
      <c r="H199" s="562" t="s">
        <v>570</v>
      </c>
      <c r="I199" s="85">
        <v>3502017</v>
      </c>
      <c r="J199" s="562" t="s">
        <v>571</v>
      </c>
      <c r="K199" s="85">
        <v>3502017</v>
      </c>
      <c r="L199" s="562" t="s">
        <v>571</v>
      </c>
      <c r="M199" s="198" t="s">
        <v>572</v>
      </c>
      <c r="N199" s="577" t="s">
        <v>573</v>
      </c>
      <c r="O199" s="198" t="s">
        <v>572</v>
      </c>
      <c r="P199" s="577" t="s">
        <v>573</v>
      </c>
      <c r="Q199" s="125" t="s">
        <v>52</v>
      </c>
      <c r="R199" s="125">
        <v>6</v>
      </c>
      <c r="S199" s="125">
        <v>0</v>
      </c>
      <c r="T199" s="862" t="s">
        <v>574</v>
      </c>
      <c r="U199" s="873" t="s">
        <v>575</v>
      </c>
      <c r="V199" s="875" t="s">
        <v>576</v>
      </c>
      <c r="W199" s="150"/>
      <c r="X199" s="150"/>
      <c r="Y199" s="150"/>
      <c r="Z199" s="150"/>
      <c r="AA199" s="150"/>
      <c r="AB199" s="150"/>
      <c r="AC199" s="150"/>
      <c r="AD199" s="150"/>
      <c r="AE199" s="150"/>
      <c r="AF199" s="150"/>
      <c r="AG199" s="150"/>
      <c r="AH199" s="150"/>
      <c r="AI199" s="150"/>
      <c r="AJ199" s="150"/>
      <c r="AK199" s="150"/>
      <c r="AL199" s="150"/>
      <c r="AM199" s="150"/>
      <c r="AN199" s="150"/>
      <c r="AO199" s="150"/>
      <c r="AP199" s="150"/>
      <c r="AQ199" s="150"/>
      <c r="AR199" s="150"/>
      <c r="AS199" s="150"/>
      <c r="AT199" s="150"/>
      <c r="AU199" s="150"/>
      <c r="AV199" s="150"/>
      <c r="AW199" s="150"/>
      <c r="AX199" s="150"/>
      <c r="AY199" s="150"/>
      <c r="AZ199" s="150"/>
      <c r="BA199" s="607">
        <v>18000000</v>
      </c>
      <c r="BB199" s="240"/>
      <c r="BC199" s="240"/>
      <c r="BD199" s="240"/>
      <c r="BE199" s="240"/>
      <c r="BF199" s="240"/>
      <c r="BG199" s="240"/>
      <c r="BH199" s="240"/>
      <c r="BI199" s="240"/>
      <c r="BJ199" s="151">
        <f t="shared" ref="BJ199:BJ200" si="255">+W199+Z199+AC199+AF199+AI199+AL199+AO199+AR199+AU199+AX199+BA199+BD199+BG199</f>
        <v>18000000</v>
      </c>
      <c r="BK199" s="151">
        <f t="shared" ref="BK199:BK200" si="256">+X199+AA199+AD199+AG199+AJ199+AM199+AP199+AS199+AV199+AY199+BB199+BE199+BH199</f>
        <v>0</v>
      </c>
      <c r="BL199" s="151">
        <f t="shared" ref="BL199:BL200" si="257">+Y199+AB199+AE199+AH199+AK199+AN199+AQ199+AT199+AW199+AZ199+BC199+BF199+BI199</f>
        <v>0</v>
      </c>
      <c r="BM199" s="241" t="s">
        <v>479</v>
      </c>
      <c r="BN199" s="240" t="s">
        <v>480</v>
      </c>
    </row>
    <row r="200" spans="1:106" s="9" customFormat="1" ht="130.5" customHeight="1" x14ac:dyDescent="0.25">
      <c r="A200" s="130"/>
      <c r="B200" s="100"/>
      <c r="C200" s="100"/>
      <c r="D200" s="100"/>
      <c r="E200" s="100"/>
      <c r="F200" s="567"/>
      <c r="G200" s="569"/>
      <c r="H200" s="562" t="s">
        <v>570</v>
      </c>
      <c r="I200" s="85">
        <v>3502007</v>
      </c>
      <c r="J200" s="562" t="s">
        <v>577</v>
      </c>
      <c r="K200" s="85">
        <v>3502007</v>
      </c>
      <c r="L200" s="562" t="s">
        <v>577</v>
      </c>
      <c r="M200" s="567" t="s">
        <v>430</v>
      </c>
      <c r="N200" s="561" t="s">
        <v>431</v>
      </c>
      <c r="O200" s="567" t="s">
        <v>430</v>
      </c>
      <c r="P200" s="561" t="s">
        <v>431</v>
      </c>
      <c r="Q200" s="108" t="s">
        <v>52</v>
      </c>
      <c r="R200" s="84">
        <v>5</v>
      </c>
      <c r="S200" s="84">
        <v>0</v>
      </c>
      <c r="T200" s="862"/>
      <c r="U200" s="873"/>
      <c r="V200" s="875"/>
      <c r="W200" s="150"/>
      <c r="X200" s="150"/>
      <c r="Y200" s="150"/>
      <c r="Z200" s="150"/>
      <c r="AA200" s="150"/>
      <c r="AB200" s="150"/>
      <c r="AC200" s="150"/>
      <c r="AD200" s="150"/>
      <c r="AE200" s="150"/>
      <c r="AF200" s="150"/>
      <c r="AG200" s="150"/>
      <c r="AH200" s="150"/>
      <c r="AI200" s="150"/>
      <c r="AJ200" s="150"/>
      <c r="AK200" s="150"/>
      <c r="AL200" s="150"/>
      <c r="AM200" s="150"/>
      <c r="AN200" s="150"/>
      <c r="AO200" s="150"/>
      <c r="AP200" s="150"/>
      <c r="AQ200" s="150"/>
      <c r="AR200" s="150"/>
      <c r="AS200" s="150"/>
      <c r="AT200" s="150"/>
      <c r="AU200" s="150"/>
      <c r="AV200" s="150"/>
      <c r="AW200" s="150"/>
      <c r="AX200" s="150"/>
      <c r="AY200" s="150"/>
      <c r="AZ200" s="150"/>
      <c r="BA200" s="607">
        <v>18000000</v>
      </c>
      <c r="BB200" s="240"/>
      <c r="BC200" s="240"/>
      <c r="BD200" s="240"/>
      <c r="BE200" s="240"/>
      <c r="BF200" s="240"/>
      <c r="BG200" s="240"/>
      <c r="BH200" s="240"/>
      <c r="BI200" s="240"/>
      <c r="BJ200" s="151">
        <f t="shared" si="255"/>
        <v>18000000</v>
      </c>
      <c r="BK200" s="151">
        <f t="shared" si="256"/>
        <v>0</v>
      </c>
      <c r="BL200" s="151">
        <f t="shared" si="257"/>
        <v>0</v>
      </c>
      <c r="BM200" s="241" t="s">
        <v>479</v>
      </c>
      <c r="BN200" s="240" t="s">
        <v>480</v>
      </c>
      <c r="BO200" s="8"/>
      <c r="BP200" s="8"/>
      <c r="BQ200" s="8"/>
      <c r="BR200" s="8"/>
      <c r="BS200" s="8"/>
      <c r="BT200" s="8"/>
      <c r="BU200" s="8"/>
      <c r="BV200" s="8"/>
      <c r="BW200" s="8"/>
      <c r="BX200" s="8"/>
      <c r="BY200" s="8"/>
      <c r="BZ200" s="8"/>
      <c r="CA200" s="8"/>
      <c r="CB200" s="8"/>
      <c r="CC200" s="8"/>
      <c r="CD200" s="8"/>
      <c r="CE200" s="8"/>
      <c r="CF200" s="8"/>
      <c r="CG200" s="8"/>
      <c r="CH200" s="8"/>
      <c r="CI200" s="8"/>
      <c r="CJ200" s="8"/>
      <c r="CK200" s="8"/>
      <c r="CL200" s="8"/>
      <c r="CM200" s="8"/>
      <c r="CN200" s="8"/>
      <c r="CO200" s="8"/>
      <c r="CP200" s="8"/>
      <c r="CQ200" s="8"/>
      <c r="CR200" s="8"/>
      <c r="CS200" s="8"/>
      <c r="CT200" s="8"/>
      <c r="CU200" s="8"/>
      <c r="CV200" s="8"/>
      <c r="CW200" s="8"/>
      <c r="CX200" s="8"/>
      <c r="CY200" s="8"/>
      <c r="CZ200" s="8"/>
      <c r="DA200" s="8"/>
      <c r="DB200" s="8"/>
    </row>
    <row r="201" spans="1:106" ht="24" customHeight="1" x14ac:dyDescent="0.2">
      <c r="A201" s="145"/>
      <c r="B201" s="131">
        <v>3</v>
      </c>
      <c r="C201" s="131"/>
      <c r="D201" s="76" t="s">
        <v>200</v>
      </c>
      <c r="E201" s="173"/>
      <c r="F201" s="180"/>
      <c r="G201" s="395"/>
      <c r="H201" s="395"/>
      <c r="I201" s="395"/>
      <c r="J201" s="182"/>
      <c r="K201" s="181"/>
      <c r="L201" s="182"/>
      <c r="M201" s="182"/>
      <c r="N201" s="184"/>
      <c r="O201" s="183"/>
      <c r="P201" s="184"/>
      <c r="Q201" s="185"/>
      <c r="R201" s="183"/>
      <c r="S201" s="183"/>
      <c r="T201" s="729"/>
      <c r="U201" s="133"/>
      <c r="V201" s="133"/>
      <c r="W201" s="134">
        <f>W202</f>
        <v>0</v>
      </c>
      <c r="X201" s="134"/>
      <c r="Y201" s="134"/>
      <c r="Z201" s="134">
        <f t="shared" ref="Z201:BG201" si="258">Z202</f>
        <v>0</v>
      </c>
      <c r="AA201" s="134"/>
      <c r="AB201" s="134"/>
      <c r="AC201" s="134">
        <f t="shared" si="258"/>
        <v>0</v>
      </c>
      <c r="AD201" s="134"/>
      <c r="AE201" s="134"/>
      <c r="AF201" s="134">
        <f t="shared" si="258"/>
        <v>0</v>
      </c>
      <c r="AG201" s="134"/>
      <c r="AH201" s="134"/>
      <c r="AI201" s="134">
        <f t="shared" si="258"/>
        <v>0</v>
      </c>
      <c r="AJ201" s="134"/>
      <c r="AK201" s="134"/>
      <c r="AL201" s="134">
        <f t="shared" si="258"/>
        <v>0</v>
      </c>
      <c r="AM201" s="134"/>
      <c r="AN201" s="134"/>
      <c r="AO201" s="134">
        <f t="shared" si="258"/>
        <v>0</v>
      </c>
      <c r="AP201" s="134"/>
      <c r="AQ201" s="134"/>
      <c r="AR201" s="134">
        <f t="shared" si="258"/>
        <v>0</v>
      </c>
      <c r="AS201" s="134"/>
      <c r="AT201" s="134"/>
      <c r="AU201" s="134">
        <f t="shared" si="258"/>
        <v>0</v>
      </c>
      <c r="AV201" s="134"/>
      <c r="AW201" s="134"/>
      <c r="AX201" s="134">
        <f t="shared" si="258"/>
        <v>0</v>
      </c>
      <c r="AY201" s="134"/>
      <c r="AZ201" s="134"/>
      <c r="BA201" s="134">
        <f t="shared" si="258"/>
        <v>1347248186</v>
      </c>
      <c r="BB201" s="134">
        <f t="shared" si="258"/>
        <v>249067500</v>
      </c>
      <c r="BC201" s="134">
        <f t="shared" si="258"/>
        <v>16245000</v>
      </c>
      <c r="BD201" s="134">
        <f t="shared" si="258"/>
        <v>0</v>
      </c>
      <c r="BE201" s="134"/>
      <c r="BF201" s="134"/>
      <c r="BG201" s="134">
        <f t="shared" si="258"/>
        <v>0</v>
      </c>
      <c r="BH201" s="134"/>
      <c r="BI201" s="134"/>
      <c r="BJ201" s="610">
        <f>BJ202</f>
        <v>1347248186</v>
      </c>
      <c r="BK201" s="610">
        <f t="shared" ref="BK201:BL201" si="259">BK202</f>
        <v>249067500</v>
      </c>
      <c r="BL201" s="610">
        <f t="shared" si="259"/>
        <v>16245000</v>
      </c>
      <c r="BM201" s="134"/>
      <c r="BN201" s="168"/>
    </row>
    <row r="202" spans="1:106" s="9" customFormat="1" ht="24" customHeight="1" x14ac:dyDescent="0.25">
      <c r="A202" s="130"/>
      <c r="B202" s="83"/>
      <c r="C202" s="83"/>
      <c r="D202" s="77">
        <v>32</v>
      </c>
      <c r="E202" s="75" t="s">
        <v>222</v>
      </c>
      <c r="F202" s="135"/>
      <c r="G202" s="136"/>
      <c r="H202" s="136"/>
      <c r="I202" s="136"/>
      <c r="J202" s="138"/>
      <c r="K202" s="137"/>
      <c r="L202" s="138"/>
      <c r="M202" s="138"/>
      <c r="N202" s="140"/>
      <c r="O202" s="139"/>
      <c r="P202" s="140"/>
      <c r="Q202" s="141"/>
      <c r="R202" s="139"/>
      <c r="S202" s="139"/>
      <c r="T202" s="204"/>
      <c r="U202" s="143"/>
      <c r="V202" s="143"/>
      <c r="W202" s="144">
        <f>W203+W206+W213+W219+W215</f>
        <v>0</v>
      </c>
      <c r="X202" s="144"/>
      <c r="Y202" s="144"/>
      <c r="Z202" s="144">
        <f t="shared" ref="Z202:BJ202" si="260">Z203+Z206+Z213+Z219+Z215</f>
        <v>0</v>
      </c>
      <c r="AA202" s="144"/>
      <c r="AB202" s="144"/>
      <c r="AC202" s="144">
        <f t="shared" si="260"/>
        <v>0</v>
      </c>
      <c r="AD202" s="144"/>
      <c r="AE202" s="144"/>
      <c r="AF202" s="144">
        <f t="shared" si="260"/>
        <v>0</v>
      </c>
      <c r="AG202" s="144"/>
      <c r="AH202" s="144"/>
      <c r="AI202" s="144">
        <f t="shared" si="260"/>
        <v>0</v>
      </c>
      <c r="AJ202" s="144"/>
      <c r="AK202" s="144"/>
      <c r="AL202" s="144">
        <f t="shared" si="260"/>
        <v>0</v>
      </c>
      <c r="AM202" s="144"/>
      <c r="AN202" s="144"/>
      <c r="AO202" s="144">
        <f t="shared" si="260"/>
        <v>0</v>
      </c>
      <c r="AP202" s="144"/>
      <c r="AQ202" s="144"/>
      <c r="AR202" s="144">
        <f t="shared" si="260"/>
        <v>0</v>
      </c>
      <c r="AS202" s="144"/>
      <c r="AT202" s="144"/>
      <c r="AU202" s="144">
        <f t="shared" si="260"/>
        <v>0</v>
      </c>
      <c r="AV202" s="144"/>
      <c r="AW202" s="144"/>
      <c r="AX202" s="144">
        <f t="shared" si="260"/>
        <v>0</v>
      </c>
      <c r="AY202" s="144"/>
      <c r="AZ202" s="144"/>
      <c r="BA202" s="144">
        <f t="shared" si="260"/>
        <v>1347248186</v>
      </c>
      <c r="BB202" s="144">
        <f t="shared" ref="BB202:BC202" si="261">BB203+BB206+BB213+BB219+BB215</f>
        <v>249067500</v>
      </c>
      <c r="BC202" s="144">
        <f t="shared" si="261"/>
        <v>16245000</v>
      </c>
      <c r="BD202" s="144">
        <f t="shared" si="260"/>
        <v>0</v>
      </c>
      <c r="BE202" s="144"/>
      <c r="BF202" s="144"/>
      <c r="BG202" s="144">
        <f t="shared" si="260"/>
        <v>0</v>
      </c>
      <c r="BH202" s="144"/>
      <c r="BI202" s="144"/>
      <c r="BJ202" s="609">
        <f t="shared" si="260"/>
        <v>1347248186</v>
      </c>
      <c r="BK202" s="609">
        <f t="shared" ref="BK202:BL202" si="262">BK203+BK206+BK213+BK219+BK215</f>
        <v>249067500</v>
      </c>
      <c r="BL202" s="609">
        <f t="shared" si="262"/>
        <v>16245000</v>
      </c>
      <c r="BM202" s="144"/>
      <c r="BN202" s="169"/>
      <c r="BO202" s="8"/>
      <c r="BP202" s="8"/>
      <c r="BQ202" s="8"/>
      <c r="BR202" s="8"/>
      <c r="BS202" s="8"/>
      <c r="BT202" s="8"/>
      <c r="BU202" s="8"/>
      <c r="BV202" s="8"/>
      <c r="BW202" s="8"/>
      <c r="BX202" s="8"/>
      <c r="BY202" s="8"/>
      <c r="BZ202" s="8"/>
      <c r="CA202" s="8"/>
      <c r="CB202" s="8"/>
      <c r="CC202" s="8"/>
      <c r="CD202" s="8"/>
      <c r="CE202" s="8"/>
      <c r="CF202" s="8"/>
      <c r="CG202" s="8"/>
      <c r="CH202" s="8"/>
      <c r="CI202" s="8"/>
      <c r="CJ202" s="8"/>
      <c r="CK202" s="8"/>
      <c r="CL202" s="8"/>
      <c r="CM202" s="8"/>
      <c r="CN202" s="8"/>
      <c r="CO202" s="8"/>
      <c r="CP202" s="8"/>
      <c r="CQ202" s="8"/>
      <c r="CR202" s="8"/>
      <c r="CS202" s="8"/>
      <c r="CT202" s="8"/>
      <c r="CU202" s="8"/>
      <c r="CV202" s="8"/>
      <c r="CW202" s="8"/>
      <c r="CX202" s="8"/>
      <c r="CY202" s="8"/>
      <c r="CZ202" s="8"/>
      <c r="DA202" s="8"/>
      <c r="DB202" s="8"/>
    </row>
    <row r="203" spans="1:106" ht="24" customHeight="1" x14ac:dyDescent="0.2">
      <c r="A203" s="145"/>
      <c r="B203" s="91"/>
      <c r="C203" s="91"/>
      <c r="D203" s="91"/>
      <c r="E203" s="91"/>
      <c r="F203" s="747" t="s">
        <v>578</v>
      </c>
      <c r="G203" s="194" t="s">
        <v>579</v>
      </c>
      <c r="H203" s="194"/>
      <c r="I203" s="194"/>
      <c r="J203" s="693"/>
      <c r="K203" s="726"/>
      <c r="L203" s="693"/>
      <c r="M203" s="693"/>
      <c r="N203" s="688"/>
      <c r="O203" s="689"/>
      <c r="P203" s="688"/>
      <c r="Q203" s="727"/>
      <c r="R203" s="689"/>
      <c r="S203" s="689"/>
      <c r="T203" s="728"/>
      <c r="U203" s="147"/>
      <c r="V203" s="147"/>
      <c r="W203" s="148">
        <f>SUM(W204:W205)</f>
        <v>0</v>
      </c>
      <c r="X203" s="148"/>
      <c r="Y203" s="148"/>
      <c r="Z203" s="148">
        <f t="shared" ref="Z203:BJ203" si="263">SUM(Z204:Z205)</f>
        <v>0</v>
      </c>
      <c r="AA203" s="148"/>
      <c r="AB203" s="148"/>
      <c r="AC203" s="148">
        <f t="shared" si="263"/>
        <v>0</v>
      </c>
      <c r="AD203" s="148"/>
      <c r="AE203" s="148"/>
      <c r="AF203" s="148">
        <f t="shared" si="263"/>
        <v>0</v>
      </c>
      <c r="AG203" s="148"/>
      <c r="AH203" s="148"/>
      <c r="AI203" s="148">
        <f t="shared" si="263"/>
        <v>0</v>
      </c>
      <c r="AJ203" s="148"/>
      <c r="AK203" s="148"/>
      <c r="AL203" s="148">
        <f t="shared" si="263"/>
        <v>0</v>
      </c>
      <c r="AM203" s="148"/>
      <c r="AN203" s="148"/>
      <c r="AO203" s="148">
        <f t="shared" si="263"/>
        <v>0</v>
      </c>
      <c r="AP203" s="148"/>
      <c r="AQ203" s="148"/>
      <c r="AR203" s="148">
        <f t="shared" si="263"/>
        <v>0</v>
      </c>
      <c r="AS203" s="148"/>
      <c r="AT203" s="148"/>
      <c r="AU203" s="148">
        <f t="shared" si="263"/>
        <v>0</v>
      </c>
      <c r="AV203" s="148"/>
      <c r="AW203" s="148"/>
      <c r="AX203" s="148">
        <f t="shared" si="263"/>
        <v>0</v>
      </c>
      <c r="AY203" s="148"/>
      <c r="AZ203" s="148"/>
      <c r="BA203" s="148">
        <f t="shared" si="263"/>
        <v>82000000</v>
      </c>
      <c r="BB203" s="148">
        <f t="shared" ref="BB203:BC203" si="264">SUM(BB204:BB205)</f>
        <v>22467500</v>
      </c>
      <c r="BC203" s="148">
        <f t="shared" si="264"/>
        <v>0</v>
      </c>
      <c r="BD203" s="148">
        <f t="shared" si="263"/>
        <v>0</v>
      </c>
      <c r="BE203" s="148"/>
      <c r="BF203" s="148"/>
      <c r="BG203" s="148">
        <f t="shared" si="263"/>
        <v>0</v>
      </c>
      <c r="BH203" s="148"/>
      <c r="BI203" s="148"/>
      <c r="BJ203" s="211">
        <f t="shared" si="263"/>
        <v>82000000</v>
      </c>
      <c r="BK203" s="211">
        <f t="shared" ref="BK203:BL203" si="265">SUM(BK204:BK205)</f>
        <v>22467500</v>
      </c>
      <c r="BL203" s="211">
        <f t="shared" si="265"/>
        <v>0</v>
      </c>
      <c r="BM203" s="148"/>
      <c r="BN203" s="156"/>
    </row>
    <row r="204" spans="1:106" ht="131.25" customHeight="1" x14ac:dyDescent="0.2">
      <c r="A204" s="145"/>
      <c r="B204" s="91"/>
      <c r="C204" s="91"/>
      <c r="D204" s="91"/>
      <c r="E204" s="91"/>
      <c r="F204" s="250"/>
      <c r="G204" s="251"/>
      <c r="H204" s="562" t="s">
        <v>224</v>
      </c>
      <c r="I204" s="85">
        <v>3201013</v>
      </c>
      <c r="J204" s="562" t="s">
        <v>580</v>
      </c>
      <c r="K204" s="85">
        <v>3201013</v>
      </c>
      <c r="L204" s="562" t="s">
        <v>580</v>
      </c>
      <c r="M204" s="198" t="s">
        <v>581</v>
      </c>
      <c r="N204" s="577" t="s">
        <v>582</v>
      </c>
      <c r="O204" s="198" t="s">
        <v>581</v>
      </c>
      <c r="P204" s="577" t="s">
        <v>582</v>
      </c>
      <c r="Q204" s="252" t="s">
        <v>68</v>
      </c>
      <c r="R204" s="125">
        <v>1</v>
      </c>
      <c r="S204" s="125">
        <v>0</v>
      </c>
      <c r="T204" s="864" t="s">
        <v>583</v>
      </c>
      <c r="U204" s="872" t="s">
        <v>584</v>
      </c>
      <c r="V204" s="881" t="s">
        <v>585</v>
      </c>
      <c r="W204" s="253"/>
      <c r="X204" s="253"/>
      <c r="Y204" s="253"/>
      <c r="Z204" s="253"/>
      <c r="AA204" s="253"/>
      <c r="AB204" s="253"/>
      <c r="AC204" s="253"/>
      <c r="AD204" s="253"/>
      <c r="AE204" s="253"/>
      <c r="AF204" s="253"/>
      <c r="AG204" s="253"/>
      <c r="AH204" s="253"/>
      <c r="AI204" s="253"/>
      <c r="AJ204" s="253"/>
      <c r="AK204" s="253"/>
      <c r="AL204" s="253"/>
      <c r="AM204" s="253"/>
      <c r="AN204" s="253"/>
      <c r="AO204" s="253"/>
      <c r="AP204" s="253"/>
      <c r="AQ204" s="253"/>
      <c r="AR204" s="253"/>
      <c r="AS204" s="253"/>
      <c r="AT204" s="253"/>
      <c r="AU204" s="253"/>
      <c r="AV204" s="253"/>
      <c r="AW204" s="253"/>
      <c r="AX204" s="253"/>
      <c r="AY204" s="253"/>
      <c r="AZ204" s="253"/>
      <c r="BA204" s="607">
        <v>32000000</v>
      </c>
      <c r="BB204" s="607">
        <v>22467500</v>
      </c>
      <c r="BC204" s="607"/>
      <c r="BD204" s="240"/>
      <c r="BE204" s="240"/>
      <c r="BF204" s="240"/>
      <c r="BG204" s="240"/>
      <c r="BH204" s="240"/>
      <c r="BI204" s="240"/>
      <c r="BJ204" s="151">
        <f t="shared" ref="BJ204:BJ222" si="266">+W204+Z204+AC204+AF204+AI204+AL204+AO204+AR204+AU204+AX204+BA204+BD204+BG204</f>
        <v>32000000</v>
      </c>
      <c r="BK204" s="151">
        <f t="shared" ref="BK204:BK205" si="267">+X204+AA204+AD204+AG204+AJ204+AM204+AP204+AS204+AV204+AY204+BB204+BE204+BH204</f>
        <v>22467500</v>
      </c>
      <c r="BL204" s="151">
        <f t="shared" ref="BL204:BL205" si="268">+Y204+AB204+AE204+AH204+AK204+AN204+AQ204+AT204+AW204+AZ204+BC204+BF204+BI204</f>
        <v>0</v>
      </c>
      <c r="BM204" s="241" t="s">
        <v>479</v>
      </c>
      <c r="BN204" s="240" t="s">
        <v>480</v>
      </c>
    </row>
    <row r="205" spans="1:106" ht="86.25" customHeight="1" x14ac:dyDescent="0.2">
      <c r="A205" s="145"/>
      <c r="B205" s="91"/>
      <c r="C205" s="91"/>
      <c r="D205" s="91"/>
      <c r="E205" s="91"/>
      <c r="F205" s="250"/>
      <c r="G205" s="251"/>
      <c r="H205" s="562" t="s">
        <v>224</v>
      </c>
      <c r="I205" s="85">
        <v>3201008</v>
      </c>
      <c r="J205" s="562" t="s">
        <v>586</v>
      </c>
      <c r="K205" s="85">
        <v>3201008</v>
      </c>
      <c r="L205" s="562" t="s">
        <v>586</v>
      </c>
      <c r="M205" s="198" t="s">
        <v>587</v>
      </c>
      <c r="N205" s="577" t="s">
        <v>588</v>
      </c>
      <c r="O205" s="198" t="s">
        <v>587</v>
      </c>
      <c r="P205" s="577" t="s">
        <v>588</v>
      </c>
      <c r="Q205" s="195" t="s">
        <v>68</v>
      </c>
      <c r="R205" s="125">
        <v>2</v>
      </c>
      <c r="S205" s="125">
        <v>0</v>
      </c>
      <c r="T205" s="864"/>
      <c r="U205" s="872"/>
      <c r="V205" s="881"/>
      <c r="W205" s="253"/>
      <c r="X205" s="253"/>
      <c r="Y205" s="253"/>
      <c r="Z205" s="253"/>
      <c r="AA205" s="253"/>
      <c r="AB205" s="253"/>
      <c r="AC205" s="253"/>
      <c r="AD205" s="253"/>
      <c r="AE205" s="253"/>
      <c r="AF205" s="253"/>
      <c r="AG205" s="253"/>
      <c r="AH205" s="253"/>
      <c r="AI205" s="253"/>
      <c r="AJ205" s="253"/>
      <c r="AK205" s="253"/>
      <c r="AL205" s="253"/>
      <c r="AM205" s="253"/>
      <c r="AN205" s="253"/>
      <c r="AO205" s="253"/>
      <c r="AP205" s="253"/>
      <c r="AQ205" s="253"/>
      <c r="AR205" s="253"/>
      <c r="AS205" s="253"/>
      <c r="AT205" s="253"/>
      <c r="AU205" s="253"/>
      <c r="AV205" s="253"/>
      <c r="AW205" s="253"/>
      <c r="AX205" s="253"/>
      <c r="AY205" s="253"/>
      <c r="AZ205" s="253"/>
      <c r="BA205" s="607">
        <v>50000000</v>
      </c>
      <c r="BB205" s="607"/>
      <c r="BC205" s="607"/>
      <c r="BD205" s="240"/>
      <c r="BE205" s="240"/>
      <c r="BF205" s="240"/>
      <c r="BG205" s="240"/>
      <c r="BH205" s="240"/>
      <c r="BI205" s="240"/>
      <c r="BJ205" s="151">
        <f t="shared" si="266"/>
        <v>50000000</v>
      </c>
      <c r="BK205" s="151">
        <f t="shared" si="267"/>
        <v>0</v>
      </c>
      <c r="BL205" s="151">
        <f t="shared" si="268"/>
        <v>0</v>
      </c>
      <c r="BM205" s="241" t="s">
        <v>479</v>
      </c>
      <c r="BN205" s="240" t="s">
        <v>480</v>
      </c>
    </row>
    <row r="206" spans="1:106" ht="24" customHeight="1" x14ac:dyDescent="0.2">
      <c r="A206" s="145"/>
      <c r="B206" s="91"/>
      <c r="C206" s="91"/>
      <c r="D206" s="91"/>
      <c r="E206" s="91"/>
      <c r="F206" s="154">
        <v>3202</v>
      </c>
      <c r="G206" s="81" t="s">
        <v>589</v>
      </c>
      <c r="H206" s="194"/>
      <c r="I206" s="194"/>
      <c r="J206" s="693"/>
      <c r="K206" s="726"/>
      <c r="L206" s="693"/>
      <c r="M206" s="693"/>
      <c r="N206" s="688"/>
      <c r="O206" s="689"/>
      <c r="P206" s="688"/>
      <c r="Q206" s="727"/>
      <c r="R206" s="689"/>
      <c r="S206" s="689"/>
      <c r="T206" s="728"/>
      <c r="U206" s="147"/>
      <c r="V206" s="147"/>
      <c r="W206" s="148">
        <f>SUM(W207:W212)</f>
        <v>0</v>
      </c>
      <c r="X206" s="148"/>
      <c r="Y206" s="148"/>
      <c r="Z206" s="148">
        <f t="shared" ref="Z206:BG206" si="269">SUM(Z207:Z212)</f>
        <v>0</v>
      </c>
      <c r="AA206" s="148"/>
      <c r="AB206" s="148"/>
      <c r="AC206" s="148">
        <f t="shared" si="269"/>
        <v>0</v>
      </c>
      <c r="AD206" s="148"/>
      <c r="AE206" s="148"/>
      <c r="AF206" s="148">
        <f t="shared" si="269"/>
        <v>0</v>
      </c>
      <c r="AG206" s="148"/>
      <c r="AH206" s="148"/>
      <c r="AI206" s="148">
        <f t="shared" si="269"/>
        <v>0</v>
      </c>
      <c r="AJ206" s="148"/>
      <c r="AK206" s="148"/>
      <c r="AL206" s="148">
        <f t="shared" si="269"/>
        <v>0</v>
      </c>
      <c r="AM206" s="148"/>
      <c r="AN206" s="148"/>
      <c r="AO206" s="148">
        <f t="shared" si="269"/>
        <v>0</v>
      </c>
      <c r="AP206" s="148"/>
      <c r="AQ206" s="148"/>
      <c r="AR206" s="148">
        <f t="shared" si="269"/>
        <v>0</v>
      </c>
      <c r="AS206" s="148"/>
      <c r="AT206" s="148"/>
      <c r="AU206" s="148">
        <f t="shared" si="269"/>
        <v>0</v>
      </c>
      <c r="AV206" s="148"/>
      <c r="AW206" s="148"/>
      <c r="AX206" s="148">
        <f t="shared" si="269"/>
        <v>0</v>
      </c>
      <c r="AY206" s="148"/>
      <c r="AZ206" s="148"/>
      <c r="BA206" s="148">
        <f t="shared" si="269"/>
        <v>945248186</v>
      </c>
      <c r="BB206" s="148">
        <f t="shared" si="269"/>
        <v>201860000</v>
      </c>
      <c r="BC206" s="148">
        <f t="shared" si="269"/>
        <v>10060000</v>
      </c>
      <c r="BD206" s="148">
        <f t="shared" si="269"/>
        <v>0</v>
      </c>
      <c r="BE206" s="148"/>
      <c r="BF206" s="148"/>
      <c r="BG206" s="148">
        <f t="shared" si="269"/>
        <v>0</v>
      </c>
      <c r="BH206" s="148"/>
      <c r="BI206" s="148"/>
      <c r="BJ206" s="211">
        <f>SUM(BJ207:BJ212)</f>
        <v>945248186</v>
      </c>
      <c r="BK206" s="211">
        <f t="shared" ref="BK206:BL206" si="270">SUM(BK207:BK212)</f>
        <v>201860000</v>
      </c>
      <c r="BL206" s="211">
        <f t="shared" si="270"/>
        <v>10060000</v>
      </c>
      <c r="BM206" s="148">
        <f>SUM(BM207:BM212)</f>
        <v>0</v>
      </c>
      <c r="BN206" s="156">
        <f>SUM(BN207:BN212)</f>
        <v>0</v>
      </c>
    </row>
    <row r="207" spans="1:106" ht="48.75" customHeight="1" x14ac:dyDescent="0.2">
      <c r="A207" s="145"/>
      <c r="B207" s="91"/>
      <c r="C207" s="91"/>
      <c r="D207" s="91"/>
      <c r="E207" s="91"/>
      <c r="F207" s="87"/>
      <c r="G207" s="569"/>
      <c r="H207" s="562" t="s">
        <v>224</v>
      </c>
      <c r="I207" s="85" t="s">
        <v>590</v>
      </c>
      <c r="J207" s="562" t="s">
        <v>591</v>
      </c>
      <c r="K207" s="85" t="s">
        <v>590</v>
      </c>
      <c r="L207" s="562" t="s">
        <v>591</v>
      </c>
      <c r="M207" s="198" t="s">
        <v>592</v>
      </c>
      <c r="N207" s="577" t="s">
        <v>593</v>
      </c>
      <c r="O207" s="198" t="s">
        <v>592</v>
      </c>
      <c r="P207" s="577" t="s">
        <v>593</v>
      </c>
      <c r="Q207" s="195" t="s">
        <v>68</v>
      </c>
      <c r="R207" s="125">
        <v>600</v>
      </c>
      <c r="S207" s="125">
        <v>0</v>
      </c>
      <c r="T207" s="862" t="s">
        <v>594</v>
      </c>
      <c r="U207" s="875" t="s">
        <v>595</v>
      </c>
      <c r="V207" s="875" t="s">
        <v>596</v>
      </c>
      <c r="W207" s="150"/>
      <c r="X207" s="150"/>
      <c r="Y207" s="150"/>
      <c r="Z207" s="150"/>
      <c r="AA207" s="150"/>
      <c r="AB207" s="150"/>
      <c r="AC207" s="150"/>
      <c r="AD207" s="150"/>
      <c r="AE207" s="150"/>
      <c r="AF207" s="150"/>
      <c r="AG207" s="150"/>
      <c r="AH207" s="150"/>
      <c r="AI207" s="150"/>
      <c r="AJ207" s="150"/>
      <c r="AK207" s="150"/>
      <c r="AL207" s="150"/>
      <c r="AM207" s="150"/>
      <c r="AN207" s="150"/>
      <c r="AO207" s="150"/>
      <c r="AP207" s="150"/>
      <c r="AQ207" s="150"/>
      <c r="AR207" s="150"/>
      <c r="AS207" s="150"/>
      <c r="AT207" s="150"/>
      <c r="AU207" s="150"/>
      <c r="AV207" s="150"/>
      <c r="AW207" s="150"/>
      <c r="AX207" s="150"/>
      <c r="AY207" s="150"/>
      <c r="AZ207" s="150"/>
      <c r="BA207" s="612">
        <f>200000000+20000000</f>
        <v>220000000</v>
      </c>
      <c r="BB207" s="254"/>
      <c r="BC207" s="254"/>
      <c r="BD207" s="240"/>
      <c r="BE207" s="240"/>
      <c r="BF207" s="240"/>
      <c r="BG207" s="240"/>
      <c r="BH207" s="240"/>
      <c r="BI207" s="240"/>
      <c r="BJ207" s="151">
        <f t="shared" si="266"/>
        <v>220000000</v>
      </c>
      <c r="BK207" s="151">
        <f t="shared" ref="BK207:BK212" si="271">+X207+AA207+AD207+AG207+AJ207+AM207+AP207+AS207+AV207+AY207+BB207+BE207+BH207</f>
        <v>0</v>
      </c>
      <c r="BL207" s="151">
        <f t="shared" ref="BL207:BL212" si="272">+Y207+AB207+AE207+AH207+AK207+AN207+AQ207+AT207+AW207+AZ207+BC207+BF207+BI207</f>
        <v>0</v>
      </c>
      <c r="BM207" s="241" t="s">
        <v>479</v>
      </c>
      <c r="BN207" s="240" t="s">
        <v>480</v>
      </c>
    </row>
    <row r="208" spans="1:106" ht="75.75" customHeight="1" x14ac:dyDescent="0.2">
      <c r="A208" s="145"/>
      <c r="B208" s="91"/>
      <c r="C208" s="91"/>
      <c r="D208" s="91"/>
      <c r="E208" s="91"/>
      <c r="F208" s="87"/>
      <c r="G208" s="569"/>
      <c r="H208" s="562" t="s">
        <v>224</v>
      </c>
      <c r="I208" s="85">
        <v>3202037</v>
      </c>
      <c r="J208" s="562" t="s">
        <v>597</v>
      </c>
      <c r="K208" s="85">
        <v>3202037</v>
      </c>
      <c r="L208" s="562" t="s">
        <v>597</v>
      </c>
      <c r="M208" s="198" t="s">
        <v>598</v>
      </c>
      <c r="N208" s="577" t="s">
        <v>599</v>
      </c>
      <c r="O208" s="198" t="s">
        <v>598</v>
      </c>
      <c r="P208" s="577" t="s">
        <v>599</v>
      </c>
      <c r="Q208" s="195" t="s">
        <v>68</v>
      </c>
      <c r="R208" s="125">
        <v>40</v>
      </c>
      <c r="S208" s="125">
        <v>0</v>
      </c>
      <c r="T208" s="862"/>
      <c r="U208" s="875"/>
      <c r="V208" s="875"/>
      <c r="W208" s="150"/>
      <c r="X208" s="150"/>
      <c r="Y208" s="150"/>
      <c r="Z208" s="150"/>
      <c r="AA208" s="150"/>
      <c r="AB208" s="150"/>
      <c r="AC208" s="150"/>
      <c r="AD208" s="150"/>
      <c r="AE208" s="150"/>
      <c r="AF208" s="150"/>
      <c r="AG208" s="150"/>
      <c r="AH208" s="150"/>
      <c r="AI208" s="150"/>
      <c r="AJ208" s="150"/>
      <c r="AK208" s="150"/>
      <c r="AL208" s="150"/>
      <c r="AM208" s="150"/>
      <c r="AN208" s="150"/>
      <c r="AO208" s="150"/>
      <c r="AP208" s="150"/>
      <c r="AQ208" s="150"/>
      <c r="AR208" s="150"/>
      <c r="AS208" s="150"/>
      <c r="AT208" s="150"/>
      <c r="AU208" s="150"/>
      <c r="AV208" s="150"/>
      <c r="AW208" s="150"/>
      <c r="AX208" s="150"/>
      <c r="AY208" s="150"/>
      <c r="AZ208" s="150"/>
      <c r="BA208" s="612">
        <f>82575952+12672234</f>
        <v>95248186</v>
      </c>
      <c r="BB208" s="254"/>
      <c r="BC208" s="254"/>
      <c r="BD208" s="240"/>
      <c r="BE208" s="240"/>
      <c r="BF208" s="240"/>
      <c r="BG208" s="240"/>
      <c r="BH208" s="240"/>
      <c r="BI208" s="240"/>
      <c r="BJ208" s="151">
        <f t="shared" si="266"/>
        <v>95248186</v>
      </c>
      <c r="BK208" s="151">
        <f t="shared" si="271"/>
        <v>0</v>
      </c>
      <c r="BL208" s="151">
        <f t="shared" si="272"/>
        <v>0</v>
      </c>
      <c r="BM208" s="241" t="s">
        <v>479</v>
      </c>
      <c r="BN208" s="240" t="s">
        <v>480</v>
      </c>
    </row>
    <row r="209" spans="1:106" s="44" customFormat="1" ht="99" customHeight="1" x14ac:dyDescent="0.2">
      <c r="A209" s="337"/>
      <c r="B209" s="83"/>
      <c r="C209" s="83"/>
      <c r="D209" s="83"/>
      <c r="E209" s="83"/>
      <c r="F209" s="338"/>
      <c r="G209" s="570"/>
      <c r="H209" s="565" t="s">
        <v>224</v>
      </c>
      <c r="I209" s="454" t="s">
        <v>47</v>
      </c>
      <c r="J209" s="565" t="s">
        <v>600</v>
      </c>
      <c r="K209" s="342">
        <v>3202037</v>
      </c>
      <c r="L209" s="565" t="s">
        <v>597</v>
      </c>
      <c r="M209" s="454" t="s">
        <v>47</v>
      </c>
      <c r="N209" s="93" t="s">
        <v>601</v>
      </c>
      <c r="O209" s="342">
        <v>320203700</v>
      </c>
      <c r="P209" s="93" t="s">
        <v>602</v>
      </c>
      <c r="Q209" s="252" t="s">
        <v>68</v>
      </c>
      <c r="R209" s="252">
        <v>60</v>
      </c>
      <c r="S209" s="252">
        <v>2</v>
      </c>
      <c r="T209" s="862"/>
      <c r="U209" s="875"/>
      <c r="V209" s="875"/>
      <c r="W209" s="150"/>
      <c r="X209" s="150"/>
      <c r="Y209" s="150"/>
      <c r="Z209" s="150"/>
      <c r="AA209" s="150"/>
      <c r="AB209" s="150"/>
      <c r="AC209" s="150"/>
      <c r="AD209" s="150"/>
      <c r="AE209" s="150"/>
      <c r="AF209" s="150"/>
      <c r="AG209" s="150"/>
      <c r="AH209" s="150"/>
      <c r="AI209" s="150"/>
      <c r="AJ209" s="150"/>
      <c r="AK209" s="150"/>
      <c r="AL209" s="150"/>
      <c r="AM209" s="150"/>
      <c r="AN209" s="150"/>
      <c r="AO209" s="150"/>
      <c r="AP209" s="150"/>
      <c r="AQ209" s="150"/>
      <c r="AR209" s="150"/>
      <c r="AS209" s="150"/>
      <c r="AT209" s="150"/>
      <c r="AU209" s="150"/>
      <c r="AV209" s="150"/>
      <c r="AW209" s="150"/>
      <c r="AX209" s="150"/>
      <c r="AY209" s="150"/>
      <c r="AZ209" s="150"/>
      <c r="BA209" s="607">
        <f>400000000+20000000</f>
        <v>420000000</v>
      </c>
      <c r="BB209" s="607">
        <v>163280000</v>
      </c>
      <c r="BC209" s="607">
        <v>4950000</v>
      </c>
      <c r="BD209" s="240"/>
      <c r="BE209" s="240"/>
      <c r="BF209" s="240"/>
      <c r="BG209" s="240"/>
      <c r="BH209" s="240"/>
      <c r="BI209" s="240"/>
      <c r="BJ209" s="151">
        <f t="shared" si="266"/>
        <v>420000000</v>
      </c>
      <c r="BK209" s="151">
        <f t="shared" si="271"/>
        <v>163280000</v>
      </c>
      <c r="BL209" s="151">
        <f t="shared" si="272"/>
        <v>4950000</v>
      </c>
      <c r="BM209" s="241" t="s">
        <v>479</v>
      </c>
      <c r="BN209" s="240" t="s">
        <v>480</v>
      </c>
    </row>
    <row r="210" spans="1:106" s="44" customFormat="1" ht="85.5" customHeight="1" x14ac:dyDescent="0.2">
      <c r="A210" s="337"/>
      <c r="B210" s="83"/>
      <c r="C210" s="83"/>
      <c r="D210" s="83"/>
      <c r="E210" s="83"/>
      <c r="F210" s="338"/>
      <c r="G210" s="570"/>
      <c r="H210" s="565" t="s">
        <v>224</v>
      </c>
      <c r="I210" s="82">
        <v>3202017</v>
      </c>
      <c r="J210" s="565" t="s">
        <v>603</v>
      </c>
      <c r="K210" s="85">
        <v>3202043</v>
      </c>
      <c r="L210" s="565" t="s">
        <v>604</v>
      </c>
      <c r="M210" s="82" t="s">
        <v>605</v>
      </c>
      <c r="N210" s="93" t="s">
        <v>606</v>
      </c>
      <c r="O210" s="198">
        <v>320204300</v>
      </c>
      <c r="P210" s="93" t="s">
        <v>607</v>
      </c>
      <c r="Q210" s="252" t="s">
        <v>52</v>
      </c>
      <c r="R210" s="343">
        <v>1</v>
      </c>
      <c r="S210" s="343">
        <v>0</v>
      </c>
      <c r="T210" s="862"/>
      <c r="U210" s="875"/>
      <c r="V210" s="875"/>
      <c r="W210" s="150"/>
      <c r="X210" s="150"/>
      <c r="Y210" s="150"/>
      <c r="Z210" s="150"/>
      <c r="AA210" s="150"/>
      <c r="AB210" s="150"/>
      <c r="AC210" s="150"/>
      <c r="AD210" s="150"/>
      <c r="AE210" s="150"/>
      <c r="AF210" s="150"/>
      <c r="AG210" s="150"/>
      <c r="AH210" s="150"/>
      <c r="AI210" s="150"/>
      <c r="AJ210" s="150"/>
      <c r="AK210" s="150"/>
      <c r="AL210" s="150"/>
      <c r="AM210" s="150"/>
      <c r="AN210" s="150"/>
      <c r="AO210" s="150"/>
      <c r="AP210" s="150"/>
      <c r="AQ210" s="150"/>
      <c r="AR210" s="150"/>
      <c r="AS210" s="150"/>
      <c r="AT210" s="150"/>
      <c r="AU210" s="150"/>
      <c r="AV210" s="150"/>
      <c r="AW210" s="150"/>
      <c r="AX210" s="150"/>
      <c r="AY210" s="150"/>
      <c r="AZ210" s="150"/>
      <c r="BA210" s="607">
        <f>100000000+20000000</f>
        <v>120000000</v>
      </c>
      <c r="BB210" s="607">
        <v>11540000</v>
      </c>
      <c r="BC210" s="607">
        <v>2885000</v>
      </c>
      <c r="BD210" s="240"/>
      <c r="BE210" s="240"/>
      <c r="BF210" s="240"/>
      <c r="BG210" s="240"/>
      <c r="BH210" s="240"/>
      <c r="BI210" s="240"/>
      <c r="BJ210" s="151">
        <f t="shared" si="266"/>
        <v>120000000</v>
      </c>
      <c r="BK210" s="151">
        <f t="shared" si="271"/>
        <v>11540000</v>
      </c>
      <c r="BL210" s="151">
        <f t="shared" si="272"/>
        <v>2885000</v>
      </c>
      <c r="BM210" s="241" t="s">
        <v>479</v>
      </c>
      <c r="BN210" s="240" t="s">
        <v>480</v>
      </c>
    </row>
    <row r="211" spans="1:106" s="44" customFormat="1" ht="216.75" customHeight="1" x14ac:dyDescent="0.2">
      <c r="A211" s="337"/>
      <c r="B211" s="83"/>
      <c r="C211" s="83"/>
      <c r="D211" s="83"/>
      <c r="E211" s="83"/>
      <c r="F211" s="338"/>
      <c r="G211" s="570"/>
      <c r="H211" s="565" t="s">
        <v>224</v>
      </c>
      <c r="I211" s="453" t="s">
        <v>47</v>
      </c>
      <c r="J211" s="565" t="s">
        <v>608</v>
      </c>
      <c r="K211" s="85">
        <v>3202014</v>
      </c>
      <c r="L211" s="565" t="s">
        <v>1522</v>
      </c>
      <c r="M211" s="455" t="s">
        <v>47</v>
      </c>
      <c r="N211" s="93" t="s">
        <v>609</v>
      </c>
      <c r="O211" s="198">
        <v>320201402</v>
      </c>
      <c r="P211" s="93" t="s">
        <v>610</v>
      </c>
      <c r="Q211" s="252" t="s">
        <v>52</v>
      </c>
      <c r="R211" s="343">
        <v>1</v>
      </c>
      <c r="S211" s="343">
        <v>0</v>
      </c>
      <c r="T211" s="570" t="s">
        <v>611</v>
      </c>
      <c r="U211" s="559" t="s">
        <v>612</v>
      </c>
      <c r="V211" s="565" t="s">
        <v>613</v>
      </c>
      <c r="W211" s="150"/>
      <c r="X211" s="150"/>
      <c r="Y211" s="150"/>
      <c r="Z211" s="150"/>
      <c r="AA211" s="150"/>
      <c r="AB211" s="150"/>
      <c r="AC211" s="150"/>
      <c r="AD211" s="150"/>
      <c r="AE211" s="150"/>
      <c r="AF211" s="150"/>
      <c r="AG211" s="150"/>
      <c r="AH211" s="150"/>
      <c r="AI211" s="150"/>
      <c r="AJ211" s="150"/>
      <c r="AK211" s="150"/>
      <c r="AL211" s="150"/>
      <c r="AM211" s="150"/>
      <c r="AN211" s="150"/>
      <c r="AO211" s="150"/>
      <c r="AP211" s="150"/>
      <c r="AQ211" s="150"/>
      <c r="AR211" s="150"/>
      <c r="AS211" s="150"/>
      <c r="AT211" s="150"/>
      <c r="AU211" s="150"/>
      <c r="AV211" s="150"/>
      <c r="AW211" s="150"/>
      <c r="AX211" s="150"/>
      <c r="AY211" s="150"/>
      <c r="AZ211" s="150"/>
      <c r="BA211" s="607">
        <v>36000000</v>
      </c>
      <c r="BB211" s="607">
        <v>8900000</v>
      </c>
      <c r="BC211" s="607">
        <v>2225000</v>
      </c>
      <c r="BD211" s="240"/>
      <c r="BE211" s="240"/>
      <c r="BF211" s="240"/>
      <c r="BG211" s="240"/>
      <c r="BH211" s="240"/>
      <c r="BI211" s="240"/>
      <c r="BJ211" s="151">
        <f t="shared" si="266"/>
        <v>36000000</v>
      </c>
      <c r="BK211" s="151">
        <f t="shared" si="271"/>
        <v>8900000</v>
      </c>
      <c r="BL211" s="151">
        <f t="shared" si="272"/>
        <v>2225000</v>
      </c>
      <c r="BM211" s="241" t="s">
        <v>479</v>
      </c>
      <c r="BN211" s="240" t="s">
        <v>480</v>
      </c>
    </row>
    <row r="212" spans="1:106" s="44" customFormat="1" ht="204" customHeight="1" x14ac:dyDescent="0.2">
      <c r="A212" s="337"/>
      <c r="B212" s="83"/>
      <c r="C212" s="83"/>
      <c r="D212" s="83"/>
      <c r="E212" s="83"/>
      <c r="F212" s="338"/>
      <c r="G212" s="646"/>
      <c r="H212" s="744" t="s">
        <v>224</v>
      </c>
      <c r="I212" s="455" t="s">
        <v>47</v>
      </c>
      <c r="J212" s="744" t="s">
        <v>614</v>
      </c>
      <c r="K212" s="455">
        <v>3202014</v>
      </c>
      <c r="L212" s="744" t="s">
        <v>1522</v>
      </c>
      <c r="M212" s="455" t="s">
        <v>47</v>
      </c>
      <c r="N212" s="745" t="s">
        <v>615</v>
      </c>
      <c r="O212" s="455">
        <v>320201402</v>
      </c>
      <c r="P212" s="745" t="s">
        <v>610</v>
      </c>
      <c r="Q212" s="409" t="s">
        <v>68</v>
      </c>
      <c r="R212" s="746">
        <v>1</v>
      </c>
      <c r="S212" s="746">
        <v>0</v>
      </c>
      <c r="T212" s="646" t="s">
        <v>616</v>
      </c>
      <c r="U212" s="559" t="s">
        <v>617</v>
      </c>
      <c r="V212" s="565" t="s">
        <v>618</v>
      </c>
      <c r="W212" s="150"/>
      <c r="X212" s="150"/>
      <c r="Y212" s="150"/>
      <c r="Z212" s="150"/>
      <c r="AA212" s="150"/>
      <c r="AB212" s="150"/>
      <c r="AC212" s="150"/>
      <c r="AD212" s="150"/>
      <c r="AE212" s="150"/>
      <c r="AF212" s="150"/>
      <c r="AG212" s="150"/>
      <c r="AH212" s="150"/>
      <c r="AI212" s="150"/>
      <c r="AJ212" s="150"/>
      <c r="AK212" s="150"/>
      <c r="AL212" s="150"/>
      <c r="AM212" s="150"/>
      <c r="AN212" s="150"/>
      <c r="AO212" s="150"/>
      <c r="AP212" s="150"/>
      <c r="AQ212" s="150"/>
      <c r="AR212" s="150"/>
      <c r="AS212" s="150"/>
      <c r="AT212" s="150"/>
      <c r="AU212" s="150"/>
      <c r="AV212" s="150"/>
      <c r="AW212" s="150"/>
      <c r="AX212" s="150"/>
      <c r="AY212" s="150"/>
      <c r="AZ212" s="150"/>
      <c r="BA212" s="607">
        <v>54000000</v>
      </c>
      <c r="BB212" s="607">
        <v>18140000</v>
      </c>
      <c r="BC212" s="607"/>
      <c r="BD212" s="240"/>
      <c r="BE212" s="240"/>
      <c r="BF212" s="240"/>
      <c r="BG212" s="240"/>
      <c r="BH212" s="240"/>
      <c r="BI212" s="240"/>
      <c r="BJ212" s="151">
        <f t="shared" si="266"/>
        <v>54000000</v>
      </c>
      <c r="BK212" s="151">
        <f t="shared" si="271"/>
        <v>18140000</v>
      </c>
      <c r="BL212" s="151">
        <f t="shared" si="272"/>
        <v>0</v>
      </c>
      <c r="BM212" s="241" t="s">
        <v>479</v>
      </c>
      <c r="BN212" s="240" t="s">
        <v>480</v>
      </c>
    </row>
    <row r="213" spans="1:106" ht="24" customHeight="1" x14ac:dyDescent="0.2">
      <c r="A213" s="145"/>
      <c r="B213" s="91"/>
      <c r="C213" s="91"/>
      <c r="D213" s="91"/>
      <c r="E213" s="91"/>
      <c r="F213" s="154" t="s">
        <v>619</v>
      </c>
      <c r="G213" s="81" t="s">
        <v>620</v>
      </c>
      <c r="H213" s="194"/>
      <c r="I213" s="194"/>
      <c r="J213" s="693"/>
      <c r="K213" s="726"/>
      <c r="L213" s="693"/>
      <c r="M213" s="693"/>
      <c r="N213" s="688"/>
      <c r="O213" s="689"/>
      <c r="P213" s="688"/>
      <c r="Q213" s="727"/>
      <c r="R213" s="689"/>
      <c r="S213" s="689"/>
      <c r="T213" s="728"/>
      <c r="U213" s="147"/>
      <c r="V213" s="147"/>
      <c r="W213" s="148">
        <f t="shared" ref="W213:BG213" si="273">SUM(W214:W214)</f>
        <v>0</v>
      </c>
      <c r="X213" s="148"/>
      <c r="Y213" s="148"/>
      <c r="Z213" s="148">
        <f t="shared" si="273"/>
        <v>0</v>
      </c>
      <c r="AA213" s="148"/>
      <c r="AB213" s="148"/>
      <c r="AC213" s="148">
        <f t="shared" si="273"/>
        <v>0</v>
      </c>
      <c r="AD213" s="148"/>
      <c r="AE213" s="148"/>
      <c r="AF213" s="148">
        <f t="shared" si="273"/>
        <v>0</v>
      </c>
      <c r="AG213" s="148"/>
      <c r="AH213" s="148"/>
      <c r="AI213" s="148">
        <f t="shared" si="273"/>
        <v>0</v>
      </c>
      <c r="AJ213" s="148"/>
      <c r="AK213" s="148"/>
      <c r="AL213" s="148">
        <f t="shared" si="273"/>
        <v>0</v>
      </c>
      <c r="AM213" s="148"/>
      <c r="AN213" s="148"/>
      <c r="AO213" s="148">
        <f t="shared" si="273"/>
        <v>0</v>
      </c>
      <c r="AP213" s="148"/>
      <c r="AQ213" s="148"/>
      <c r="AR213" s="148">
        <f t="shared" si="273"/>
        <v>0</v>
      </c>
      <c r="AS213" s="148"/>
      <c r="AT213" s="148"/>
      <c r="AU213" s="148">
        <f t="shared" si="273"/>
        <v>0</v>
      </c>
      <c r="AV213" s="148"/>
      <c r="AW213" s="148"/>
      <c r="AX213" s="148">
        <f t="shared" si="273"/>
        <v>0</v>
      </c>
      <c r="AY213" s="148"/>
      <c r="AZ213" s="148"/>
      <c r="BA213" s="211">
        <f>SUM(BA214:BA214)</f>
        <v>120000000</v>
      </c>
      <c r="BB213" s="211">
        <f t="shared" ref="BB213:BC213" si="274">SUM(BB214:BB214)</f>
        <v>24740000</v>
      </c>
      <c r="BC213" s="211">
        <f t="shared" si="274"/>
        <v>6185000</v>
      </c>
      <c r="BD213" s="148">
        <f t="shared" si="273"/>
        <v>0</v>
      </c>
      <c r="BE213" s="148"/>
      <c r="BF213" s="148"/>
      <c r="BG213" s="148">
        <f t="shared" si="273"/>
        <v>0</v>
      </c>
      <c r="BH213" s="148"/>
      <c r="BI213" s="148"/>
      <c r="BJ213" s="211">
        <f>SUM(BJ214:BJ214)</f>
        <v>120000000</v>
      </c>
      <c r="BK213" s="211">
        <f t="shared" ref="BK213:BL213" si="275">SUM(BK214:BK214)</f>
        <v>24740000</v>
      </c>
      <c r="BL213" s="211">
        <f t="shared" si="275"/>
        <v>6185000</v>
      </c>
      <c r="BM213" s="148"/>
      <c r="BN213" s="156"/>
    </row>
    <row r="214" spans="1:106" ht="206.25" customHeight="1" x14ac:dyDescent="0.2">
      <c r="A214" s="145"/>
      <c r="B214" s="91"/>
      <c r="C214" s="91"/>
      <c r="D214" s="91"/>
      <c r="E214" s="91"/>
      <c r="F214" s="87"/>
      <c r="G214" s="569"/>
      <c r="H214" s="562" t="s">
        <v>224</v>
      </c>
      <c r="I214" s="85">
        <v>3204012</v>
      </c>
      <c r="J214" s="562" t="s">
        <v>621</v>
      </c>
      <c r="K214" s="85">
        <v>3204012</v>
      </c>
      <c r="L214" s="562" t="s">
        <v>621</v>
      </c>
      <c r="M214" s="198" t="s">
        <v>622</v>
      </c>
      <c r="N214" s="577" t="s">
        <v>623</v>
      </c>
      <c r="O214" s="198" t="s">
        <v>622</v>
      </c>
      <c r="P214" s="577" t="s">
        <v>623</v>
      </c>
      <c r="Q214" s="195" t="s">
        <v>68</v>
      </c>
      <c r="R214" s="125">
        <v>2</v>
      </c>
      <c r="S214" s="125">
        <v>0</v>
      </c>
      <c r="T214" s="572" t="s">
        <v>624</v>
      </c>
      <c r="U214" s="561" t="s">
        <v>625</v>
      </c>
      <c r="V214" s="562" t="s">
        <v>626</v>
      </c>
      <c r="W214" s="150"/>
      <c r="X214" s="150"/>
      <c r="Y214" s="150"/>
      <c r="Z214" s="150"/>
      <c r="AA214" s="150"/>
      <c r="AB214" s="150"/>
      <c r="AC214" s="150"/>
      <c r="AD214" s="150"/>
      <c r="AE214" s="150"/>
      <c r="AF214" s="150"/>
      <c r="AG214" s="150"/>
      <c r="AH214" s="150"/>
      <c r="AI214" s="150"/>
      <c r="AJ214" s="150"/>
      <c r="AK214" s="150"/>
      <c r="AL214" s="150"/>
      <c r="AM214" s="150"/>
      <c r="AN214" s="150"/>
      <c r="AO214" s="150"/>
      <c r="AP214" s="150"/>
      <c r="AQ214" s="150"/>
      <c r="AR214" s="150"/>
      <c r="AS214" s="150"/>
      <c r="AT214" s="150"/>
      <c r="AU214" s="150"/>
      <c r="AV214" s="150"/>
      <c r="AW214" s="150"/>
      <c r="AX214" s="150"/>
      <c r="AY214" s="150"/>
      <c r="AZ214" s="150"/>
      <c r="BA214" s="607">
        <v>120000000</v>
      </c>
      <c r="BB214" s="607">
        <v>24740000</v>
      </c>
      <c r="BC214" s="607">
        <v>6185000</v>
      </c>
      <c r="BD214" s="240"/>
      <c r="BE214" s="240"/>
      <c r="BF214" s="240"/>
      <c r="BG214" s="240"/>
      <c r="BH214" s="240"/>
      <c r="BI214" s="240"/>
      <c r="BJ214" s="151">
        <f t="shared" si="266"/>
        <v>120000000</v>
      </c>
      <c r="BK214" s="151">
        <f t="shared" ref="BK214" si="276">+X214+AA214+AD214+AG214+AJ214+AM214+AP214+AS214+AV214+AY214+BB214+BE214+BH214</f>
        <v>24740000</v>
      </c>
      <c r="BL214" s="151">
        <f t="shared" ref="BL214" si="277">+Y214+AB214+AE214+AH214+AK214+AN214+AQ214+AT214+AW214+AZ214+BC214+BF214+BI214</f>
        <v>6185000</v>
      </c>
      <c r="BM214" s="241" t="s">
        <v>479</v>
      </c>
      <c r="BN214" s="240" t="s">
        <v>480</v>
      </c>
    </row>
    <row r="215" spans="1:106" ht="24" customHeight="1" x14ac:dyDescent="0.2">
      <c r="A215" s="145"/>
      <c r="B215" s="91"/>
      <c r="C215" s="91"/>
      <c r="D215" s="91"/>
      <c r="E215" s="91"/>
      <c r="F215" s="154">
        <v>3205</v>
      </c>
      <c r="G215" s="81" t="s">
        <v>223</v>
      </c>
      <c r="H215" s="194"/>
      <c r="I215" s="194"/>
      <c r="J215" s="693"/>
      <c r="K215" s="726"/>
      <c r="L215" s="693"/>
      <c r="M215" s="693"/>
      <c r="N215" s="688"/>
      <c r="O215" s="689"/>
      <c r="P215" s="688"/>
      <c r="Q215" s="727"/>
      <c r="R215" s="689"/>
      <c r="S215" s="689"/>
      <c r="T215" s="728"/>
      <c r="U215" s="147"/>
      <c r="V215" s="147"/>
      <c r="W215" s="148">
        <f>SUM(W216:W218)</f>
        <v>0</v>
      </c>
      <c r="X215" s="148"/>
      <c r="Y215" s="148"/>
      <c r="Z215" s="148">
        <f t="shared" ref="Z215:BG215" si="278">SUM(Z218:Z218)</f>
        <v>0</v>
      </c>
      <c r="AA215" s="148"/>
      <c r="AB215" s="148"/>
      <c r="AC215" s="148">
        <f t="shared" si="278"/>
        <v>0</v>
      </c>
      <c r="AD215" s="148"/>
      <c r="AE215" s="148"/>
      <c r="AF215" s="148">
        <f t="shared" si="278"/>
        <v>0</v>
      </c>
      <c r="AG215" s="148"/>
      <c r="AH215" s="148"/>
      <c r="AI215" s="148">
        <f t="shared" si="278"/>
        <v>0</v>
      </c>
      <c r="AJ215" s="148"/>
      <c r="AK215" s="148"/>
      <c r="AL215" s="148">
        <f t="shared" si="278"/>
        <v>0</v>
      </c>
      <c r="AM215" s="148"/>
      <c r="AN215" s="148"/>
      <c r="AO215" s="148">
        <f t="shared" si="278"/>
        <v>0</v>
      </c>
      <c r="AP215" s="148"/>
      <c r="AQ215" s="148"/>
      <c r="AR215" s="148">
        <f t="shared" si="278"/>
        <v>0</v>
      </c>
      <c r="AS215" s="148"/>
      <c r="AT215" s="148"/>
      <c r="AU215" s="148">
        <f t="shared" si="278"/>
        <v>0</v>
      </c>
      <c r="AV215" s="148"/>
      <c r="AW215" s="148"/>
      <c r="AX215" s="148">
        <f t="shared" si="278"/>
        <v>0</v>
      </c>
      <c r="AY215" s="148"/>
      <c r="AZ215" s="148"/>
      <c r="BA215" s="211">
        <f>SUM(BA216:BA218)</f>
        <v>82000000</v>
      </c>
      <c r="BB215" s="211">
        <f t="shared" ref="BB215:BC215" si="279">SUM(BB216:BB218)</f>
        <v>0</v>
      </c>
      <c r="BC215" s="211">
        <f t="shared" si="279"/>
        <v>0</v>
      </c>
      <c r="BD215" s="148">
        <f t="shared" si="278"/>
        <v>0</v>
      </c>
      <c r="BE215" s="148"/>
      <c r="BF215" s="148"/>
      <c r="BG215" s="148">
        <f t="shared" si="278"/>
        <v>0</v>
      </c>
      <c r="BH215" s="148"/>
      <c r="BI215" s="148"/>
      <c r="BJ215" s="211">
        <f>SUM(BJ216:BJ218)</f>
        <v>82000000</v>
      </c>
      <c r="BK215" s="211">
        <f t="shared" ref="BK215:BL215" si="280">SUM(BK216:BK218)</f>
        <v>0</v>
      </c>
      <c r="BL215" s="211">
        <f t="shared" si="280"/>
        <v>0</v>
      </c>
      <c r="BM215" s="148"/>
      <c r="BN215" s="156"/>
    </row>
    <row r="216" spans="1:106" ht="63" customHeight="1" x14ac:dyDescent="0.2">
      <c r="A216" s="145"/>
      <c r="B216" s="91"/>
      <c r="C216" s="91"/>
      <c r="D216" s="91"/>
      <c r="E216" s="91"/>
      <c r="F216" s="87"/>
      <c r="G216" s="569"/>
      <c r="H216" s="562" t="s">
        <v>224</v>
      </c>
      <c r="I216" s="85" t="s">
        <v>627</v>
      </c>
      <c r="J216" s="562" t="s">
        <v>628</v>
      </c>
      <c r="K216" s="85" t="s">
        <v>627</v>
      </c>
      <c r="L216" s="562" t="s">
        <v>628</v>
      </c>
      <c r="M216" s="567" t="s">
        <v>629</v>
      </c>
      <c r="N216" s="561" t="s">
        <v>630</v>
      </c>
      <c r="O216" s="567" t="s">
        <v>629</v>
      </c>
      <c r="P216" s="561" t="s">
        <v>630</v>
      </c>
      <c r="Q216" s="567" t="s">
        <v>68</v>
      </c>
      <c r="R216" s="125">
        <v>200</v>
      </c>
      <c r="S216" s="125">
        <v>0</v>
      </c>
      <c r="T216" s="865" t="s">
        <v>631</v>
      </c>
      <c r="U216" s="873" t="s">
        <v>632</v>
      </c>
      <c r="V216" s="875" t="s">
        <v>633</v>
      </c>
      <c r="W216" s="197"/>
      <c r="X216" s="197"/>
      <c r="Y216" s="197"/>
      <c r="Z216" s="150"/>
      <c r="AA216" s="150"/>
      <c r="AB216" s="150"/>
      <c r="AC216" s="150"/>
      <c r="AD216" s="150"/>
      <c r="AE216" s="150"/>
      <c r="AF216" s="150"/>
      <c r="AG216" s="150"/>
      <c r="AH216" s="150"/>
      <c r="AI216" s="150"/>
      <c r="AJ216" s="150"/>
      <c r="AK216" s="150"/>
      <c r="AL216" s="150"/>
      <c r="AM216" s="150"/>
      <c r="AN216" s="150"/>
      <c r="AO216" s="150"/>
      <c r="AP216" s="150"/>
      <c r="AQ216" s="150"/>
      <c r="AR216" s="150"/>
      <c r="AS216" s="150"/>
      <c r="AT216" s="150"/>
      <c r="AU216" s="150"/>
      <c r="AV216" s="150"/>
      <c r="AW216" s="150"/>
      <c r="AX216" s="150"/>
      <c r="AY216" s="150"/>
      <c r="AZ216" s="150"/>
      <c r="BA216" s="607">
        <v>20000000</v>
      </c>
      <c r="BB216" s="240"/>
      <c r="BC216" s="240"/>
      <c r="BD216" s="240"/>
      <c r="BE216" s="240"/>
      <c r="BF216" s="240"/>
      <c r="BG216" s="240"/>
      <c r="BH216" s="240"/>
      <c r="BI216" s="240"/>
      <c r="BJ216" s="151">
        <f t="shared" si="266"/>
        <v>20000000</v>
      </c>
      <c r="BK216" s="151">
        <f t="shared" ref="BK216:BK218" si="281">+X216+AA216+AD216+AG216+AJ216+AM216+AP216+AS216+AV216+AY216+BB216+BE216+BH216</f>
        <v>0</v>
      </c>
      <c r="BL216" s="151">
        <f t="shared" ref="BL216:BL218" si="282">+Y216+AB216+AE216+AH216+AK216+AN216+AQ216+AT216+AW216+AZ216+BC216+BF216+BI216</f>
        <v>0</v>
      </c>
      <c r="BM216" s="241" t="s">
        <v>479</v>
      </c>
      <c r="BN216" s="240" t="s">
        <v>480</v>
      </c>
    </row>
    <row r="217" spans="1:106" ht="63" customHeight="1" x14ac:dyDescent="0.2">
      <c r="A217" s="145"/>
      <c r="B217" s="91"/>
      <c r="C217" s="91"/>
      <c r="D217" s="91"/>
      <c r="E217" s="91"/>
      <c r="F217" s="87"/>
      <c r="G217" s="569"/>
      <c r="H217" s="562" t="s">
        <v>224</v>
      </c>
      <c r="I217" s="85" t="s">
        <v>634</v>
      </c>
      <c r="J217" s="562" t="s">
        <v>635</v>
      </c>
      <c r="K217" s="85" t="s">
        <v>634</v>
      </c>
      <c r="L217" s="562" t="s">
        <v>635</v>
      </c>
      <c r="M217" s="567" t="s">
        <v>636</v>
      </c>
      <c r="N217" s="561" t="s">
        <v>637</v>
      </c>
      <c r="O217" s="567" t="s">
        <v>636</v>
      </c>
      <c r="P217" s="561" t="s">
        <v>637</v>
      </c>
      <c r="Q217" s="567" t="s">
        <v>68</v>
      </c>
      <c r="R217" s="125">
        <v>10</v>
      </c>
      <c r="S217" s="125">
        <v>0</v>
      </c>
      <c r="T217" s="865"/>
      <c r="U217" s="873"/>
      <c r="V217" s="875"/>
      <c r="W217" s="197"/>
      <c r="X217" s="197"/>
      <c r="Y217" s="197"/>
      <c r="Z217" s="150"/>
      <c r="AA217" s="150"/>
      <c r="AB217" s="150"/>
      <c r="AC217" s="150"/>
      <c r="AD217" s="150"/>
      <c r="AE217" s="150"/>
      <c r="AF217" s="150"/>
      <c r="AG217" s="150"/>
      <c r="AH217" s="150"/>
      <c r="AI217" s="150"/>
      <c r="AJ217" s="150"/>
      <c r="AK217" s="150"/>
      <c r="AL217" s="150"/>
      <c r="AM217" s="150"/>
      <c r="AN217" s="150"/>
      <c r="AO217" s="150"/>
      <c r="AP217" s="150"/>
      <c r="AQ217" s="150"/>
      <c r="AR217" s="150"/>
      <c r="AS217" s="150"/>
      <c r="AT217" s="150"/>
      <c r="AU217" s="150"/>
      <c r="AV217" s="150"/>
      <c r="AW217" s="150"/>
      <c r="AX217" s="150"/>
      <c r="AY217" s="150"/>
      <c r="AZ217" s="150"/>
      <c r="BA217" s="607">
        <v>20000000</v>
      </c>
      <c r="BB217" s="240"/>
      <c r="BC217" s="240"/>
      <c r="BD217" s="240"/>
      <c r="BE217" s="240"/>
      <c r="BF217" s="240"/>
      <c r="BG217" s="240"/>
      <c r="BH217" s="240"/>
      <c r="BI217" s="240"/>
      <c r="BJ217" s="151">
        <f t="shared" si="266"/>
        <v>20000000</v>
      </c>
      <c r="BK217" s="151">
        <f t="shared" si="281"/>
        <v>0</v>
      </c>
      <c r="BL217" s="151">
        <f t="shared" si="282"/>
        <v>0</v>
      </c>
      <c r="BM217" s="241" t="s">
        <v>479</v>
      </c>
      <c r="BN217" s="240" t="s">
        <v>480</v>
      </c>
    </row>
    <row r="218" spans="1:106" ht="79.5" customHeight="1" x14ac:dyDescent="0.2">
      <c r="A218" s="145"/>
      <c r="B218" s="91"/>
      <c r="C218" s="91"/>
      <c r="D218" s="91"/>
      <c r="E218" s="91"/>
      <c r="F218" s="87"/>
      <c r="G218" s="569"/>
      <c r="H218" s="562" t="s">
        <v>224</v>
      </c>
      <c r="I218" s="85">
        <v>3205010</v>
      </c>
      <c r="J218" s="562" t="s">
        <v>225</v>
      </c>
      <c r="K218" s="85">
        <v>3205010</v>
      </c>
      <c r="L218" s="562" t="s">
        <v>225</v>
      </c>
      <c r="M218" s="567" t="s">
        <v>226</v>
      </c>
      <c r="N218" s="561" t="s">
        <v>227</v>
      </c>
      <c r="O218" s="567" t="s">
        <v>226</v>
      </c>
      <c r="P218" s="561" t="s">
        <v>227</v>
      </c>
      <c r="Q218" s="567" t="s">
        <v>68</v>
      </c>
      <c r="R218" s="125">
        <v>1</v>
      </c>
      <c r="S218" s="125">
        <v>0</v>
      </c>
      <c r="T218" s="865"/>
      <c r="U218" s="873"/>
      <c r="V218" s="875"/>
      <c r="W218" s="197"/>
      <c r="X218" s="197"/>
      <c r="Y218" s="197"/>
      <c r="Z218" s="150"/>
      <c r="AA218" s="150"/>
      <c r="AB218" s="150"/>
      <c r="AC218" s="150"/>
      <c r="AD218" s="150"/>
      <c r="AE218" s="150"/>
      <c r="AF218" s="150"/>
      <c r="AG218" s="150"/>
      <c r="AH218" s="150"/>
      <c r="AI218" s="150"/>
      <c r="AJ218" s="150"/>
      <c r="AK218" s="150"/>
      <c r="AL218" s="150"/>
      <c r="AM218" s="150"/>
      <c r="AN218" s="150"/>
      <c r="AO218" s="150"/>
      <c r="AP218" s="150"/>
      <c r="AQ218" s="150"/>
      <c r="AR218" s="150"/>
      <c r="AS218" s="150"/>
      <c r="AT218" s="150"/>
      <c r="AU218" s="150"/>
      <c r="AV218" s="150"/>
      <c r="AW218" s="150"/>
      <c r="AX218" s="150"/>
      <c r="AY218" s="150"/>
      <c r="AZ218" s="150"/>
      <c r="BA218" s="607">
        <v>42000000</v>
      </c>
      <c r="BB218" s="240"/>
      <c r="BC218" s="240"/>
      <c r="BD218" s="240"/>
      <c r="BE218" s="240"/>
      <c r="BF218" s="240"/>
      <c r="BG218" s="240"/>
      <c r="BH218" s="240"/>
      <c r="BI218" s="240"/>
      <c r="BJ218" s="151">
        <f t="shared" si="266"/>
        <v>42000000</v>
      </c>
      <c r="BK218" s="151">
        <f t="shared" si="281"/>
        <v>0</v>
      </c>
      <c r="BL218" s="151">
        <f t="shared" si="282"/>
        <v>0</v>
      </c>
      <c r="BM218" s="241" t="s">
        <v>479</v>
      </c>
      <c r="BN218" s="240" t="s">
        <v>480</v>
      </c>
    </row>
    <row r="219" spans="1:106" ht="24" customHeight="1" x14ac:dyDescent="0.2">
      <c r="A219" s="145"/>
      <c r="B219" s="91"/>
      <c r="C219" s="91"/>
      <c r="D219" s="91"/>
      <c r="E219" s="91"/>
      <c r="F219" s="154" t="s">
        <v>638</v>
      </c>
      <c r="G219" s="81" t="s">
        <v>639</v>
      </c>
      <c r="H219" s="81"/>
      <c r="I219" s="194"/>
      <c r="J219" s="693"/>
      <c r="K219" s="726"/>
      <c r="L219" s="693"/>
      <c r="M219" s="693"/>
      <c r="N219" s="688"/>
      <c r="O219" s="689"/>
      <c r="P219" s="688"/>
      <c r="Q219" s="727"/>
      <c r="R219" s="689"/>
      <c r="S219" s="696"/>
      <c r="T219" s="155"/>
      <c r="U219" s="147"/>
      <c r="V219" s="147"/>
      <c r="W219" s="148">
        <f>SUM(W220:W222)</f>
        <v>0</v>
      </c>
      <c r="X219" s="148"/>
      <c r="Y219" s="148"/>
      <c r="Z219" s="148">
        <f t="shared" ref="Z219:BL219" si="283">SUM(Z220:Z222)</f>
        <v>0</v>
      </c>
      <c r="AA219" s="148"/>
      <c r="AB219" s="148"/>
      <c r="AC219" s="148">
        <f t="shared" si="283"/>
        <v>0</v>
      </c>
      <c r="AD219" s="148"/>
      <c r="AE219" s="148"/>
      <c r="AF219" s="148">
        <f t="shared" si="283"/>
        <v>0</v>
      </c>
      <c r="AG219" s="148"/>
      <c r="AH219" s="148"/>
      <c r="AI219" s="148">
        <f t="shared" si="283"/>
        <v>0</v>
      </c>
      <c r="AJ219" s="148"/>
      <c r="AK219" s="148"/>
      <c r="AL219" s="148">
        <f t="shared" si="283"/>
        <v>0</v>
      </c>
      <c r="AM219" s="148"/>
      <c r="AN219" s="148"/>
      <c r="AO219" s="148">
        <f t="shared" si="283"/>
        <v>0</v>
      </c>
      <c r="AP219" s="148"/>
      <c r="AQ219" s="148"/>
      <c r="AR219" s="148">
        <f t="shared" si="283"/>
        <v>0</v>
      </c>
      <c r="AS219" s="148"/>
      <c r="AT219" s="148"/>
      <c r="AU219" s="148">
        <f t="shared" si="283"/>
        <v>0</v>
      </c>
      <c r="AV219" s="148"/>
      <c r="AW219" s="148"/>
      <c r="AX219" s="148">
        <f t="shared" si="283"/>
        <v>0</v>
      </c>
      <c r="AY219" s="148"/>
      <c r="AZ219" s="148"/>
      <c r="BA219" s="211">
        <f t="shared" si="283"/>
        <v>118000000</v>
      </c>
      <c r="BB219" s="211">
        <f t="shared" si="283"/>
        <v>0</v>
      </c>
      <c r="BC219" s="211">
        <f t="shared" si="283"/>
        <v>0</v>
      </c>
      <c r="BD219" s="148">
        <f t="shared" si="283"/>
        <v>0</v>
      </c>
      <c r="BE219" s="148"/>
      <c r="BF219" s="148"/>
      <c r="BG219" s="148">
        <f t="shared" si="283"/>
        <v>0</v>
      </c>
      <c r="BH219" s="148"/>
      <c r="BI219" s="148"/>
      <c r="BJ219" s="211">
        <f t="shared" si="283"/>
        <v>118000000</v>
      </c>
      <c r="BK219" s="211">
        <f t="shared" si="283"/>
        <v>0</v>
      </c>
      <c r="BL219" s="211">
        <f t="shared" si="283"/>
        <v>0</v>
      </c>
      <c r="BM219" s="148"/>
      <c r="BN219" s="156"/>
    </row>
    <row r="220" spans="1:106" ht="78" customHeight="1" x14ac:dyDescent="0.2">
      <c r="A220" s="145"/>
      <c r="B220" s="91"/>
      <c r="C220" s="91"/>
      <c r="D220" s="91"/>
      <c r="E220" s="91"/>
      <c r="F220" s="87"/>
      <c r="G220" s="569"/>
      <c r="H220" s="562" t="s">
        <v>224</v>
      </c>
      <c r="I220" s="85" t="s">
        <v>640</v>
      </c>
      <c r="J220" s="562" t="s">
        <v>641</v>
      </c>
      <c r="K220" s="85" t="s">
        <v>640</v>
      </c>
      <c r="L220" s="562" t="s">
        <v>641</v>
      </c>
      <c r="M220" s="198" t="s">
        <v>642</v>
      </c>
      <c r="N220" s="577" t="s">
        <v>643</v>
      </c>
      <c r="O220" s="198" t="s">
        <v>642</v>
      </c>
      <c r="P220" s="577" t="s">
        <v>643</v>
      </c>
      <c r="Q220" s="195" t="s">
        <v>68</v>
      </c>
      <c r="R220" s="125">
        <v>6</v>
      </c>
      <c r="S220" s="125">
        <v>0</v>
      </c>
      <c r="T220" s="862" t="s">
        <v>644</v>
      </c>
      <c r="U220" s="873" t="s">
        <v>645</v>
      </c>
      <c r="V220" s="875" t="s">
        <v>646</v>
      </c>
      <c r="W220" s="150"/>
      <c r="X220" s="150"/>
      <c r="Y220" s="150"/>
      <c r="Z220" s="150"/>
      <c r="AA220" s="150"/>
      <c r="AB220" s="150"/>
      <c r="AC220" s="150"/>
      <c r="AD220" s="150"/>
      <c r="AE220" s="150"/>
      <c r="AF220" s="150"/>
      <c r="AG220" s="150"/>
      <c r="AH220" s="150"/>
      <c r="AI220" s="150"/>
      <c r="AJ220" s="150"/>
      <c r="AK220" s="150"/>
      <c r="AL220" s="150"/>
      <c r="AM220" s="150"/>
      <c r="AN220" s="150"/>
      <c r="AO220" s="150"/>
      <c r="AP220" s="150"/>
      <c r="AQ220" s="150"/>
      <c r="AR220" s="150"/>
      <c r="AS220" s="150"/>
      <c r="AT220" s="150"/>
      <c r="AU220" s="150"/>
      <c r="AV220" s="150"/>
      <c r="AW220" s="150"/>
      <c r="AX220" s="150"/>
      <c r="AY220" s="150"/>
      <c r="AZ220" s="150"/>
      <c r="BA220" s="607">
        <v>25000000</v>
      </c>
      <c r="BB220" s="240"/>
      <c r="BC220" s="240"/>
      <c r="BD220" s="240"/>
      <c r="BE220" s="240"/>
      <c r="BF220" s="240"/>
      <c r="BG220" s="240"/>
      <c r="BH220" s="240"/>
      <c r="BI220" s="240"/>
      <c r="BJ220" s="151">
        <f t="shared" si="266"/>
        <v>25000000</v>
      </c>
      <c r="BK220" s="151">
        <f t="shared" ref="BK220:BK222" si="284">+X220+AA220+AD220+AG220+AJ220+AM220+AP220+AS220+AV220+AY220+BB220+BE220+BH220</f>
        <v>0</v>
      </c>
      <c r="BL220" s="151">
        <f t="shared" ref="BL220:BL222" si="285">+Y220+AB220+AE220+AH220+AK220+AN220+AQ220+AT220+AW220+AZ220+BC220+BF220+BI220</f>
        <v>0</v>
      </c>
      <c r="BM220" s="241" t="s">
        <v>479</v>
      </c>
      <c r="BN220" s="240" t="s">
        <v>480</v>
      </c>
    </row>
    <row r="221" spans="1:106" ht="78" customHeight="1" x14ac:dyDescent="0.2">
      <c r="A221" s="145"/>
      <c r="B221" s="91"/>
      <c r="C221" s="91"/>
      <c r="D221" s="91"/>
      <c r="E221" s="91"/>
      <c r="F221" s="87"/>
      <c r="G221" s="569"/>
      <c r="H221" s="562" t="s">
        <v>224</v>
      </c>
      <c r="I221" s="85">
        <v>3206014</v>
      </c>
      <c r="J221" s="562" t="s">
        <v>647</v>
      </c>
      <c r="K221" s="85">
        <v>3206014</v>
      </c>
      <c r="L221" s="562" t="s">
        <v>647</v>
      </c>
      <c r="M221" s="198" t="s">
        <v>648</v>
      </c>
      <c r="N221" s="577" t="s">
        <v>649</v>
      </c>
      <c r="O221" s="198" t="s">
        <v>648</v>
      </c>
      <c r="P221" s="577" t="s">
        <v>649</v>
      </c>
      <c r="Q221" s="195" t="s">
        <v>68</v>
      </c>
      <c r="R221" s="125">
        <v>1950</v>
      </c>
      <c r="S221" s="125">
        <v>0</v>
      </c>
      <c r="T221" s="862"/>
      <c r="U221" s="873"/>
      <c r="V221" s="875"/>
      <c r="W221" s="150"/>
      <c r="X221" s="150"/>
      <c r="Y221" s="150"/>
      <c r="Z221" s="150"/>
      <c r="AA221" s="150"/>
      <c r="AB221" s="150"/>
      <c r="AC221" s="150"/>
      <c r="AD221" s="150"/>
      <c r="AE221" s="150"/>
      <c r="AF221" s="150"/>
      <c r="AG221" s="150"/>
      <c r="AH221" s="150"/>
      <c r="AI221" s="150"/>
      <c r="AJ221" s="150"/>
      <c r="AK221" s="150"/>
      <c r="AL221" s="150"/>
      <c r="AM221" s="150"/>
      <c r="AN221" s="150"/>
      <c r="AO221" s="150"/>
      <c r="AP221" s="150"/>
      <c r="AQ221" s="150"/>
      <c r="AR221" s="150"/>
      <c r="AS221" s="150"/>
      <c r="AT221" s="150"/>
      <c r="AU221" s="150"/>
      <c r="AV221" s="150"/>
      <c r="AW221" s="150"/>
      <c r="AX221" s="150"/>
      <c r="AY221" s="150"/>
      <c r="AZ221" s="150"/>
      <c r="BA221" s="607">
        <v>18000000</v>
      </c>
      <c r="BB221" s="240"/>
      <c r="BC221" s="240"/>
      <c r="BD221" s="240"/>
      <c r="BE221" s="240"/>
      <c r="BF221" s="240"/>
      <c r="BG221" s="240"/>
      <c r="BH221" s="240"/>
      <c r="BI221" s="240"/>
      <c r="BJ221" s="151">
        <f t="shared" si="266"/>
        <v>18000000</v>
      </c>
      <c r="BK221" s="151">
        <f t="shared" si="284"/>
        <v>0</v>
      </c>
      <c r="BL221" s="151">
        <f t="shared" si="285"/>
        <v>0</v>
      </c>
      <c r="BM221" s="241" t="s">
        <v>479</v>
      </c>
      <c r="BN221" s="240" t="s">
        <v>480</v>
      </c>
    </row>
    <row r="222" spans="1:106" ht="78" customHeight="1" x14ac:dyDescent="0.2">
      <c r="A222" s="145"/>
      <c r="B222" s="91"/>
      <c r="C222" s="91"/>
      <c r="D222" s="91"/>
      <c r="E222" s="91"/>
      <c r="F222" s="87"/>
      <c r="G222" s="569"/>
      <c r="H222" s="562" t="s">
        <v>224</v>
      </c>
      <c r="I222" s="85" t="s">
        <v>650</v>
      </c>
      <c r="J222" s="562" t="s">
        <v>651</v>
      </c>
      <c r="K222" s="85" t="s">
        <v>650</v>
      </c>
      <c r="L222" s="562" t="s">
        <v>651</v>
      </c>
      <c r="M222" s="198" t="s">
        <v>652</v>
      </c>
      <c r="N222" s="577" t="s">
        <v>653</v>
      </c>
      <c r="O222" s="198" t="s">
        <v>652</v>
      </c>
      <c r="P222" s="577" t="s">
        <v>653</v>
      </c>
      <c r="Q222" s="195" t="s">
        <v>68</v>
      </c>
      <c r="R222" s="125">
        <v>20</v>
      </c>
      <c r="S222" s="125">
        <v>0</v>
      </c>
      <c r="T222" s="862"/>
      <c r="U222" s="873"/>
      <c r="V222" s="875"/>
      <c r="W222" s="150"/>
      <c r="X222" s="150"/>
      <c r="Y222" s="150"/>
      <c r="Z222" s="150"/>
      <c r="AA222" s="150"/>
      <c r="AB222" s="150"/>
      <c r="AC222" s="150"/>
      <c r="AD222" s="150"/>
      <c r="AE222" s="150"/>
      <c r="AF222" s="150"/>
      <c r="AG222" s="150"/>
      <c r="AH222" s="150"/>
      <c r="AI222" s="150"/>
      <c r="AJ222" s="150"/>
      <c r="AK222" s="150"/>
      <c r="AL222" s="150"/>
      <c r="AM222" s="150"/>
      <c r="AN222" s="150"/>
      <c r="AO222" s="150"/>
      <c r="AP222" s="150"/>
      <c r="AQ222" s="150"/>
      <c r="AR222" s="150"/>
      <c r="AS222" s="150"/>
      <c r="AT222" s="150"/>
      <c r="AU222" s="150"/>
      <c r="AV222" s="150"/>
      <c r="AW222" s="150"/>
      <c r="AX222" s="150"/>
      <c r="AY222" s="150"/>
      <c r="AZ222" s="150"/>
      <c r="BA222" s="607">
        <v>75000000</v>
      </c>
      <c r="BB222" s="240"/>
      <c r="BC222" s="240"/>
      <c r="BD222" s="240"/>
      <c r="BE222" s="240"/>
      <c r="BF222" s="240"/>
      <c r="BG222" s="240"/>
      <c r="BH222" s="240"/>
      <c r="BI222" s="240"/>
      <c r="BJ222" s="151">
        <f t="shared" si="266"/>
        <v>75000000</v>
      </c>
      <c r="BK222" s="151">
        <f t="shared" si="284"/>
        <v>0</v>
      </c>
      <c r="BL222" s="151">
        <f t="shared" si="285"/>
        <v>0</v>
      </c>
      <c r="BM222" s="241" t="s">
        <v>479</v>
      </c>
      <c r="BN222" s="240" t="s">
        <v>480</v>
      </c>
    </row>
    <row r="223" spans="1:106" s="467" customFormat="1" ht="16.5" customHeight="1" x14ac:dyDescent="0.25">
      <c r="A223" s="463"/>
      <c r="B223" s="463"/>
      <c r="C223" s="463"/>
      <c r="D223" s="463"/>
      <c r="E223" s="463"/>
      <c r="F223" s="463"/>
      <c r="G223" s="463"/>
      <c r="H223" s="464"/>
      <c r="I223" s="463"/>
      <c r="J223" s="463"/>
      <c r="K223" s="463"/>
      <c r="L223" s="463"/>
      <c r="M223" s="463"/>
      <c r="N223" s="463"/>
      <c r="O223" s="463"/>
      <c r="P223" s="463"/>
      <c r="Q223" s="465"/>
      <c r="R223" s="463"/>
      <c r="S223" s="463"/>
      <c r="T223" s="465"/>
      <c r="U223" s="465"/>
      <c r="V223" s="465"/>
      <c r="W223" s="466"/>
      <c r="X223" s="466"/>
      <c r="Y223" s="466"/>
      <c r="Z223" s="466"/>
      <c r="AA223" s="466"/>
      <c r="AB223" s="466"/>
      <c r="AC223" s="466"/>
      <c r="AD223" s="466"/>
      <c r="AE223" s="466"/>
      <c r="AF223" s="466"/>
      <c r="AG223" s="466"/>
      <c r="AH223" s="466"/>
      <c r="AI223" s="466"/>
      <c r="AJ223" s="466"/>
      <c r="AK223" s="466"/>
      <c r="AL223" s="466"/>
      <c r="AM223" s="466"/>
      <c r="AN223" s="466"/>
      <c r="AO223" s="466"/>
      <c r="AP223" s="466"/>
      <c r="AQ223" s="466"/>
      <c r="AR223" s="466"/>
      <c r="AS223" s="466"/>
      <c r="AT223" s="466"/>
      <c r="AU223" s="466"/>
      <c r="AV223" s="466"/>
      <c r="AW223" s="466"/>
      <c r="AX223" s="466"/>
      <c r="AY223" s="466"/>
      <c r="AZ223" s="466"/>
      <c r="BA223" s="466"/>
      <c r="BB223" s="466"/>
      <c r="BC223" s="466"/>
      <c r="BD223" s="466"/>
      <c r="BE223" s="466"/>
      <c r="BF223" s="466"/>
      <c r="BG223" s="466"/>
      <c r="BH223" s="466"/>
      <c r="BI223" s="466"/>
      <c r="BJ223" s="466"/>
      <c r="BK223" s="466"/>
      <c r="BL223" s="466"/>
      <c r="BM223" s="466"/>
      <c r="BN223" s="466"/>
    </row>
    <row r="224" spans="1:106" s="394" customFormat="1" ht="24" customHeight="1" x14ac:dyDescent="0.2">
      <c r="A224" s="41" t="s">
        <v>654</v>
      </c>
      <c r="B224" s="41"/>
      <c r="C224" s="41"/>
      <c r="D224" s="41"/>
      <c r="E224" s="41"/>
      <c r="F224" s="42"/>
      <c r="G224" s="657"/>
      <c r="H224" s="741"/>
      <c r="I224" s="700"/>
      <c r="J224" s="700"/>
      <c r="K224" s="701"/>
      <c r="L224" s="700"/>
      <c r="M224" s="700"/>
      <c r="N224" s="702"/>
      <c r="O224" s="703"/>
      <c r="P224" s="702"/>
      <c r="Q224" s="704"/>
      <c r="R224" s="703"/>
      <c r="S224" s="703"/>
      <c r="T224" s="658"/>
      <c r="U224" s="391"/>
      <c r="V224" s="391"/>
      <c r="W224" s="387">
        <f>W225</f>
        <v>0</v>
      </c>
      <c r="X224" s="387"/>
      <c r="Y224" s="387"/>
      <c r="Z224" s="387">
        <f t="shared" ref="Z224:BK225" si="286">Z225</f>
        <v>0</v>
      </c>
      <c r="AA224" s="387"/>
      <c r="AB224" s="387"/>
      <c r="AC224" s="387">
        <f t="shared" si="286"/>
        <v>0</v>
      </c>
      <c r="AD224" s="387"/>
      <c r="AE224" s="387"/>
      <c r="AF224" s="387">
        <f t="shared" si="286"/>
        <v>0</v>
      </c>
      <c r="AG224" s="387"/>
      <c r="AH224" s="387"/>
      <c r="AI224" s="387">
        <f t="shared" si="286"/>
        <v>0</v>
      </c>
      <c r="AJ224" s="387"/>
      <c r="AK224" s="387"/>
      <c r="AL224" s="387">
        <f t="shared" si="286"/>
        <v>0</v>
      </c>
      <c r="AM224" s="387"/>
      <c r="AN224" s="387"/>
      <c r="AO224" s="387">
        <f t="shared" si="286"/>
        <v>0</v>
      </c>
      <c r="AP224" s="387"/>
      <c r="AQ224" s="387"/>
      <c r="AR224" s="387">
        <f t="shared" si="286"/>
        <v>0</v>
      </c>
      <c r="AS224" s="387"/>
      <c r="AT224" s="387"/>
      <c r="AU224" s="387">
        <f t="shared" si="286"/>
        <v>0</v>
      </c>
      <c r="AV224" s="387"/>
      <c r="AW224" s="387"/>
      <c r="AX224" s="387">
        <f t="shared" si="286"/>
        <v>0</v>
      </c>
      <c r="AY224" s="387"/>
      <c r="AZ224" s="387"/>
      <c r="BA224" s="387">
        <f t="shared" si="286"/>
        <v>695000000</v>
      </c>
      <c r="BB224" s="387">
        <f t="shared" si="286"/>
        <v>280955000</v>
      </c>
      <c r="BC224" s="387">
        <f t="shared" si="286"/>
        <v>59920000</v>
      </c>
      <c r="BD224" s="387">
        <f t="shared" si="286"/>
        <v>0</v>
      </c>
      <c r="BE224" s="387"/>
      <c r="BF224" s="387"/>
      <c r="BG224" s="387">
        <f t="shared" si="286"/>
        <v>0</v>
      </c>
      <c r="BH224" s="387"/>
      <c r="BI224" s="387"/>
      <c r="BJ224" s="387">
        <f t="shared" si="286"/>
        <v>695000000</v>
      </c>
      <c r="BK224" s="387">
        <f t="shared" si="286"/>
        <v>280955000</v>
      </c>
      <c r="BL224" s="387">
        <f t="shared" ref="BK224:BL225" si="287">BL225</f>
        <v>59920000</v>
      </c>
      <c r="BM224" s="387"/>
      <c r="BN224" s="388"/>
      <c r="BO224" s="393"/>
      <c r="BP224" s="393"/>
      <c r="BQ224" s="393"/>
      <c r="BR224" s="393"/>
      <c r="BS224" s="393"/>
      <c r="BT224" s="393"/>
      <c r="BU224" s="393"/>
      <c r="BV224" s="393"/>
      <c r="BW224" s="393"/>
      <c r="BX224" s="393"/>
      <c r="BY224" s="393"/>
      <c r="BZ224" s="393"/>
      <c r="CA224" s="393"/>
      <c r="CB224" s="393"/>
      <c r="CC224" s="393"/>
      <c r="CD224" s="393"/>
      <c r="CE224" s="393"/>
      <c r="CF224" s="393"/>
      <c r="CG224" s="393"/>
      <c r="CH224" s="393"/>
      <c r="CI224" s="393"/>
      <c r="CJ224" s="393"/>
      <c r="CK224" s="393"/>
      <c r="CL224" s="393"/>
      <c r="CM224" s="393"/>
      <c r="CN224" s="393"/>
      <c r="CO224" s="393"/>
      <c r="CP224" s="393"/>
      <c r="CQ224" s="393"/>
      <c r="CR224" s="393"/>
      <c r="CS224" s="393"/>
      <c r="CT224" s="393"/>
      <c r="CU224" s="393"/>
      <c r="CV224" s="393"/>
      <c r="CW224" s="393"/>
      <c r="CX224" s="393"/>
      <c r="CY224" s="393"/>
      <c r="CZ224" s="393"/>
      <c r="DA224" s="393"/>
      <c r="DB224" s="393"/>
    </row>
    <row r="225" spans="1:106" ht="24" customHeight="1" x14ac:dyDescent="0.2">
      <c r="A225" s="145"/>
      <c r="B225" s="131">
        <v>4</v>
      </c>
      <c r="C225" s="131"/>
      <c r="D225" s="74" t="s">
        <v>43</v>
      </c>
      <c r="E225" s="173"/>
      <c r="F225" s="74"/>
      <c r="G225" s="180"/>
      <c r="H225" s="180"/>
      <c r="I225" s="395"/>
      <c r="J225" s="182"/>
      <c r="K225" s="181"/>
      <c r="L225" s="182"/>
      <c r="M225" s="182"/>
      <c r="N225" s="184"/>
      <c r="O225" s="183"/>
      <c r="P225" s="184"/>
      <c r="Q225" s="185"/>
      <c r="R225" s="183"/>
      <c r="S225" s="183"/>
      <c r="T225" s="729"/>
      <c r="U225" s="133"/>
      <c r="V225" s="133"/>
      <c r="W225" s="134">
        <f>W226</f>
        <v>0</v>
      </c>
      <c r="X225" s="134"/>
      <c r="Y225" s="134"/>
      <c r="Z225" s="134">
        <f t="shared" si="286"/>
        <v>0</v>
      </c>
      <c r="AA225" s="134"/>
      <c r="AB225" s="134"/>
      <c r="AC225" s="134">
        <f t="shared" si="286"/>
        <v>0</v>
      </c>
      <c r="AD225" s="134"/>
      <c r="AE225" s="134"/>
      <c r="AF225" s="134">
        <f t="shared" si="286"/>
        <v>0</v>
      </c>
      <c r="AG225" s="134"/>
      <c r="AH225" s="134"/>
      <c r="AI225" s="134">
        <f t="shared" si="286"/>
        <v>0</v>
      </c>
      <c r="AJ225" s="134"/>
      <c r="AK225" s="134"/>
      <c r="AL225" s="134">
        <f t="shared" si="286"/>
        <v>0</v>
      </c>
      <c r="AM225" s="134"/>
      <c r="AN225" s="134"/>
      <c r="AO225" s="134">
        <f t="shared" si="286"/>
        <v>0</v>
      </c>
      <c r="AP225" s="134"/>
      <c r="AQ225" s="134"/>
      <c r="AR225" s="134">
        <f t="shared" si="286"/>
        <v>0</v>
      </c>
      <c r="AS225" s="134"/>
      <c r="AT225" s="134"/>
      <c r="AU225" s="134">
        <f t="shared" si="286"/>
        <v>0</v>
      </c>
      <c r="AV225" s="134"/>
      <c r="AW225" s="134"/>
      <c r="AX225" s="134">
        <f t="shared" si="286"/>
        <v>0</v>
      </c>
      <c r="AY225" s="134"/>
      <c r="AZ225" s="134"/>
      <c r="BA225" s="134">
        <f t="shared" si="286"/>
        <v>695000000</v>
      </c>
      <c r="BB225" s="134">
        <f t="shared" si="286"/>
        <v>280955000</v>
      </c>
      <c r="BC225" s="134">
        <f t="shared" si="286"/>
        <v>59920000</v>
      </c>
      <c r="BD225" s="134">
        <f t="shared" si="286"/>
        <v>0</v>
      </c>
      <c r="BE225" s="134"/>
      <c r="BF225" s="134"/>
      <c r="BG225" s="134">
        <f t="shared" si="286"/>
        <v>0</v>
      </c>
      <c r="BH225" s="134"/>
      <c r="BI225" s="134"/>
      <c r="BJ225" s="134">
        <f t="shared" si="286"/>
        <v>695000000</v>
      </c>
      <c r="BK225" s="134">
        <f t="shared" si="287"/>
        <v>280955000</v>
      </c>
      <c r="BL225" s="134">
        <f t="shared" si="287"/>
        <v>59920000</v>
      </c>
      <c r="BM225" s="134"/>
      <c r="BN225" s="168"/>
    </row>
    <row r="226" spans="1:106" s="9" customFormat="1" ht="24" customHeight="1" x14ac:dyDescent="0.25">
      <c r="A226" s="130"/>
      <c r="B226" s="83"/>
      <c r="C226" s="83"/>
      <c r="D226" s="77">
        <v>45</v>
      </c>
      <c r="E226" s="75" t="s">
        <v>44</v>
      </c>
      <c r="F226" s="75"/>
      <c r="G226" s="135"/>
      <c r="H226" s="135"/>
      <c r="I226" s="136"/>
      <c r="J226" s="138"/>
      <c r="K226" s="137"/>
      <c r="L226" s="138"/>
      <c r="M226" s="138"/>
      <c r="N226" s="140"/>
      <c r="O226" s="139"/>
      <c r="P226" s="140"/>
      <c r="Q226" s="141"/>
      <c r="R226" s="139"/>
      <c r="S226" s="139"/>
      <c r="T226" s="204"/>
      <c r="U226" s="143"/>
      <c r="V226" s="143"/>
      <c r="W226" s="144">
        <f>W227+W230</f>
        <v>0</v>
      </c>
      <c r="X226" s="144"/>
      <c r="Y226" s="144"/>
      <c r="Z226" s="144">
        <f t="shared" ref="Z226:BG226" si="288">Z227+Z230</f>
        <v>0</v>
      </c>
      <c r="AA226" s="144"/>
      <c r="AB226" s="144"/>
      <c r="AC226" s="144">
        <f t="shared" si="288"/>
        <v>0</v>
      </c>
      <c r="AD226" s="144"/>
      <c r="AE226" s="144"/>
      <c r="AF226" s="144">
        <f t="shared" si="288"/>
        <v>0</v>
      </c>
      <c r="AG226" s="144"/>
      <c r="AH226" s="144"/>
      <c r="AI226" s="144">
        <f t="shared" si="288"/>
        <v>0</v>
      </c>
      <c r="AJ226" s="144"/>
      <c r="AK226" s="144"/>
      <c r="AL226" s="144">
        <f t="shared" si="288"/>
        <v>0</v>
      </c>
      <c r="AM226" s="144"/>
      <c r="AN226" s="144"/>
      <c r="AO226" s="144">
        <f t="shared" si="288"/>
        <v>0</v>
      </c>
      <c r="AP226" s="144"/>
      <c r="AQ226" s="144"/>
      <c r="AR226" s="144">
        <f t="shared" si="288"/>
        <v>0</v>
      </c>
      <c r="AS226" s="144"/>
      <c r="AT226" s="144"/>
      <c r="AU226" s="144">
        <f t="shared" si="288"/>
        <v>0</v>
      </c>
      <c r="AV226" s="144"/>
      <c r="AW226" s="144"/>
      <c r="AX226" s="144">
        <f t="shared" si="288"/>
        <v>0</v>
      </c>
      <c r="AY226" s="144"/>
      <c r="AZ226" s="144"/>
      <c r="BA226" s="144">
        <f t="shared" si="288"/>
        <v>695000000</v>
      </c>
      <c r="BB226" s="144">
        <f t="shared" ref="BB226:BC226" si="289">BB227+BB230</f>
        <v>280955000</v>
      </c>
      <c r="BC226" s="144">
        <f t="shared" si="289"/>
        <v>59920000</v>
      </c>
      <c r="BD226" s="144">
        <f t="shared" si="288"/>
        <v>0</v>
      </c>
      <c r="BE226" s="144"/>
      <c r="BF226" s="144"/>
      <c r="BG226" s="144">
        <f t="shared" si="288"/>
        <v>0</v>
      </c>
      <c r="BH226" s="144"/>
      <c r="BI226" s="144"/>
      <c r="BJ226" s="144">
        <f>BJ227+BJ230</f>
        <v>695000000</v>
      </c>
      <c r="BK226" s="144">
        <f t="shared" ref="BK226:BL226" si="290">BK227+BK230</f>
        <v>280955000</v>
      </c>
      <c r="BL226" s="144">
        <f t="shared" si="290"/>
        <v>59920000</v>
      </c>
      <c r="BM226" s="144"/>
      <c r="BN226" s="169"/>
      <c r="BO226" s="8"/>
      <c r="BP226" s="8"/>
      <c r="BQ226" s="8"/>
      <c r="BR226" s="8"/>
      <c r="BS226" s="8"/>
      <c r="BT226" s="8"/>
      <c r="BU226" s="8"/>
      <c r="BV226" s="8"/>
      <c r="BW226" s="8"/>
      <c r="BX226" s="8"/>
      <c r="BY226" s="8"/>
      <c r="BZ226" s="8"/>
      <c r="CA226" s="8"/>
      <c r="CB226" s="8"/>
      <c r="CC226" s="8"/>
      <c r="CD226" s="8"/>
      <c r="CE226" s="8"/>
      <c r="CF226" s="8"/>
      <c r="CG226" s="8"/>
      <c r="CH226" s="8"/>
      <c r="CI226" s="8"/>
      <c r="CJ226" s="8"/>
      <c r="CK226" s="8"/>
      <c r="CL226" s="8"/>
      <c r="CM226" s="8"/>
      <c r="CN226" s="8"/>
      <c r="CO226" s="8"/>
      <c r="CP226" s="8"/>
      <c r="CQ226" s="8"/>
      <c r="CR226" s="8"/>
      <c r="CS226" s="8"/>
      <c r="CT226" s="8"/>
      <c r="CU226" s="8"/>
      <c r="CV226" s="8"/>
      <c r="CW226" s="8"/>
      <c r="CX226" s="8"/>
      <c r="CY226" s="8"/>
      <c r="CZ226" s="8"/>
      <c r="DA226" s="8"/>
      <c r="DB226" s="8"/>
    </row>
    <row r="227" spans="1:106" s="9" customFormat="1" ht="24" customHeight="1" x14ac:dyDescent="0.25">
      <c r="A227" s="130"/>
      <c r="B227" s="91"/>
      <c r="C227" s="91"/>
      <c r="D227" s="91"/>
      <c r="E227" s="91"/>
      <c r="F227" s="154">
        <v>4599</v>
      </c>
      <c r="G227" s="81" t="s">
        <v>655</v>
      </c>
      <c r="H227" s="81"/>
      <c r="I227" s="194"/>
      <c r="J227" s="742"/>
      <c r="K227" s="743"/>
      <c r="L227" s="742"/>
      <c r="M227" s="742"/>
      <c r="N227" s="652"/>
      <c r="O227" s="735"/>
      <c r="P227" s="652"/>
      <c r="Q227" s="727"/>
      <c r="R227" s="735"/>
      <c r="S227" s="735"/>
      <c r="T227" s="728"/>
      <c r="U227" s="147"/>
      <c r="V227" s="147"/>
      <c r="W227" s="148">
        <f>SUM(W228:W229)</f>
        <v>0</v>
      </c>
      <c r="X227" s="148"/>
      <c r="Y227" s="148"/>
      <c r="Z227" s="148">
        <f t="shared" ref="Z227:BJ227" si="291">SUM(Z228:Z229)</f>
        <v>0</v>
      </c>
      <c r="AA227" s="148"/>
      <c r="AB227" s="148"/>
      <c r="AC227" s="148">
        <f t="shared" si="291"/>
        <v>0</v>
      </c>
      <c r="AD227" s="148"/>
      <c r="AE227" s="148"/>
      <c r="AF227" s="148">
        <f t="shared" si="291"/>
        <v>0</v>
      </c>
      <c r="AG227" s="148"/>
      <c r="AH227" s="148"/>
      <c r="AI227" s="148">
        <f t="shared" si="291"/>
        <v>0</v>
      </c>
      <c r="AJ227" s="148"/>
      <c r="AK227" s="148"/>
      <c r="AL227" s="148">
        <f t="shared" si="291"/>
        <v>0</v>
      </c>
      <c r="AM227" s="148"/>
      <c r="AN227" s="148"/>
      <c r="AO227" s="148">
        <f t="shared" si="291"/>
        <v>0</v>
      </c>
      <c r="AP227" s="148"/>
      <c r="AQ227" s="148"/>
      <c r="AR227" s="148">
        <f t="shared" si="291"/>
        <v>0</v>
      </c>
      <c r="AS227" s="148"/>
      <c r="AT227" s="148"/>
      <c r="AU227" s="148">
        <f t="shared" si="291"/>
        <v>0</v>
      </c>
      <c r="AV227" s="148"/>
      <c r="AW227" s="148"/>
      <c r="AX227" s="148">
        <f t="shared" si="291"/>
        <v>0</v>
      </c>
      <c r="AY227" s="148"/>
      <c r="AZ227" s="148"/>
      <c r="BA227" s="148">
        <f t="shared" si="291"/>
        <v>550000000</v>
      </c>
      <c r="BB227" s="148">
        <f t="shared" ref="BB227:BC227" si="292">SUM(BB228:BB229)</f>
        <v>235690000</v>
      </c>
      <c r="BC227" s="148">
        <f t="shared" si="292"/>
        <v>49995000</v>
      </c>
      <c r="BD227" s="148">
        <f t="shared" si="291"/>
        <v>0</v>
      </c>
      <c r="BE227" s="148"/>
      <c r="BF227" s="148"/>
      <c r="BG227" s="148">
        <f t="shared" si="291"/>
        <v>0</v>
      </c>
      <c r="BH227" s="148"/>
      <c r="BI227" s="148"/>
      <c r="BJ227" s="148">
        <f t="shared" si="291"/>
        <v>550000000</v>
      </c>
      <c r="BK227" s="148">
        <f t="shared" ref="BK227:BL227" si="293">SUM(BK228:BK229)</f>
        <v>235690000</v>
      </c>
      <c r="BL227" s="148">
        <f t="shared" si="293"/>
        <v>49995000</v>
      </c>
      <c r="BM227" s="148"/>
      <c r="BN227" s="156"/>
      <c r="BO227" s="8"/>
      <c r="BP227" s="8"/>
      <c r="BQ227" s="8"/>
      <c r="BR227" s="8"/>
      <c r="BS227" s="8"/>
      <c r="BT227" s="8"/>
      <c r="BU227" s="8"/>
      <c r="BV227" s="8"/>
      <c r="BW227" s="8"/>
      <c r="BX227" s="8"/>
      <c r="BY227" s="8"/>
      <c r="BZ227" s="8"/>
      <c r="CA227" s="8"/>
      <c r="CB227" s="8"/>
      <c r="CC227" s="8"/>
      <c r="CD227" s="8"/>
      <c r="CE227" s="8"/>
      <c r="CF227" s="8"/>
      <c r="CG227" s="8"/>
      <c r="CH227" s="8"/>
      <c r="CI227" s="8"/>
      <c r="CJ227" s="8"/>
      <c r="CK227" s="8"/>
      <c r="CL227" s="8"/>
      <c r="CM227" s="8"/>
      <c r="CN227" s="8"/>
      <c r="CO227" s="8"/>
      <c r="CP227" s="8"/>
      <c r="CQ227" s="8"/>
      <c r="CR227" s="8"/>
      <c r="CS227" s="8"/>
      <c r="CT227" s="8"/>
      <c r="CU227" s="8"/>
      <c r="CV227" s="8"/>
      <c r="CW227" s="8"/>
      <c r="CX227" s="8"/>
      <c r="CY227" s="8"/>
      <c r="CZ227" s="8"/>
      <c r="DA227" s="8"/>
      <c r="DB227" s="8"/>
    </row>
    <row r="228" spans="1:106" ht="222" customHeight="1" x14ac:dyDescent="0.2">
      <c r="A228" s="145"/>
      <c r="B228" s="91"/>
      <c r="C228" s="91"/>
      <c r="D228" s="91"/>
      <c r="E228" s="91"/>
      <c r="F228" s="87"/>
      <c r="G228" s="569"/>
      <c r="H228" s="562" t="s">
        <v>46</v>
      </c>
      <c r="I228" s="82" t="s">
        <v>47</v>
      </c>
      <c r="J228" s="571" t="s">
        <v>656</v>
      </c>
      <c r="K228" s="84">
        <v>4599023</v>
      </c>
      <c r="L228" s="571" t="s">
        <v>128</v>
      </c>
      <c r="M228" s="82" t="s">
        <v>47</v>
      </c>
      <c r="N228" s="157" t="s">
        <v>657</v>
      </c>
      <c r="O228" s="84">
        <v>459902304</v>
      </c>
      <c r="P228" s="157" t="s">
        <v>658</v>
      </c>
      <c r="Q228" s="256" t="s">
        <v>52</v>
      </c>
      <c r="R228" s="256">
        <v>1</v>
      </c>
      <c r="S228" s="256">
        <v>0</v>
      </c>
      <c r="T228" s="570" t="s">
        <v>659</v>
      </c>
      <c r="U228" s="98" t="s">
        <v>660</v>
      </c>
      <c r="V228" s="98" t="s">
        <v>661</v>
      </c>
      <c r="W228" s="150"/>
      <c r="X228" s="150"/>
      <c r="Y228" s="150"/>
      <c r="Z228" s="150"/>
      <c r="AA228" s="150"/>
      <c r="AB228" s="150"/>
      <c r="AC228" s="150"/>
      <c r="AD228" s="150"/>
      <c r="AE228" s="150"/>
      <c r="AF228" s="150"/>
      <c r="AG228" s="150"/>
      <c r="AH228" s="150"/>
      <c r="AI228" s="150"/>
      <c r="AJ228" s="150"/>
      <c r="AK228" s="150"/>
      <c r="AL228" s="150"/>
      <c r="AM228" s="150"/>
      <c r="AN228" s="150"/>
      <c r="AO228" s="150"/>
      <c r="AP228" s="150"/>
      <c r="AQ228" s="150"/>
      <c r="AR228" s="150"/>
      <c r="AS228" s="150"/>
      <c r="AT228" s="150"/>
      <c r="AU228" s="150"/>
      <c r="AV228" s="150"/>
      <c r="AW228" s="150"/>
      <c r="AX228" s="150"/>
      <c r="AY228" s="150"/>
      <c r="AZ228" s="150"/>
      <c r="BA228" s="172">
        <v>250000000</v>
      </c>
      <c r="BB228" s="172">
        <v>97940000</v>
      </c>
      <c r="BC228" s="172">
        <v>21485000</v>
      </c>
      <c r="BD228" s="150"/>
      <c r="BE228" s="150"/>
      <c r="BF228" s="150"/>
      <c r="BG228" s="150"/>
      <c r="BH228" s="150"/>
      <c r="BI228" s="150"/>
      <c r="BJ228" s="151">
        <f>+W228+Z228+AC228+AF228+AI228+AL228+AO228+AR228+AU228+AX228+BA228+BD228+BG228</f>
        <v>250000000</v>
      </c>
      <c r="BK228" s="151">
        <f t="shared" ref="BK228:BL228" si="294">+X228+AA228+AD228+AG228+AJ228+AM228+AP228+AS228+AV228+AY228+BB228+BE228+BH228</f>
        <v>97940000</v>
      </c>
      <c r="BL228" s="151">
        <f t="shared" si="294"/>
        <v>21485000</v>
      </c>
      <c r="BM228" s="151" t="s">
        <v>662</v>
      </c>
      <c r="BN228" s="72" t="s">
        <v>1575</v>
      </c>
    </row>
    <row r="229" spans="1:106" ht="193.5" customHeight="1" x14ac:dyDescent="0.2">
      <c r="A229" s="145"/>
      <c r="B229" s="91"/>
      <c r="C229" s="91"/>
      <c r="D229" s="91"/>
      <c r="E229" s="91"/>
      <c r="F229" s="87"/>
      <c r="G229" s="216"/>
      <c r="H229" s="562" t="s">
        <v>46</v>
      </c>
      <c r="I229" s="82" t="s">
        <v>47</v>
      </c>
      <c r="J229" s="571" t="s">
        <v>663</v>
      </c>
      <c r="K229" s="84">
        <v>4599029</v>
      </c>
      <c r="L229" s="571" t="s">
        <v>74</v>
      </c>
      <c r="M229" s="82" t="s">
        <v>47</v>
      </c>
      <c r="N229" s="157" t="s">
        <v>664</v>
      </c>
      <c r="O229" s="114">
        <v>459902900</v>
      </c>
      <c r="P229" s="157" t="s">
        <v>76</v>
      </c>
      <c r="Q229" s="256" t="s">
        <v>52</v>
      </c>
      <c r="R229" s="256">
        <v>1</v>
      </c>
      <c r="S229" s="256">
        <v>0</v>
      </c>
      <c r="T229" s="570" t="s">
        <v>665</v>
      </c>
      <c r="U229" s="561" t="s">
        <v>666</v>
      </c>
      <c r="V229" s="562" t="s">
        <v>667</v>
      </c>
      <c r="W229" s="150"/>
      <c r="X229" s="150"/>
      <c r="Y229" s="150"/>
      <c r="Z229" s="150"/>
      <c r="AA229" s="150"/>
      <c r="AB229" s="150"/>
      <c r="AC229" s="150"/>
      <c r="AD229" s="150"/>
      <c r="AE229" s="150"/>
      <c r="AF229" s="150"/>
      <c r="AG229" s="150"/>
      <c r="AH229" s="150"/>
      <c r="AI229" s="150"/>
      <c r="AJ229" s="150"/>
      <c r="AK229" s="150"/>
      <c r="AL229" s="150"/>
      <c r="AM229" s="150"/>
      <c r="AN229" s="150"/>
      <c r="AO229" s="150"/>
      <c r="AP229" s="150"/>
      <c r="AQ229" s="150"/>
      <c r="AR229" s="150"/>
      <c r="AS229" s="150"/>
      <c r="AT229" s="150"/>
      <c r="AU229" s="150"/>
      <c r="AV229" s="150"/>
      <c r="AW229" s="150"/>
      <c r="AX229" s="150"/>
      <c r="AY229" s="150"/>
      <c r="AZ229" s="150"/>
      <c r="BA229" s="172">
        <v>300000000</v>
      </c>
      <c r="BB229" s="172">
        <v>137750000</v>
      </c>
      <c r="BC229" s="172">
        <v>28510000</v>
      </c>
      <c r="BD229" s="150"/>
      <c r="BE229" s="150"/>
      <c r="BF229" s="150"/>
      <c r="BG229" s="150"/>
      <c r="BH229" s="150"/>
      <c r="BI229" s="150"/>
      <c r="BJ229" s="151">
        <f>+W229+Z229+AC229+AF229+AI229+AL229+AO229+AR229+AU229+AX229+BA229+BD229+BG229</f>
        <v>300000000</v>
      </c>
      <c r="BK229" s="151">
        <f t="shared" ref="BK229:BL229" si="295">+X229+AA229+AD229+AG229+AJ229+AM229+AP229+AS229+AV229+AY229+BB229+BE229+BH229</f>
        <v>137750000</v>
      </c>
      <c r="BL229" s="151">
        <f t="shared" si="295"/>
        <v>28510000</v>
      </c>
      <c r="BM229" s="151" t="s">
        <v>662</v>
      </c>
      <c r="BN229" s="72" t="s">
        <v>1575</v>
      </c>
    </row>
    <row r="230" spans="1:106" ht="24" customHeight="1" x14ac:dyDescent="0.2">
      <c r="A230" s="145"/>
      <c r="B230" s="91"/>
      <c r="C230" s="91"/>
      <c r="D230" s="91"/>
      <c r="E230" s="91"/>
      <c r="F230" s="154">
        <v>4502</v>
      </c>
      <c r="G230" s="81" t="s">
        <v>71</v>
      </c>
      <c r="H230" s="194"/>
      <c r="I230" s="194"/>
      <c r="J230" s="693"/>
      <c r="K230" s="726"/>
      <c r="L230" s="693"/>
      <c r="M230" s="693"/>
      <c r="N230" s="688"/>
      <c r="O230" s="689"/>
      <c r="P230" s="688"/>
      <c r="Q230" s="727"/>
      <c r="R230" s="689"/>
      <c r="S230" s="689"/>
      <c r="T230" s="728"/>
      <c r="U230" s="147"/>
      <c r="V230" s="147"/>
      <c r="W230" s="148">
        <f>SUM(W231)</f>
        <v>0</v>
      </c>
      <c r="X230" s="148"/>
      <c r="Y230" s="148"/>
      <c r="Z230" s="148">
        <f t="shared" ref="Z230:BL230" si="296">SUM(Z231)</f>
        <v>0</v>
      </c>
      <c r="AA230" s="148"/>
      <c r="AB230" s="148"/>
      <c r="AC230" s="148">
        <f t="shared" si="296"/>
        <v>0</v>
      </c>
      <c r="AD230" s="148"/>
      <c r="AE230" s="148"/>
      <c r="AF230" s="148">
        <f t="shared" si="296"/>
        <v>0</v>
      </c>
      <c r="AG230" s="148"/>
      <c r="AH230" s="148"/>
      <c r="AI230" s="148">
        <f t="shared" si="296"/>
        <v>0</v>
      </c>
      <c r="AJ230" s="148"/>
      <c r="AK230" s="148"/>
      <c r="AL230" s="148">
        <f t="shared" si="296"/>
        <v>0</v>
      </c>
      <c r="AM230" s="148"/>
      <c r="AN230" s="148"/>
      <c r="AO230" s="148">
        <f t="shared" si="296"/>
        <v>0</v>
      </c>
      <c r="AP230" s="148"/>
      <c r="AQ230" s="148"/>
      <c r="AR230" s="148">
        <f t="shared" si="296"/>
        <v>0</v>
      </c>
      <c r="AS230" s="148"/>
      <c r="AT230" s="148"/>
      <c r="AU230" s="148">
        <f t="shared" si="296"/>
        <v>0</v>
      </c>
      <c r="AV230" s="148"/>
      <c r="AW230" s="148"/>
      <c r="AX230" s="148">
        <f t="shared" si="296"/>
        <v>0</v>
      </c>
      <c r="AY230" s="148"/>
      <c r="AZ230" s="148"/>
      <c r="BA230" s="148">
        <f t="shared" si="296"/>
        <v>145000000</v>
      </c>
      <c r="BB230" s="148">
        <f t="shared" si="296"/>
        <v>45265000</v>
      </c>
      <c r="BC230" s="148">
        <f t="shared" si="296"/>
        <v>9925000</v>
      </c>
      <c r="BD230" s="148">
        <f t="shared" si="296"/>
        <v>0</v>
      </c>
      <c r="BE230" s="148"/>
      <c r="BF230" s="148"/>
      <c r="BG230" s="148">
        <f t="shared" si="296"/>
        <v>0</v>
      </c>
      <c r="BH230" s="148"/>
      <c r="BI230" s="148"/>
      <c r="BJ230" s="148">
        <f t="shared" si="296"/>
        <v>145000000</v>
      </c>
      <c r="BK230" s="148">
        <f t="shared" si="296"/>
        <v>45265000</v>
      </c>
      <c r="BL230" s="148">
        <f t="shared" si="296"/>
        <v>9925000</v>
      </c>
      <c r="BM230" s="148"/>
      <c r="BN230" s="156"/>
    </row>
    <row r="231" spans="1:106" ht="191.25" customHeight="1" x14ac:dyDescent="0.2">
      <c r="A231" s="145"/>
      <c r="B231" s="91"/>
      <c r="C231" s="91"/>
      <c r="D231" s="91"/>
      <c r="E231" s="91"/>
      <c r="F231" s="87"/>
      <c r="G231" s="257"/>
      <c r="H231" s="562" t="s">
        <v>72</v>
      </c>
      <c r="I231" s="82" t="s">
        <v>47</v>
      </c>
      <c r="J231" s="562" t="s">
        <v>668</v>
      </c>
      <c r="K231" s="84">
        <v>4502001</v>
      </c>
      <c r="L231" s="562" t="s">
        <v>83</v>
      </c>
      <c r="M231" s="454" t="s">
        <v>47</v>
      </c>
      <c r="N231" s="157" t="s">
        <v>669</v>
      </c>
      <c r="O231" s="84">
        <v>450200100</v>
      </c>
      <c r="P231" s="157" t="s">
        <v>85</v>
      </c>
      <c r="Q231" s="256" t="s">
        <v>52</v>
      </c>
      <c r="R231" s="125">
        <v>30</v>
      </c>
      <c r="S231" s="125">
        <v>10</v>
      </c>
      <c r="T231" s="563" t="s">
        <v>670</v>
      </c>
      <c r="U231" s="561" t="s">
        <v>671</v>
      </c>
      <c r="V231" s="562" t="s">
        <v>672</v>
      </c>
      <c r="W231" s="253"/>
      <c r="X231" s="253"/>
      <c r="Y231" s="253"/>
      <c r="Z231" s="253"/>
      <c r="AA231" s="253"/>
      <c r="AB231" s="253"/>
      <c r="AC231" s="253"/>
      <c r="AD231" s="253"/>
      <c r="AE231" s="253"/>
      <c r="AF231" s="253"/>
      <c r="AG231" s="253"/>
      <c r="AH231" s="253"/>
      <c r="AI231" s="253"/>
      <c r="AJ231" s="253"/>
      <c r="AK231" s="253"/>
      <c r="AL231" s="253"/>
      <c r="AM231" s="253"/>
      <c r="AN231" s="253"/>
      <c r="AO231" s="253"/>
      <c r="AP231" s="253"/>
      <c r="AQ231" s="253"/>
      <c r="AR231" s="253"/>
      <c r="AS231" s="253"/>
      <c r="AT231" s="253"/>
      <c r="AU231" s="253"/>
      <c r="AV231" s="253"/>
      <c r="AW231" s="253"/>
      <c r="AX231" s="253"/>
      <c r="AY231" s="253"/>
      <c r="AZ231" s="253"/>
      <c r="BA231" s="432">
        <v>145000000</v>
      </c>
      <c r="BB231" s="258">
        <v>45265000</v>
      </c>
      <c r="BC231" s="258">
        <v>9925000</v>
      </c>
      <c r="BD231" s="253"/>
      <c r="BE231" s="253"/>
      <c r="BF231" s="253"/>
      <c r="BG231" s="253"/>
      <c r="BH231" s="253"/>
      <c r="BI231" s="253"/>
      <c r="BJ231" s="151">
        <f>+W231+Z231+AC231+AF231+AI231+AL231+AO231+AR231+AU231+AX231+BA231+BD231+BG231</f>
        <v>145000000</v>
      </c>
      <c r="BK231" s="151">
        <f t="shared" ref="BK231:BL231" si="297">+X231+AA231+AD231+AG231+AJ231+AM231+AP231+AS231+AV231+AY231+BB231+BE231+BH231</f>
        <v>45265000</v>
      </c>
      <c r="BL231" s="151">
        <f t="shared" si="297"/>
        <v>9925000</v>
      </c>
      <c r="BM231" s="151" t="s">
        <v>662</v>
      </c>
      <c r="BN231" s="72" t="s">
        <v>1575</v>
      </c>
    </row>
    <row r="232" spans="1:106" s="467" customFormat="1" ht="16.5" customHeight="1" x14ac:dyDescent="0.25">
      <c r="A232" s="463"/>
      <c r="B232" s="463"/>
      <c r="C232" s="463"/>
      <c r="D232" s="463"/>
      <c r="E232" s="463"/>
      <c r="F232" s="463"/>
      <c r="G232" s="463"/>
      <c r="H232" s="464"/>
      <c r="I232" s="463"/>
      <c r="J232" s="463"/>
      <c r="K232" s="463"/>
      <c r="L232" s="463"/>
      <c r="M232" s="463"/>
      <c r="N232" s="463"/>
      <c r="O232" s="463"/>
      <c r="P232" s="463"/>
      <c r="Q232" s="465"/>
      <c r="R232" s="463"/>
      <c r="S232" s="463"/>
      <c r="T232" s="465"/>
      <c r="U232" s="465"/>
      <c r="V232" s="465"/>
      <c r="W232" s="466"/>
      <c r="X232" s="466"/>
      <c r="Y232" s="466"/>
      <c r="Z232" s="466"/>
      <c r="AA232" s="466"/>
      <c r="AB232" s="466"/>
      <c r="AC232" s="466"/>
      <c r="AD232" s="466"/>
      <c r="AE232" s="466"/>
      <c r="AF232" s="466"/>
      <c r="AG232" s="466"/>
      <c r="AH232" s="466"/>
      <c r="AI232" s="466"/>
      <c r="AJ232" s="466"/>
      <c r="AK232" s="466"/>
      <c r="AL232" s="466"/>
      <c r="AM232" s="466"/>
      <c r="AN232" s="466"/>
      <c r="AO232" s="466"/>
      <c r="AP232" s="466"/>
      <c r="AQ232" s="466"/>
      <c r="AR232" s="466"/>
      <c r="AS232" s="466"/>
      <c r="AT232" s="466"/>
      <c r="AU232" s="466"/>
      <c r="AV232" s="466"/>
      <c r="AW232" s="466"/>
      <c r="AX232" s="466"/>
      <c r="AY232" s="466"/>
      <c r="AZ232" s="466"/>
      <c r="BA232" s="466"/>
      <c r="BB232" s="466"/>
      <c r="BC232" s="466"/>
      <c r="BD232" s="466"/>
      <c r="BE232" s="466"/>
      <c r="BF232" s="466"/>
      <c r="BG232" s="466"/>
      <c r="BH232" s="466"/>
      <c r="BI232" s="466"/>
      <c r="BJ232" s="466"/>
      <c r="BK232" s="466"/>
      <c r="BL232" s="466"/>
      <c r="BM232" s="466"/>
      <c r="BN232" s="466"/>
    </row>
    <row r="233" spans="1:106" s="394" customFormat="1" ht="24" customHeight="1" x14ac:dyDescent="0.2">
      <c r="A233" s="41" t="s">
        <v>673</v>
      </c>
      <c r="B233" s="41"/>
      <c r="C233" s="41"/>
      <c r="D233" s="41"/>
      <c r="E233" s="41"/>
      <c r="F233" s="42"/>
      <c r="G233" s="43"/>
      <c r="H233" s="386"/>
      <c r="I233" s="386"/>
      <c r="J233" s="386"/>
      <c r="K233" s="389"/>
      <c r="L233" s="386"/>
      <c r="M233" s="456"/>
      <c r="N233" s="391"/>
      <c r="O233" s="390"/>
      <c r="P233" s="391"/>
      <c r="Q233" s="392"/>
      <c r="R233" s="390"/>
      <c r="S233" s="390"/>
      <c r="T233" s="43"/>
      <c r="U233" s="391"/>
      <c r="V233" s="391"/>
      <c r="W233" s="387">
        <f t="shared" ref="W233:BJ233" si="298">W234+W273</f>
        <v>0</v>
      </c>
      <c r="X233" s="387"/>
      <c r="Y233" s="387"/>
      <c r="Z233" s="387">
        <f t="shared" si="298"/>
        <v>0</v>
      </c>
      <c r="AA233" s="387"/>
      <c r="AB233" s="387"/>
      <c r="AC233" s="387">
        <f t="shared" si="298"/>
        <v>0</v>
      </c>
      <c r="AD233" s="387"/>
      <c r="AE233" s="387"/>
      <c r="AF233" s="387">
        <f t="shared" si="298"/>
        <v>1385755472.78</v>
      </c>
      <c r="AG233" s="387">
        <f t="shared" ref="AG233:AH233" si="299">AG234+AG273</f>
        <v>1385755472.7799997</v>
      </c>
      <c r="AH233" s="387">
        <f t="shared" si="299"/>
        <v>80777982.780000001</v>
      </c>
      <c r="AI233" s="387">
        <f t="shared" si="298"/>
        <v>0</v>
      </c>
      <c r="AJ233" s="387"/>
      <c r="AK233" s="387"/>
      <c r="AL233" s="387">
        <f t="shared" si="298"/>
        <v>0</v>
      </c>
      <c r="AM233" s="387"/>
      <c r="AN233" s="387"/>
      <c r="AO233" s="387">
        <f t="shared" si="298"/>
        <v>143579499577.42001</v>
      </c>
      <c r="AP233" s="387">
        <f t="shared" ref="AP233:AQ233" si="300">AP234+AP273</f>
        <v>29230912713.150002</v>
      </c>
      <c r="AQ233" s="387">
        <f t="shared" si="300"/>
        <v>28081867883</v>
      </c>
      <c r="AR233" s="387">
        <f t="shared" si="298"/>
        <v>25145000000</v>
      </c>
      <c r="AS233" s="387">
        <f t="shared" ref="AS233:AT233" si="301">AS234+AS273</f>
        <v>8556078404</v>
      </c>
      <c r="AT233" s="387">
        <f t="shared" si="301"/>
        <v>8556078404</v>
      </c>
      <c r="AU233" s="387">
        <f t="shared" si="298"/>
        <v>11590214233.049999</v>
      </c>
      <c r="AV233" s="387">
        <f t="shared" ref="AV233:AW233" si="302">AV234+AV273</f>
        <v>9750591050</v>
      </c>
      <c r="AW233" s="387">
        <f t="shared" si="302"/>
        <v>37560000</v>
      </c>
      <c r="AX233" s="387">
        <f t="shared" si="298"/>
        <v>0</v>
      </c>
      <c r="AY233" s="387"/>
      <c r="AZ233" s="387"/>
      <c r="BA233" s="387">
        <f t="shared" si="298"/>
        <v>5218073241.2200003</v>
      </c>
      <c r="BB233" s="387">
        <f t="shared" ref="BB233:BC233" si="303">BB234+BB273</f>
        <v>3996815742.2200003</v>
      </c>
      <c r="BC233" s="387">
        <f t="shared" si="303"/>
        <v>771927515.22000003</v>
      </c>
      <c r="BD233" s="387">
        <f t="shared" si="298"/>
        <v>0</v>
      </c>
      <c r="BE233" s="387"/>
      <c r="BF233" s="387"/>
      <c r="BG233" s="387">
        <f t="shared" si="298"/>
        <v>1792032472.8499999</v>
      </c>
      <c r="BH233" s="387">
        <f t="shared" ref="BH233:BI233" si="304">BH234+BH273</f>
        <v>476725625.10000002</v>
      </c>
      <c r="BI233" s="387">
        <f t="shared" si="304"/>
        <v>0</v>
      </c>
      <c r="BJ233" s="387">
        <f t="shared" si="298"/>
        <v>188710574997.32007</v>
      </c>
      <c r="BK233" s="387">
        <f t="shared" ref="BK233:BL233" si="305">BK234+BK273</f>
        <v>53396879007.25</v>
      </c>
      <c r="BL233" s="387">
        <f t="shared" si="305"/>
        <v>37528211785</v>
      </c>
      <c r="BM233" s="387"/>
      <c r="BN233" s="388"/>
      <c r="BO233" s="393"/>
      <c r="BP233" s="393"/>
      <c r="BQ233" s="393"/>
      <c r="BR233" s="393"/>
      <c r="BS233" s="393"/>
      <c r="BT233" s="393"/>
      <c r="BU233" s="393"/>
      <c r="BV233" s="393"/>
      <c r="BW233" s="393"/>
      <c r="BX233" s="393"/>
      <c r="BY233" s="393"/>
      <c r="BZ233" s="393"/>
      <c r="CA233" s="393"/>
      <c r="CB233" s="393"/>
      <c r="CC233" s="393"/>
      <c r="CD233" s="393"/>
      <c r="CE233" s="393"/>
      <c r="CF233" s="393"/>
      <c r="CG233" s="393"/>
      <c r="CH233" s="393"/>
      <c r="CI233" s="393"/>
      <c r="CJ233" s="393"/>
      <c r="CK233" s="393"/>
      <c r="CL233" s="393"/>
      <c r="CM233" s="393"/>
      <c r="CN233" s="393"/>
      <c r="CO233" s="393"/>
      <c r="CP233" s="393"/>
      <c r="CQ233" s="393"/>
      <c r="CR233" s="393"/>
      <c r="CS233" s="393"/>
      <c r="CT233" s="393"/>
      <c r="CU233" s="393"/>
      <c r="CV233" s="393"/>
      <c r="CW233" s="393"/>
      <c r="CX233" s="393"/>
      <c r="CY233" s="393"/>
      <c r="CZ233" s="393"/>
      <c r="DA233" s="393"/>
      <c r="DB233" s="393"/>
    </row>
    <row r="234" spans="1:106" ht="24" customHeight="1" x14ac:dyDescent="0.2">
      <c r="A234" s="145"/>
      <c r="B234" s="131">
        <v>1</v>
      </c>
      <c r="C234" s="131"/>
      <c r="D234" s="74" t="s">
        <v>149</v>
      </c>
      <c r="E234" s="173"/>
      <c r="F234" s="74"/>
      <c r="G234" s="180"/>
      <c r="H234" s="395"/>
      <c r="I234" s="395"/>
      <c r="J234" s="182"/>
      <c r="K234" s="181"/>
      <c r="L234" s="182"/>
      <c r="M234" s="182"/>
      <c r="N234" s="184"/>
      <c r="O234" s="183"/>
      <c r="P234" s="184"/>
      <c r="Q234" s="185"/>
      <c r="R234" s="183"/>
      <c r="S234" s="183"/>
      <c r="T234" s="729"/>
      <c r="U234" s="133"/>
      <c r="V234" s="133"/>
      <c r="W234" s="134">
        <f>W235</f>
        <v>0</v>
      </c>
      <c r="X234" s="134"/>
      <c r="Y234" s="134"/>
      <c r="Z234" s="134">
        <f t="shared" ref="Z234:BI234" si="306">Z235</f>
        <v>0</v>
      </c>
      <c r="AA234" s="134"/>
      <c r="AB234" s="134"/>
      <c r="AC234" s="134">
        <f t="shared" si="306"/>
        <v>0</v>
      </c>
      <c r="AD234" s="134"/>
      <c r="AE234" s="134"/>
      <c r="AF234" s="134">
        <f t="shared" si="306"/>
        <v>1385755472.78</v>
      </c>
      <c r="AG234" s="134">
        <f t="shared" si="306"/>
        <v>1385755472.7799997</v>
      </c>
      <c r="AH234" s="134">
        <f t="shared" si="306"/>
        <v>80777982.780000001</v>
      </c>
      <c r="AI234" s="134">
        <f t="shared" si="306"/>
        <v>0</v>
      </c>
      <c r="AJ234" s="134"/>
      <c r="AK234" s="134"/>
      <c r="AL234" s="134">
        <f t="shared" si="306"/>
        <v>0</v>
      </c>
      <c r="AM234" s="134"/>
      <c r="AN234" s="134"/>
      <c r="AO234" s="134">
        <f t="shared" si="306"/>
        <v>143579499577.42001</v>
      </c>
      <c r="AP234" s="134">
        <f t="shared" si="306"/>
        <v>29230912713.150002</v>
      </c>
      <c r="AQ234" s="134">
        <f t="shared" si="306"/>
        <v>28081867883</v>
      </c>
      <c r="AR234" s="134">
        <f t="shared" si="306"/>
        <v>25145000000</v>
      </c>
      <c r="AS234" s="134">
        <f t="shared" si="306"/>
        <v>8556078404</v>
      </c>
      <c r="AT234" s="134">
        <f t="shared" si="306"/>
        <v>8556078404</v>
      </c>
      <c r="AU234" s="134">
        <f t="shared" si="306"/>
        <v>11590214233.049999</v>
      </c>
      <c r="AV234" s="134">
        <f t="shared" si="306"/>
        <v>9750591050</v>
      </c>
      <c r="AW234" s="134">
        <f t="shared" si="306"/>
        <v>37560000</v>
      </c>
      <c r="AX234" s="134">
        <f t="shared" si="306"/>
        <v>0</v>
      </c>
      <c r="AY234" s="134"/>
      <c r="AZ234" s="134"/>
      <c r="BA234" s="134">
        <f t="shared" si="306"/>
        <v>5210573241.2200003</v>
      </c>
      <c r="BB234" s="134">
        <f t="shared" si="306"/>
        <v>3996815742.2200003</v>
      </c>
      <c r="BC234" s="134">
        <f t="shared" si="306"/>
        <v>771927515.22000003</v>
      </c>
      <c r="BD234" s="134">
        <f t="shared" si="306"/>
        <v>0</v>
      </c>
      <c r="BE234" s="134"/>
      <c r="BF234" s="134"/>
      <c r="BG234" s="134">
        <f t="shared" si="306"/>
        <v>1792032472.8499999</v>
      </c>
      <c r="BH234" s="134">
        <f t="shared" si="306"/>
        <v>476725625.10000002</v>
      </c>
      <c r="BI234" s="134">
        <f t="shared" si="306"/>
        <v>0</v>
      </c>
      <c r="BJ234" s="134">
        <f>BJ235</f>
        <v>188703074997.32007</v>
      </c>
      <c r="BK234" s="134">
        <f t="shared" ref="BK234:BL234" si="307">BK235</f>
        <v>53396879007.25</v>
      </c>
      <c r="BL234" s="134">
        <f t="shared" si="307"/>
        <v>37528211785</v>
      </c>
      <c r="BM234" s="134">
        <f>BM236+BM271</f>
        <v>0</v>
      </c>
      <c r="BN234" s="168"/>
    </row>
    <row r="235" spans="1:106" s="9" customFormat="1" ht="24" customHeight="1" x14ac:dyDescent="0.25">
      <c r="A235" s="130"/>
      <c r="B235" s="83"/>
      <c r="C235" s="83"/>
      <c r="D235" s="77">
        <v>22</v>
      </c>
      <c r="E235" s="75" t="s">
        <v>170</v>
      </c>
      <c r="F235" s="135"/>
      <c r="G235" s="136"/>
      <c r="H235" s="136"/>
      <c r="I235" s="136"/>
      <c r="J235" s="138"/>
      <c r="K235" s="137"/>
      <c r="L235" s="138"/>
      <c r="M235" s="138"/>
      <c r="N235" s="140"/>
      <c r="O235" s="139"/>
      <c r="P235" s="140"/>
      <c r="Q235" s="141"/>
      <c r="R235" s="139"/>
      <c r="S235" s="139"/>
      <c r="T235" s="204"/>
      <c r="U235" s="143"/>
      <c r="V235" s="143"/>
      <c r="W235" s="144">
        <f t="shared" ref="W235:BJ235" si="308">W236+W271</f>
        <v>0</v>
      </c>
      <c r="X235" s="144"/>
      <c r="Y235" s="144"/>
      <c r="Z235" s="144">
        <f t="shared" si="308"/>
        <v>0</v>
      </c>
      <c r="AA235" s="144"/>
      <c r="AB235" s="144"/>
      <c r="AC235" s="144">
        <f t="shared" si="308"/>
        <v>0</v>
      </c>
      <c r="AD235" s="144"/>
      <c r="AE235" s="144"/>
      <c r="AF235" s="144">
        <f t="shared" si="308"/>
        <v>1385755472.78</v>
      </c>
      <c r="AG235" s="144">
        <f t="shared" ref="AG235:AH235" si="309">AG236+AG271</f>
        <v>1385755472.7799997</v>
      </c>
      <c r="AH235" s="144">
        <f t="shared" si="309"/>
        <v>80777982.780000001</v>
      </c>
      <c r="AI235" s="144">
        <f t="shared" si="308"/>
        <v>0</v>
      </c>
      <c r="AJ235" s="144"/>
      <c r="AK235" s="144"/>
      <c r="AL235" s="144">
        <f t="shared" si="308"/>
        <v>0</v>
      </c>
      <c r="AM235" s="144"/>
      <c r="AN235" s="144"/>
      <c r="AO235" s="144">
        <f t="shared" si="308"/>
        <v>143579499577.42001</v>
      </c>
      <c r="AP235" s="144">
        <f t="shared" ref="AP235:AQ235" si="310">AP236+AP271</f>
        <v>29230912713.150002</v>
      </c>
      <c r="AQ235" s="144">
        <f t="shared" si="310"/>
        <v>28081867883</v>
      </c>
      <c r="AR235" s="144">
        <f t="shared" si="308"/>
        <v>25145000000</v>
      </c>
      <c r="AS235" s="144">
        <f t="shared" ref="AS235:AT235" si="311">AS236+AS271</f>
        <v>8556078404</v>
      </c>
      <c r="AT235" s="144">
        <f t="shared" si="311"/>
        <v>8556078404</v>
      </c>
      <c r="AU235" s="144">
        <f t="shared" si="308"/>
        <v>11590214233.049999</v>
      </c>
      <c r="AV235" s="144">
        <f t="shared" ref="AV235:AW235" si="312">AV236+AV271</f>
        <v>9750591050</v>
      </c>
      <c r="AW235" s="144">
        <f t="shared" si="312"/>
        <v>37560000</v>
      </c>
      <c r="AX235" s="144">
        <f t="shared" si="308"/>
        <v>0</v>
      </c>
      <c r="AY235" s="144"/>
      <c r="AZ235" s="144"/>
      <c r="BA235" s="144">
        <f t="shared" si="308"/>
        <v>5210573241.2200003</v>
      </c>
      <c r="BB235" s="144">
        <f t="shared" ref="BB235:BC235" si="313">BB236+BB271</f>
        <v>3996815742.2200003</v>
      </c>
      <c r="BC235" s="144">
        <f t="shared" si="313"/>
        <v>771927515.22000003</v>
      </c>
      <c r="BD235" s="144">
        <f t="shared" si="308"/>
        <v>0</v>
      </c>
      <c r="BE235" s="144"/>
      <c r="BF235" s="144"/>
      <c r="BG235" s="144">
        <f t="shared" si="308"/>
        <v>1792032472.8499999</v>
      </c>
      <c r="BH235" s="144">
        <f t="shared" ref="BH235:BI235" si="314">BH236+BH271</f>
        <v>476725625.10000002</v>
      </c>
      <c r="BI235" s="144">
        <f t="shared" si="314"/>
        <v>0</v>
      </c>
      <c r="BJ235" s="144">
        <f t="shared" si="308"/>
        <v>188703074997.32007</v>
      </c>
      <c r="BK235" s="144">
        <f t="shared" ref="BK235:BL235" si="315">BK236+BK271</f>
        <v>53396879007.25</v>
      </c>
      <c r="BL235" s="144">
        <f t="shared" si="315"/>
        <v>37528211785</v>
      </c>
      <c r="BM235" s="144"/>
      <c r="BN235" s="169"/>
      <c r="BO235" s="8"/>
      <c r="BP235" s="8"/>
      <c r="BQ235" s="8"/>
      <c r="BR235" s="8"/>
      <c r="BS235" s="8"/>
      <c r="BT235" s="8"/>
      <c r="BU235" s="8"/>
      <c r="BV235" s="8"/>
      <c r="BW235" s="8"/>
      <c r="BX235" s="8"/>
      <c r="BY235" s="8"/>
      <c r="BZ235" s="8"/>
      <c r="CA235" s="8"/>
      <c r="CB235" s="8"/>
      <c r="CC235" s="8"/>
      <c r="CD235" s="8"/>
      <c r="CE235" s="8"/>
      <c r="CF235" s="8"/>
      <c r="CG235" s="8"/>
      <c r="CH235" s="8"/>
      <c r="CI235" s="8"/>
      <c r="CJ235" s="8"/>
      <c r="CK235" s="8"/>
      <c r="CL235" s="8"/>
      <c r="CM235" s="8"/>
      <c r="CN235" s="8"/>
      <c r="CO235" s="8"/>
      <c r="CP235" s="8"/>
      <c r="CQ235" s="8"/>
      <c r="CR235" s="8"/>
      <c r="CS235" s="8"/>
      <c r="CT235" s="8"/>
      <c r="CU235" s="8"/>
      <c r="CV235" s="8"/>
      <c r="CW235" s="8"/>
      <c r="CX235" s="8"/>
      <c r="CY235" s="8"/>
      <c r="CZ235" s="8"/>
      <c r="DA235" s="8"/>
      <c r="DB235" s="8"/>
    </row>
    <row r="236" spans="1:106" ht="24" customHeight="1" x14ac:dyDescent="0.2">
      <c r="A236" s="145"/>
      <c r="B236" s="91"/>
      <c r="C236" s="91"/>
      <c r="D236" s="91"/>
      <c r="E236" s="91"/>
      <c r="F236" s="146">
        <v>2201</v>
      </c>
      <c r="G236" s="81" t="s">
        <v>294</v>
      </c>
      <c r="H236" s="194"/>
      <c r="I236" s="194"/>
      <c r="J236" s="693"/>
      <c r="K236" s="726"/>
      <c r="L236" s="693"/>
      <c r="M236" s="693"/>
      <c r="N236" s="688"/>
      <c r="O236" s="689"/>
      <c r="P236" s="688"/>
      <c r="Q236" s="727"/>
      <c r="R236" s="689"/>
      <c r="S236" s="689"/>
      <c r="T236" s="728"/>
      <c r="U236" s="147"/>
      <c r="V236" s="147"/>
      <c r="W236" s="148">
        <f t="shared" ref="W236:BM236" si="316">SUM(W237:W270)</f>
        <v>0</v>
      </c>
      <c r="X236" s="148"/>
      <c r="Y236" s="148"/>
      <c r="Z236" s="148">
        <f t="shared" si="316"/>
        <v>0</v>
      </c>
      <c r="AA236" s="148"/>
      <c r="AB236" s="148"/>
      <c r="AC236" s="148">
        <f t="shared" si="316"/>
        <v>0</v>
      </c>
      <c r="AD236" s="148"/>
      <c r="AE236" s="148"/>
      <c r="AF236" s="148">
        <f t="shared" si="316"/>
        <v>1385755472.78</v>
      </c>
      <c r="AG236" s="148">
        <f t="shared" ref="AG236:AH236" si="317">SUM(AG237:AG270)</f>
        <v>1385755472.7799997</v>
      </c>
      <c r="AH236" s="148">
        <f t="shared" si="317"/>
        <v>80777982.780000001</v>
      </c>
      <c r="AI236" s="148">
        <f t="shared" si="316"/>
        <v>0</v>
      </c>
      <c r="AJ236" s="148"/>
      <c r="AK236" s="148"/>
      <c r="AL236" s="148">
        <f t="shared" si="316"/>
        <v>0</v>
      </c>
      <c r="AM236" s="148"/>
      <c r="AN236" s="148"/>
      <c r="AO236" s="148">
        <f t="shared" si="316"/>
        <v>143579499577.42001</v>
      </c>
      <c r="AP236" s="148">
        <f t="shared" ref="AP236:AQ236" si="318">SUM(AP237:AP270)</f>
        <v>29230912713.150002</v>
      </c>
      <c r="AQ236" s="148">
        <f t="shared" si="318"/>
        <v>28081867883</v>
      </c>
      <c r="AR236" s="148">
        <f t="shared" si="316"/>
        <v>25145000000</v>
      </c>
      <c r="AS236" s="148">
        <f t="shared" ref="AS236:AT236" si="319">SUM(AS237:AS270)</f>
        <v>8556078404</v>
      </c>
      <c r="AT236" s="148">
        <f t="shared" si="319"/>
        <v>8556078404</v>
      </c>
      <c r="AU236" s="148">
        <f t="shared" si="316"/>
        <v>11590214233.049999</v>
      </c>
      <c r="AV236" s="148">
        <f t="shared" ref="AV236:AW236" si="320">SUM(AV237:AV270)</f>
        <v>9750591050</v>
      </c>
      <c r="AW236" s="148">
        <f t="shared" si="320"/>
        <v>37560000</v>
      </c>
      <c r="AX236" s="148">
        <f t="shared" si="316"/>
        <v>0</v>
      </c>
      <c r="AY236" s="148"/>
      <c r="AZ236" s="148"/>
      <c r="BA236" s="148">
        <f t="shared" si="316"/>
        <v>5110573241.2200003</v>
      </c>
      <c r="BB236" s="148">
        <f t="shared" ref="BB236:BC236" si="321">SUM(BB237:BB270)</f>
        <v>3996815742.2200003</v>
      </c>
      <c r="BC236" s="148">
        <f t="shared" si="321"/>
        <v>771927515.22000003</v>
      </c>
      <c r="BD236" s="148">
        <f t="shared" si="316"/>
        <v>0</v>
      </c>
      <c r="BE236" s="148"/>
      <c r="BF236" s="148"/>
      <c r="BG236" s="148">
        <f t="shared" si="316"/>
        <v>1792032472.8499999</v>
      </c>
      <c r="BH236" s="148">
        <f t="shared" ref="BH236:BI236" si="322">SUM(BH237:BH270)</f>
        <v>476725625.10000002</v>
      </c>
      <c r="BI236" s="148">
        <f t="shared" si="322"/>
        <v>0</v>
      </c>
      <c r="BJ236" s="148">
        <f t="shared" si="316"/>
        <v>188603074997.32007</v>
      </c>
      <c r="BK236" s="148">
        <f t="shared" ref="BK236:BL236" si="323">SUM(BK237:BK270)</f>
        <v>53396879007.25</v>
      </c>
      <c r="BL236" s="148">
        <f t="shared" si="323"/>
        <v>37528211785</v>
      </c>
      <c r="BM236" s="148">
        <f t="shared" si="316"/>
        <v>0</v>
      </c>
      <c r="BN236" s="156"/>
    </row>
    <row r="237" spans="1:106" s="4" customFormat="1" ht="130.5" customHeight="1" x14ac:dyDescent="0.2">
      <c r="A237" s="68"/>
      <c r="B237" s="109"/>
      <c r="C237" s="109"/>
      <c r="D237" s="109"/>
      <c r="E237" s="109"/>
      <c r="F237" s="112"/>
      <c r="G237" s="108"/>
      <c r="H237" s="571" t="s">
        <v>674</v>
      </c>
      <c r="I237" s="84">
        <v>2201030</v>
      </c>
      <c r="J237" s="571" t="s">
        <v>675</v>
      </c>
      <c r="K237" s="84">
        <v>2201030</v>
      </c>
      <c r="L237" s="571" t="s">
        <v>675</v>
      </c>
      <c r="M237" s="259">
        <v>220103000</v>
      </c>
      <c r="N237" s="221" t="s">
        <v>676</v>
      </c>
      <c r="O237" s="259">
        <v>220103000</v>
      </c>
      <c r="P237" s="221" t="s">
        <v>676</v>
      </c>
      <c r="Q237" s="125" t="s">
        <v>52</v>
      </c>
      <c r="R237" s="125">
        <v>2500</v>
      </c>
      <c r="S237" s="125">
        <v>2280</v>
      </c>
      <c r="T237" s="862" t="s">
        <v>677</v>
      </c>
      <c r="U237" s="872" t="s">
        <v>678</v>
      </c>
      <c r="V237" s="881" t="s">
        <v>679</v>
      </c>
      <c r="W237" s="150"/>
      <c r="X237" s="150"/>
      <c r="Y237" s="150"/>
      <c r="Z237" s="150"/>
      <c r="AA237" s="150"/>
      <c r="AB237" s="150"/>
      <c r="AC237" s="150"/>
      <c r="AD237" s="150"/>
      <c r="AE237" s="150"/>
      <c r="AF237" s="150"/>
      <c r="AG237" s="150"/>
      <c r="AH237" s="150"/>
      <c r="AI237" s="150"/>
      <c r="AJ237" s="262"/>
      <c r="AK237" s="262"/>
      <c r="AL237" s="262"/>
      <c r="AM237" s="262"/>
      <c r="AN237" s="262"/>
      <c r="AO237" s="150">
        <f>1726000000-55000000-327296271</f>
        <v>1343703729</v>
      </c>
      <c r="AP237" s="150">
        <v>1052175218.0000001</v>
      </c>
      <c r="AQ237" s="150">
        <v>100398650</v>
      </c>
      <c r="AR237" s="150"/>
      <c r="AS237" s="263"/>
      <c r="AT237" s="263"/>
      <c r="AU237" s="263"/>
      <c r="AV237" s="263"/>
      <c r="AW237" s="263"/>
      <c r="AX237" s="150"/>
      <c r="AY237" s="150"/>
      <c r="AZ237" s="150"/>
      <c r="BA237" s="161"/>
      <c r="BB237" s="161"/>
      <c r="BC237" s="161"/>
      <c r="BD237" s="150"/>
      <c r="BE237" s="150"/>
      <c r="BF237" s="150"/>
      <c r="BG237" s="150"/>
      <c r="BH237" s="150"/>
      <c r="BI237" s="150"/>
      <c r="BJ237" s="339">
        <f t="shared" ref="BJ237" si="324">+W237+Z237+AC237+AF237+AI237+AL237+AO237+AR237+AU237+AX237+BA237+BD237+BG237</f>
        <v>1343703729</v>
      </c>
      <c r="BK237" s="339">
        <f t="shared" ref="BK237:BK249" si="325">+X237+AA237+AD237+AG237+AJ237+AM237+AP237+AS237+AV237+AY237+BB237+BE237+BH237</f>
        <v>1052175218.0000001</v>
      </c>
      <c r="BL237" s="339">
        <f t="shared" ref="BL237:BL249" si="326">+Y237+AB237+AE237+AH237+AK237+AN237+AQ237+AT237+AW237+AZ237+BC237+BF237+BI237</f>
        <v>100398650</v>
      </c>
      <c r="BM237" s="339" t="s">
        <v>680</v>
      </c>
      <c r="BN237" s="223" t="s">
        <v>681</v>
      </c>
    </row>
    <row r="238" spans="1:106" ht="91.5" customHeight="1" x14ac:dyDescent="0.2">
      <c r="A238" s="145"/>
      <c r="B238" s="91"/>
      <c r="C238" s="91"/>
      <c r="D238" s="91"/>
      <c r="E238" s="91"/>
      <c r="F238" s="87"/>
      <c r="G238" s="569"/>
      <c r="H238" s="562" t="s">
        <v>682</v>
      </c>
      <c r="I238" s="84">
        <v>2201033</v>
      </c>
      <c r="J238" s="571" t="s">
        <v>683</v>
      </c>
      <c r="K238" s="84">
        <v>2201033</v>
      </c>
      <c r="L238" s="571" t="s">
        <v>683</v>
      </c>
      <c r="M238" s="259">
        <v>220103300</v>
      </c>
      <c r="N238" s="221" t="s">
        <v>684</v>
      </c>
      <c r="O238" s="259">
        <v>220103300</v>
      </c>
      <c r="P238" s="221" t="s">
        <v>684</v>
      </c>
      <c r="Q238" s="252" t="s">
        <v>68</v>
      </c>
      <c r="R238" s="252">
        <v>9000</v>
      </c>
      <c r="S238" s="252">
        <v>0</v>
      </c>
      <c r="T238" s="862"/>
      <c r="U238" s="872"/>
      <c r="V238" s="881"/>
      <c r="W238" s="150"/>
      <c r="X238" s="150"/>
      <c r="Y238" s="150"/>
      <c r="Z238" s="150"/>
      <c r="AA238" s="150"/>
      <c r="AB238" s="150"/>
      <c r="AC238" s="150"/>
      <c r="AD238" s="150"/>
      <c r="AE238" s="150"/>
      <c r="AF238" s="150"/>
      <c r="AG238" s="150"/>
      <c r="AH238" s="150"/>
      <c r="AI238" s="150"/>
      <c r="AJ238" s="262"/>
      <c r="AK238" s="262"/>
      <c r="AL238" s="262"/>
      <c r="AM238" s="262"/>
      <c r="AN238" s="262"/>
      <c r="AO238" s="150"/>
      <c r="AP238" s="150"/>
      <c r="AQ238" s="150"/>
      <c r="AR238" s="150"/>
      <c r="AS238" s="263"/>
      <c r="AT238" s="263"/>
      <c r="AU238" s="263"/>
      <c r="AV238" s="263"/>
      <c r="AW238" s="263"/>
      <c r="AX238" s="150"/>
      <c r="AY238" s="150"/>
      <c r="AZ238" s="150"/>
      <c r="BA238" s="582">
        <f>18000000</f>
        <v>18000000</v>
      </c>
      <c r="BB238" s="582">
        <v>0</v>
      </c>
      <c r="BC238" s="582">
        <v>0</v>
      </c>
      <c r="BD238" s="150"/>
      <c r="BE238" s="150"/>
      <c r="BF238" s="150"/>
      <c r="BG238" s="150"/>
      <c r="BH238" s="150"/>
      <c r="BI238" s="150"/>
      <c r="BJ238" s="339">
        <f t="shared" ref="BJ238" si="327">+W238+Z238+AC238+AF238+AI238+AL238+AO238+AR238+AU238+AX238+BA238+BD238+BG238</f>
        <v>18000000</v>
      </c>
      <c r="BK238" s="339">
        <f t="shared" si="325"/>
        <v>0</v>
      </c>
      <c r="BL238" s="339">
        <f t="shared" si="326"/>
        <v>0</v>
      </c>
      <c r="BM238" s="339" t="s">
        <v>680</v>
      </c>
      <c r="BN238" s="72" t="s">
        <v>681</v>
      </c>
    </row>
    <row r="239" spans="1:106" s="4" customFormat="1" ht="66" customHeight="1" x14ac:dyDescent="0.2">
      <c r="A239" s="68"/>
      <c r="B239" s="109"/>
      <c r="C239" s="109"/>
      <c r="D239" s="109"/>
      <c r="E239" s="109"/>
      <c r="F239" s="112"/>
      <c r="G239" s="115"/>
      <c r="H239" s="571" t="s">
        <v>685</v>
      </c>
      <c r="I239" s="84">
        <v>2201032</v>
      </c>
      <c r="J239" s="571" t="s">
        <v>686</v>
      </c>
      <c r="K239" s="84">
        <v>2201032</v>
      </c>
      <c r="L239" s="571" t="s">
        <v>686</v>
      </c>
      <c r="M239" s="90">
        <v>220103200</v>
      </c>
      <c r="N239" s="568" t="s">
        <v>687</v>
      </c>
      <c r="O239" s="90">
        <v>220103200</v>
      </c>
      <c r="P239" s="568" t="s">
        <v>687</v>
      </c>
      <c r="Q239" s="125" t="s">
        <v>68</v>
      </c>
      <c r="R239" s="125">
        <v>200</v>
      </c>
      <c r="S239" s="125">
        <v>0</v>
      </c>
      <c r="T239" s="862"/>
      <c r="U239" s="872"/>
      <c r="V239" s="881"/>
      <c r="W239" s="150"/>
      <c r="X239" s="150"/>
      <c r="Y239" s="150"/>
      <c r="Z239" s="150"/>
      <c r="AA239" s="150"/>
      <c r="AB239" s="150"/>
      <c r="AC239" s="150"/>
      <c r="AD239" s="150"/>
      <c r="AE239" s="150"/>
      <c r="AF239" s="150"/>
      <c r="AG239" s="150"/>
      <c r="AH239" s="150"/>
      <c r="AI239" s="150"/>
      <c r="AJ239" s="262"/>
      <c r="AK239" s="262"/>
      <c r="AL239" s="262"/>
      <c r="AM239" s="262"/>
      <c r="AN239" s="262"/>
      <c r="AO239" s="150"/>
      <c r="AP239" s="150"/>
      <c r="AQ239" s="150"/>
      <c r="AR239" s="150"/>
      <c r="AS239" s="263"/>
      <c r="AT239" s="263"/>
      <c r="AU239" s="263"/>
      <c r="AV239" s="263"/>
      <c r="AW239" s="263"/>
      <c r="AX239" s="150"/>
      <c r="AY239" s="150"/>
      <c r="AZ239" s="150"/>
      <c r="BA239" s="213">
        <v>10000000.01</v>
      </c>
      <c r="BB239" s="213"/>
      <c r="BC239" s="213"/>
      <c r="BD239" s="150"/>
      <c r="BE239" s="150"/>
      <c r="BF239" s="150"/>
      <c r="BG239" s="150"/>
      <c r="BH239" s="150"/>
      <c r="BI239" s="150"/>
      <c r="BJ239" s="339">
        <f t="shared" ref="BJ239" si="328">+W239+Z239+AC239+AF239+AI239+AL239+AO239+AR239+AU239+AX239+BA239+BD239+BG239</f>
        <v>10000000.01</v>
      </c>
      <c r="BK239" s="339">
        <f t="shared" si="325"/>
        <v>0</v>
      </c>
      <c r="BL239" s="339">
        <f t="shared" si="326"/>
        <v>0</v>
      </c>
      <c r="BM239" s="339" t="s">
        <v>680</v>
      </c>
      <c r="BN239" s="223" t="s">
        <v>681</v>
      </c>
    </row>
    <row r="240" spans="1:106" s="4" customFormat="1" ht="175.5" customHeight="1" x14ac:dyDescent="0.2">
      <c r="A240" s="68"/>
      <c r="B240" s="109"/>
      <c r="C240" s="109"/>
      <c r="D240" s="109"/>
      <c r="E240" s="109"/>
      <c r="F240" s="112"/>
      <c r="G240" s="108"/>
      <c r="H240" s="571" t="s">
        <v>688</v>
      </c>
      <c r="I240" s="84">
        <v>2201055</v>
      </c>
      <c r="J240" s="571" t="s">
        <v>689</v>
      </c>
      <c r="K240" s="84">
        <v>2201055</v>
      </c>
      <c r="L240" s="571" t="s">
        <v>689</v>
      </c>
      <c r="M240" s="259">
        <v>220105500</v>
      </c>
      <c r="N240" s="221" t="s">
        <v>690</v>
      </c>
      <c r="O240" s="259">
        <v>220105500</v>
      </c>
      <c r="P240" s="221" t="s">
        <v>690</v>
      </c>
      <c r="Q240" s="125" t="s">
        <v>52</v>
      </c>
      <c r="R240" s="125">
        <v>1</v>
      </c>
      <c r="S240" s="125">
        <v>0</v>
      </c>
      <c r="T240" s="862"/>
      <c r="U240" s="872"/>
      <c r="V240" s="881"/>
      <c r="W240" s="150"/>
      <c r="X240" s="150"/>
      <c r="Y240" s="150"/>
      <c r="Z240" s="150"/>
      <c r="AA240" s="150"/>
      <c r="AB240" s="150"/>
      <c r="AC240" s="150"/>
      <c r="AD240" s="150"/>
      <c r="AE240" s="150"/>
      <c r="AF240" s="150"/>
      <c r="AG240" s="150"/>
      <c r="AH240" s="150"/>
      <c r="AI240" s="150"/>
      <c r="AJ240" s="262"/>
      <c r="AK240" s="262"/>
      <c r="AL240" s="262"/>
      <c r="AM240" s="262"/>
      <c r="AN240" s="262"/>
      <c r="AO240" s="150">
        <f>20000000+7500000+42500000-21720771</f>
        <v>48279229</v>
      </c>
      <c r="AP240" s="150"/>
      <c r="AQ240" s="150"/>
      <c r="AR240" s="150"/>
      <c r="AS240" s="263"/>
      <c r="AT240" s="263"/>
      <c r="AU240" s="263"/>
      <c r="AV240" s="263"/>
      <c r="AW240" s="263"/>
      <c r="AX240" s="150"/>
      <c r="AY240" s="150"/>
      <c r="AZ240" s="150"/>
      <c r="BA240" s="161">
        <v>0</v>
      </c>
      <c r="BB240" s="161"/>
      <c r="BC240" s="161"/>
      <c r="BD240" s="150"/>
      <c r="BE240" s="150"/>
      <c r="BF240" s="150"/>
      <c r="BG240" s="150"/>
      <c r="BH240" s="150"/>
      <c r="BI240" s="150"/>
      <c r="BJ240" s="339">
        <f t="shared" ref="BJ240" si="329">+W240+Z240+AC240+AF240+AI240+AL240+AO240+AR240+AU240+AX240+BA240+BD240+BG240</f>
        <v>48279229</v>
      </c>
      <c r="BK240" s="339">
        <f t="shared" si="325"/>
        <v>0</v>
      </c>
      <c r="BL240" s="339">
        <f t="shared" si="326"/>
        <v>0</v>
      </c>
      <c r="BM240" s="339" t="s">
        <v>680</v>
      </c>
      <c r="BN240" s="223" t="s">
        <v>681</v>
      </c>
    </row>
    <row r="241" spans="1:66" s="4" customFormat="1" ht="144.75" customHeight="1" x14ac:dyDescent="0.2">
      <c r="A241" s="68"/>
      <c r="B241" s="109"/>
      <c r="C241" s="109"/>
      <c r="D241" s="109"/>
      <c r="E241" s="109"/>
      <c r="F241" s="112"/>
      <c r="G241" s="115"/>
      <c r="H241" s="571" t="s">
        <v>691</v>
      </c>
      <c r="I241" s="84">
        <v>2201067</v>
      </c>
      <c r="J241" s="571" t="s">
        <v>692</v>
      </c>
      <c r="K241" s="84">
        <v>2201067</v>
      </c>
      <c r="L241" s="571" t="s">
        <v>692</v>
      </c>
      <c r="M241" s="90">
        <v>220106700</v>
      </c>
      <c r="N241" s="568" t="s">
        <v>693</v>
      </c>
      <c r="O241" s="90">
        <v>220106700</v>
      </c>
      <c r="P241" s="568" t="s">
        <v>693</v>
      </c>
      <c r="Q241" s="125" t="s">
        <v>52</v>
      </c>
      <c r="R241" s="242">
        <v>54</v>
      </c>
      <c r="S241" s="242">
        <v>0</v>
      </c>
      <c r="T241" s="862"/>
      <c r="U241" s="872"/>
      <c r="V241" s="881"/>
      <c r="W241" s="150"/>
      <c r="X241" s="150"/>
      <c r="Y241" s="150"/>
      <c r="Z241" s="150"/>
      <c r="AA241" s="150"/>
      <c r="AB241" s="150"/>
      <c r="AC241" s="150"/>
      <c r="AD241" s="150"/>
      <c r="AE241" s="150"/>
      <c r="AF241" s="150"/>
      <c r="AG241" s="150"/>
      <c r="AH241" s="150"/>
      <c r="AI241" s="150"/>
      <c r="AJ241" s="262"/>
      <c r="AK241" s="262"/>
      <c r="AL241" s="262"/>
      <c r="AM241" s="262"/>
      <c r="AN241" s="262"/>
      <c r="AO241" s="150"/>
      <c r="AP241" s="150"/>
      <c r="AQ241" s="150"/>
      <c r="AR241" s="150"/>
      <c r="AS241" s="263"/>
      <c r="AT241" s="263"/>
      <c r="AU241" s="263"/>
      <c r="AV241" s="263"/>
      <c r="AW241" s="263"/>
      <c r="AX241" s="150"/>
      <c r="AY241" s="150"/>
      <c r="AZ241" s="150"/>
      <c r="BA241" s="213">
        <v>10000000.01</v>
      </c>
      <c r="BB241" s="213"/>
      <c r="BC241" s="213"/>
      <c r="BD241" s="150"/>
      <c r="BE241" s="150"/>
      <c r="BF241" s="150"/>
      <c r="BG241" s="150"/>
      <c r="BH241" s="150"/>
      <c r="BI241" s="150"/>
      <c r="BJ241" s="339">
        <f t="shared" ref="BJ241" si="330">+W241+Z241+AC241+AF241+AI241+AL241+AO241+AR241+AU241+AX241+BA241+BD241+BG241</f>
        <v>10000000.01</v>
      </c>
      <c r="BK241" s="339">
        <f t="shared" si="325"/>
        <v>0</v>
      </c>
      <c r="BL241" s="339">
        <f t="shared" si="326"/>
        <v>0</v>
      </c>
      <c r="BM241" s="339" t="s">
        <v>680</v>
      </c>
      <c r="BN241" s="223" t="s">
        <v>681</v>
      </c>
    </row>
    <row r="242" spans="1:66" ht="112.5" customHeight="1" x14ac:dyDescent="0.2">
      <c r="A242" s="145"/>
      <c r="B242" s="91"/>
      <c r="C242" s="91"/>
      <c r="D242" s="91"/>
      <c r="E242" s="91"/>
      <c r="F242" s="87"/>
      <c r="G242" s="569"/>
      <c r="H242" s="562" t="s">
        <v>691</v>
      </c>
      <c r="I242" s="84">
        <v>2201028</v>
      </c>
      <c r="J242" s="571" t="s">
        <v>694</v>
      </c>
      <c r="K242" s="84">
        <v>2201028</v>
      </c>
      <c r="L242" s="571" t="s">
        <v>694</v>
      </c>
      <c r="M242" s="259">
        <v>220102801</v>
      </c>
      <c r="N242" s="568" t="s">
        <v>695</v>
      </c>
      <c r="O242" s="259">
        <v>220102801</v>
      </c>
      <c r="P242" s="568" t="s">
        <v>695</v>
      </c>
      <c r="Q242" s="252" t="s">
        <v>52</v>
      </c>
      <c r="R242" s="252">
        <v>36000</v>
      </c>
      <c r="S242" s="252">
        <v>30730</v>
      </c>
      <c r="T242" s="862"/>
      <c r="U242" s="872"/>
      <c r="V242" s="881"/>
      <c r="W242" s="150"/>
      <c r="X242" s="150"/>
      <c r="Y242" s="150"/>
      <c r="Z242" s="150"/>
      <c r="AA242" s="150"/>
      <c r="AB242" s="150"/>
      <c r="AC242" s="150"/>
      <c r="AD242" s="150"/>
      <c r="AE242" s="150"/>
      <c r="AF242" s="150"/>
      <c r="AG242" s="150"/>
      <c r="AH242" s="150"/>
      <c r="AI242" s="150"/>
      <c r="AJ242" s="262"/>
      <c r="AK242" s="262"/>
      <c r="AL242" s="262"/>
      <c r="AM242" s="262"/>
      <c r="AN242" s="262"/>
      <c r="AO242" s="150"/>
      <c r="AP242" s="150"/>
      <c r="AQ242" s="150"/>
      <c r="AR242" s="335"/>
      <c r="AS242" s="599"/>
      <c r="AT242" s="599"/>
      <c r="AU242" s="336">
        <f>12990000000-2811152214+1411366447.05</f>
        <v>11590214233.049999</v>
      </c>
      <c r="AV242" s="336">
        <v>9750591050</v>
      </c>
      <c r="AW242" s="336">
        <v>37560000</v>
      </c>
      <c r="AX242" s="150"/>
      <c r="AY242" s="150"/>
      <c r="AZ242" s="150"/>
      <c r="BA242" s="213">
        <v>250000000</v>
      </c>
      <c r="BB242" s="213">
        <v>90831415</v>
      </c>
      <c r="BC242" s="213"/>
      <c r="BD242" s="213"/>
      <c r="BE242" s="213"/>
      <c r="BF242" s="213"/>
      <c r="BG242" s="150"/>
      <c r="BH242" s="150"/>
      <c r="BI242" s="150"/>
      <c r="BJ242" s="339">
        <f t="shared" ref="BJ242:BJ258" si="331">+W242+Z242+AC242+AF242+AI242+AL242+AO242+AR242+AU242+AX242+BA242+BD242+BG242</f>
        <v>11840214233.049999</v>
      </c>
      <c r="BK242" s="339">
        <f t="shared" si="325"/>
        <v>9841422465</v>
      </c>
      <c r="BL242" s="339">
        <f t="shared" si="326"/>
        <v>37560000</v>
      </c>
      <c r="BM242" s="339" t="s">
        <v>680</v>
      </c>
      <c r="BN242" s="72" t="s">
        <v>681</v>
      </c>
    </row>
    <row r="243" spans="1:66" ht="165" customHeight="1" x14ac:dyDescent="0.2">
      <c r="A243" s="145"/>
      <c r="B243" s="91"/>
      <c r="C243" s="91"/>
      <c r="D243" s="91"/>
      <c r="E243" s="91"/>
      <c r="F243" s="87"/>
      <c r="G243" s="569"/>
      <c r="H243" s="562" t="s">
        <v>691</v>
      </c>
      <c r="I243" s="84">
        <v>2201029</v>
      </c>
      <c r="J243" s="571" t="s">
        <v>696</v>
      </c>
      <c r="K243" s="84">
        <v>2201029</v>
      </c>
      <c r="L243" s="571" t="s">
        <v>696</v>
      </c>
      <c r="M243" s="259">
        <v>220102900</v>
      </c>
      <c r="N243" s="568" t="s">
        <v>697</v>
      </c>
      <c r="O243" s="259">
        <v>220102900</v>
      </c>
      <c r="P243" s="568" t="s">
        <v>697</v>
      </c>
      <c r="Q243" s="252" t="s">
        <v>68</v>
      </c>
      <c r="R243" s="252">
        <v>1000</v>
      </c>
      <c r="S243" s="252">
        <v>0</v>
      </c>
      <c r="T243" s="862"/>
      <c r="U243" s="872"/>
      <c r="V243" s="881"/>
      <c r="W243" s="150"/>
      <c r="X243" s="150"/>
      <c r="Y243" s="150"/>
      <c r="Z243" s="150"/>
      <c r="AA243" s="150"/>
      <c r="AB243" s="150"/>
      <c r="AC243" s="150"/>
      <c r="AD243" s="150"/>
      <c r="AE243" s="150"/>
      <c r="AF243" s="150"/>
      <c r="AG243" s="150"/>
      <c r="AH243" s="150"/>
      <c r="AI243" s="150"/>
      <c r="AJ243" s="262"/>
      <c r="AK243" s="262"/>
      <c r="AL243" s="262"/>
      <c r="AM243" s="262"/>
      <c r="AN243" s="262"/>
      <c r="AO243" s="150"/>
      <c r="AP243" s="150"/>
      <c r="AQ243" s="150"/>
      <c r="AR243" s="150"/>
      <c r="AS243" s="263"/>
      <c r="AT243" s="263"/>
      <c r="AU243" s="263"/>
      <c r="AV243" s="263"/>
      <c r="AW243" s="263"/>
      <c r="AX243" s="150"/>
      <c r="AY243" s="150"/>
      <c r="AZ243" s="150"/>
      <c r="BA243" s="213">
        <v>380000000</v>
      </c>
      <c r="BB243" s="213"/>
      <c r="BC243" s="213"/>
      <c r="BD243" s="150"/>
      <c r="BE243" s="150"/>
      <c r="BF243" s="150"/>
      <c r="BG243" s="150"/>
      <c r="BH243" s="150"/>
      <c r="BI243" s="150"/>
      <c r="BJ243" s="339">
        <f t="shared" si="331"/>
        <v>380000000</v>
      </c>
      <c r="BK243" s="339">
        <f t="shared" si="325"/>
        <v>0</v>
      </c>
      <c r="BL243" s="339">
        <f t="shared" si="326"/>
        <v>0</v>
      </c>
      <c r="BM243" s="339" t="s">
        <v>680</v>
      </c>
      <c r="BN243" s="72" t="s">
        <v>681</v>
      </c>
    </row>
    <row r="244" spans="1:66" ht="138.75" customHeight="1" x14ac:dyDescent="0.2">
      <c r="A244" s="145"/>
      <c r="B244" s="91"/>
      <c r="C244" s="91"/>
      <c r="D244" s="91"/>
      <c r="E244" s="91"/>
      <c r="F244" s="87"/>
      <c r="G244" s="569"/>
      <c r="H244" s="562" t="s">
        <v>172</v>
      </c>
      <c r="I244" s="82" t="s">
        <v>47</v>
      </c>
      <c r="J244" s="571" t="s">
        <v>698</v>
      </c>
      <c r="K244" s="84">
        <v>2201062</v>
      </c>
      <c r="L244" s="571" t="s">
        <v>174</v>
      </c>
      <c r="M244" s="82" t="s">
        <v>47</v>
      </c>
      <c r="N244" s="568" t="s">
        <v>175</v>
      </c>
      <c r="O244" s="84">
        <v>220106200</v>
      </c>
      <c r="P244" s="568" t="s">
        <v>699</v>
      </c>
      <c r="Q244" s="569" t="s">
        <v>68</v>
      </c>
      <c r="R244" s="84">
        <v>15</v>
      </c>
      <c r="S244" s="84">
        <v>0</v>
      </c>
      <c r="T244" s="862"/>
      <c r="U244" s="872"/>
      <c r="V244" s="881"/>
      <c r="W244" s="150"/>
      <c r="X244" s="150"/>
      <c r="Y244" s="150"/>
      <c r="Z244" s="150"/>
      <c r="AA244" s="150"/>
      <c r="AB244" s="150"/>
      <c r="AC244" s="150"/>
      <c r="AD244" s="150"/>
      <c r="AE244" s="150"/>
      <c r="AF244" s="150"/>
      <c r="AG244" s="150"/>
      <c r="AH244" s="150"/>
      <c r="AI244" s="150"/>
      <c r="AJ244" s="262"/>
      <c r="AK244" s="262"/>
      <c r="AL244" s="262"/>
      <c r="AM244" s="262"/>
      <c r="AN244" s="262"/>
      <c r="AO244" s="150"/>
      <c r="AP244" s="150"/>
      <c r="AQ244" s="150"/>
      <c r="AR244" s="150"/>
      <c r="AS244" s="263"/>
      <c r="AT244" s="263"/>
      <c r="AU244" s="263"/>
      <c r="AV244" s="263"/>
      <c r="AW244" s="263"/>
      <c r="AX244" s="150"/>
      <c r="AY244" s="150"/>
      <c r="AZ244" s="150"/>
      <c r="BA244" s="161">
        <v>30000000</v>
      </c>
      <c r="BB244" s="161"/>
      <c r="BC244" s="161"/>
      <c r="BD244" s="150"/>
      <c r="BE244" s="150"/>
      <c r="BF244" s="150"/>
      <c r="BG244" s="150"/>
      <c r="BH244" s="150"/>
      <c r="BI244" s="150"/>
      <c r="BJ244" s="339">
        <f t="shared" ref="BJ244:BJ253" si="332">+W244+Z244+AC244+AF244+AI244+AL244+AO244+AR244+AU244+AX244+BA244+BD244+BG244</f>
        <v>30000000</v>
      </c>
      <c r="BK244" s="339">
        <f t="shared" si="325"/>
        <v>0</v>
      </c>
      <c r="BL244" s="339">
        <f t="shared" si="326"/>
        <v>0</v>
      </c>
      <c r="BM244" s="339" t="s">
        <v>680</v>
      </c>
      <c r="BN244" s="72" t="s">
        <v>681</v>
      </c>
    </row>
    <row r="245" spans="1:66" ht="102.6" customHeight="1" x14ac:dyDescent="0.2">
      <c r="A245" s="145"/>
      <c r="B245" s="91"/>
      <c r="C245" s="91"/>
      <c r="D245" s="91"/>
      <c r="E245" s="91"/>
      <c r="F245" s="87"/>
      <c r="G245" s="216"/>
      <c r="H245" s="562" t="s">
        <v>700</v>
      </c>
      <c r="I245" s="84">
        <v>2201063</v>
      </c>
      <c r="J245" s="571" t="s">
        <v>701</v>
      </c>
      <c r="K245" s="84">
        <v>2201063</v>
      </c>
      <c r="L245" s="571" t="s">
        <v>701</v>
      </c>
      <c r="M245" s="90">
        <v>220106300</v>
      </c>
      <c r="N245" s="568" t="s">
        <v>702</v>
      </c>
      <c r="O245" s="90">
        <v>220106300</v>
      </c>
      <c r="P245" s="568" t="s">
        <v>702</v>
      </c>
      <c r="Q245" s="195" t="s">
        <v>68</v>
      </c>
      <c r="R245" s="125">
        <v>2</v>
      </c>
      <c r="S245" s="125">
        <v>0</v>
      </c>
      <c r="T245" s="862"/>
      <c r="U245" s="872"/>
      <c r="V245" s="881"/>
      <c r="W245" s="150"/>
      <c r="X245" s="150"/>
      <c r="Y245" s="150"/>
      <c r="Z245" s="150"/>
      <c r="AA245" s="150"/>
      <c r="AB245" s="150"/>
      <c r="AC245" s="150"/>
      <c r="AD245" s="150"/>
      <c r="AE245" s="150"/>
      <c r="AF245" s="150"/>
      <c r="AG245" s="150"/>
      <c r="AH245" s="150"/>
      <c r="AI245" s="150"/>
      <c r="AJ245" s="262"/>
      <c r="AK245" s="262"/>
      <c r="AL245" s="262"/>
      <c r="AM245" s="262"/>
      <c r="AN245" s="262"/>
      <c r="AO245" s="150"/>
      <c r="AP245" s="150"/>
      <c r="AQ245" s="150"/>
      <c r="AR245" s="150"/>
      <c r="AS245" s="263"/>
      <c r="AT245" s="263"/>
      <c r="AU245" s="263"/>
      <c r="AV245" s="263"/>
      <c r="AW245" s="263"/>
      <c r="AX245" s="150"/>
      <c r="AY245" s="150"/>
      <c r="AZ245" s="150"/>
      <c r="BA245" s="213">
        <v>30000000</v>
      </c>
      <c r="BB245" s="213"/>
      <c r="BC245" s="213"/>
      <c r="BD245" s="150"/>
      <c r="BE245" s="150"/>
      <c r="BF245" s="150"/>
      <c r="BG245" s="150"/>
      <c r="BH245" s="150"/>
      <c r="BI245" s="150"/>
      <c r="BJ245" s="339">
        <f t="shared" si="332"/>
        <v>30000000</v>
      </c>
      <c r="BK245" s="339">
        <f t="shared" si="325"/>
        <v>0</v>
      </c>
      <c r="BL245" s="339">
        <f t="shared" si="326"/>
        <v>0</v>
      </c>
      <c r="BM245" s="339" t="s">
        <v>680</v>
      </c>
      <c r="BN245" s="72" t="s">
        <v>681</v>
      </c>
    </row>
    <row r="246" spans="1:66" ht="102.6" customHeight="1" x14ac:dyDescent="0.2">
      <c r="A246" s="145"/>
      <c r="B246" s="91"/>
      <c r="C246" s="91"/>
      <c r="D246" s="91"/>
      <c r="E246" s="91"/>
      <c r="F246" s="87"/>
      <c r="G246" s="216"/>
      <c r="H246" s="562" t="s">
        <v>700</v>
      </c>
      <c r="I246" s="84">
        <v>2201069</v>
      </c>
      <c r="J246" s="571" t="s">
        <v>703</v>
      </c>
      <c r="K246" s="84">
        <v>2201069</v>
      </c>
      <c r="L246" s="571" t="s">
        <v>703</v>
      </c>
      <c r="M246" s="90">
        <v>220106900</v>
      </c>
      <c r="N246" s="568" t="s">
        <v>704</v>
      </c>
      <c r="O246" s="90">
        <v>220106900</v>
      </c>
      <c r="P246" s="568" t="s">
        <v>704</v>
      </c>
      <c r="Q246" s="195" t="s">
        <v>68</v>
      </c>
      <c r="R246" s="125">
        <v>3</v>
      </c>
      <c r="S246" s="125">
        <v>0</v>
      </c>
      <c r="T246" s="862"/>
      <c r="U246" s="872"/>
      <c r="V246" s="881"/>
      <c r="W246" s="150"/>
      <c r="X246" s="150"/>
      <c r="Y246" s="150"/>
      <c r="Z246" s="150"/>
      <c r="AA246" s="150"/>
      <c r="AB246" s="150"/>
      <c r="AC246" s="150"/>
      <c r="AD246" s="150"/>
      <c r="AE246" s="150"/>
      <c r="AF246" s="150"/>
      <c r="AG246" s="150"/>
      <c r="AH246" s="150"/>
      <c r="AI246" s="150"/>
      <c r="AJ246" s="262"/>
      <c r="AK246" s="262"/>
      <c r="AL246" s="262"/>
      <c r="AM246" s="262"/>
      <c r="AN246" s="262"/>
      <c r="AO246" s="150">
        <f>37500000+12500000</f>
        <v>50000000</v>
      </c>
      <c r="AP246" s="150"/>
      <c r="AQ246" s="150"/>
      <c r="AR246" s="150"/>
      <c r="AS246" s="263"/>
      <c r="AT246" s="263"/>
      <c r="AU246" s="263"/>
      <c r="AV246" s="263"/>
      <c r="AW246" s="263"/>
      <c r="AX246" s="150"/>
      <c r="AY246" s="150"/>
      <c r="AZ246" s="150"/>
      <c r="BA246" s="213">
        <v>20000000</v>
      </c>
      <c r="BB246" s="213"/>
      <c r="BC246" s="213"/>
      <c r="BD246" s="150"/>
      <c r="BE246" s="150"/>
      <c r="BF246" s="150"/>
      <c r="BG246" s="150"/>
      <c r="BH246" s="150"/>
      <c r="BI246" s="150"/>
      <c r="BJ246" s="339">
        <f t="shared" si="332"/>
        <v>70000000</v>
      </c>
      <c r="BK246" s="339">
        <f t="shared" si="325"/>
        <v>0</v>
      </c>
      <c r="BL246" s="339">
        <f t="shared" si="326"/>
        <v>0</v>
      </c>
      <c r="BM246" s="339" t="s">
        <v>680</v>
      </c>
      <c r="BN246" s="72" t="s">
        <v>681</v>
      </c>
    </row>
    <row r="247" spans="1:66" ht="138" customHeight="1" x14ac:dyDescent="0.2">
      <c r="A247" s="145"/>
      <c r="B247" s="91"/>
      <c r="C247" s="91"/>
      <c r="D247" s="91"/>
      <c r="E247" s="91"/>
      <c r="F247" s="87"/>
      <c r="G247" s="216"/>
      <c r="H247" s="562" t="s">
        <v>705</v>
      </c>
      <c r="I247" s="84">
        <v>2201018</v>
      </c>
      <c r="J247" s="571" t="s">
        <v>706</v>
      </c>
      <c r="K247" s="84">
        <v>2201018</v>
      </c>
      <c r="L247" s="571" t="s">
        <v>706</v>
      </c>
      <c r="M247" s="90">
        <v>220101802</v>
      </c>
      <c r="N247" s="568" t="s">
        <v>707</v>
      </c>
      <c r="O247" s="90">
        <v>220101802</v>
      </c>
      <c r="P247" s="568" t="s">
        <v>707</v>
      </c>
      <c r="Q247" s="195" t="s">
        <v>52</v>
      </c>
      <c r="R247" s="125">
        <v>1</v>
      </c>
      <c r="S247" s="125">
        <v>0</v>
      </c>
      <c r="T247" s="862" t="s">
        <v>708</v>
      </c>
      <c r="U247" s="872" t="s">
        <v>709</v>
      </c>
      <c r="V247" s="881" t="s">
        <v>710</v>
      </c>
      <c r="W247" s="150"/>
      <c r="X247" s="150"/>
      <c r="Y247" s="150"/>
      <c r="Z247" s="150"/>
      <c r="AA247" s="150"/>
      <c r="AB247" s="150"/>
      <c r="AC247" s="150"/>
      <c r="AD247" s="150"/>
      <c r="AE247" s="150"/>
      <c r="AF247" s="150"/>
      <c r="AG247" s="150"/>
      <c r="AH247" s="150"/>
      <c r="AI247" s="150"/>
      <c r="AJ247" s="262"/>
      <c r="AK247" s="262"/>
      <c r="AL247" s="262"/>
      <c r="AM247" s="262"/>
      <c r="AN247" s="262"/>
      <c r="AO247" s="150"/>
      <c r="AP247" s="150"/>
      <c r="AQ247" s="150"/>
      <c r="AR247" s="150"/>
      <c r="AS247" s="263"/>
      <c r="AT247" s="263"/>
      <c r="AU247" s="263"/>
      <c r="AV247" s="263"/>
      <c r="AW247" s="263"/>
      <c r="AX247" s="150"/>
      <c r="AY247" s="150"/>
      <c r="AZ247" s="150"/>
      <c r="BA247" s="213">
        <v>6000000</v>
      </c>
      <c r="BB247" s="213"/>
      <c r="BC247" s="213"/>
      <c r="BD247" s="150"/>
      <c r="BE247" s="150"/>
      <c r="BF247" s="150"/>
      <c r="BG247" s="150"/>
      <c r="BH247" s="150"/>
      <c r="BI247" s="150"/>
      <c r="BJ247" s="339">
        <f t="shared" si="332"/>
        <v>6000000</v>
      </c>
      <c r="BK247" s="339">
        <f t="shared" si="325"/>
        <v>0</v>
      </c>
      <c r="BL247" s="339">
        <f t="shared" si="326"/>
        <v>0</v>
      </c>
      <c r="BM247" s="339" t="s">
        <v>680</v>
      </c>
      <c r="BN247" s="72" t="s">
        <v>681</v>
      </c>
    </row>
    <row r="248" spans="1:66" ht="85.5" customHeight="1" x14ac:dyDescent="0.2">
      <c r="A248" s="145"/>
      <c r="B248" s="91"/>
      <c r="C248" s="91"/>
      <c r="D248" s="91"/>
      <c r="E248" s="91"/>
      <c r="F248" s="87"/>
      <c r="G248" s="216"/>
      <c r="H248" s="562" t="s">
        <v>711</v>
      </c>
      <c r="I248" s="84">
        <v>2201037</v>
      </c>
      <c r="J248" s="571" t="s">
        <v>712</v>
      </c>
      <c r="K248" s="84">
        <v>2201037</v>
      </c>
      <c r="L248" s="571" t="s">
        <v>712</v>
      </c>
      <c r="M248" s="259">
        <v>220103700</v>
      </c>
      <c r="N248" s="221" t="s">
        <v>713</v>
      </c>
      <c r="O248" s="259">
        <v>220103700</v>
      </c>
      <c r="P248" s="221" t="s">
        <v>713</v>
      </c>
      <c r="Q248" s="195" t="s">
        <v>52</v>
      </c>
      <c r="R248" s="125">
        <v>54</v>
      </c>
      <c r="S248" s="125">
        <v>0</v>
      </c>
      <c r="T248" s="862"/>
      <c r="U248" s="872"/>
      <c r="V248" s="881"/>
      <c r="W248" s="150"/>
      <c r="X248" s="150"/>
      <c r="Y248" s="150"/>
      <c r="Z248" s="150"/>
      <c r="AA248" s="150"/>
      <c r="AB248" s="150"/>
      <c r="AC248" s="150"/>
      <c r="AD248" s="150"/>
      <c r="AE248" s="150"/>
      <c r="AF248" s="150"/>
      <c r="AG248" s="150"/>
      <c r="AH248" s="150"/>
      <c r="AI248" s="150"/>
      <c r="AJ248" s="262"/>
      <c r="AK248" s="262"/>
      <c r="AL248" s="262"/>
      <c r="AM248" s="262"/>
      <c r="AN248" s="262"/>
      <c r="AO248" s="150"/>
      <c r="AP248" s="150"/>
      <c r="AQ248" s="150"/>
      <c r="AR248" s="150"/>
      <c r="AS248" s="263"/>
      <c r="AT248" s="263"/>
      <c r="AU248" s="263"/>
      <c r="AV248" s="263"/>
      <c r="AW248" s="263"/>
      <c r="AX248" s="150"/>
      <c r="AY248" s="150"/>
      <c r="AZ248" s="150"/>
      <c r="BA248" s="213">
        <v>10000000</v>
      </c>
      <c r="BB248" s="213"/>
      <c r="BC248" s="213"/>
      <c r="BD248" s="150"/>
      <c r="BE248" s="150"/>
      <c r="BF248" s="150"/>
      <c r="BG248" s="150"/>
      <c r="BH248" s="150"/>
      <c r="BI248" s="150"/>
      <c r="BJ248" s="339">
        <f t="shared" si="332"/>
        <v>10000000</v>
      </c>
      <c r="BK248" s="339">
        <f t="shared" si="325"/>
        <v>0</v>
      </c>
      <c r="BL248" s="339">
        <f t="shared" si="326"/>
        <v>0</v>
      </c>
      <c r="BM248" s="339" t="s">
        <v>680</v>
      </c>
      <c r="BN248" s="72" t="s">
        <v>681</v>
      </c>
    </row>
    <row r="249" spans="1:66" ht="218.25" customHeight="1" x14ac:dyDescent="0.2">
      <c r="A249" s="145"/>
      <c r="B249" s="91"/>
      <c r="C249" s="91"/>
      <c r="D249" s="91"/>
      <c r="E249" s="91"/>
      <c r="F249" s="87"/>
      <c r="G249" s="216"/>
      <c r="H249" s="562" t="s">
        <v>714</v>
      </c>
      <c r="I249" s="82">
        <v>2201007</v>
      </c>
      <c r="J249" s="571" t="s">
        <v>715</v>
      </c>
      <c r="K249" s="84">
        <v>2201073</v>
      </c>
      <c r="L249" s="571" t="s">
        <v>715</v>
      </c>
      <c r="M249" s="82">
        <v>220100700</v>
      </c>
      <c r="N249" s="561" t="s">
        <v>716</v>
      </c>
      <c r="O249" s="90">
        <v>220107300</v>
      </c>
      <c r="P249" s="561" t="s">
        <v>716</v>
      </c>
      <c r="Q249" s="195" t="s">
        <v>68</v>
      </c>
      <c r="R249" s="125">
        <v>7774</v>
      </c>
      <c r="S249" s="125">
        <v>0</v>
      </c>
      <c r="T249" s="862" t="s">
        <v>717</v>
      </c>
      <c r="U249" s="891" t="s">
        <v>718</v>
      </c>
      <c r="V249" s="891" t="s">
        <v>719</v>
      </c>
      <c r="W249" s="150"/>
      <c r="X249" s="150"/>
      <c r="Y249" s="150"/>
      <c r="Z249" s="150"/>
      <c r="AA249" s="150"/>
      <c r="AB249" s="150"/>
      <c r="AC249" s="150"/>
      <c r="AD249" s="150"/>
      <c r="AE249" s="150"/>
      <c r="AF249" s="150"/>
      <c r="AG249" s="150"/>
      <c r="AH249" s="150"/>
      <c r="AI249" s="150"/>
      <c r="AJ249" s="262"/>
      <c r="AK249" s="262"/>
      <c r="AL249" s="262"/>
      <c r="AM249" s="262"/>
      <c r="AN249" s="262"/>
      <c r="AO249" s="150">
        <v>13838656.48</v>
      </c>
      <c r="AP249" s="150"/>
      <c r="AQ249" s="150"/>
      <c r="AR249" s="150"/>
      <c r="AS249" s="263"/>
      <c r="AT249" s="263"/>
      <c r="AU249" s="263"/>
      <c r="AV249" s="263"/>
      <c r="AW249" s="263"/>
      <c r="AX249" s="150"/>
      <c r="AY249" s="150"/>
      <c r="AZ249" s="150"/>
      <c r="BA249" s="213">
        <v>19999999.989999998</v>
      </c>
      <c r="BB249" s="213"/>
      <c r="BC249" s="213"/>
      <c r="BD249" s="150"/>
      <c r="BE249" s="150"/>
      <c r="BF249" s="150"/>
      <c r="BG249" s="150"/>
      <c r="BH249" s="150"/>
      <c r="BI249" s="150"/>
      <c r="BJ249" s="339">
        <f t="shared" si="332"/>
        <v>33838656.469999999</v>
      </c>
      <c r="BK249" s="339">
        <f t="shared" si="325"/>
        <v>0</v>
      </c>
      <c r="BL249" s="339">
        <f t="shared" si="326"/>
        <v>0</v>
      </c>
      <c r="BM249" s="339" t="s">
        <v>680</v>
      </c>
      <c r="BN249" s="72" t="s">
        <v>681</v>
      </c>
    </row>
    <row r="250" spans="1:66" s="4" customFormat="1" ht="138.75" customHeight="1" x14ac:dyDescent="0.2">
      <c r="A250" s="68"/>
      <c r="B250" s="109"/>
      <c r="C250" s="109"/>
      <c r="D250" s="109"/>
      <c r="E250" s="109"/>
      <c r="F250" s="112"/>
      <c r="G250" s="115"/>
      <c r="H250" s="571" t="s">
        <v>720</v>
      </c>
      <c r="I250" s="84">
        <v>2201068</v>
      </c>
      <c r="J250" s="571" t="s">
        <v>296</v>
      </c>
      <c r="K250" s="84">
        <v>2201068</v>
      </c>
      <c r="L250" s="571" t="s">
        <v>296</v>
      </c>
      <c r="M250" s="259">
        <v>220106800</v>
      </c>
      <c r="N250" s="221" t="s">
        <v>297</v>
      </c>
      <c r="O250" s="259">
        <v>220106800</v>
      </c>
      <c r="P250" s="221" t="s">
        <v>297</v>
      </c>
      <c r="Q250" s="570" t="s">
        <v>68</v>
      </c>
      <c r="R250" s="82">
        <v>70</v>
      </c>
      <c r="S250" s="82">
        <v>0</v>
      </c>
      <c r="T250" s="862"/>
      <c r="U250" s="891"/>
      <c r="V250" s="891"/>
      <c r="W250" s="150"/>
      <c r="X250" s="150"/>
      <c r="Y250" s="150"/>
      <c r="Z250" s="150"/>
      <c r="AA250" s="150"/>
      <c r="AB250" s="150"/>
      <c r="AC250" s="150">
        <v>0</v>
      </c>
      <c r="AD250" s="150"/>
      <c r="AE250" s="150"/>
      <c r="AF250" s="150">
        <v>0</v>
      </c>
      <c r="AG250" s="150"/>
      <c r="AH250" s="150"/>
      <c r="AI250" s="150">
        <v>0</v>
      </c>
      <c r="AJ250" s="262"/>
      <c r="AK250" s="262"/>
      <c r="AL250" s="262">
        <v>0</v>
      </c>
      <c r="AM250" s="262"/>
      <c r="AN250" s="262"/>
      <c r="AO250" s="150">
        <v>0</v>
      </c>
      <c r="AP250" s="150"/>
      <c r="AQ250" s="150"/>
      <c r="AR250" s="150">
        <v>0</v>
      </c>
      <c r="AS250" s="263"/>
      <c r="AT250" s="263"/>
      <c r="AU250" s="263">
        <v>0</v>
      </c>
      <c r="AV250" s="263"/>
      <c r="AW250" s="263"/>
      <c r="AX250" s="150">
        <v>0</v>
      </c>
      <c r="AY250" s="150"/>
      <c r="AZ250" s="150"/>
      <c r="BA250" s="161">
        <v>18000000</v>
      </c>
      <c r="BB250" s="161">
        <v>1969000</v>
      </c>
      <c r="BC250" s="161">
        <v>1969000</v>
      </c>
      <c r="BD250" s="150">
        <v>0</v>
      </c>
      <c r="BE250" s="150"/>
      <c r="BF250" s="150"/>
      <c r="BG250" s="150">
        <v>0</v>
      </c>
      <c r="BH250" s="150"/>
      <c r="BI250" s="150"/>
      <c r="BJ250" s="339">
        <f t="shared" ref="BJ250" si="333">+W250+Z250+AC250+AF250+AI250+AL250+AO250+AR250+AU250+AX250+BA250+BD250+BG250</f>
        <v>18000000</v>
      </c>
      <c r="BK250" s="339">
        <f t="shared" ref="BK250:BK252" si="334">+X250+AA250+AD250+AG250+AJ250+AM250+AP250+AS250+AV250+AY250+BB250+BE250+BH250</f>
        <v>1969000</v>
      </c>
      <c r="BL250" s="339">
        <f t="shared" ref="BL250:BL252" si="335">+Y250+AB250+AE250+AH250+AK250+AN250+AQ250+AT250+AW250+AZ250+BC250+BF250+BI250</f>
        <v>1969000</v>
      </c>
      <c r="BM250" s="339" t="s">
        <v>680</v>
      </c>
      <c r="BN250" s="223" t="s">
        <v>681</v>
      </c>
    </row>
    <row r="251" spans="1:66" ht="74.25" customHeight="1" x14ac:dyDescent="0.2">
      <c r="A251" s="145"/>
      <c r="B251" s="91"/>
      <c r="C251" s="91"/>
      <c r="D251" s="91"/>
      <c r="E251" s="91"/>
      <c r="F251" s="87"/>
      <c r="G251" s="569"/>
      <c r="H251" s="562" t="s">
        <v>700</v>
      </c>
      <c r="I251" s="84">
        <v>2201026</v>
      </c>
      <c r="J251" s="571" t="s">
        <v>721</v>
      </c>
      <c r="K251" s="84">
        <v>2201026</v>
      </c>
      <c r="L251" s="571" t="s">
        <v>721</v>
      </c>
      <c r="M251" s="259">
        <v>220102600</v>
      </c>
      <c r="N251" s="568" t="s">
        <v>722</v>
      </c>
      <c r="O251" s="259">
        <v>220102600</v>
      </c>
      <c r="P251" s="568" t="s">
        <v>722</v>
      </c>
      <c r="Q251" s="195" t="s">
        <v>68</v>
      </c>
      <c r="R251" s="125">
        <v>17</v>
      </c>
      <c r="S251" s="125">
        <v>1</v>
      </c>
      <c r="T251" s="862"/>
      <c r="U251" s="891"/>
      <c r="V251" s="891"/>
      <c r="W251" s="150"/>
      <c r="X251" s="150"/>
      <c r="Y251" s="150"/>
      <c r="Z251" s="150"/>
      <c r="AA251" s="150"/>
      <c r="AB251" s="150"/>
      <c r="AC251" s="150"/>
      <c r="AD251" s="150"/>
      <c r="AE251" s="150"/>
      <c r="AF251" s="150"/>
      <c r="AG251" s="150"/>
      <c r="AH251" s="150"/>
      <c r="AI251" s="150"/>
      <c r="AJ251" s="262"/>
      <c r="AK251" s="262"/>
      <c r="AL251" s="262"/>
      <c r="AM251" s="262"/>
      <c r="AN251" s="262"/>
      <c r="AO251" s="150">
        <f>25000000-23405003</f>
        <v>1594997</v>
      </c>
      <c r="AP251" s="150"/>
      <c r="AQ251" s="150"/>
      <c r="AR251" s="150"/>
      <c r="AS251" s="263"/>
      <c r="AT251" s="263"/>
      <c r="AU251" s="263"/>
      <c r="AV251" s="263"/>
      <c r="AW251" s="263"/>
      <c r="AX251" s="150"/>
      <c r="AY251" s="150"/>
      <c r="AZ251" s="150"/>
      <c r="BA251" s="161">
        <v>18000000</v>
      </c>
      <c r="BB251" s="161"/>
      <c r="BC251" s="161"/>
      <c r="BD251" s="150"/>
      <c r="BE251" s="150"/>
      <c r="BF251" s="150"/>
      <c r="BG251" s="150"/>
      <c r="BH251" s="150"/>
      <c r="BI251" s="150"/>
      <c r="BJ251" s="339">
        <f>+W251+Z251+AC251+AF251+AI251+AL251+AO251+AR251+AU251+AX251+BA251+BD251+BG251</f>
        <v>19594997</v>
      </c>
      <c r="BK251" s="339">
        <f t="shared" si="334"/>
        <v>0</v>
      </c>
      <c r="BL251" s="339">
        <f t="shared" si="335"/>
        <v>0</v>
      </c>
      <c r="BM251" s="339" t="s">
        <v>680</v>
      </c>
      <c r="BN251" s="72" t="s">
        <v>681</v>
      </c>
    </row>
    <row r="252" spans="1:66" ht="116.25" customHeight="1" x14ac:dyDescent="0.2">
      <c r="A252" s="145"/>
      <c r="B252" s="91"/>
      <c r="C252" s="91"/>
      <c r="D252" s="91"/>
      <c r="E252" s="91"/>
      <c r="F252" s="87"/>
      <c r="G252" s="216"/>
      <c r="H252" s="562" t="s">
        <v>714</v>
      </c>
      <c r="I252" s="82">
        <v>2201009</v>
      </c>
      <c r="J252" s="571" t="s">
        <v>723</v>
      </c>
      <c r="K252" s="84">
        <v>2201074</v>
      </c>
      <c r="L252" s="571" t="s">
        <v>723</v>
      </c>
      <c r="M252" s="82">
        <v>220100900</v>
      </c>
      <c r="N252" s="561" t="s">
        <v>724</v>
      </c>
      <c r="O252" s="90">
        <v>220107400</v>
      </c>
      <c r="P252" s="559" t="s">
        <v>725</v>
      </c>
      <c r="Q252" s="195" t="s">
        <v>68</v>
      </c>
      <c r="R252" s="125">
        <v>606</v>
      </c>
      <c r="S252" s="125">
        <v>0</v>
      </c>
      <c r="T252" s="862"/>
      <c r="U252" s="891"/>
      <c r="V252" s="891"/>
      <c r="W252" s="150"/>
      <c r="X252" s="150"/>
      <c r="Y252" s="150"/>
      <c r="Z252" s="150"/>
      <c r="AA252" s="150"/>
      <c r="AB252" s="150"/>
      <c r="AC252" s="150"/>
      <c r="AD252" s="150"/>
      <c r="AE252" s="150"/>
      <c r="AF252" s="150"/>
      <c r="AG252" s="150"/>
      <c r="AH252" s="150"/>
      <c r="AI252" s="150"/>
      <c r="AJ252" s="262"/>
      <c r="AK252" s="262"/>
      <c r="AL252" s="262"/>
      <c r="AM252" s="262"/>
      <c r="AN252" s="262"/>
      <c r="AO252" s="150"/>
      <c r="AP252" s="150"/>
      <c r="AQ252" s="150"/>
      <c r="AR252" s="150"/>
      <c r="AS252" s="263"/>
      <c r="AT252" s="263"/>
      <c r="AU252" s="263"/>
      <c r="AV252" s="263"/>
      <c r="AW252" s="263"/>
      <c r="AX252" s="150"/>
      <c r="AY252" s="150"/>
      <c r="AZ252" s="150"/>
      <c r="BA252" s="213">
        <v>19999999.989999998</v>
      </c>
      <c r="BB252" s="213"/>
      <c r="BC252" s="213"/>
      <c r="BD252" s="150"/>
      <c r="BE252" s="150"/>
      <c r="BF252" s="150"/>
      <c r="BG252" s="150"/>
      <c r="BH252" s="150"/>
      <c r="BI252" s="150"/>
      <c r="BJ252" s="339">
        <f>+W252+Z252+AC252+AF252+AI252+AL252+AO252+AR252+AU252+AX252+BA252+BD252+BG252</f>
        <v>19999999.989999998</v>
      </c>
      <c r="BK252" s="339">
        <f t="shared" si="334"/>
        <v>0</v>
      </c>
      <c r="BL252" s="339">
        <f t="shared" si="335"/>
        <v>0</v>
      </c>
      <c r="BM252" s="339" t="s">
        <v>680</v>
      </c>
      <c r="BN252" s="72" t="s">
        <v>681</v>
      </c>
    </row>
    <row r="253" spans="1:66" ht="162.75" customHeight="1" x14ac:dyDescent="0.2">
      <c r="A253" s="145"/>
      <c r="B253" s="91"/>
      <c r="C253" s="91"/>
      <c r="D253" s="91"/>
      <c r="E253" s="91"/>
      <c r="F253" s="87"/>
      <c r="G253" s="216"/>
      <c r="H253" s="562" t="s">
        <v>714</v>
      </c>
      <c r="I253" s="82">
        <v>2201010</v>
      </c>
      <c r="J253" s="565" t="s">
        <v>726</v>
      </c>
      <c r="K253" s="82">
        <v>2201074</v>
      </c>
      <c r="L253" s="565" t="s">
        <v>727</v>
      </c>
      <c r="M253" s="82">
        <v>220101000</v>
      </c>
      <c r="N253" s="559" t="s">
        <v>728</v>
      </c>
      <c r="O253" s="85">
        <v>220107400</v>
      </c>
      <c r="P253" s="559" t="s">
        <v>725</v>
      </c>
      <c r="Q253" s="195" t="s">
        <v>52</v>
      </c>
      <c r="R253" s="125">
        <v>94</v>
      </c>
      <c r="S253" s="125">
        <v>0</v>
      </c>
      <c r="T253" s="862"/>
      <c r="U253" s="891"/>
      <c r="V253" s="891"/>
      <c r="W253" s="150"/>
      <c r="X253" s="150"/>
      <c r="Y253" s="150"/>
      <c r="Z253" s="150"/>
      <c r="AA253" s="150"/>
      <c r="AB253" s="150"/>
      <c r="AC253" s="150"/>
      <c r="AD253" s="150"/>
      <c r="AE253" s="150"/>
      <c r="AF253" s="150"/>
      <c r="AG253" s="150"/>
      <c r="AH253" s="150"/>
      <c r="AI253" s="150"/>
      <c r="AJ253" s="262"/>
      <c r="AK253" s="262"/>
      <c r="AL253" s="262"/>
      <c r="AM253" s="262"/>
      <c r="AN253" s="262"/>
      <c r="AO253" s="150"/>
      <c r="AP253" s="150"/>
      <c r="AQ253" s="150"/>
      <c r="AR253" s="150"/>
      <c r="AS253" s="263"/>
      <c r="AT253" s="263"/>
      <c r="AU253" s="263"/>
      <c r="AV253" s="263"/>
      <c r="AW253" s="263"/>
      <c r="AX253" s="150"/>
      <c r="AY253" s="150"/>
      <c r="AZ253" s="150"/>
      <c r="BA253" s="213">
        <v>20000000</v>
      </c>
      <c r="BB253" s="213"/>
      <c r="BC253" s="213"/>
      <c r="BD253" s="150"/>
      <c r="BE253" s="150"/>
      <c r="BF253" s="150"/>
      <c r="BG253" s="150"/>
      <c r="BH253" s="150"/>
      <c r="BI253" s="150"/>
      <c r="BJ253" s="339">
        <f t="shared" si="332"/>
        <v>20000000</v>
      </c>
      <c r="BK253" s="339">
        <f t="shared" ref="BK253:BK270" si="336">+X253+AA253+AD253+AG253+AJ253+AM253+AP253+AS253+AV253+AY253+BB253+BE253+BH253</f>
        <v>0</v>
      </c>
      <c r="BL253" s="339">
        <f t="shared" ref="BL253:BL270" si="337">+Y253+AB253+AE253+AH253+AK253+AN253+AQ253+AT253+AW253+AZ253+BC253+BF253+BI253</f>
        <v>0</v>
      </c>
      <c r="BM253" s="339" t="s">
        <v>680</v>
      </c>
      <c r="BN253" s="72" t="s">
        <v>681</v>
      </c>
    </row>
    <row r="254" spans="1:66" ht="65.25" customHeight="1" x14ac:dyDescent="0.2">
      <c r="A254" s="145"/>
      <c r="B254" s="91"/>
      <c r="C254" s="91"/>
      <c r="D254" s="91"/>
      <c r="E254" s="91"/>
      <c r="F254" s="87"/>
      <c r="G254" s="216"/>
      <c r="H254" s="562" t="s">
        <v>729</v>
      </c>
      <c r="I254" s="84">
        <v>2201035</v>
      </c>
      <c r="J254" s="562" t="s">
        <v>730</v>
      </c>
      <c r="K254" s="84">
        <v>2201035</v>
      </c>
      <c r="L254" s="562" t="s">
        <v>730</v>
      </c>
      <c r="M254" s="85">
        <v>220103500</v>
      </c>
      <c r="N254" s="561" t="s">
        <v>731</v>
      </c>
      <c r="O254" s="85">
        <v>220103500</v>
      </c>
      <c r="P254" s="561" t="s">
        <v>731</v>
      </c>
      <c r="Q254" s="195" t="s">
        <v>68</v>
      </c>
      <c r="R254" s="125">
        <v>8</v>
      </c>
      <c r="S254" s="125">
        <v>0</v>
      </c>
      <c r="T254" s="862"/>
      <c r="U254" s="891"/>
      <c r="V254" s="891"/>
      <c r="W254" s="150"/>
      <c r="X254" s="150"/>
      <c r="Y254" s="150"/>
      <c r="Z254" s="150"/>
      <c r="AA254" s="150"/>
      <c r="AB254" s="150"/>
      <c r="AC254" s="150"/>
      <c r="AD254" s="150"/>
      <c r="AE254" s="150"/>
      <c r="AF254" s="150"/>
      <c r="AG254" s="150"/>
      <c r="AH254" s="150"/>
      <c r="AI254" s="150"/>
      <c r="AJ254" s="262"/>
      <c r="AK254" s="262"/>
      <c r="AL254" s="262"/>
      <c r="AM254" s="262"/>
      <c r="AN254" s="262"/>
      <c r="AO254" s="150"/>
      <c r="AP254" s="150"/>
      <c r="AQ254" s="150"/>
      <c r="AR254" s="150"/>
      <c r="AS254" s="263"/>
      <c r="AT254" s="263"/>
      <c r="AU254" s="263"/>
      <c r="AV254" s="263"/>
      <c r="AW254" s="263"/>
      <c r="AX254" s="150"/>
      <c r="AY254" s="150"/>
      <c r="AZ254" s="150"/>
      <c r="BA254" s="213">
        <v>10000000</v>
      </c>
      <c r="BB254" s="213">
        <v>10000000</v>
      </c>
      <c r="BC254" s="213"/>
      <c r="BD254" s="150"/>
      <c r="BE254" s="150"/>
      <c r="BF254" s="150"/>
      <c r="BG254" s="150"/>
      <c r="BH254" s="150"/>
      <c r="BI254" s="150"/>
      <c r="BJ254" s="339">
        <f t="shared" si="331"/>
        <v>10000000</v>
      </c>
      <c r="BK254" s="339">
        <f t="shared" si="336"/>
        <v>10000000</v>
      </c>
      <c r="BL254" s="339">
        <f t="shared" si="337"/>
        <v>0</v>
      </c>
      <c r="BM254" s="339" t="s">
        <v>680</v>
      </c>
      <c r="BN254" s="72" t="s">
        <v>681</v>
      </c>
    </row>
    <row r="255" spans="1:66" ht="121.5" customHeight="1" x14ac:dyDescent="0.2">
      <c r="A255" s="145"/>
      <c r="B255" s="91"/>
      <c r="C255" s="91"/>
      <c r="D255" s="91"/>
      <c r="E255" s="91"/>
      <c r="F255" s="87"/>
      <c r="G255" s="569"/>
      <c r="H255" s="562" t="s">
        <v>691</v>
      </c>
      <c r="I255" s="84">
        <v>2201046</v>
      </c>
      <c r="J255" s="562" t="s">
        <v>732</v>
      </c>
      <c r="K255" s="84">
        <v>2201046</v>
      </c>
      <c r="L255" s="562" t="s">
        <v>732</v>
      </c>
      <c r="M255" s="228">
        <v>220104602</v>
      </c>
      <c r="N255" s="561" t="s">
        <v>733</v>
      </c>
      <c r="O255" s="228">
        <v>220104602</v>
      </c>
      <c r="P255" s="561" t="s">
        <v>733</v>
      </c>
      <c r="Q255" s="195" t="s">
        <v>68</v>
      </c>
      <c r="R255" s="125">
        <v>13</v>
      </c>
      <c r="S255" s="125">
        <v>0</v>
      </c>
      <c r="T255" s="862"/>
      <c r="U255" s="891"/>
      <c r="V255" s="891"/>
      <c r="W255" s="150"/>
      <c r="X255" s="150"/>
      <c r="Y255" s="150"/>
      <c r="Z255" s="150"/>
      <c r="AA255" s="150"/>
      <c r="AB255" s="150"/>
      <c r="AC255" s="150"/>
      <c r="AD255" s="150"/>
      <c r="AE255" s="150"/>
      <c r="AF255" s="339"/>
      <c r="AG255" s="339"/>
      <c r="AH255" s="339"/>
      <c r="AI255" s="150"/>
      <c r="AJ255" s="262"/>
      <c r="AK255" s="262"/>
      <c r="AL255" s="262"/>
      <c r="AM255" s="262"/>
      <c r="AN255" s="262"/>
      <c r="AO255" s="150"/>
      <c r="AP255" s="150"/>
      <c r="AQ255" s="150"/>
      <c r="AR255" s="150"/>
      <c r="AS255" s="263"/>
      <c r="AT255" s="263"/>
      <c r="AU255" s="263"/>
      <c r="AV255" s="263"/>
      <c r="AW255" s="263"/>
      <c r="AX255" s="150"/>
      <c r="AY255" s="150"/>
      <c r="AZ255" s="150"/>
      <c r="BA255" s="161">
        <v>10000000.01</v>
      </c>
      <c r="BB255" s="161"/>
      <c r="BC255" s="161"/>
      <c r="BD255" s="150"/>
      <c r="BE255" s="150"/>
      <c r="BF255" s="150"/>
      <c r="BG255" s="150"/>
      <c r="BH255" s="150"/>
      <c r="BI255" s="150"/>
      <c r="BJ255" s="339">
        <f t="shared" si="331"/>
        <v>10000000.01</v>
      </c>
      <c r="BK255" s="339">
        <f t="shared" si="336"/>
        <v>0</v>
      </c>
      <c r="BL255" s="339">
        <f t="shared" si="337"/>
        <v>0</v>
      </c>
      <c r="BM255" s="339" t="s">
        <v>680</v>
      </c>
      <c r="BN255" s="72" t="s">
        <v>681</v>
      </c>
    </row>
    <row r="256" spans="1:66" ht="118.5" customHeight="1" x14ac:dyDescent="0.2">
      <c r="A256" s="145"/>
      <c r="B256" s="91"/>
      <c r="C256" s="91"/>
      <c r="D256" s="91"/>
      <c r="E256" s="91"/>
      <c r="F256" s="87"/>
      <c r="G256" s="216"/>
      <c r="H256" s="562" t="s">
        <v>691</v>
      </c>
      <c r="I256" s="84">
        <v>2201054</v>
      </c>
      <c r="J256" s="562" t="s">
        <v>734</v>
      </c>
      <c r="K256" s="84">
        <v>2201054</v>
      </c>
      <c r="L256" s="562" t="s">
        <v>734</v>
      </c>
      <c r="M256" s="85">
        <v>220105400</v>
      </c>
      <c r="N256" s="561" t="s">
        <v>735</v>
      </c>
      <c r="O256" s="85">
        <v>220105400</v>
      </c>
      <c r="P256" s="561" t="s">
        <v>735</v>
      </c>
      <c r="Q256" s="195" t="s">
        <v>52</v>
      </c>
      <c r="R256" s="125">
        <v>11</v>
      </c>
      <c r="S256" s="125">
        <v>0</v>
      </c>
      <c r="T256" s="862"/>
      <c r="U256" s="891"/>
      <c r="V256" s="891"/>
      <c r="W256" s="150"/>
      <c r="X256" s="150"/>
      <c r="Y256" s="150"/>
      <c r="Z256" s="150"/>
      <c r="AA256" s="150"/>
      <c r="AB256" s="150"/>
      <c r="AC256" s="150"/>
      <c r="AD256" s="150"/>
      <c r="AE256" s="150"/>
      <c r="AF256" s="150"/>
      <c r="AG256" s="150"/>
      <c r="AH256" s="150"/>
      <c r="AI256" s="150"/>
      <c r="AJ256" s="262"/>
      <c r="AK256" s="262"/>
      <c r="AL256" s="262"/>
      <c r="AM256" s="262"/>
      <c r="AN256" s="262"/>
      <c r="AO256" s="150"/>
      <c r="AP256" s="150"/>
      <c r="AQ256" s="150"/>
      <c r="AR256" s="150"/>
      <c r="AS256" s="263"/>
      <c r="AT256" s="263"/>
      <c r="AU256" s="263"/>
      <c r="AV256" s="263"/>
      <c r="AW256" s="263"/>
      <c r="AX256" s="150"/>
      <c r="AY256" s="150"/>
      <c r="AZ256" s="150"/>
      <c r="BA256" s="213">
        <v>10000000.01</v>
      </c>
      <c r="BB256" s="213"/>
      <c r="BC256" s="213"/>
      <c r="BD256" s="150"/>
      <c r="BE256" s="150"/>
      <c r="BF256" s="150"/>
      <c r="BG256" s="150"/>
      <c r="BH256" s="150"/>
      <c r="BI256" s="150"/>
      <c r="BJ256" s="339">
        <f t="shared" si="331"/>
        <v>10000000.01</v>
      </c>
      <c r="BK256" s="339">
        <f t="shared" si="336"/>
        <v>0</v>
      </c>
      <c r="BL256" s="339">
        <f t="shared" si="337"/>
        <v>0</v>
      </c>
      <c r="BM256" s="339" t="s">
        <v>680</v>
      </c>
      <c r="BN256" s="72" t="s">
        <v>681</v>
      </c>
    </row>
    <row r="257" spans="1:66" ht="102.6" customHeight="1" x14ac:dyDescent="0.2">
      <c r="A257" s="145"/>
      <c r="B257" s="91"/>
      <c r="C257" s="91"/>
      <c r="D257" s="91"/>
      <c r="E257" s="91"/>
      <c r="F257" s="87"/>
      <c r="G257" s="216"/>
      <c r="H257" s="562" t="s">
        <v>688</v>
      </c>
      <c r="I257" s="84">
        <v>2201061</v>
      </c>
      <c r="J257" s="562" t="s">
        <v>736</v>
      </c>
      <c r="K257" s="84">
        <v>2201061</v>
      </c>
      <c r="L257" s="562" t="s">
        <v>736</v>
      </c>
      <c r="M257" s="85">
        <v>220106102</v>
      </c>
      <c r="N257" s="561" t="s">
        <v>737</v>
      </c>
      <c r="O257" s="85">
        <v>220106102</v>
      </c>
      <c r="P257" s="561" t="s">
        <v>737</v>
      </c>
      <c r="Q257" s="195" t="s">
        <v>68</v>
      </c>
      <c r="R257" s="125">
        <v>12</v>
      </c>
      <c r="S257" s="125">
        <v>0</v>
      </c>
      <c r="T257" s="862"/>
      <c r="U257" s="891"/>
      <c r="V257" s="891"/>
      <c r="W257" s="150"/>
      <c r="X257" s="150"/>
      <c r="Y257" s="150"/>
      <c r="Z257" s="150"/>
      <c r="AA257" s="150"/>
      <c r="AB257" s="150"/>
      <c r="AC257" s="150"/>
      <c r="AD257" s="150"/>
      <c r="AE257" s="150"/>
      <c r="AF257" s="150"/>
      <c r="AG257" s="150"/>
      <c r="AH257" s="150"/>
      <c r="AI257" s="150"/>
      <c r="AJ257" s="262"/>
      <c r="AK257" s="262"/>
      <c r="AL257" s="262"/>
      <c r="AM257" s="262"/>
      <c r="AN257" s="262"/>
      <c r="AO257" s="150"/>
      <c r="AP257" s="150"/>
      <c r="AQ257" s="150"/>
      <c r="AR257" s="150"/>
      <c r="AS257" s="263"/>
      <c r="AT257" s="263"/>
      <c r="AU257" s="263"/>
      <c r="AV257" s="263"/>
      <c r="AW257" s="263"/>
      <c r="AX257" s="150"/>
      <c r="AY257" s="150"/>
      <c r="AZ257" s="150"/>
      <c r="BA257" s="213">
        <v>10000000</v>
      </c>
      <c r="BB257" s="213"/>
      <c r="BC257" s="213"/>
      <c r="BD257" s="150"/>
      <c r="BE257" s="150"/>
      <c r="BF257" s="150"/>
      <c r="BG257" s="150"/>
      <c r="BH257" s="150"/>
      <c r="BI257" s="150"/>
      <c r="BJ257" s="339">
        <f t="shared" si="331"/>
        <v>10000000</v>
      </c>
      <c r="BK257" s="339">
        <f t="shared" si="336"/>
        <v>0</v>
      </c>
      <c r="BL257" s="339">
        <f t="shared" si="337"/>
        <v>0</v>
      </c>
      <c r="BM257" s="339" t="s">
        <v>680</v>
      </c>
      <c r="BN257" s="72" t="s">
        <v>681</v>
      </c>
    </row>
    <row r="258" spans="1:66" ht="102.6" customHeight="1" x14ac:dyDescent="0.2">
      <c r="A258" s="145"/>
      <c r="B258" s="91"/>
      <c r="C258" s="91"/>
      <c r="D258" s="91"/>
      <c r="E258" s="91"/>
      <c r="F258" s="87"/>
      <c r="G258" s="216"/>
      <c r="H258" s="562" t="s">
        <v>688</v>
      </c>
      <c r="I258" s="84">
        <v>2201066</v>
      </c>
      <c r="J258" s="562" t="s">
        <v>738</v>
      </c>
      <c r="K258" s="84">
        <v>2201066</v>
      </c>
      <c r="L258" s="562" t="s">
        <v>738</v>
      </c>
      <c r="M258" s="85">
        <v>220106600</v>
      </c>
      <c r="N258" s="561" t="s">
        <v>739</v>
      </c>
      <c r="O258" s="85">
        <v>220106600</v>
      </c>
      <c r="P258" s="561" t="s">
        <v>739</v>
      </c>
      <c r="Q258" s="195" t="s">
        <v>68</v>
      </c>
      <c r="R258" s="125">
        <v>10000</v>
      </c>
      <c r="S258" s="252">
        <v>0</v>
      </c>
      <c r="T258" s="862"/>
      <c r="U258" s="891"/>
      <c r="V258" s="891"/>
      <c r="W258" s="150"/>
      <c r="X258" s="150"/>
      <c r="Y258" s="150"/>
      <c r="Z258" s="150"/>
      <c r="AA258" s="150"/>
      <c r="AB258" s="150"/>
      <c r="AC258" s="150"/>
      <c r="AD258" s="150"/>
      <c r="AE258" s="150"/>
      <c r="AF258" s="150"/>
      <c r="AG258" s="150"/>
      <c r="AH258" s="150"/>
      <c r="AI258" s="150"/>
      <c r="AJ258" s="262"/>
      <c r="AK258" s="262"/>
      <c r="AL258" s="262"/>
      <c r="AM258" s="262"/>
      <c r="AN258" s="262"/>
      <c r="AO258" s="150"/>
      <c r="AP258" s="150"/>
      <c r="AQ258" s="150"/>
      <c r="AR258" s="150"/>
      <c r="AS258" s="263"/>
      <c r="AT258" s="263"/>
      <c r="AU258" s="263"/>
      <c r="AV258" s="263"/>
      <c r="AW258" s="263"/>
      <c r="AX258" s="150"/>
      <c r="AY258" s="150"/>
      <c r="AZ258" s="150"/>
      <c r="BA258" s="213">
        <v>10000000</v>
      </c>
      <c r="BB258" s="213">
        <v>1540000</v>
      </c>
      <c r="BC258" s="213"/>
      <c r="BD258" s="150"/>
      <c r="BE258" s="150"/>
      <c r="BF258" s="150"/>
      <c r="BG258" s="150"/>
      <c r="BH258" s="150"/>
      <c r="BI258" s="150"/>
      <c r="BJ258" s="339">
        <f t="shared" si="331"/>
        <v>10000000</v>
      </c>
      <c r="BK258" s="339">
        <f t="shared" si="336"/>
        <v>1540000</v>
      </c>
      <c r="BL258" s="339">
        <f t="shared" si="337"/>
        <v>0</v>
      </c>
      <c r="BM258" s="339" t="s">
        <v>680</v>
      </c>
      <c r="BN258" s="72" t="s">
        <v>681</v>
      </c>
    </row>
    <row r="259" spans="1:66" ht="128.25" customHeight="1" x14ac:dyDescent="0.2">
      <c r="A259" s="145"/>
      <c r="B259" s="91"/>
      <c r="C259" s="91"/>
      <c r="D259" s="91"/>
      <c r="E259" s="91"/>
      <c r="F259" s="87"/>
      <c r="G259" s="569"/>
      <c r="H259" s="562" t="s">
        <v>740</v>
      </c>
      <c r="I259" s="82">
        <v>2201006</v>
      </c>
      <c r="J259" s="571" t="s">
        <v>741</v>
      </c>
      <c r="K259" s="82">
        <v>2201006</v>
      </c>
      <c r="L259" s="571" t="s">
        <v>741</v>
      </c>
      <c r="M259" s="259">
        <v>220100600</v>
      </c>
      <c r="N259" s="221" t="s">
        <v>742</v>
      </c>
      <c r="O259" s="259">
        <v>220100600</v>
      </c>
      <c r="P259" s="221" t="s">
        <v>742</v>
      </c>
      <c r="Q259" s="264" t="s">
        <v>52</v>
      </c>
      <c r="R259" s="125">
        <v>54</v>
      </c>
      <c r="S259" s="252">
        <v>54</v>
      </c>
      <c r="T259" s="865" t="s">
        <v>743</v>
      </c>
      <c r="U259" s="881" t="s">
        <v>744</v>
      </c>
      <c r="V259" s="881" t="s">
        <v>745</v>
      </c>
      <c r="W259" s="150"/>
      <c r="X259" s="150"/>
      <c r="Y259" s="150"/>
      <c r="Z259" s="150"/>
      <c r="AA259" s="150"/>
      <c r="AB259" s="150"/>
      <c r="AC259" s="150"/>
      <c r="AD259" s="150"/>
      <c r="AE259" s="150"/>
      <c r="AF259" s="150"/>
      <c r="AG259" s="150"/>
      <c r="AH259" s="150"/>
      <c r="AI259" s="150"/>
      <c r="AJ259" s="262"/>
      <c r="AK259" s="262"/>
      <c r="AL259" s="262"/>
      <c r="AM259" s="262"/>
      <c r="AN259" s="262"/>
      <c r="AO259" s="346"/>
      <c r="AP259" s="346"/>
      <c r="AQ259" s="346"/>
      <c r="AR259" s="150"/>
      <c r="AS259" s="263"/>
      <c r="AT259" s="263"/>
      <c r="AU259" s="263"/>
      <c r="AV259" s="263"/>
      <c r="AW259" s="263"/>
      <c r="AX259" s="150"/>
      <c r="AY259" s="150"/>
      <c r="AZ259" s="150"/>
      <c r="BA259" s="213">
        <f>10000000.95+180000000</f>
        <v>190000000.94999999</v>
      </c>
      <c r="BB259" s="213">
        <v>20540000</v>
      </c>
      <c r="BC259" s="213">
        <v>3000000</v>
      </c>
      <c r="BD259" s="150"/>
      <c r="BE259" s="150"/>
      <c r="BF259" s="150"/>
      <c r="BG259" s="150"/>
      <c r="BH259" s="150"/>
      <c r="BI259" s="150"/>
      <c r="BJ259" s="339">
        <f>+W259+Z259+AC259+AF259+AI259+AL259+AO259+AR259+AU259+AX259+BA259+BD259+BG259</f>
        <v>190000000.94999999</v>
      </c>
      <c r="BK259" s="339">
        <f t="shared" si="336"/>
        <v>20540000</v>
      </c>
      <c r="BL259" s="339">
        <f t="shared" si="337"/>
        <v>3000000</v>
      </c>
      <c r="BM259" s="339" t="s">
        <v>680</v>
      </c>
      <c r="BN259" s="72" t="s">
        <v>681</v>
      </c>
    </row>
    <row r="260" spans="1:66" ht="150" customHeight="1" x14ac:dyDescent="0.2">
      <c r="A260" s="145"/>
      <c r="B260" s="91"/>
      <c r="C260" s="91"/>
      <c r="D260" s="91"/>
      <c r="E260" s="91"/>
      <c r="F260" s="87"/>
      <c r="G260" s="216"/>
      <c r="H260" s="562" t="s">
        <v>740</v>
      </c>
      <c r="I260" s="82">
        <v>2201015</v>
      </c>
      <c r="J260" s="571" t="s">
        <v>746</v>
      </c>
      <c r="K260" s="82">
        <v>2201015</v>
      </c>
      <c r="L260" s="571" t="s">
        <v>746</v>
      </c>
      <c r="M260" s="90">
        <v>220101500</v>
      </c>
      <c r="N260" s="568" t="s">
        <v>747</v>
      </c>
      <c r="O260" s="90">
        <v>220101500</v>
      </c>
      <c r="P260" s="568" t="s">
        <v>747</v>
      </c>
      <c r="Q260" s="195" t="s">
        <v>52</v>
      </c>
      <c r="R260" s="220">
        <v>11</v>
      </c>
      <c r="S260" s="220">
        <v>0</v>
      </c>
      <c r="T260" s="865"/>
      <c r="U260" s="881"/>
      <c r="V260" s="881"/>
      <c r="W260" s="150"/>
      <c r="X260" s="150"/>
      <c r="Y260" s="150"/>
      <c r="Z260" s="150"/>
      <c r="AA260" s="150"/>
      <c r="AB260" s="150"/>
      <c r="AC260" s="150"/>
      <c r="AD260" s="150"/>
      <c r="AE260" s="150"/>
      <c r="AF260" s="150"/>
      <c r="AG260" s="150"/>
      <c r="AH260" s="150"/>
      <c r="AI260" s="150"/>
      <c r="AJ260" s="262"/>
      <c r="AK260" s="262"/>
      <c r="AL260" s="262"/>
      <c r="AM260" s="262"/>
      <c r="AN260" s="262"/>
      <c r="AO260" s="150"/>
      <c r="AP260" s="150"/>
      <c r="AQ260" s="150"/>
      <c r="AR260" s="150"/>
      <c r="AS260" s="263"/>
      <c r="AT260" s="263"/>
      <c r="AU260" s="263"/>
      <c r="AV260" s="263"/>
      <c r="AW260" s="263"/>
      <c r="AX260" s="150"/>
      <c r="AY260" s="150"/>
      <c r="AZ260" s="150"/>
      <c r="BA260" s="213">
        <v>12000000</v>
      </c>
      <c r="BB260" s="213"/>
      <c r="BC260" s="213"/>
      <c r="BD260" s="150"/>
      <c r="BE260" s="150"/>
      <c r="BF260" s="150"/>
      <c r="BG260" s="150"/>
      <c r="BH260" s="150"/>
      <c r="BI260" s="150"/>
      <c r="BJ260" s="339">
        <f t="shared" ref="BJ260:BJ270" si="338">+W260+Z260+AC260+AF260+AI260+AL260+AO260+AR260+AU260+AX260+BA260+BD260+BG260</f>
        <v>12000000</v>
      </c>
      <c r="BK260" s="339">
        <f t="shared" si="336"/>
        <v>0</v>
      </c>
      <c r="BL260" s="339">
        <f t="shared" si="337"/>
        <v>0</v>
      </c>
      <c r="BM260" s="339" t="s">
        <v>680</v>
      </c>
      <c r="BN260" s="72" t="s">
        <v>681</v>
      </c>
    </row>
    <row r="261" spans="1:66" ht="154.5" customHeight="1" x14ac:dyDescent="0.2">
      <c r="A261" s="145"/>
      <c r="B261" s="91"/>
      <c r="C261" s="91"/>
      <c r="D261" s="91"/>
      <c r="E261" s="91"/>
      <c r="F261" s="87"/>
      <c r="G261" s="216"/>
      <c r="H261" s="562" t="s">
        <v>691</v>
      </c>
      <c r="I261" s="82">
        <v>2201042</v>
      </c>
      <c r="J261" s="571" t="s">
        <v>748</v>
      </c>
      <c r="K261" s="82">
        <v>2201042</v>
      </c>
      <c r="L261" s="571" t="s">
        <v>748</v>
      </c>
      <c r="M261" s="90">
        <v>220104200</v>
      </c>
      <c r="N261" s="568" t="s">
        <v>749</v>
      </c>
      <c r="O261" s="90">
        <v>220104200</v>
      </c>
      <c r="P261" s="568" t="s">
        <v>749</v>
      </c>
      <c r="Q261" s="195" t="s">
        <v>68</v>
      </c>
      <c r="R261" s="125">
        <v>6000</v>
      </c>
      <c r="S261" s="125">
        <v>0</v>
      </c>
      <c r="T261" s="865"/>
      <c r="U261" s="881"/>
      <c r="V261" s="881"/>
      <c r="W261" s="150"/>
      <c r="X261" s="150"/>
      <c r="Y261" s="150"/>
      <c r="Z261" s="150"/>
      <c r="AA261" s="150"/>
      <c r="AB261" s="150"/>
      <c r="AC261" s="150"/>
      <c r="AD261" s="150"/>
      <c r="AE261" s="150"/>
      <c r="AF261" s="150"/>
      <c r="AG261" s="150"/>
      <c r="AH261" s="150"/>
      <c r="AI261" s="150"/>
      <c r="AJ261" s="262"/>
      <c r="AK261" s="262"/>
      <c r="AL261" s="262"/>
      <c r="AM261" s="262"/>
      <c r="AN261" s="262"/>
      <c r="AO261" s="150"/>
      <c r="AP261" s="150"/>
      <c r="AQ261" s="150"/>
      <c r="AR261" s="150"/>
      <c r="AS261" s="263"/>
      <c r="AT261" s="263"/>
      <c r="AU261" s="263"/>
      <c r="AV261" s="263"/>
      <c r="AW261" s="263"/>
      <c r="AX261" s="150"/>
      <c r="AY261" s="150"/>
      <c r="AZ261" s="150"/>
      <c r="BA261" s="161">
        <v>10000000.01</v>
      </c>
      <c r="BB261" s="161"/>
      <c r="BC261" s="161"/>
      <c r="BD261" s="150"/>
      <c r="BE261" s="150"/>
      <c r="BF261" s="150"/>
      <c r="BG261" s="150"/>
      <c r="BH261" s="150"/>
      <c r="BI261" s="150"/>
      <c r="BJ261" s="339">
        <f t="shared" si="338"/>
        <v>10000000.01</v>
      </c>
      <c r="BK261" s="339">
        <f t="shared" si="336"/>
        <v>0</v>
      </c>
      <c r="BL261" s="339">
        <f t="shared" si="337"/>
        <v>0</v>
      </c>
      <c r="BM261" s="339" t="s">
        <v>680</v>
      </c>
      <c r="BN261" s="72" t="s">
        <v>681</v>
      </c>
    </row>
    <row r="262" spans="1:66" s="44" customFormat="1" ht="111.75" customHeight="1" x14ac:dyDescent="0.2">
      <c r="A262" s="337"/>
      <c r="B262" s="83"/>
      <c r="C262" s="83"/>
      <c r="D262" s="83"/>
      <c r="E262" s="83"/>
      <c r="F262" s="338"/>
      <c r="G262" s="570"/>
      <c r="H262" s="565" t="s">
        <v>750</v>
      </c>
      <c r="I262" s="82">
        <v>2201071</v>
      </c>
      <c r="J262" s="99" t="s">
        <v>751</v>
      </c>
      <c r="K262" s="82">
        <v>2201071</v>
      </c>
      <c r="L262" s="99" t="s">
        <v>751</v>
      </c>
      <c r="M262" s="228">
        <v>220107100</v>
      </c>
      <c r="N262" s="559" t="s">
        <v>752</v>
      </c>
      <c r="O262" s="228">
        <v>220107100</v>
      </c>
      <c r="P262" s="559" t="s">
        <v>752</v>
      </c>
      <c r="Q262" s="252" t="s">
        <v>52</v>
      </c>
      <c r="R262" s="252">
        <v>54</v>
      </c>
      <c r="S262" s="252">
        <v>54</v>
      </c>
      <c r="T262" s="865"/>
      <c r="U262" s="881"/>
      <c r="V262" s="881"/>
      <c r="W262" s="344"/>
      <c r="X262" s="344"/>
      <c r="Y262" s="344"/>
      <c r="Z262" s="344"/>
      <c r="AA262" s="344"/>
      <c r="AB262" s="344"/>
      <c r="AC262" s="344"/>
      <c r="AD262" s="344"/>
      <c r="AE262" s="344"/>
      <c r="AF262" s="344">
        <f>1704977490-400000000+80777982.78</f>
        <v>1385755472.78</v>
      </c>
      <c r="AG262" s="344">
        <v>1385755472.7799997</v>
      </c>
      <c r="AH262" s="344">
        <v>80777982.780000001</v>
      </c>
      <c r="AI262" s="344"/>
      <c r="AJ262" s="345"/>
      <c r="AK262" s="345"/>
      <c r="AL262" s="345"/>
      <c r="AM262" s="345"/>
      <c r="AN262" s="345"/>
      <c r="AO262" s="346">
        <f>141320000000+3120000+207017358.94</f>
        <v>141530137358.94</v>
      </c>
      <c r="AP262" s="346">
        <v>28178737495.150002</v>
      </c>
      <c r="AQ262" s="346">
        <v>27981469233</v>
      </c>
      <c r="AR262" s="347">
        <v>25145000000</v>
      </c>
      <c r="AS262" s="844">
        <v>8556078404</v>
      </c>
      <c r="AT262" s="844">
        <v>8556078404</v>
      </c>
      <c r="AU262" s="348"/>
      <c r="AV262" s="348"/>
      <c r="AW262" s="348"/>
      <c r="AX262" s="344"/>
      <c r="AY262" s="344"/>
      <c r="AZ262" s="344"/>
      <c r="BA262" s="213">
        <f>1195000000-7500000-252675151-30000000+985822393+2000000000+209925998.22-180000000</f>
        <v>3920573240.2199998</v>
      </c>
      <c r="BB262" s="213">
        <v>3871935327.2200003</v>
      </c>
      <c r="BC262" s="213">
        <v>766958515.22000003</v>
      </c>
      <c r="BD262" s="344"/>
      <c r="BE262" s="344"/>
      <c r="BF262" s="344"/>
      <c r="BG262" s="344">
        <v>1792032472.8499999</v>
      </c>
      <c r="BH262" s="344">
        <v>476725625.10000002</v>
      </c>
      <c r="BI262" s="344"/>
      <c r="BJ262" s="339">
        <f t="shared" si="338"/>
        <v>173773498544.79001</v>
      </c>
      <c r="BK262" s="339">
        <f t="shared" si="336"/>
        <v>42469232324.25</v>
      </c>
      <c r="BL262" s="339">
        <f t="shared" si="337"/>
        <v>37385284135</v>
      </c>
      <c r="BM262" s="339" t="s">
        <v>680</v>
      </c>
      <c r="BN262" s="341" t="s">
        <v>681</v>
      </c>
    </row>
    <row r="263" spans="1:66" ht="168" customHeight="1" x14ac:dyDescent="0.2">
      <c r="A263" s="145"/>
      <c r="B263" s="91"/>
      <c r="C263" s="91"/>
      <c r="D263" s="91"/>
      <c r="E263" s="91"/>
      <c r="F263" s="87"/>
      <c r="G263" s="216"/>
      <c r="H263" s="562" t="s">
        <v>691</v>
      </c>
      <c r="I263" s="84">
        <v>2201050</v>
      </c>
      <c r="J263" s="571" t="s">
        <v>753</v>
      </c>
      <c r="K263" s="84">
        <v>2201050</v>
      </c>
      <c r="L263" s="571" t="s">
        <v>753</v>
      </c>
      <c r="M263" s="90">
        <v>220105000</v>
      </c>
      <c r="N263" s="568" t="s">
        <v>754</v>
      </c>
      <c r="O263" s="90">
        <v>220105000</v>
      </c>
      <c r="P263" s="568" t="s">
        <v>754</v>
      </c>
      <c r="Q263" s="195" t="s">
        <v>68</v>
      </c>
      <c r="R263" s="125">
        <v>8000</v>
      </c>
      <c r="S263" s="125">
        <v>0</v>
      </c>
      <c r="T263" s="862" t="s">
        <v>755</v>
      </c>
      <c r="U263" s="873" t="s">
        <v>756</v>
      </c>
      <c r="V263" s="875" t="s">
        <v>757</v>
      </c>
      <c r="W263" s="150"/>
      <c r="X263" s="150"/>
      <c r="Y263" s="150"/>
      <c r="Z263" s="150"/>
      <c r="AA263" s="150"/>
      <c r="AB263" s="150"/>
      <c r="AC263" s="150"/>
      <c r="AD263" s="150"/>
      <c r="AE263" s="150"/>
      <c r="AF263" s="150"/>
      <c r="AG263" s="150"/>
      <c r="AH263" s="150"/>
      <c r="AI263" s="150"/>
      <c r="AJ263" s="262"/>
      <c r="AK263" s="262"/>
      <c r="AL263" s="262"/>
      <c r="AM263" s="262"/>
      <c r="AN263" s="262"/>
      <c r="AO263" s="337"/>
      <c r="AP263" s="337"/>
      <c r="AQ263" s="337"/>
      <c r="AR263" s="150"/>
      <c r="AS263" s="263"/>
      <c r="AT263" s="263"/>
      <c r="AU263" s="263"/>
      <c r="AV263" s="263"/>
      <c r="AW263" s="263"/>
      <c r="AX263" s="150"/>
      <c r="AY263" s="150"/>
      <c r="AZ263" s="150"/>
      <c r="BA263" s="213">
        <v>10000000.01</v>
      </c>
      <c r="BB263" s="213"/>
      <c r="BC263" s="213"/>
      <c r="BD263" s="150"/>
      <c r="BE263" s="150"/>
      <c r="BF263" s="150"/>
      <c r="BG263" s="150"/>
      <c r="BH263" s="150"/>
      <c r="BI263" s="150"/>
      <c r="BJ263" s="339">
        <f t="shared" si="338"/>
        <v>10000000.01</v>
      </c>
      <c r="BK263" s="339">
        <f t="shared" si="336"/>
        <v>0</v>
      </c>
      <c r="BL263" s="339">
        <f t="shared" si="337"/>
        <v>0</v>
      </c>
      <c r="BM263" s="339" t="s">
        <v>680</v>
      </c>
      <c r="BN263" s="72" t="s">
        <v>681</v>
      </c>
    </row>
    <row r="264" spans="1:66" ht="135" customHeight="1" x14ac:dyDescent="0.2">
      <c r="A264" s="145"/>
      <c r="B264" s="91"/>
      <c r="C264" s="91"/>
      <c r="D264" s="91"/>
      <c r="E264" s="91"/>
      <c r="F264" s="87"/>
      <c r="G264" s="216"/>
      <c r="H264" s="562" t="s">
        <v>691</v>
      </c>
      <c r="I264" s="84">
        <v>2201050</v>
      </c>
      <c r="J264" s="571" t="s">
        <v>753</v>
      </c>
      <c r="K264" s="84">
        <v>2201050</v>
      </c>
      <c r="L264" s="571" t="s">
        <v>753</v>
      </c>
      <c r="M264" s="259">
        <v>220105001</v>
      </c>
      <c r="N264" s="221" t="s">
        <v>758</v>
      </c>
      <c r="O264" s="259">
        <v>220105001</v>
      </c>
      <c r="P264" s="221" t="s">
        <v>758</v>
      </c>
      <c r="Q264" s="195" t="s">
        <v>52</v>
      </c>
      <c r="R264" s="125">
        <v>150</v>
      </c>
      <c r="S264" s="125">
        <v>0</v>
      </c>
      <c r="T264" s="862"/>
      <c r="U264" s="873"/>
      <c r="V264" s="875"/>
      <c r="W264" s="150"/>
      <c r="X264" s="150"/>
      <c r="Y264" s="150"/>
      <c r="Z264" s="150"/>
      <c r="AA264" s="150"/>
      <c r="AB264" s="150"/>
      <c r="AC264" s="150"/>
      <c r="AD264" s="150"/>
      <c r="AE264" s="150"/>
      <c r="AF264" s="150"/>
      <c r="AG264" s="150"/>
      <c r="AH264" s="150"/>
      <c r="AI264" s="150"/>
      <c r="AJ264" s="262"/>
      <c r="AK264" s="262"/>
      <c r="AL264" s="262"/>
      <c r="AM264" s="262"/>
      <c r="AN264" s="262"/>
      <c r="AO264" s="150">
        <f>749000000-157054393</f>
        <v>591945607</v>
      </c>
      <c r="AP264" s="150"/>
      <c r="AQ264" s="150"/>
      <c r="AR264" s="150">
        <v>0</v>
      </c>
      <c r="AS264" s="263"/>
      <c r="AT264" s="263"/>
      <c r="AU264" s="263">
        <v>0</v>
      </c>
      <c r="AV264" s="263"/>
      <c r="AW264" s="263"/>
      <c r="AX264" s="150">
        <v>0</v>
      </c>
      <c r="AY264" s="150"/>
      <c r="AZ264" s="150"/>
      <c r="BA264" s="150">
        <v>0</v>
      </c>
      <c r="BB264" s="150"/>
      <c r="BC264" s="150"/>
      <c r="BD264" s="150">
        <v>0</v>
      </c>
      <c r="BE264" s="150"/>
      <c r="BF264" s="150"/>
      <c r="BG264" s="150">
        <v>0</v>
      </c>
      <c r="BH264" s="150"/>
      <c r="BI264" s="150"/>
      <c r="BJ264" s="339">
        <f t="shared" si="338"/>
        <v>591945607</v>
      </c>
      <c r="BK264" s="339">
        <f t="shared" si="336"/>
        <v>0</v>
      </c>
      <c r="BL264" s="339">
        <f t="shared" si="337"/>
        <v>0</v>
      </c>
      <c r="BM264" s="339" t="s">
        <v>680</v>
      </c>
      <c r="BN264" s="72" t="s">
        <v>681</v>
      </c>
    </row>
    <row r="265" spans="1:66" ht="120.75" customHeight="1" x14ac:dyDescent="0.2">
      <c r="A265" s="145"/>
      <c r="B265" s="91"/>
      <c r="C265" s="91"/>
      <c r="D265" s="91"/>
      <c r="E265" s="91"/>
      <c r="F265" s="87"/>
      <c r="G265" s="216"/>
      <c r="H265" s="562" t="s">
        <v>700</v>
      </c>
      <c r="I265" s="82" t="s">
        <v>47</v>
      </c>
      <c r="J265" s="571" t="s">
        <v>759</v>
      </c>
      <c r="K265" s="84">
        <v>2201001</v>
      </c>
      <c r="L265" s="571" t="s">
        <v>249</v>
      </c>
      <c r="M265" s="82" t="s">
        <v>47</v>
      </c>
      <c r="N265" s="561" t="s">
        <v>760</v>
      </c>
      <c r="O265" s="90">
        <v>220100100</v>
      </c>
      <c r="P265" s="561" t="s">
        <v>761</v>
      </c>
      <c r="Q265" s="125" t="s">
        <v>52</v>
      </c>
      <c r="R265" s="125">
        <v>2</v>
      </c>
      <c r="S265" s="125">
        <v>0</v>
      </c>
      <c r="T265" s="862"/>
      <c r="U265" s="873"/>
      <c r="V265" s="875"/>
      <c r="W265" s="150"/>
      <c r="X265" s="150"/>
      <c r="Y265" s="150"/>
      <c r="Z265" s="150"/>
      <c r="AA265" s="150"/>
      <c r="AB265" s="150"/>
      <c r="AC265" s="150"/>
      <c r="AD265" s="150"/>
      <c r="AE265" s="150"/>
      <c r="AF265" s="150"/>
      <c r="AG265" s="150"/>
      <c r="AH265" s="150"/>
      <c r="AI265" s="150"/>
      <c r="AJ265" s="262"/>
      <c r="AK265" s="262"/>
      <c r="AL265" s="262"/>
      <c r="AM265" s="262"/>
      <c r="AN265" s="262"/>
      <c r="AO265" s="150"/>
      <c r="AP265" s="150"/>
      <c r="AQ265" s="150"/>
      <c r="AR265" s="150"/>
      <c r="AS265" s="263"/>
      <c r="AT265" s="263"/>
      <c r="AU265" s="263"/>
      <c r="AV265" s="263"/>
      <c r="AW265" s="263"/>
      <c r="AX265" s="150"/>
      <c r="AY265" s="150"/>
      <c r="AZ265" s="150"/>
      <c r="BA265" s="213">
        <v>10000000.01</v>
      </c>
      <c r="BB265" s="213"/>
      <c r="BC265" s="213"/>
      <c r="BD265" s="150"/>
      <c r="BE265" s="150"/>
      <c r="BF265" s="150"/>
      <c r="BG265" s="150"/>
      <c r="BH265" s="150"/>
      <c r="BI265" s="150"/>
      <c r="BJ265" s="339">
        <f t="shared" si="338"/>
        <v>10000000.01</v>
      </c>
      <c r="BK265" s="339">
        <f t="shared" si="336"/>
        <v>0</v>
      </c>
      <c r="BL265" s="339">
        <f t="shared" si="337"/>
        <v>0</v>
      </c>
      <c r="BM265" s="339" t="s">
        <v>680</v>
      </c>
      <c r="BN265" s="72" t="s">
        <v>681</v>
      </c>
    </row>
    <row r="266" spans="1:66" ht="114" customHeight="1" x14ac:dyDescent="0.2">
      <c r="A266" s="145"/>
      <c r="B266" s="91"/>
      <c r="C266" s="91"/>
      <c r="D266" s="91"/>
      <c r="E266" s="91"/>
      <c r="F266" s="87"/>
      <c r="G266" s="216"/>
      <c r="H266" s="562" t="s">
        <v>762</v>
      </c>
      <c r="I266" s="84">
        <v>2201034</v>
      </c>
      <c r="J266" s="571" t="s">
        <v>763</v>
      </c>
      <c r="K266" s="84">
        <v>2201034</v>
      </c>
      <c r="L266" s="571" t="s">
        <v>763</v>
      </c>
      <c r="M266" s="259">
        <v>220103400</v>
      </c>
      <c r="N266" s="221" t="s">
        <v>764</v>
      </c>
      <c r="O266" s="259">
        <v>220103400</v>
      </c>
      <c r="P266" s="221" t="s">
        <v>764</v>
      </c>
      <c r="Q266" s="195" t="s">
        <v>68</v>
      </c>
      <c r="R266" s="125">
        <v>5500</v>
      </c>
      <c r="S266" s="125">
        <v>0</v>
      </c>
      <c r="T266" s="865" t="s">
        <v>765</v>
      </c>
      <c r="U266" s="872" t="s">
        <v>766</v>
      </c>
      <c r="V266" s="881" t="s">
        <v>767</v>
      </c>
      <c r="W266" s="150"/>
      <c r="X266" s="150"/>
      <c r="Y266" s="150"/>
      <c r="Z266" s="150"/>
      <c r="AA266" s="150"/>
      <c r="AB266" s="150"/>
      <c r="AC266" s="150"/>
      <c r="AD266" s="150"/>
      <c r="AE266" s="150"/>
      <c r="AF266" s="150"/>
      <c r="AG266" s="150"/>
      <c r="AH266" s="150"/>
      <c r="AI266" s="150"/>
      <c r="AJ266" s="262"/>
      <c r="AK266" s="262"/>
      <c r="AL266" s="262"/>
      <c r="AM266" s="262"/>
      <c r="AN266" s="262"/>
      <c r="AO266" s="150"/>
      <c r="AP266" s="150"/>
      <c r="AQ266" s="150"/>
      <c r="AR266" s="150"/>
      <c r="AS266" s="263"/>
      <c r="AT266" s="263"/>
      <c r="AU266" s="263"/>
      <c r="AV266" s="263"/>
      <c r="AW266" s="263"/>
      <c r="AX266" s="150"/>
      <c r="AY266" s="150"/>
      <c r="AZ266" s="150"/>
      <c r="BA266" s="213">
        <v>10000000.01</v>
      </c>
      <c r="BB266" s="213"/>
      <c r="BC266" s="213"/>
      <c r="BD266" s="150"/>
      <c r="BE266" s="150"/>
      <c r="BF266" s="150"/>
      <c r="BG266" s="150"/>
      <c r="BH266" s="150"/>
      <c r="BI266" s="150"/>
      <c r="BJ266" s="339">
        <f t="shared" si="338"/>
        <v>10000000.01</v>
      </c>
      <c r="BK266" s="339">
        <f t="shared" si="336"/>
        <v>0</v>
      </c>
      <c r="BL266" s="339">
        <f t="shared" si="337"/>
        <v>0</v>
      </c>
      <c r="BM266" s="339" t="s">
        <v>680</v>
      </c>
      <c r="BN266" s="72" t="s">
        <v>681</v>
      </c>
    </row>
    <row r="267" spans="1:66" ht="103.5" customHeight="1" x14ac:dyDescent="0.2">
      <c r="A267" s="145"/>
      <c r="B267" s="91"/>
      <c r="C267" s="91"/>
      <c r="D267" s="91"/>
      <c r="E267" s="91"/>
      <c r="F267" s="87"/>
      <c r="G267" s="216"/>
      <c r="H267" s="562" t="s">
        <v>762</v>
      </c>
      <c r="I267" s="84">
        <v>2201034</v>
      </c>
      <c r="J267" s="571" t="s">
        <v>768</v>
      </c>
      <c r="K267" s="84">
        <v>2201034</v>
      </c>
      <c r="L267" s="571" t="s">
        <v>768</v>
      </c>
      <c r="M267" s="90">
        <v>220103401</v>
      </c>
      <c r="N267" s="568" t="s">
        <v>769</v>
      </c>
      <c r="O267" s="90">
        <v>220103401</v>
      </c>
      <c r="P267" s="568" t="s">
        <v>769</v>
      </c>
      <c r="Q267" s="195" t="s">
        <v>52</v>
      </c>
      <c r="R267" s="125">
        <v>54</v>
      </c>
      <c r="S267" s="125">
        <v>0</v>
      </c>
      <c r="T267" s="865"/>
      <c r="U267" s="872"/>
      <c r="V267" s="881"/>
      <c r="W267" s="150"/>
      <c r="X267" s="150"/>
      <c r="Y267" s="150"/>
      <c r="Z267" s="150"/>
      <c r="AA267" s="150"/>
      <c r="AB267" s="150"/>
      <c r="AC267" s="150"/>
      <c r="AD267" s="150"/>
      <c r="AE267" s="150"/>
      <c r="AF267" s="150"/>
      <c r="AG267" s="150"/>
      <c r="AH267" s="150"/>
      <c r="AI267" s="150"/>
      <c r="AJ267" s="262"/>
      <c r="AK267" s="262"/>
      <c r="AL267" s="262"/>
      <c r="AM267" s="262"/>
      <c r="AN267" s="262"/>
      <c r="AO267" s="150"/>
      <c r="AP267" s="150"/>
      <c r="AQ267" s="150"/>
      <c r="AR267" s="150"/>
      <c r="AS267" s="263"/>
      <c r="AT267" s="263"/>
      <c r="AU267" s="263"/>
      <c r="AV267" s="263"/>
      <c r="AW267" s="263"/>
      <c r="AX267" s="150"/>
      <c r="AY267" s="150"/>
      <c r="AZ267" s="150"/>
      <c r="BA267" s="213">
        <v>9999999.9800000004</v>
      </c>
      <c r="BB267" s="213"/>
      <c r="BC267" s="213"/>
      <c r="BD267" s="150"/>
      <c r="BE267" s="150"/>
      <c r="BF267" s="150"/>
      <c r="BG267" s="150"/>
      <c r="BH267" s="150"/>
      <c r="BI267" s="150"/>
      <c r="BJ267" s="339">
        <f t="shared" si="338"/>
        <v>9999999.9800000004</v>
      </c>
      <c r="BK267" s="339">
        <f t="shared" si="336"/>
        <v>0</v>
      </c>
      <c r="BL267" s="339">
        <f t="shared" si="337"/>
        <v>0</v>
      </c>
      <c r="BM267" s="339" t="s">
        <v>680</v>
      </c>
      <c r="BN267" s="72" t="s">
        <v>681</v>
      </c>
    </row>
    <row r="268" spans="1:66" ht="93.75" customHeight="1" x14ac:dyDescent="0.2">
      <c r="A268" s="145"/>
      <c r="B268" s="91"/>
      <c r="C268" s="91"/>
      <c r="D268" s="91"/>
      <c r="E268" s="91"/>
      <c r="F268" s="87"/>
      <c r="G268" s="216"/>
      <c r="H268" s="562" t="s">
        <v>762</v>
      </c>
      <c r="I268" s="84">
        <v>2201060</v>
      </c>
      <c r="J268" s="571" t="s">
        <v>770</v>
      </c>
      <c r="K268" s="84">
        <v>2201060</v>
      </c>
      <c r="L268" s="571" t="s">
        <v>770</v>
      </c>
      <c r="M268" s="259">
        <v>220106000</v>
      </c>
      <c r="N268" s="568" t="s">
        <v>771</v>
      </c>
      <c r="O268" s="259">
        <v>220106000</v>
      </c>
      <c r="P268" s="568" t="s">
        <v>771</v>
      </c>
      <c r="Q268" s="195" t="s">
        <v>68</v>
      </c>
      <c r="R268" s="125">
        <v>200</v>
      </c>
      <c r="S268" s="125">
        <v>0</v>
      </c>
      <c r="T268" s="865"/>
      <c r="U268" s="872"/>
      <c r="V268" s="881"/>
      <c r="W268" s="150"/>
      <c r="X268" s="150"/>
      <c r="Y268" s="150"/>
      <c r="Z268" s="150"/>
      <c r="AA268" s="150"/>
      <c r="AB268" s="150"/>
      <c r="AC268" s="150"/>
      <c r="AD268" s="150"/>
      <c r="AE268" s="150"/>
      <c r="AF268" s="150"/>
      <c r="AG268" s="150"/>
      <c r="AH268" s="150"/>
      <c r="AI268" s="150"/>
      <c r="AJ268" s="262"/>
      <c r="AK268" s="262"/>
      <c r="AL268" s="262"/>
      <c r="AM268" s="262"/>
      <c r="AN268" s="262"/>
      <c r="AO268" s="150"/>
      <c r="AP268" s="150"/>
      <c r="AQ268" s="150"/>
      <c r="AR268" s="150"/>
      <c r="AS268" s="263"/>
      <c r="AT268" s="263"/>
      <c r="AU268" s="263"/>
      <c r="AV268" s="263"/>
      <c r="AW268" s="263"/>
      <c r="AX268" s="150"/>
      <c r="AY268" s="150"/>
      <c r="AZ268" s="150"/>
      <c r="BA268" s="213">
        <v>10000000.01</v>
      </c>
      <c r="BB268" s="213"/>
      <c r="BC268" s="213"/>
      <c r="BD268" s="150"/>
      <c r="BE268" s="150"/>
      <c r="BF268" s="150"/>
      <c r="BG268" s="150"/>
      <c r="BH268" s="150"/>
      <c r="BI268" s="150"/>
      <c r="BJ268" s="339">
        <f t="shared" si="338"/>
        <v>10000000.01</v>
      </c>
      <c r="BK268" s="339">
        <f t="shared" si="336"/>
        <v>0</v>
      </c>
      <c r="BL268" s="339">
        <f t="shared" si="337"/>
        <v>0</v>
      </c>
      <c r="BM268" s="339" t="s">
        <v>680</v>
      </c>
      <c r="BN268" s="72" t="s">
        <v>681</v>
      </c>
    </row>
    <row r="269" spans="1:66" ht="159.75" customHeight="1" x14ac:dyDescent="0.2">
      <c r="A269" s="145"/>
      <c r="B269" s="91"/>
      <c r="C269" s="91"/>
      <c r="D269" s="91"/>
      <c r="E269" s="91"/>
      <c r="F269" s="87"/>
      <c r="G269" s="216"/>
      <c r="H269" s="562" t="s">
        <v>740</v>
      </c>
      <c r="I269" s="84">
        <v>2201001</v>
      </c>
      <c r="J269" s="571" t="s">
        <v>249</v>
      </c>
      <c r="K269" s="84">
        <v>2201001</v>
      </c>
      <c r="L269" s="571" t="s">
        <v>249</v>
      </c>
      <c r="M269" s="84">
        <v>2201001</v>
      </c>
      <c r="N269" s="568" t="s">
        <v>761</v>
      </c>
      <c r="O269" s="84">
        <v>2201001</v>
      </c>
      <c r="P269" s="568" t="s">
        <v>761</v>
      </c>
      <c r="Q269" s="125" t="s">
        <v>52</v>
      </c>
      <c r="R269" s="125">
        <v>5</v>
      </c>
      <c r="S269" s="125">
        <v>0</v>
      </c>
      <c r="T269" s="862" t="s">
        <v>772</v>
      </c>
      <c r="U269" s="872" t="s">
        <v>773</v>
      </c>
      <c r="V269" s="872" t="s">
        <v>774</v>
      </c>
      <c r="W269" s="150"/>
      <c r="X269" s="150"/>
      <c r="Y269" s="150"/>
      <c r="Z269" s="150"/>
      <c r="AA269" s="150"/>
      <c r="AB269" s="150"/>
      <c r="AC269" s="150"/>
      <c r="AD269" s="150"/>
      <c r="AE269" s="150"/>
      <c r="AF269" s="150"/>
      <c r="AG269" s="150"/>
      <c r="AH269" s="150"/>
      <c r="AI269" s="150"/>
      <c r="AJ269" s="262"/>
      <c r="AK269" s="262"/>
      <c r="AL269" s="262"/>
      <c r="AM269" s="262"/>
      <c r="AN269" s="262"/>
      <c r="AO269" s="150"/>
      <c r="AP269" s="150"/>
      <c r="AQ269" s="150"/>
      <c r="AR269" s="150"/>
      <c r="AS269" s="263"/>
      <c r="AT269" s="263"/>
      <c r="AU269" s="263"/>
      <c r="AV269" s="263"/>
      <c r="AW269" s="263"/>
      <c r="AX269" s="150"/>
      <c r="AY269" s="150"/>
      <c r="AZ269" s="150"/>
      <c r="BA269" s="213">
        <v>9000000</v>
      </c>
      <c r="BB269" s="213"/>
      <c r="BC269" s="213"/>
      <c r="BD269" s="150"/>
      <c r="BE269" s="150"/>
      <c r="BF269" s="150"/>
      <c r="BG269" s="150"/>
      <c r="BH269" s="150"/>
      <c r="BI269" s="150"/>
      <c r="BJ269" s="339">
        <f t="shared" si="338"/>
        <v>9000000</v>
      </c>
      <c r="BK269" s="339">
        <f t="shared" si="336"/>
        <v>0</v>
      </c>
      <c r="BL269" s="339">
        <f t="shared" si="337"/>
        <v>0</v>
      </c>
      <c r="BM269" s="339" t="s">
        <v>680</v>
      </c>
      <c r="BN269" s="72" t="s">
        <v>681</v>
      </c>
    </row>
    <row r="270" spans="1:66" ht="122.25" customHeight="1" x14ac:dyDescent="0.2">
      <c r="A270" s="145"/>
      <c r="B270" s="91"/>
      <c r="C270" s="91"/>
      <c r="D270" s="91"/>
      <c r="E270" s="91"/>
      <c r="F270" s="87"/>
      <c r="G270" s="216"/>
      <c r="H270" s="562" t="s">
        <v>691</v>
      </c>
      <c r="I270" s="84">
        <v>2201048</v>
      </c>
      <c r="J270" s="571" t="s">
        <v>775</v>
      </c>
      <c r="K270" s="84">
        <v>2201048</v>
      </c>
      <c r="L270" s="571" t="s">
        <v>775</v>
      </c>
      <c r="M270" s="90">
        <v>220104801</v>
      </c>
      <c r="N270" s="568" t="s">
        <v>776</v>
      </c>
      <c r="O270" s="90">
        <v>220104801</v>
      </c>
      <c r="P270" s="568" t="s">
        <v>776</v>
      </c>
      <c r="Q270" s="195" t="s">
        <v>52</v>
      </c>
      <c r="R270" s="125">
        <v>1</v>
      </c>
      <c r="S270" s="125">
        <v>0</v>
      </c>
      <c r="T270" s="862"/>
      <c r="U270" s="872"/>
      <c r="V270" s="872"/>
      <c r="W270" s="150"/>
      <c r="X270" s="150"/>
      <c r="Y270" s="150"/>
      <c r="Z270" s="150"/>
      <c r="AA270" s="150"/>
      <c r="AB270" s="150"/>
      <c r="AC270" s="150"/>
      <c r="AD270" s="150"/>
      <c r="AE270" s="150"/>
      <c r="AF270" s="150"/>
      <c r="AG270" s="150"/>
      <c r="AH270" s="150"/>
      <c r="AI270" s="150"/>
      <c r="AJ270" s="262"/>
      <c r="AK270" s="262"/>
      <c r="AL270" s="262"/>
      <c r="AM270" s="262"/>
      <c r="AN270" s="262"/>
      <c r="AO270" s="150"/>
      <c r="AP270" s="150"/>
      <c r="AQ270" s="150"/>
      <c r="AR270" s="150"/>
      <c r="AS270" s="263"/>
      <c r="AT270" s="263"/>
      <c r="AU270" s="263"/>
      <c r="AV270" s="263"/>
      <c r="AW270" s="263"/>
      <c r="AX270" s="150"/>
      <c r="AY270" s="150"/>
      <c r="AZ270" s="150"/>
      <c r="BA270" s="213">
        <v>9000000</v>
      </c>
      <c r="BB270" s="213"/>
      <c r="BC270" s="213"/>
      <c r="BD270" s="150"/>
      <c r="BE270" s="150"/>
      <c r="BF270" s="150"/>
      <c r="BG270" s="150"/>
      <c r="BH270" s="150"/>
      <c r="BI270" s="150"/>
      <c r="BJ270" s="339">
        <f t="shared" si="338"/>
        <v>9000000</v>
      </c>
      <c r="BK270" s="339">
        <f t="shared" si="336"/>
        <v>0</v>
      </c>
      <c r="BL270" s="339">
        <f t="shared" si="337"/>
        <v>0</v>
      </c>
      <c r="BM270" s="339" t="s">
        <v>680</v>
      </c>
      <c r="BN270" s="72" t="s">
        <v>681</v>
      </c>
    </row>
    <row r="271" spans="1:66" ht="24" customHeight="1" x14ac:dyDescent="0.2">
      <c r="A271" s="145"/>
      <c r="B271" s="91"/>
      <c r="C271" s="91"/>
      <c r="D271" s="91"/>
      <c r="E271" s="91"/>
      <c r="F271" s="154">
        <v>2202</v>
      </c>
      <c r="G271" s="81" t="s">
        <v>1523</v>
      </c>
      <c r="H271" s="194"/>
      <c r="I271" s="194"/>
      <c r="J271" s="693"/>
      <c r="K271" s="726"/>
      <c r="L271" s="693"/>
      <c r="M271" s="693"/>
      <c r="N271" s="688"/>
      <c r="O271" s="689"/>
      <c r="P271" s="688"/>
      <c r="Q271" s="727"/>
      <c r="R271" s="689"/>
      <c r="S271" s="689"/>
      <c r="T271" s="728"/>
      <c r="U271" s="147"/>
      <c r="V271" s="147"/>
      <c r="W271" s="148">
        <f>SUM(W272:W272)</f>
        <v>0</v>
      </c>
      <c r="X271" s="148"/>
      <c r="Y271" s="148"/>
      <c r="Z271" s="148">
        <f t="shared" ref="Z271:BL271" si="339">SUM(Z272:Z272)</f>
        <v>0</v>
      </c>
      <c r="AA271" s="148"/>
      <c r="AB271" s="148"/>
      <c r="AC271" s="148">
        <f t="shared" si="339"/>
        <v>0</v>
      </c>
      <c r="AD271" s="148"/>
      <c r="AE271" s="148"/>
      <c r="AF271" s="148">
        <f t="shared" si="339"/>
        <v>0</v>
      </c>
      <c r="AG271" s="148"/>
      <c r="AH271" s="148"/>
      <c r="AI271" s="148">
        <f t="shared" si="339"/>
        <v>0</v>
      </c>
      <c r="AJ271" s="148"/>
      <c r="AK271" s="148"/>
      <c r="AL271" s="148">
        <f t="shared" si="339"/>
        <v>0</v>
      </c>
      <c r="AM271" s="148"/>
      <c r="AN271" s="148"/>
      <c r="AO271" s="148">
        <f t="shared" si="339"/>
        <v>0</v>
      </c>
      <c r="AP271" s="148"/>
      <c r="AQ271" s="148"/>
      <c r="AR271" s="148">
        <f t="shared" si="339"/>
        <v>0</v>
      </c>
      <c r="AS271" s="148"/>
      <c r="AT271" s="148"/>
      <c r="AU271" s="148">
        <f t="shared" si="339"/>
        <v>0</v>
      </c>
      <c r="AV271" s="148"/>
      <c r="AW271" s="148"/>
      <c r="AX271" s="148">
        <f t="shared" si="339"/>
        <v>0</v>
      </c>
      <c r="AY271" s="148"/>
      <c r="AZ271" s="148"/>
      <c r="BA271" s="148">
        <f t="shared" si="339"/>
        <v>100000000</v>
      </c>
      <c r="BB271" s="148">
        <f t="shared" si="339"/>
        <v>0</v>
      </c>
      <c r="BC271" s="148">
        <f t="shared" si="339"/>
        <v>0</v>
      </c>
      <c r="BD271" s="148">
        <f t="shared" si="339"/>
        <v>0</v>
      </c>
      <c r="BE271" s="148"/>
      <c r="BF271" s="148"/>
      <c r="BG271" s="148">
        <f t="shared" si="339"/>
        <v>0</v>
      </c>
      <c r="BH271" s="148"/>
      <c r="BI271" s="148"/>
      <c r="BJ271" s="148">
        <f t="shared" si="339"/>
        <v>100000000</v>
      </c>
      <c r="BK271" s="148">
        <f t="shared" si="339"/>
        <v>0</v>
      </c>
      <c r="BL271" s="148">
        <f t="shared" si="339"/>
        <v>0</v>
      </c>
      <c r="BM271" s="148"/>
      <c r="BN271" s="156"/>
    </row>
    <row r="272" spans="1:66" s="350" customFormat="1" ht="156" customHeight="1" x14ac:dyDescent="0.25">
      <c r="A272" s="349"/>
      <c r="B272" s="83"/>
      <c r="C272" s="83"/>
      <c r="D272" s="83"/>
      <c r="E272" s="83"/>
      <c r="F272" s="338"/>
      <c r="G272" s="265"/>
      <c r="H272" s="565" t="s">
        <v>777</v>
      </c>
      <c r="I272" s="82" t="s">
        <v>47</v>
      </c>
      <c r="J272" s="565" t="s">
        <v>778</v>
      </c>
      <c r="K272" s="82">
        <v>2202006</v>
      </c>
      <c r="L272" s="565" t="s">
        <v>778</v>
      </c>
      <c r="M272" s="82" t="s">
        <v>47</v>
      </c>
      <c r="N272" s="559" t="s">
        <v>779</v>
      </c>
      <c r="O272" s="82">
        <v>220200604</v>
      </c>
      <c r="P272" s="559" t="s">
        <v>780</v>
      </c>
      <c r="Q272" s="252" t="s">
        <v>52</v>
      </c>
      <c r="R272" s="252">
        <v>2</v>
      </c>
      <c r="S272" s="252">
        <v>0</v>
      </c>
      <c r="T272" s="570" t="s">
        <v>781</v>
      </c>
      <c r="U272" s="559" t="s">
        <v>782</v>
      </c>
      <c r="V272" s="565" t="s">
        <v>783</v>
      </c>
      <c r="W272" s="150"/>
      <c r="X272" s="150"/>
      <c r="Y272" s="150"/>
      <c r="Z272" s="150"/>
      <c r="AA272" s="150"/>
      <c r="AB272" s="150"/>
      <c r="AC272" s="150"/>
      <c r="AD272" s="150"/>
      <c r="AE272" s="150"/>
      <c r="AF272" s="150"/>
      <c r="AG272" s="150"/>
      <c r="AH272" s="150"/>
      <c r="AI272" s="150"/>
      <c r="AJ272" s="262"/>
      <c r="AK272" s="262"/>
      <c r="AL272" s="262"/>
      <c r="AM272" s="262"/>
      <c r="AN272" s="262"/>
      <c r="AO272" s="207"/>
      <c r="AP272" s="207"/>
      <c r="AQ272" s="207"/>
      <c r="AR272" s="207"/>
      <c r="AS272" s="600"/>
      <c r="AT272" s="600"/>
      <c r="AU272" s="263"/>
      <c r="AV272" s="263"/>
      <c r="AW272" s="263"/>
      <c r="AX272" s="150"/>
      <c r="AY272" s="150"/>
      <c r="AZ272" s="150"/>
      <c r="BA272" s="161">
        <f>100000000+2000000000-2000000000</f>
        <v>100000000</v>
      </c>
      <c r="BB272" s="161"/>
      <c r="BC272" s="161"/>
      <c r="BD272" s="150"/>
      <c r="BE272" s="150"/>
      <c r="BF272" s="150"/>
      <c r="BG272" s="150"/>
      <c r="BH272" s="150"/>
      <c r="BI272" s="150"/>
      <c r="BJ272" s="339">
        <f>+W272+Z272+AC272+AF272+AI272+AL272+AO272+AR272+AU272+AX272+BA272+BD272+BG272</f>
        <v>100000000</v>
      </c>
      <c r="BK272" s="339">
        <f t="shared" ref="BK272:BL272" si="340">+X272+AA272+AD272+AG272+AJ272+AM272+AP272+AS272+AV272+AY272+BB272+BE272+BH272</f>
        <v>0</v>
      </c>
      <c r="BL272" s="339">
        <f t="shared" si="340"/>
        <v>0</v>
      </c>
      <c r="BM272" s="339" t="s">
        <v>680</v>
      </c>
      <c r="BN272" s="341" t="s">
        <v>681</v>
      </c>
    </row>
    <row r="273" spans="1:106" ht="24" customHeight="1" x14ac:dyDescent="0.2">
      <c r="A273" s="145"/>
      <c r="B273" s="131">
        <v>2</v>
      </c>
      <c r="C273" s="131"/>
      <c r="D273" s="74" t="s">
        <v>418</v>
      </c>
      <c r="E273" s="173"/>
      <c r="F273" s="74"/>
      <c r="G273" s="180"/>
      <c r="H273" s="395"/>
      <c r="I273" s="395"/>
      <c r="J273" s="182"/>
      <c r="K273" s="181"/>
      <c r="L273" s="182"/>
      <c r="M273" s="182"/>
      <c r="N273" s="184"/>
      <c r="O273" s="183"/>
      <c r="P273" s="184"/>
      <c r="Q273" s="185"/>
      <c r="R273" s="183"/>
      <c r="S273" s="183"/>
      <c r="T273" s="729"/>
      <c r="U273" s="133"/>
      <c r="V273" s="133"/>
      <c r="W273" s="134">
        <f>W274</f>
        <v>0</v>
      </c>
      <c r="X273" s="134"/>
      <c r="Y273" s="134"/>
      <c r="Z273" s="134">
        <f t="shared" ref="Z273:BK275" si="341">Z274</f>
        <v>0</v>
      </c>
      <c r="AA273" s="134"/>
      <c r="AB273" s="134"/>
      <c r="AC273" s="134">
        <f t="shared" si="341"/>
        <v>0</v>
      </c>
      <c r="AD273" s="134"/>
      <c r="AE273" s="134"/>
      <c r="AF273" s="134">
        <f t="shared" si="341"/>
        <v>0</v>
      </c>
      <c r="AG273" s="134"/>
      <c r="AH273" s="134"/>
      <c r="AI273" s="134">
        <f t="shared" si="341"/>
        <v>0</v>
      </c>
      <c r="AJ273" s="134"/>
      <c r="AK273" s="134"/>
      <c r="AL273" s="134">
        <f t="shared" si="341"/>
        <v>0</v>
      </c>
      <c r="AM273" s="134"/>
      <c r="AN273" s="134"/>
      <c r="AO273" s="134">
        <f t="shared" si="341"/>
        <v>0</v>
      </c>
      <c r="AP273" s="134"/>
      <c r="AQ273" s="134"/>
      <c r="AR273" s="134">
        <f t="shared" si="341"/>
        <v>0</v>
      </c>
      <c r="AS273" s="134"/>
      <c r="AT273" s="134"/>
      <c r="AU273" s="134">
        <f t="shared" si="341"/>
        <v>0</v>
      </c>
      <c r="AV273" s="134"/>
      <c r="AW273" s="134"/>
      <c r="AX273" s="134">
        <f t="shared" si="341"/>
        <v>0</v>
      </c>
      <c r="AY273" s="134"/>
      <c r="AZ273" s="134"/>
      <c r="BA273" s="134">
        <f t="shared" si="341"/>
        <v>7500000</v>
      </c>
      <c r="BB273" s="134">
        <f t="shared" si="341"/>
        <v>0</v>
      </c>
      <c r="BC273" s="134">
        <f t="shared" si="341"/>
        <v>0</v>
      </c>
      <c r="BD273" s="134">
        <f t="shared" si="341"/>
        <v>0</v>
      </c>
      <c r="BE273" s="134"/>
      <c r="BF273" s="134"/>
      <c r="BG273" s="134">
        <f t="shared" si="341"/>
        <v>0</v>
      </c>
      <c r="BH273" s="134"/>
      <c r="BI273" s="134"/>
      <c r="BJ273" s="134">
        <f>BJ274</f>
        <v>7500000</v>
      </c>
      <c r="BK273" s="134">
        <f t="shared" ref="BK273:BL275" si="342">BK274</f>
        <v>0</v>
      </c>
      <c r="BL273" s="134">
        <f t="shared" si="342"/>
        <v>0</v>
      </c>
      <c r="BM273" s="134"/>
      <c r="BN273" s="168"/>
    </row>
    <row r="274" spans="1:106" s="9" customFormat="1" ht="24" customHeight="1" x14ac:dyDescent="0.25">
      <c r="A274" s="130"/>
      <c r="B274" s="83"/>
      <c r="C274" s="83"/>
      <c r="D274" s="77">
        <v>39</v>
      </c>
      <c r="E274" s="75" t="s">
        <v>1524</v>
      </c>
      <c r="F274" s="75"/>
      <c r="G274" s="135"/>
      <c r="H274" s="136"/>
      <c r="I274" s="136"/>
      <c r="J274" s="138"/>
      <c r="K274" s="137"/>
      <c r="L274" s="138"/>
      <c r="M274" s="138"/>
      <c r="N274" s="140"/>
      <c r="O274" s="139"/>
      <c r="P274" s="140"/>
      <c r="Q274" s="141"/>
      <c r="R274" s="139"/>
      <c r="S274" s="139"/>
      <c r="T274" s="204"/>
      <c r="U274" s="143"/>
      <c r="V274" s="143"/>
      <c r="W274" s="144">
        <f>W275</f>
        <v>0</v>
      </c>
      <c r="X274" s="144"/>
      <c r="Y274" s="144"/>
      <c r="Z274" s="144">
        <f t="shared" si="341"/>
        <v>0</v>
      </c>
      <c r="AA274" s="144"/>
      <c r="AB274" s="144"/>
      <c r="AC274" s="144">
        <f t="shared" si="341"/>
        <v>0</v>
      </c>
      <c r="AD274" s="144"/>
      <c r="AE274" s="144"/>
      <c r="AF274" s="144">
        <f t="shared" si="341"/>
        <v>0</v>
      </c>
      <c r="AG274" s="144"/>
      <c r="AH274" s="144"/>
      <c r="AI274" s="144">
        <f t="shared" si="341"/>
        <v>0</v>
      </c>
      <c r="AJ274" s="144"/>
      <c r="AK274" s="144"/>
      <c r="AL274" s="144">
        <f t="shared" si="341"/>
        <v>0</v>
      </c>
      <c r="AM274" s="144"/>
      <c r="AN274" s="144"/>
      <c r="AO274" s="144">
        <f t="shared" si="341"/>
        <v>0</v>
      </c>
      <c r="AP274" s="144"/>
      <c r="AQ274" s="144"/>
      <c r="AR274" s="144">
        <f t="shared" si="341"/>
        <v>0</v>
      </c>
      <c r="AS274" s="144"/>
      <c r="AT274" s="144"/>
      <c r="AU274" s="144">
        <f t="shared" si="341"/>
        <v>0</v>
      </c>
      <c r="AV274" s="144"/>
      <c r="AW274" s="144"/>
      <c r="AX274" s="144">
        <f t="shared" si="341"/>
        <v>0</v>
      </c>
      <c r="AY274" s="144"/>
      <c r="AZ274" s="144"/>
      <c r="BA274" s="144">
        <f t="shared" si="341"/>
        <v>7500000</v>
      </c>
      <c r="BB274" s="144">
        <f t="shared" si="341"/>
        <v>0</v>
      </c>
      <c r="BC274" s="144">
        <f t="shared" si="341"/>
        <v>0</v>
      </c>
      <c r="BD274" s="144">
        <f t="shared" si="341"/>
        <v>0</v>
      </c>
      <c r="BE274" s="144"/>
      <c r="BF274" s="144"/>
      <c r="BG274" s="144">
        <f t="shared" si="341"/>
        <v>0</v>
      </c>
      <c r="BH274" s="144"/>
      <c r="BI274" s="144"/>
      <c r="BJ274" s="144">
        <f t="shared" si="341"/>
        <v>7500000</v>
      </c>
      <c r="BK274" s="144">
        <f t="shared" si="341"/>
        <v>0</v>
      </c>
      <c r="BL274" s="144">
        <f t="shared" si="342"/>
        <v>0</v>
      </c>
      <c r="BM274" s="144"/>
      <c r="BN274" s="169"/>
      <c r="BO274" s="8"/>
      <c r="BP274" s="8"/>
      <c r="BQ274" s="8"/>
      <c r="BR274" s="8"/>
      <c r="BS274" s="8"/>
      <c r="BT274" s="8"/>
      <c r="BU274" s="8"/>
      <c r="BV274" s="8"/>
      <c r="BW274" s="8"/>
      <c r="BX274" s="8"/>
      <c r="BY274" s="8"/>
      <c r="BZ274" s="8"/>
      <c r="CA274" s="8"/>
      <c r="CB274" s="8"/>
      <c r="CC274" s="8"/>
      <c r="CD274" s="8"/>
      <c r="CE274" s="8"/>
      <c r="CF274" s="8"/>
      <c r="CG274" s="8"/>
      <c r="CH274" s="8"/>
      <c r="CI274" s="8"/>
      <c r="CJ274" s="8"/>
      <c r="CK274" s="8"/>
      <c r="CL274" s="8"/>
      <c r="CM274" s="8"/>
      <c r="CN274" s="8"/>
      <c r="CO274" s="8"/>
      <c r="CP274" s="8"/>
      <c r="CQ274" s="8"/>
      <c r="CR274" s="8"/>
      <c r="CS274" s="8"/>
      <c r="CT274" s="8"/>
      <c r="CU274" s="8"/>
      <c r="CV274" s="8"/>
      <c r="CW274" s="8"/>
      <c r="CX274" s="8"/>
      <c r="CY274" s="8"/>
      <c r="CZ274" s="8"/>
      <c r="DA274" s="8"/>
      <c r="DB274" s="8"/>
    </row>
    <row r="275" spans="1:106" ht="24" customHeight="1" x14ac:dyDescent="0.2">
      <c r="A275" s="145"/>
      <c r="B275" s="91"/>
      <c r="C275" s="91"/>
      <c r="D275" s="91"/>
      <c r="E275" s="91"/>
      <c r="F275" s="154">
        <v>3904</v>
      </c>
      <c r="G275" s="81" t="s">
        <v>784</v>
      </c>
      <c r="H275" s="194"/>
      <c r="I275" s="194"/>
      <c r="J275" s="693"/>
      <c r="K275" s="726"/>
      <c r="L275" s="693"/>
      <c r="M275" s="693"/>
      <c r="N275" s="688"/>
      <c r="O275" s="689"/>
      <c r="P275" s="688"/>
      <c r="Q275" s="727"/>
      <c r="R275" s="689"/>
      <c r="S275" s="689"/>
      <c r="T275" s="728"/>
      <c r="U275" s="147"/>
      <c r="V275" s="147"/>
      <c r="W275" s="148">
        <f>W276</f>
        <v>0</v>
      </c>
      <c r="X275" s="148"/>
      <c r="Y275" s="148"/>
      <c r="Z275" s="148">
        <f t="shared" si="341"/>
        <v>0</v>
      </c>
      <c r="AA275" s="148"/>
      <c r="AB275" s="148"/>
      <c r="AC275" s="148">
        <f t="shared" si="341"/>
        <v>0</v>
      </c>
      <c r="AD275" s="148"/>
      <c r="AE275" s="148"/>
      <c r="AF275" s="148">
        <f t="shared" si="341"/>
        <v>0</v>
      </c>
      <c r="AG275" s="148"/>
      <c r="AH275" s="148"/>
      <c r="AI275" s="148">
        <f t="shared" si="341"/>
        <v>0</v>
      </c>
      <c r="AJ275" s="148"/>
      <c r="AK275" s="148"/>
      <c r="AL275" s="148">
        <f t="shared" si="341"/>
        <v>0</v>
      </c>
      <c r="AM275" s="148"/>
      <c r="AN275" s="148"/>
      <c r="AO275" s="148">
        <f t="shared" si="341"/>
        <v>0</v>
      </c>
      <c r="AP275" s="148"/>
      <c r="AQ275" s="148"/>
      <c r="AR275" s="148">
        <f t="shared" si="341"/>
        <v>0</v>
      </c>
      <c r="AS275" s="148"/>
      <c r="AT275" s="148"/>
      <c r="AU275" s="148">
        <f t="shared" si="341"/>
        <v>0</v>
      </c>
      <c r="AV275" s="148"/>
      <c r="AW275" s="148"/>
      <c r="AX275" s="148">
        <f t="shared" si="341"/>
        <v>0</v>
      </c>
      <c r="AY275" s="148"/>
      <c r="AZ275" s="148"/>
      <c r="BA275" s="148">
        <f t="shared" si="341"/>
        <v>7500000</v>
      </c>
      <c r="BB275" s="148">
        <f t="shared" si="341"/>
        <v>0</v>
      </c>
      <c r="BC275" s="148">
        <f t="shared" si="341"/>
        <v>0</v>
      </c>
      <c r="BD275" s="148">
        <f t="shared" si="341"/>
        <v>0</v>
      </c>
      <c r="BE275" s="148"/>
      <c r="BF275" s="148"/>
      <c r="BG275" s="148">
        <f t="shared" si="341"/>
        <v>0</v>
      </c>
      <c r="BH275" s="148"/>
      <c r="BI275" s="148"/>
      <c r="BJ275" s="148">
        <f t="shared" si="341"/>
        <v>7500000</v>
      </c>
      <c r="BK275" s="148">
        <f t="shared" si="342"/>
        <v>0</v>
      </c>
      <c r="BL275" s="148">
        <f t="shared" si="342"/>
        <v>0</v>
      </c>
      <c r="BM275" s="148"/>
      <c r="BN275" s="156"/>
    </row>
    <row r="276" spans="1:106" s="26" customFormat="1" ht="147.75" customHeight="1" x14ac:dyDescent="0.25">
      <c r="A276" s="120"/>
      <c r="B276" s="91"/>
      <c r="C276" s="91"/>
      <c r="D276" s="91"/>
      <c r="E276" s="91"/>
      <c r="F276" s="87"/>
      <c r="G276" s="569"/>
      <c r="H276" s="562" t="s">
        <v>785</v>
      </c>
      <c r="I276" s="567">
        <v>3904006</v>
      </c>
      <c r="J276" s="562" t="s">
        <v>786</v>
      </c>
      <c r="K276" s="567">
        <v>3904006</v>
      </c>
      <c r="L276" s="562" t="s">
        <v>786</v>
      </c>
      <c r="M276" s="105">
        <v>390400604</v>
      </c>
      <c r="N276" s="577" t="s">
        <v>787</v>
      </c>
      <c r="O276" s="105">
        <v>390400604</v>
      </c>
      <c r="P276" s="577" t="s">
        <v>788</v>
      </c>
      <c r="Q276" s="569" t="s">
        <v>68</v>
      </c>
      <c r="R276" s="125">
        <v>18</v>
      </c>
      <c r="S276" s="125">
        <v>0</v>
      </c>
      <c r="T276" s="265" t="s">
        <v>789</v>
      </c>
      <c r="U276" s="568" t="s">
        <v>790</v>
      </c>
      <c r="V276" s="571" t="s">
        <v>791</v>
      </c>
      <c r="W276" s="150"/>
      <c r="X276" s="150"/>
      <c r="Y276" s="150"/>
      <c r="Z276" s="150"/>
      <c r="AA276" s="150"/>
      <c r="AB276" s="150"/>
      <c r="AC276" s="150"/>
      <c r="AD276" s="150"/>
      <c r="AE276" s="150"/>
      <c r="AF276" s="150"/>
      <c r="AG276" s="150"/>
      <c r="AH276" s="150"/>
      <c r="AI276" s="150"/>
      <c r="AJ276" s="262"/>
      <c r="AK276" s="262"/>
      <c r="AL276" s="262"/>
      <c r="AM276" s="262"/>
      <c r="AN276" s="262"/>
      <c r="AO276" s="207"/>
      <c r="AP276" s="207"/>
      <c r="AQ276" s="207"/>
      <c r="AR276" s="207"/>
      <c r="AS276" s="600"/>
      <c r="AT276" s="600"/>
      <c r="AU276" s="263"/>
      <c r="AV276" s="263"/>
      <c r="AW276" s="263"/>
      <c r="AX276" s="150"/>
      <c r="AY276" s="150"/>
      <c r="AZ276" s="150"/>
      <c r="BA276" s="164">
        <v>7500000</v>
      </c>
      <c r="BB276" s="164"/>
      <c r="BC276" s="164"/>
      <c r="BD276" s="150"/>
      <c r="BE276" s="150"/>
      <c r="BF276" s="150"/>
      <c r="BG276" s="150"/>
      <c r="BH276" s="150"/>
      <c r="BI276" s="150"/>
      <c r="BJ276" s="151">
        <f>+W276+Z276+AC276+AF276+AI276+AL276+AO276+AR276+AU276+AX276+BA276+BD276+BG276</f>
        <v>7500000</v>
      </c>
      <c r="BK276" s="151">
        <f t="shared" ref="BK276:BL276" si="343">+X276+AA276+AD276+AG276+AJ276+AM276+AP276+AS276+AV276+AY276+BB276+BE276+BH276</f>
        <v>0</v>
      </c>
      <c r="BL276" s="151">
        <f t="shared" si="343"/>
        <v>0</v>
      </c>
      <c r="BM276" s="151" t="s">
        <v>680</v>
      </c>
      <c r="BN276" s="72" t="s">
        <v>681</v>
      </c>
      <c r="BO276" s="69"/>
      <c r="BP276" s="69"/>
      <c r="BQ276" s="69"/>
      <c r="BR276" s="69"/>
      <c r="BS276" s="69"/>
      <c r="BT276" s="69"/>
      <c r="BU276" s="69"/>
      <c r="BV276" s="69"/>
      <c r="BW276" s="69"/>
      <c r="BX276" s="69"/>
      <c r="BY276" s="69"/>
      <c r="BZ276" s="69"/>
      <c r="CA276" s="69"/>
      <c r="CB276" s="69"/>
      <c r="CC276" s="69"/>
      <c r="CD276" s="69"/>
      <c r="CE276" s="69"/>
      <c r="CF276" s="69"/>
      <c r="CG276" s="69"/>
      <c r="CH276" s="69"/>
      <c r="CI276" s="69"/>
      <c r="CJ276" s="69"/>
      <c r="CK276" s="69"/>
      <c r="CL276" s="69"/>
      <c r="CM276" s="69"/>
      <c r="CN276" s="69"/>
      <c r="CO276" s="69"/>
      <c r="CP276" s="69"/>
      <c r="CQ276" s="69"/>
      <c r="CR276" s="69"/>
      <c r="CS276" s="69"/>
      <c r="CT276" s="69"/>
      <c r="CU276" s="69"/>
      <c r="CV276" s="69"/>
      <c r="CW276" s="69"/>
      <c r="CX276" s="69"/>
      <c r="CY276" s="69"/>
      <c r="CZ276" s="69"/>
      <c r="DA276" s="69"/>
      <c r="DB276" s="69"/>
    </row>
    <row r="277" spans="1:106" s="467" customFormat="1" ht="16.5" customHeight="1" x14ac:dyDescent="0.25">
      <c r="A277" s="463"/>
      <c r="B277" s="463"/>
      <c r="C277" s="463"/>
      <c r="D277" s="463"/>
      <c r="E277" s="463"/>
      <c r="F277" s="463"/>
      <c r="G277" s="463"/>
      <c r="H277" s="464"/>
      <c r="I277" s="463"/>
      <c r="J277" s="463"/>
      <c r="K277" s="463"/>
      <c r="L277" s="463"/>
      <c r="M277" s="463"/>
      <c r="N277" s="463"/>
      <c r="O277" s="463"/>
      <c r="P277" s="463"/>
      <c r="Q277" s="465"/>
      <c r="R277" s="463"/>
      <c r="S277" s="463"/>
      <c r="T277" s="465"/>
      <c r="U277" s="465"/>
      <c r="V277" s="465"/>
      <c r="W277" s="466"/>
      <c r="X277" s="466"/>
      <c r="Y277" s="466"/>
      <c r="Z277" s="466"/>
      <c r="AA277" s="466"/>
      <c r="AB277" s="466"/>
      <c r="AC277" s="466"/>
      <c r="AD277" s="466"/>
      <c r="AE277" s="466"/>
      <c r="AF277" s="466"/>
      <c r="AG277" s="466"/>
      <c r="AH277" s="466"/>
      <c r="AI277" s="466"/>
      <c r="AJ277" s="466"/>
      <c r="AK277" s="466"/>
      <c r="AL277" s="466"/>
      <c r="AM277" s="466"/>
      <c r="AN277" s="466"/>
      <c r="AO277" s="466"/>
      <c r="AP277" s="466"/>
      <c r="AQ277" s="466"/>
      <c r="AR277" s="466"/>
      <c r="AS277" s="466"/>
      <c r="AT277" s="466"/>
      <c r="AU277" s="466"/>
      <c r="AV277" s="466"/>
      <c r="AW277" s="466"/>
      <c r="AX277" s="466"/>
      <c r="AY277" s="466"/>
      <c r="AZ277" s="466"/>
      <c r="BA277" s="466"/>
      <c r="BB277" s="466"/>
      <c r="BC277" s="466"/>
      <c r="BD277" s="466"/>
      <c r="BE277" s="466"/>
      <c r="BF277" s="466"/>
      <c r="BG277" s="466"/>
      <c r="BH277" s="466"/>
      <c r="BI277" s="466"/>
      <c r="BJ277" s="466"/>
      <c r="BK277" s="466"/>
      <c r="BL277" s="466"/>
      <c r="BM277" s="466"/>
      <c r="BN277" s="466"/>
    </row>
    <row r="278" spans="1:106" s="394" customFormat="1" ht="24" customHeight="1" x14ac:dyDescent="0.2">
      <c r="A278" s="41" t="s">
        <v>792</v>
      </c>
      <c r="B278" s="41"/>
      <c r="C278" s="41"/>
      <c r="D278" s="41"/>
      <c r="E278" s="41"/>
      <c r="F278" s="42"/>
      <c r="G278" s="43"/>
      <c r="H278" s="386"/>
      <c r="I278" s="386"/>
      <c r="J278" s="386"/>
      <c r="K278" s="389"/>
      <c r="L278" s="386"/>
      <c r="M278" s="386"/>
      <c r="N278" s="391"/>
      <c r="O278" s="390"/>
      <c r="P278" s="391"/>
      <c r="Q278" s="392"/>
      <c r="R278" s="390"/>
      <c r="S278" s="390"/>
      <c r="T278" s="43"/>
      <c r="U278" s="391"/>
      <c r="V278" s="391"/>
      <c r="W278" s="387">
        <f t="shared" ref="W278:BJ278" si="344">W279+W313+W320</f>
        <v>3526539574</v>
      </c>
      <c r="X278" s="387">
        <f t="shared" ref="X278:Y278" si="345">X279+X313+X320</f>
        <v>0</v>
      </c>
      <c r="Y278" s="387">
        <f t="shared" si="345"/>
        <v>0</v>
      </c>
      <c r="Z278" s="387">
        <f t="shared" si="344"/>
        <v>0</v>
      </c>
      <c r="AA278" s="387"/>
      <c r="AB278" s="387"/>
      <c r="AC278" s="387">
        <f t="shared" si="344"/>
        <v>0</v>
      </c>
      <c r="AD278" s="387"/>
      <c r="AE278" s="387"/>
      <c r="AF278" s="387">
        <f t="shared" si="344"/>
        <v>0</v>
      </c>
      <c r="AG278" s="387"/>
      <c r="AH278" s="387"/>
      <c r="AI278" s="387">
        <f t="shared" si="344"/>
        <v>0</v>
      </c>
      <c r="AJ278" s="387"/>
      <c r="AK278" s="387"/>
      <c r="AL278" s="387">
        <f t="shared" si="344"/>
        <v>0</v>
      </c>
      <c r="AM278" s="387"/>
      <c r="AN278" s="387"/>
      <c r="AO278" s="387">
        <f t="shared" si="344"/>
        <v>0</v>
      </c>
      <c r="AP278" s="387"/>
      <c r="AQ278" s="387"/>
      <c r="AR278" s="387">
        <f t="shared" si="344"/>
        <v>0</v>
      </c>
      <c r="AS278" s="387"/>
      <c r="AT278" s="387"/>
      <c r="AU278" s="387">
        <f t="shared" si="344"/>
        <v>0</v>
      </c>
      <c r="AV278" s="387"/>
      <c r="AW278" s="387"/>
      <c r="AX278" s="387">
        <f t="shared" si="344"/>
        <v>0</v>
      </c>
      <c r="AY278" s="387"/>
      <c r="AZ278" s="387"/>
      <c r="BA278" s="387">
        <f t="shared" si="344"/>
        <v>1656250000</v>
      </c>
      <c r="BB278" s="387">
        <f t="shared" ref="BB278:BC278" si="346">BB279+BB313+BB320</f>
        <v>509780000</v>
      </c>
      <c r="BC278" s="387">
        <f t="shared" si="346"/>
        <v>49915000</v>
      </c>
      <c r="BD278" s="387">
        <f t="shared" si="344"/>
        <v>0</v>
      </c>
      <c r="BE278" s="387"/>
      <c r="BF278" s="387"/>
      <c r="BG278" s="387">
        <f t="shared" si="344"/>
        <v>0</v>
      </c>
      <c r="BH278" s="387"/>
      <c r="BI278" s="387"/>
      <c r="BJ278" s="387">
        <f t="shared" si="344"/>
        <v>5182789574</v>
      </c>
      <c r="BK278" s="387">
        <f t="shared" ref="BK278:BL278" si="347">BK279+BK313+BK320</f>
        <v>509780000</v>
      </c>
      <c r="BL278" s="387">
        <f t="shared" si="347"/>
        <v>49915000</v>
      </c>
      <c r="BM278" s="387"/>
      <c r="BN278" s="388"/>
      <c r="BO278" s="393"/>
      <c r="BP278" s="393"/>
      <c r="BQ278" s="393"/>
      <c r="BR278" s="393"/>
      <c r="BS278" s="393"/>
      <c r="BT278" s="393"/>
      <c r="BU278" s="393"/>
      <c r="BV278" s="393"/>
      <c r="BW278" s="393"/>
      <c r="BX278" s="393"/>
      <c r="BY278" s="393"/>
      <c r="BZ278" s="393"/>
      <c r="CA278" s="393"/>
      <c r="CB278" s="393"/>
      <c r="CC278" s="393"/>
      <c r="CD278" s="393"/>
      <c r="CE278" s="393"/>
      <c r="CF278" s="393"/>
      <c r="CG278" s="393"/>
      <c r="CH278" s="393"/>
      <c r="CI278" s="393"/>
      <c r="CJ278" s="393"/>
      <c r="CK278" s="393"/>
      <c r="CL278" s="393"/>
      <c r="CM278" s="393"/>
      <c r="CN278" s="393"/>
      <c r="CO278" s="393"/>
      <c r="CP278" s="393"/>
      <c r="CQ278" s="393"/>
      <c r="CR278" s="393"/>
      <c r="CS278" s="393"/>
      <c r="CT278" s="393"/>
      <c r="CU278" s="393"/>
      <c r="CV278" s="393"/>
      <c r="CW278" s="393"/>
      <c r="CX278" s="393"/>
      <c r="CY278" s="393"/>
      <c r="CZ278" s="393"/>
      <c r="DA278" s="393"/>
      <c r="DB278" s="393"/>
    </row>
    <row r="279" spans="1:106" ht="24" customHeight="1" x14ac:dyDescent="0.2">
      <c r="A279" s="145"/>
      <c r="B279" s="131">
        <v>1</v>
      </c>
      <c r="C279" s="131"/>
      <c r="D279" s="74" t="s">
        <v>149</v>
      </c>
      <c r="E279" s="579"/>
      <c r="F279" s="395"/>
      <c r="G279" s="180"/>
      <c r="H279" s="395"/>
      <c r="I279" s="395"/>
      <c r="J279" s="182"/>
      <c r="K279" s="181"/>
      <c r="L279" s="182"/>
      <c r="M279" s="182"/>
      <c r="N279" s="184"/>
      <c r="O279" s="183"/>
      <c r="P279" s="184"/>
      <c r="Q279" s="185"/>
      <c r="R279" s="183"/>
      <c r="S279" s="183"/>
      <c r="T279" s="729"/>
      <c r="U279" s="133"/>
      <c r="V279" s="133"/>
      <c r="W279" s="134">
        <f>W280+W284+W287</f>
        <v>3526539574</v>
      </c>
      <c r="X279" s="134">
        <f t="shared" ref="X279:Y279" si="348">X280+X284+X287</f>
        <v>0</v>
      </c>
      <c r="Y279" s="134">
        <f t="shared" si="348"/>
        <v>0</v>
      </c>
      <c r="Z279" s="134">
        <f t="shared" ref="Z279:BN279" si="349">Z280+Z284+Z287</f>
        <v>0</v>
      </c>
      <c r="AA279" s="134"/>
      <c r="AB279" s="134"/>
      <c r="AC279" s="134">
        <f t="shared" si="349"/>
        <v>0</v>
      </c>
      <c r="AD279" s="134"/>
      <c r="AE279" s="134"/>
      <c r="AF279" s="134">
        <f t="shared" si="349"/>
        <v>0</v>
      </c>
      <c r="AG279" s="134"/>
      <c r="AH279" s="134"/>
      <c r="AI279" s="134">
        <f t="shared" si="349"/>
        <v>0</v>
      </c>
      <c r="AJ279" s="134"/>
      <c r="AK279" s="134"/>
      <c r="AL279" s="134">
        <f t="shared" si="349"/>
        <v>0</v>
      </c>
      <c r="AM279" s="134"/>
      <c r="AN279" s="134"/>
      <c r="AO279" s="134">
        <f t="shared" si="349"/>
        <v>0</v>
      </c>
      <c r="AP279" s="134"/>
      <c r="AQ279" s="134"/>
      <c r="AR279" s="134">
        <f t="shared" si="349"/>
        <v>0</v>
      </c>
      <c r="AS279" s="134"/>
      <c r="AT279" s="134"/>
      <c r="AU279" s="134">
        <f t="shared" si="349"/>
        <v>0</v>
      </c>
      <c r="AV279" s="134"/>
      <c r="AW279" s="134"/>
      <c r="AX279" s="134">
        <f t="shared" si="349"/>
        <v>0</v>
      </c>
      <c r="AY279" s="134"/>
      <c r="AZ279" s="134"/>
      <c r="BA279" s="134">
        <f t="shared" si="349"/>
        <v>1265250000</v>
      </c>
      <c r="BB279" s="134">
        <f t="shared" ref="BB279:BC279" si="350">BB280+BB284+BB287</f>
        <v>333530000</v>
      </c>
      <c r="BC279" s="134">
        <f t="shared" si="350"/>
        <v>38895000</v>
      </c>
      <c r="BD279" s="134">
        <f t="shared" si="349"/>
        <v>0</v>
      </c>
      <c r="BE279" s="134"/>
      <c r="BF279" s="134"/>
      <c r="BG279" s="134">
        <f t="shared" si="349"/>
        <v>0</v>
      </c>
      <c r="BH279" s="134"/>
      <c r="BI279" s="134"/>
      <c r="BJ279" s="134">
        <f t="shared" si="349"/>
        <v>4791789574</v>
      </c>
      <c r="BK279" s="134">
        <f t="shared" ref="BK279:BL279" si="351">BK280+BK284+BK287</f>
        <v>333530000</v>
      </c>
      <c r="BL279" s="134">
        <f t="shared" si="351"/>
        <v>38895000</v>
      </c>
      <c r="BM279" s="134">
        <f t="shared" si="349"/>
        <v>0</v>
      </c>
      <c r="BN279" s="134">
        <f t="shared" si="349"/>
        <v>0</v>
      </c>
    </row>
    <row r="280" spans="1:106" s="9" customFormat="1" ht="24" customHeight="1" x14ac:dyDescent="0.25">
      <c r="A280" s="130"/>
      <c r="B280" s="83"/>
      <c r="C280" s="83"/>
      <c r="D280" s="77">
        <v>19</v>
      </c>
      <c r="E280" s="75" t="s">
        <v>161</v>
      </c>
      <c r="F280" s="135"/>
      <c r="G280" s="135"/>
      <c r="H280" s="136"/>
      <c r="I280" s="136"/>
      <c r="J280" s="138"/>
      <c r="K280" s="137"/>
      <c r="L280" s="138"/>
      <c r="M280" s="138"/>
      <c r="N280" s="140"/>
      <c r="O280" s="139"/>
      <c r="P280" s="140"/>
      <c r="Q280" s="141"/>
      <c r="R280" s="139"/>
      <c r="S280" s="139"/>
      <c r="T280" s="204"/>
      <c r="U280" s="143"/>
      <c r="V280" s="143"/>
      <c r="W280" s="144">
        <f>W281</f>
        <v>0</v>
      </c>
      <c r="X280" s="144">
        <f t="shared" ref="X280:Y280" si="352">X281</f>
        <v>0</v>
      </c>
      <c r="Y280" s="144">
        <f t="shared" si="352"/>
        <v>0</v>
      </c>
      <c r="Z280" s="144">
        <f t="shared" ref="Z280:BL280" si="353">Z281</f>
        <v>0</v>
      </c>
      <c r="AA280" s="144"/>
      <c r="AB280" s="144"/>
      <c r="AC280" s="144">
        <f t="shared" si="353"/>
        <v>0</v>
      </c>
      <c r="AD280" s="144"/>
      <c r="AE280" s="144"/>
      <c r="AF280" s="144">
        <f t="shared" si="353"/>
        <v>0</v>
      </c>
      <c r="AG280" s="144"/>
      <c r="AH280" s="144"/>
      <c r="AI280" s="144">
        <f t="shared" si="353"/>
        <v>0</v>
      </c>
      <c r="AJ280" s="144"/>
      <c r="AK280" s="144"/>
      <c r="AL280" s="144">
        <f t="shared" si="353"/>
        <v>0</v>
      </c>
      <c r="AM280" s="144"/>
      <c r="AN280" s="144"/>
      <c r="AO280" s="144">
        <f t="shared" si="353"/>
        <v>0</v>
      </c>
      <c r="AP280" s="144"/>
      <c r="AQ280" s="144"/>
      <c r="AR280" s="144">
        <f t="shared" si="353"/>
        <v>0</v>
      </c>
      <c r="AS280" s="144"/>
      <c r="AT280" s="144"/>
      <c r="AU280" s="144">
        <f t="shared" si="353"/>
        <v>0</v>
      </c>
      <c r="AV280" s="144"/>
      <c r="AW280" s="144"/>
      <c r="AX280" s="144">
        <f t="shared" si="353"/>
        <v>0</v>
      </c>
      <c r="AY280" s="144"/>
      <c r="AZ280" s="144"/>
      <c r="BA280" s="144">
        <f t="shared" si="353"/>
        <v>175000000</v>
      </c>
      <c r="BB280" s="144">
        <f t="shared" si="353"/>
        <v>75070000</v>
      </c>
      <c r="BC280" s="144">
        <f t="shared" si="353"/>
        <v>6485000</v>
      </c>
      <c r="BD280" s="144">
        <f t="shared" si="353"/>
        <v>0</v>
      </c>
      <c r="BE280" s="144"/>
      <c r="BF280" s="144"/>
      <c r="BG280" s="144">
        <f t="shared" si="353"/>
        <v>0</v>
      </c>
      <c r="BH280" s="144"/>
      <c r="BI280" s="144"/>
      <c r="BJ280" s="144">
        <f t="shared" si="353"/>
        <v>175000000</v>
      </c>
      <c r="BK280" s="144">
        <f t="shared" si="353"/>
        <v>75070000</v>
      </c>
      <c r="BL280" s="144">
        <f t="shared" si="353"/>
        <v>6485000</v>
      </c>
      <c r="BM280" s="144"/>
      <c r="BN280" s="169"/>
      <c r="BO280" s="8"/>
      <c r="BP280" s="8"/>
      <c r="BQ280" s="8"/>
      <c r="BR280" s="8"/>
      <c r="BS280" s="8"/>
      <c r="BT280" s="8"/>
      <c r="BU280" s="8"/>
      <c r="BV280" s="8"/>
      <c r="BW280" s="8"/>
      <c r="BX280" s="8"/>
      <c r="BY280" s="8"/>
      <c r="BZ280" s="8"/>
      <c r="CA280" s="8"/>
      <c r="CB280" s="8"/>
      <c r="CC280" s="8"/>
      <c r="CD280" s="8"/>
      <c r="CE280" s="8"/>
      <c r="CF280" s="8"/>
      <c r="CG280" s="8"/>
      <c r="CH280" s="8"/>
      <c r="CI280" s="8"/>
      <c r="CJ280" s="8"/>
      <c r="CK280" s="8"/>
      <c r="CL280" s="8"/>
      <c r="CM280" s="8"/>
      <c r="CN280" s="8"/>
      <c r="CO280" s="8"/>
      <c r="CP280" s="8"/>
      <c r="CQ280" s="8"/>
      <c r="CR280" s="8"/>
      <c r="CS280" s="8"/>
      <c r="CT280" s="8"/>
      <c r="CU280" s="8"/>
      <c r="CV280" s="8"/>
      <c r="CW280" s="8"/>
      <c r="CX280" s="8"/>
      <c r="CY280" s="8"/>
      <c r="CZ280" s="8"/>
      <c r="DA280" s="8"/>
      <c r="DB280" s="8"/>
    </row>
    <row r="281" spans="1:106" ht="24" customHeight="1" x14ac:dyDescent="0.2">
      <c r="A281" s="145"/>
      <c r="B281" s="91"/>
      <c r="C281" s="91"/>
      <c r="D281" s="91"/>
      <c r="E281" s="91"/>
      <c r="F281" s="154">
        <v>1905</v>
      </c>
      <c r="G281" s="266" t="s">
        <v>793</v>
      </c>
      <c r="H281" s="266"/>
      <c r="I281" s="740"/>
      <c r="J281" s="693"/>
      <c r="K281" s="726"/>
      <c r="L281" s="693"/>
      <c r="M281" s="693"/>
      <c r="N281" s="688"/>
      <c r="O281" s="689"/>
      <c r="P281" s="688"/>
      <c r="Q281" s="727"/>
      <c r="R281" s="689"/>
      <c r="S281" s="689"/>
      <c r="T281" s="728"/>
      <c r="U281" s="147"/>
      <c r="V281" s="147"/>
      <c r="W281" s="160">
        <f>SUM(W282:W283)</f>
        <v>0</v>
      </c>
      <c r="X281" s="160">
        <f t="shared" ref="X281:Y281" si="354">SUM(X282:X283)</f>
        <v>0</v>
      </c>
      <c r="Y281" s="160">
        <f t="shared" si="354"/>
        <v>0</v>
      </c>
      <c r="Z281" s="160">
        <f t="shared" ref="Z281:BJ281" si="355">SUM(Z282:Z283)</f>
        <v>0</v>
      </c>
      <c r="AA281" s="160"/>
      <c r="AB281" s="160"/>
      <c r="AC281" s="160">
        <f t="shared" si="355"/>
        <v>0</v>
      </c>
      <c r="AD281" s="160"/>
      <c r="AE281" s="160"/>
      <c r="AF281" s="160">
        <f t="shared" si="355"/>
        <v>0</v>
      </c>
      <c r="AG281" s="160"/>
      <c r="AH281" s="160"/>
      <c r="AI281" s="160">
        <f t="shared" si="355"/>
        <v>0</v>
      </c>
      <c r="AJ281" s="160"/>
      <c r="AK281" s="160"/>
      <c r="AL281" s="160">
        <f t="shared" si="355"/>
        <v>0</v>
      </c>
      <c r="AM281" s="160"/>
      <c r="AN281" s="160"/>
      <c r="AO281" s="160">
        <f t="shared" si="355"/>
        <v>0</v>
      </c>
      <c r="AP281" s="160"/>
      <c r="AQ281" s="160"/>
      <c r="AR281" s="160">
        <f t="shared" si="355"/>
        <v>0</v>
      </c>
      <c r="AS281" s="160"/>
      <c r="AT281" s="160"/>
      <c r="AU281" s="160">
        <f t="shared" si="355"/>
        <v>0</v>
      </c>
      <c r="AV281" s="160"/>
      <c r="AW281" s="160"/>
      <c r="AX281" s="160">
        <f t="shared" si="355"/>
        <v>0</v>
      </c>
      <c r="AY281" s="160"/>
      <c r="AZ281" s="160"/>
      <c r="BA281" s="160">
        <f>SUM(BA282:BA283)</f>
        <v>175000000</v>
      </c>
      <c r="BB281" s="160">
        <f t="shared" ref="BB281:BC281" si="356">SUM(BB282:BB283)</f>
        <v>75070000</v>
      </c>
      <c r="BC281" s="160">
        <f t="shared" si="356"/>
        <v>6485000</v>
      </c>
      <c r="BD281" s="160">
        <f t="shared" si="355"/>
        <v>0</v>
      </c>
      <c r="BE281" s="160"/>
      <c r="BF281" s="160"/>
      <c r="BG281" s="160">
        <f t="shared" si="355"/>
        <v>0</v>
      </c>
      <c r="BH281" s="160"/>
      <c r="BI281" s="160"/>
      <c r="BJ281" s="160">
        <f t="shared" si="355"/>
        <v>175000000</v>
      </c>
      <c r="BK281" s="160">
        <f t="shared" ref="BK281:BL281" si="357">SUM(BK282:BK283)</f>
        <v>75070000</v>
      </c>
      <c r="BL281" s="160">
        <f t="shared" si="357"/>
        <v>6485000</v>
      </c>
      <c r="BM281" s="160"/>
      <c r="BN281" s="160"/>
    </row>
    <row r="282" spans="1:106" ht="222.75" customHeight="1" x14ac:dyDescent="0.2">
      <c r="A282" s="145"/>
      <c r="B282" s="91"/>
      <c r="C282" s="91"/>
      <c r="D282" s="91"/>
      <c r="E282" s="91"/>
      <c r="F282" s="567"/>
      <c r="G282" s="216"/>
      <c r="H282" s="562" t="s">
        <v>794</v>
      </c>
      <c r="I282" s="85">
        <v>1905021</v>
      </c>
      <c r="J282" s="565" t="s">
        <v>795</v>
      </c>
      <c r="K282" s="85">
        <v>1905021</v>
      </c>
      <c r="L282" s="565" t="s">
        <v>795</v>
      </c>
      <c r="M282" s="85">
        <v>190502100</v>
      </c>
      <c r="N282" s="561" t="s">
        <v>796</v>
      </c>
      <c r="O282" s="85">
        <v>190502100</v>
      </c>
      <c r="P282" s="561" t="s">
        <v>796</v>
      </c>
      <c r="Q282" s="195" t="s">
        <v>52</v>
      </c>
      <c r="R282" s="125">
        <v>12</v>
      </c>
      <c r="S282" s="125">
        <v>2</v>
      </c>
      <c r="T282" s="869" t="s">
        <v>797</v>
      </c>
      <c r="U282" s="870" t="s">
        <v>798</v>
      </c>
      <c r="V282" s="870" t="s">
        <v>799</v>
      </c>
      <c r="W282" s="150">
        <v>0</v>
      </c>
      <c r="X282" s="150"/>
      <c r="Y282" s="150"/>
      <c r="Z282" s="150">
        <v>0</v>
      </c>
      <c r="AA282" s="150"/>
      <c r="AB282" s="150"/>
      <c r="AC282" s="150">
        <v>0</v>
      </c>
      <c r="AD282" s="150"/>
      <c r="AE282" s="150"/>
      <c r="AF282" s="150">
        <v>0</v>
      </c>
      <c r="AG282" s="150"/>
      <c r="AH282" s="150"/>
      <c r="AI282" s="150">
        <v>0</v>
      </c>
      <c r="AJ282" s="262"/>
      <c r="AK282" s="262"/>
      <c r="AL282" s="262">
        <v>0</v>
      </c>
      <c r="AM282" s="262"/>
      <c r="AN282" s="262"/>
      <c r="AO282" s="150">
        <v>0</v>
      </c>
      <c r="AP282" s="150"/>
      <c r="AQ282" s="150"/>
      <c r="AR282" s="150">
        <v>0</v>
      </c>
      <c r="AS282" s="263"/>
      <c r="AT282" s="263"/>
      <c r="AU282" s="263">
        <v>0</v>
      </c>
      <c r="AV282" s="263"/>
      <c r="AW282" s="263"/>
      <c r="AX282" s="150">
        <v>0</v>
      </c>
      <c r="AY282" s="150"/>
      <c r="AZ282" s="150"/>
      <c r="BA282" s="161">
        <v>100000000</v>
      </c>
      <c r="BB282" s="161">
        <v>54990000</v>
      </c>
      <c r="BC282" s="161">
        <v>6485000</v>
      </c>
      <c r="BD282" s="150">
        <v>0</v>
      </c>
      <c r="BE282" s="150"/>
      <c r="BF282" s="150"/>
      <c r="BG282" s="150">
        <v>0</v>
      </c>
      <c r="BH282" s="150"/>
      <c r="BI282" s="150"/>
      <c r="BJ282" s="151">
        <f>+W282+Z282+AC282+AF282+AI282+AL282+AO282+AR282+AU282+AX282+BA282+BD282+BG282</f>
        <v>100000000</v>
      </c>
      <c r="BK282" s="151">
        <f t="shared" ref="BK282:BL283" si="358">+X282+AA282+AD282+AG282+AJ282+AM282+AP282+AS282+AV282+AY282+BB282+BE282+BH282</f>
        <v>54990000</v>
      </c>
      <c r="BL282" s="151">
        <f t="shared" si="358"/>
        <v>6485000</v>
      </c>
      <c r="BM282" s="151" t="s">
        <v>800</v>
      </c>
      <c r="BN282" s="72" t="s">
        <v>801</v>
      </c>
    </row>
    <row r="283" spans="1:106" ht="186" customHeight="1" x14ac:dyDescent="0.2">
      <c r="A283" s="145"/>
      <c r="B283" s="91"/>
      <c r="C283" s="91"/>
      <c r="D283" s="91"/>
      <c r="E283" s="91"/>
      <c r="F283" s="567"/>
      <c r="G283" s="216"/>
      <c r="H283" s="562" t="s">
        <v>802</v>
      </c>
      <c r="I283" s="101">
        <v>1905022</v>
      </c>
      <c r="J283" s="123" t="s">
        <v>803</v>
      </c>
      <c r="K283" s="101">
        <v>1905022</v>
      </c>
      <c r="L283" s="123" t="s">
        <v>803</v>
      </c>
      <c r="M283" s="105">
        <v>190502200</v>
      </c>
      <c r="N283" s="577" t="s">
        <v>804</v>
      </c>
      <c r="O283" s="105">
        <v>190502200</v>
      </c>
      <c r="P283" s="577" t="s">
        <v>804</v>
      </c>
      <c r="Q283" s="195" t="s">
        <v>52</v>
      </c>
      <c r="R283" s="125">
        <v>12</v>
      </c>
      <c r="S283" s="125">
        <v>2</v>
      </c>
      <c r="T283" s="869"/>
      <c r="U283" s="870"/>
      <c r="V283" s="870"/>
      <c r="W283" s="150">
        <v>0</v>
      </c>
      <c r="X283" s="150"/>
      <c r="Y283" s="150"/>
      <c r="Z283" s="150"/>
      <c r="AA283" s="150"/>
      <c r="AB283" s="150"/>
      <c r="AC283" s="150"/>
      <c r="AD283" s="150"/>
      <c r="AE283" s="150"/>
      <c r="AF283" s="150"/>
      <c r="AG283" s="150"/>
      <c r="AH283" s="150"/>
      <c r="AI283" s="150"/>
      <c r="AJ283" s="262"/>
      <c r="AK283" s="262"/>
      <c r="AL283" s="262"/>
      <c r="AM283" s="262"/>
      <c r="AN283" s="262"/>
      <c r="AO283" s="150"/>
      <c r="AP283" s="150"/>
      <c r="AQ283" s="150"/>
      <c r="AR283" s="150"/>
      <c r="AS283" s="263"/>
      <c r="AT283" s="263"/>
      <c r="AU283" s="263"/>
      <c r="AV283" s="263"/>
      <c r="AW283" s="263"/>
      <c r="AX283" s="150"/>
      <c r="AY283" s="150"/>
      <c r="AZ283" s="150"/>
      <c r="BA283" s="161">
        <v>75000000</v>
      </c>
      <c r="BB283" s="161">
        <v>20080000</v>
      </c>
      <c r="BC283" s="161"/>
      <c r="BD283" s="150"/>
      <c r="BE283" s="150"/>
      <c r="BF283" s="150"/>
      <c r="BG283" s="150"/>
      <c r="BH283" s="150"/>
      <c r="BI283" s="150"/>
      <c r="BJ283" s="151">
        <f>+W283+Z283+AC283+AF283+AI283+AL283+AO283+AR283+AU283+AX283+BA283+BD283+BG283</f>
        <v>75000000</v>
      </c>
      <c r="BK283" s="151">
        <f t="shared" si="358"/>
        <v>20080000</v>
      </c>
      <c r="BL283" s="151">
        <f t="shared" si="358"/>
        <v>0</v>
      </c>
      <c r="BM283" s="151" t="s">
        <v>800</v>
      </c>
      <c r="BN283" s="72" t="s">
        <v>801</v>
      </c>
    </row>
    <row r="284" spans="1:106" s="9" customFormat="1" ht="24" customHeight="1" x14ac:dyDescent="0.25">
      <c r="A284" s="130"/>
      <c r="B284" s="83"/>
      <c r="C284" s="83"/>
      <c r="D284" s="77">
        <v>33</v>
      </c>
      <c r="E284" s="201" t="s">
        <v>180</v>
      </c>
      <c r="F284" s="75"/>
      <c r="G284" s="135"/>
      <c r="H284" s="136"/>
      <c r="I284" s="136"/>
      <c r="J284" s="138"/>
      <c r="K284" s="137"/>
      <c r="L284" s="138"/>
      <c r="M284" s="138"/>
      <c r="N284" s="140"/>
      <c r="O284" s="139"/>
      <c r="P284" s="140"/>
      <c r="Q284" s="141"/>
      <c r="R284" s="139"/>
      <c r="S284" s="139"/>
      <c r="T284" s="204"/>
      <c r="U284" s="143"/>
      <c r="V284" s="143"/>
      <c r="W284" s="144">
        <f>W285</f>
        <v>0</v>
      </c>
      <c r="X284" s="144"/>
      <c r="Y284" s="144"/>
      <c r="Z284" s="144">
        <f t="shared" ref="Z284:BL284" si="359">Z285</f>
        <v>0</v>
      </c>
      <c r="AA284" s="144"/>
      <c r="AB284" s="144"/>
      <c r="AC284" s="144">
        <f t="shared" si="359"/>
        <v>0</v>
      </c>
      <c r="AD284" s="144"/>
      <c r="AE284" s="144"/>
      <c r="AF284" s="144">
        <f t="shared" si="359"/>
        <v>0</v>
      </c>
      <c r="AG284" s="144"/>
      <c r="AH284" s="144"/>
      <c r="AI284" s="144">
        <f t="shared" si="359"/>
        <v>0</v>
      </c>
      <c r="AJ284" s="144"/>
      <c r="AK284" s="144"/>
      <c r="AL284" s="144">
        <f t="shared" si="359"/>
        <v>0</v>
      </c>
      <c r="AM284" s="144"/>
      <c r="AN284" s="144"/>
      <c r="AO284" s="144">
        <f t="shared" si="359"/>
        <v>0</v>
      </c>
      <c r="AP284" s="144"/>
      <c r="AQ284" s="144"/>
      <c r="AR284" s="144">
        <f t="shared" si="359"/>
        <v>0</v>
      </c>
      <c r="AS284" s="144"/>
      <c r="AT284" s="144"/>
      <c r="AU284" s="144">
        <f t="shared" si="359"/>
        <v>0</v>
      </c>
      <c r="AV284" s="144"/>
      <c r="AW284" s="144"/>
      <c r="AX284" s="144">
        <f t="shared" si="359"/>
        <v>0</v>
      </c>
      <c r="AY284" s="144"/>
      <c r="AZ284" s="144"/>
      <c r="BA284" s="144">
        <f t="shared" si="359"/>
        <v>14250000</v>
      </c>
      <c r="BB284" s="144">
        <f t="shared" si="359"/>
        <v>7420000</v>
      </c>
      <c r="BC284" s="144">
        <f t="shared" si="359"/>
        <v>0</v>
      </c>
      <c r="BD284" s="144">
        <f t="shared" si="359"/>
        <v>0</v>
      </c>
      <c r="BE284" s="144"/>
      <c r="BF284" s="144"/>
      <c r="BG284" s="144">
        <f t="shared" si="359"/>
        <v>0</v>
      </c>
      <c r="BH284" s="144"/>
      <c r="BI284" s="144"/>
      <c r="BJ284" s="144">
        <f t="shared" si="359"/>
        <v>14250000</v>
      </c>
      <c r="BK284" s="144">
        <f t="shared" si="359"/>
        <v>7420000</v>
      </c>
      <c r="BL284" s="144">
        <f t="shared" si="359"/>
        <v>0</v>
      </c>
      <c r="BM284" s="144"/>
      <c r="BN284" s="169"/>
      <c r="BO284" s="8"/>
      <c r="BP284" s="8"/>
      <c r="BQ284" s="8"/>
      <c r="BR284" s="8"/>
      <c r="BS284" s="8"/>
      <c r="BT284" s="8"/>
      <c r="BU284" s="8"/>
      <c r="BV284" s="8"/>
      <c r="BW284" s="8"/>
      <c r="BX284" s="8"/>
      <c r="BY284" s="8"/>
      <c r="BZ284" s="8"/>
      <c r="CA284" s="8"/>
      <c r="CB284" s="8"/>
      <c r="CC284" s="8"/>
      <c r="CD284" s="8"/>
      <c r="CE284" s="8"/>
      <c r="CF284" s="8"/>
      <c r="CG284" s="8"/>
      <c r="CH284" s="8"/>
      <c r="CI284" s="8"/>
      <c r="CJ284" s="8"/>
      <c r="CK284" s="8"/>
      <c r="CL284" s="8"/>
      <c r="CM284" s="8"/>
      <c r="CN284" s="8"/>
      <c r="CO284" s="8"/>
      <c r="CP284" s="8"/>
      <c r="CQ284" s="8"/>
      <c r="CR284" s="8"/>
      <c r="CS284" s="8"/>
      <c r="CT284" s="8"/>
      <c r="CU284" s="8"/>
      <c r="CV284" s="8"/>
      <c r="CW284" s="8"/>
      <c r="CX284" s="8"/>
      <c r="CY284" s="8"/>
      <c r="CZ284" s="8"/>
      <c r="DA284" s="8"/>
      <c r="DB284" s="8"/>
    </row>
    <row r="285" spans="1:106" ht="24" customHeight="1" x14ac:dyDescent="0.2">
      <c r="A285" s="145"/>
      <c r="B285" s="91"/>
      <c r="C285" s="91"/>
      <c r="D285" s="91"/>
      <c r="E285" s="91"/>
      <c r="F285" s="154">
        <v>3301</v>
      </c>
      <c r="G285" s="81" t="s">
        <v>181</v>
      </c>
      <c r="H285" s="194"/>
      <c r="I285" s="194"/>
      <c r="J285" s="693"/>
      <c r="K285" s="726"/>
      <c r="L285" s="693"/>
      <c r="M285" s="693"/>
      <c r="N285" s="688"/>
      <c r="O285" s="689"/>
      <c r="P285" s="688"/>
      <c r="Q285" s="739"/>
      <c r="R285" s="689"/>
      <c r="S285" s="689"/>
      <c r="T285" s="728"/>
      <c r="U285" s="147"/>
      <c r="V285" s="147"/>
      <c r="W285" s="160">
        <f>SUM(W286)</f>
        <v>0</v>
      </c>
      <c r="X285" s="160"/>
      <c r="Y285" s="160"/>
      <c r="Z285" s="160">
        <f t="shared" ref="Z285:BL285" si="360">SUM(Z286)</f>
        <v>0</v>
      </c>
      <c r="AA285" s="160"/>
      <c r="AB285" s="160"/>
      <c r="AC285" s="160">
        <f t="shared" si="360"/>
        <v>0</v>
      </c>
      <c r="AD285" s="160"/>
      <c r="AE285" s="160"/>
      <c r="AF285" s="160">
        <f t="shared" si="360"/>
        <v>0</v>
      </c>
      <c r="AG285" s="160"/>
      <c r="AH285" s="160"/>
      <c r="AI285" s="160">
        <f t="shared" si="360"/>
        <v>0</v>
      </c>
      <c r="AJ285" s="160"/>
      <c r="AK285" s="160"/>
      <c r="AL285" s="160">
        <f t="shared" si="360"/>
        <v>0</v>
      </c>
      <c r="AM285" s="160"/>
      <c r="AN285" s="160"/>
      <c r="AO285" s="160">
        <f t="shared" si="360"/>
        <v>0</v>
      </c>
      <c r="AP285" s="160"/>
      <c r="AQ285" s="160"/>
      <c r="AR285" s="160">
        <f t="shared" si="360"/>
        <v>0</v>
      </c>
      <c r="AS285" s="160"/>
      <c r="AT285" s="160"/>
      <c r="AU285" s="160">
        <f t="shared" si="360"/>
        <v>0</v>
      </c>
      <c r="AV285" s="160"/>
      <c r="AW285" s="160"/>
      <c r="AX285" s="160">
        <f t="shared" si="360"/>
        <v>0</v>
      </c>
      <c r="AY285" s="160"/>
      <c r="AZ285" s="160"/>
      <c r="BA285" s="160">
        <f>SUM(BA286)</f>
        <v>14250000</v>
      </c>
      <c r="BB285" s="160">
        <f t="shared" ref="BB285:BC285" si="361">SUM(BB286)</f>
        <v>7420000</v>
      </c>
      <c r="BC285" s="160">
        <f t="shared" si="361"/>
        <v>0</v>
      </c>
      <c r="BD285" s="160">
        <f t="shared" si="360"/>
        <v>0</v>
      </c>
      <c r="BE285" s="160"/>
      <c r="BF285" s="160"/>
      <c r="BG285" s="160">
        <f t="shared" si="360"/>
        <v>0</v>
      </c>
      <c r="BH285" s="160"/>
      <c r="BI285" s="160"/>
      <c r="BJ285" s="160">
        <f t="shared" si="360"/>
        <v>14250000</v>
      </c>
      <c r="BK285" s="160">
        <f t="shared" si="360"/>
        <v>7420000</v>
      </c>
      <c r="BL285" s="160">
        <f t="shared" si="360"/>
        <v>0</v>
      </c>
      <c r="BM285" s="160"/>
      <c r="BN285" s="160"/>
    </row>
    <row r="286" spans="1:106" ht="183" customHeight="1" x14ac:dyDescent="0.2">
      <c r="A286" s="145"/>
      <c r="B286" s="91"/>
      <c r="C286" s="91"/>
      <c r="D286" s="91"/>
      <c r="E286" s="91"/>
      <c r="F286" s="567"/>
      <c r="G286" s="216"/>
      <c r="H286" s="562" t="s">
        <v>805</v>
      </c>
      <c r="I286" s="85">
        <v>3301051</v>
      </c>
      <c r="J286" s="562" t="s">
        <v>806</v>
      </c>
      <c r="K286" s="85">
        <v>3301051</v>
      </c>
      <c r="L286" s="562" t="s">
        <v>806</v>
      </c>
      <c r="M286" s="85">
        <v>330105110</v>
      </c>
      <c r="N286" s="561" t="s">
        <v>807</v>
      </c>
      <c r="O286" s="85">
        <v>330105110</v>
      </c>
      <c r="P286" s="561" t="s">
        <v>807</v>
      </c>
      <c r="Q286" s="195" t="s">
        <v>68</v>
      </c>
      <c r="R286" s="125">
        <v>250</v>
      </c>
      <c r="S286" s="125">
        <v>44</v>
      </c>
      <c r="T286" s="570" t="s">
        <v>808</v>
      </c>
      <c r="U286" s="561" t="s">
        <v>809</v>
      </c>
      <c r="V286" s="562" t="s">
        <v>810</v>
      </c>
      <c r="W286" s="150"/>
      <c r="X286" s="150"/>
      <c r="Y286" s="150"/>
      <c r="Z286" s="150"/>
      <c r="AA286" s="150"/>
      <c r="AB286" s="150"/>
      <c r="AC286" s="150"/>
      <c r="AD286" s="150"/>
      <c r="AE286" s="150"/>
      <c r="AF286" s="150"/>
      <c r="AG286" s="150"/>
      <c r="AH286" s="150"/>
      <c r="AI286" s="150"/>
      <c r="AJ286" s="262"/>
      <c r="AK286" s="262"/>
      <c r="AL286" s="262"/>
      <c r="AM286" s="262"/>
      <c r="AN286" s="262"/>
      <c r="AO286" s="150"/>
      <c r="AP286" s="150"/>
      <c r="AQ286" s="150"/>
      <c r="AR286" s="150"/>
      <c r="AS286" s="263"/>
      <c r="AT286" s="263"/>
      <c r="AU286" s="263"/>
      <c r="AV286" s="263"/>
      <c r="AW286" s="263"/>
      <c r="AX286" s="150"/>
      <c r="AY286" s="150"/>
      <c r="AZ286" s="150"/>
      <c r="BA286" s="161">
        <v>14250000</v>
      </c>
      <c r="BB286" s="161">
        <v>7420000</v>
      </c>
      <c r="BC286" s="161"/>
      <c r="BD286" s="150"/>
      <c r="BE286" s="150"/>
      <c r="BF286" s="150"/>
      <c r="BG286" s="150"/>
      <c r="BH286" s="150"/>
      <c r="BI286" s="150"/>
      <c r="BJ286" s="151">
        <f>+W286+Z286+AC286+AF286+AI286+AL286+AO286+AR286+AU286+AX286+BA286+BD286+BG286</f>
        <v>14250000</v>
      </c>
      <c r="BK286" s="151">
        <f t="shared" ref="BK286:BL286" si="362">+X286+AA286+AD286+AG286+AJ286+AM286+AP286+AS286+AV286+AY286+BB286+BE286+BH286</f>
        <v>7420000</v>
      </c>
      <c r="BL286" s="151">
        <f t="shared" si="362"/>
        <v>0</v>
      </c>
      <c r="BM286" s="151" t="s">
        <v>800</v>
      </c>
      <c r="BN286" s="72" t="s">
        <v>801</v>
      </c>
    </row>
    <row r="287" spans="1:106" s="9" customFormat="1" ht="24" customHeight="1" x14ac:dyDescent="0.25">
      <c r="A287" s="130"/>
      <c r="B287" s="83"/>
      <c r="C287" s="83"/>
      <c r="D287" s="408">
        <v>41</v>
      </c>
      <c r="E287" s="75" t="s">
        <v>811</v>
      </c>
      <c r="F287" s="75"/>
      <c r="G287" s="135"/>
      <c r="H287" s="136"/>
      <c r="I287" s="136"/>
      <c r="J287" s="138"/>
      <c r="K287" s="137"/>
      <c r="L287" s="138"/>
      <c r="M287" s="138"/>
      <c r="N287" s="140"/>
      <c r="O287" s="139"/>
      <c r="P287" s="140"/>
      <c r="Q287" s="141"/>
      <c r="R287" s="139"/>
      <c r="S287" s="139"/>
      <c r="T287" s="204"/>
      <c r="U287" s="143"/>
      <c r="V287" s="143"/>
      <c r="W287" s="144">
        <f t="shared" ref="W287:BJ287" si="363">W288+W299+W307</f>
        <v>3526539574</v>
      </c>
      <c r="X287" s="144">
        <f t="shared" ref="X287:Y287" si="364">X288+X299+X307</f>
        <v>0</v>
      </c>
      <c r="Y287" s="144">
        <f t="shared" si="364"/>
        <v>0</v>
      </c>
      <c r="Z287" s="144">
        <f t="shared" si="363"/>
        <v>0</v>
      </c>
      <c r="AA287" s="144"/>
      <c r="AB287" s="144"/>
      <c r="AC287" s="144">
        <f t="shared" si="363"/>
        <v>0</v>
      </c>
      <c r="AD287" s="144"/>
      <c r="AE287" s="144"/>
      <c r="AF287" s="144">
        <f t="shared" si="363"/>
        <v>0</v>
      </c>
      <c r="AG287" s="144"/>
      <c r="AH287" s="144"/>
      <c r="AI287" s="144">
        <f t="shared" si="363"/>
        <v>0</v>
      </c>
      <c r="AJ287" s="144"/>
      <c r="AK287" s="144"/>
      <c r="AL287" s="144">
        <f t="shared" si="363"/>
        <v>0</v>
      </c>
      <c r="AM287" s="144"/>
      <c r="AN287" s="144"/>
      <c r="AO287" s="144">
        <f t="shared" si="363"/>
        <v>0</v>
      </c>
      <c r="AP287" s="144"/>
      <c r="AQ287" s="144"/>
      <c r="AR287" s="144">
        <f t="shared" si="363"/>
        <v>0</v>
      </c>
      <c r="AS287" s="144"/>
      <c r="AT287" s="144"/>
      <c r="AU287" s="144">
        <f t="shared" si="363"/>
        <v>0</v>
      </c>
      <c r="AV287" s="144"/>
      <c r="AW287" s="144"/>
      <c r="AX287" s="144">
        <f t="shared" si="363"/>
        <v>0</v>
      </c>
      <c r="AY287" s="144"/>
      <c r="AZ287" s="144"/>
      <c r="BA287" s="144">
        <f t="shared" si="363"/>
        <v>1076000000</v>
      </c>
      <c r="BB287" s="144">
        <f t="shared" ref="BB287:BC287" si="365">BB288+BB299+BB307</f>
        <v>251040000</v>
      </c>
      <c r="BC287" s="144">
        <f t="shared" si="365"/>
        <v>32410000</v>
      </c>
      <c r="BD287" s="144">
        <f t="shared" si="363"/>
        <v>0</v>
      </c>
      <c r="BE287" s="144"/>
      <c r="BF287" s="144"/>
      <c r="BG287" s="144">
        <f t="shared" si="363"/>
        <v>0</v>
      </c>
      <c r="BH287" s="144"/>
      <c r="BI287" s="144"/>
      <c r="BJ287" s="144">
        <f t="shared" si="363"/>
        <v>4602539574</v>
      </c>
      <c r="BK287" s="144">
        <f t="shared" ref="BK287:BL287" si="366">BK288+BK299+BK307</f>
        <v>251040000</v>
      </c>
      <c r="BL287" s="144">
        <f t="shared" si="366"/>
        <v>32410000</v>
      </c>
      <c r="BM287" s="144"/>
      <c r="BN287" s="169"/>
      <c r="BO287" s="8"/>
      <c r="BP287" s="8"/>
      <c r="BQ287" s="8"/>
      <c r="BR287" s="8"/>
      <c r="BS287" s="8"/>
      <c r="BT287" s="8"/>
      <c r="BU287" s="8"/>
      <c r="BV287" s="8"/>
      <c r="BW287" s="8"/>
      <c r="BX287" s="8"/>
      <c r="BY287" s="8"/>
      <c r="BZ287" s="8"/>
      <c r="CA287" s="8"/>
      <c r="CB287" s="8"/>
      <c r="CC287" s="8"/>
      <c r="CD287" s="8"/>
      <c r="CE287" s="8"/>
      <c r="CF287" s="8"/>
      <c r="CG287" s="8"/>
      <c r="CH287" s="8"/>
      <c r="CI287" s="8"/>
      <c r="CJ287" s="8"/>
      <c r="CK287" s="8"/>
      <c r="CL287" s="8"/>
      <c r="CM287" s="8"/>
      <c r="CN287" s="8"/>
      <c r="CO287" s="8"/>
      <c r="CP287" s="8"/>
      <c r="CQ287" s="8"/>
      <c r="CR287" s="8"/>
      <c r="CS287" s="8"/>
      <c r="CT287" s="8"/>
      <c r="CU287" s="8"/>
      <c r="CV287" s="8"/>
      <c r="CW287" s="8"/>
      <c r="CX287" s="8"/>
      <c r="CY287" s="8"/>
      <c r="CZ287" s="8"/>
      <c r="DA287" s="8"/>
      <c r="DB287" s="8"/>
    </row>
    <row r="288" spans="1:106" ht="24" customHeight="1" x14ac:dyDescent="0.2">
      <c r="A288" s="145"/>
      <c r="B288" s="91"/>
      <c r="C288" s="91"/>
      <c r="D288" s="91"/>
      <c r="E288" s="91"/>
      <c r="F288" s="154">
        <v>4102</v>
      </c>
      <c r="G288" s="81" t="s">
        <v>812</v>
      </c>
      <c r="H288" s="194"/>
      <c r="I288" s="194"/>
      <c r="J288" s="693"/>
      <c r="K288" s="726"/>
      <c r="L288" s="693"/>
      <c r="M288" s="693"/>
      <c r="N288" s="688"/>
      <c r="O288" s="689"/>
      <c r="P288" s="688"/>
      <c r="Q288" s="727"/>
      <c r="R288" s="689"/>
      <c r="S288" s="689"/>
      <c r="T288" s="728"/>
      <c r="U288" s="147"/>
      <c r="V288" s="147"/>
      <c r="W288" s="160">
        <f t="shared" ref="W288:BJ288" si="367">SUM(W289:W298)</f>
        <v>0</v>
      </c>
      <c r="X288" s="160">
        <f t="shared" ref="X288:Y288" si="368">SUM(X289:X298)</f>
        <v>0</v>
      </c>
      <c r="Y288" s="160">
        <f t="shared" si="368"/>
        <v>0</v>
      </c>
      <c r="Z288" s="160">
        <f t="shared" si="367"/>
        <v>0</v>
      </c>
      <c r="AA288" s="160"/>
      <c r="AB288" s="160"/>
      <c r="AC288" s="160">
        <f t="shared" si="367"/>
        <v>0</v>
      </c>
      <c r="AD288" s="160"/>
      <c r="AE288" s="160"/>
      <c r="AF288" s="160">
        <f t="shared" si="367"/>
        <v>0</v>
      </c>
      <c r="AG288" s="160"/>
      <c r="AH288" s="160"/>
      <c r="AI288" s="160">
        <f t="shared" si="367"/>
        <v>0</v>
      </c>
      <c r="AJ288" s="160"/>
      <c r="AK288" s="160"/>
      <c r="AL288" s="160">
        <f t="shared" si="367"/>
        <v>0</v>
      </c>
      <c r="AM288" s="160"/>
      <c r="AN288" s="160"/>
      <c r="AO288" s="160">
        <f t="shared" si="367"/>
        <v>0</v>
      </c>
      <c r="AP288" s="160"/>
      <c r="AQ288" s="160"/>
      <c r="AR288" s="160">
        <f t="shared" si="367"/>
        <v>0</v>
      </c>
      <c r="AS288" s="160"/>
      <c r="AT288" s="160"/>
      <c r="AU288" s="160">
        <f t="shared" si="367"/>
        <v>0</v>
      </c>
      <c r="AV288" s="160"/>
      <c r="AW288" s="160"/>
      <c r="AX288" s="160">
        <f t="shared" si="367"/>
        <v>0</v>
      </c>
      <c r="AY288" s="160"/>
      <c r="AZ288" s="160"/>
      <c r="BA288" s="160">
        <f t="shared" si="367"/>
        <v>748000000</v>
      </c>
      <c r="BB288" s="160">
        <f t="shared" ref="BB288:BC288" si="369">SUM(BB289:BB298)</f>
        <v>178260000</v>
      </c>
      <c r="BC288" s="160">
        <f t="shared" si="369"/>
        <v>16650000</v>
      </c>
      <c r="BD288" s="160">
        <f t="shared" si="367"/>
        <v>0</v>
      </c>
      <c r="BE288" s="160"/>
      <c r="BF288" s="160"/>
      <c r="BG288" s="160">
        <f t="shared" si="367"/>
        <v>0</v>
      </c>
      <c r="BH288" s="160"/>
      <c r="BI288" s="160"/>
      <c r="BJ288" s="160">
        <f t="shared" si="367"/>
        <v>748000000</v>
      </c>
      <c r="BK288" s="160">
        <f t="shared" ref="BK288:BL288" si="370">SUM(BK289:BK298)</f>
        <v>178260000</v>
      </c>
      <c r="BL288" s="160">
        <f t="shared" si="370"/>
        <v>16650000</v>
      </c>
      <c r="BM288" s="160"/>
      <c r="BN288" s="160"/>
    </row>
    <row r="289" spans="1:66" ht="127.5" customHeight="1" x14ac:dyDescent="0.2">
      <c r="A289" s="145"/>
      <c r="B289" s="91"/>
      <c r="C289" s="91"/>
      <c r="D289" s="91"/>
      <c r="E289" s="91"/>
      <c r="F289" s="87"/>
      <c r="G289" s="216"/>
      <c r="H289" s="562" t="s">
        <v>813</v>
      </c>
      <c r="I289" s="82" t="s">
        <v>47</v>
      </c>
      <c r="J289" s="571" t="s">
        <v>814</v>
      </c>
      <c r="K289" s="90">
        <v>4102035</v>
      </c>
      <c r="L289" s="571" t="s">
        <v>96</v>
      </c>
      <c r="M289" s="82" t="s">
        <v>47</v>
      </c>
      <c r="N289" s="577" t="s">
        <v>815</v>
      </c>
      <c r="O289" s="234">
        <v>410203500</v>
      </c>
      <c r="P289" s="577" t="s">
        <v>98</v>
      </c>
      <c r="Q289" s="200" t="s">
        <v>52</v>
      </c>
      <c r="R289" s="191">
        <v>1</v>
      </c>
      <c r="S289" s="191">
        <v>0.15</v>
      </c>
      <c r="T289" s="862" t="s">
        <v>816</v>
      </c>
      <c r="U289" s="873" t="s">
        <v>1525</v>
      </c>
      <c r="V289" s="875" t="s">
        <v>817</v>
      </c>
      <c r="W289" s="150"/>
      <c r="X289" s="150"/>
      <c r="Y289" s="150"/>
      <c r="Z289" s="150"/>
      <c r="AA289" s="150"/>
      <c r="AB289" s="150"/>
      <c r="AC289" s="150"/>
      <c r="AD289" s="150"/>
      <c r="AE289" s="150"/>
      <c r="AF289" s="150"/>
      <c r="AG289" s="150"/>
      <c r="AH289" s="150"/>
      <c r="AI289" s="150"/>
      <c r="AJ289" s="262"/>
      <c r="AK289" s="262"/>
      <c r="AL289" s="262"/>
      <c r="AM289" s="262"/>
      <c r="AN289" s="262"/>
      <c r="AO289" s="150"/>
      <c r="AP289" s="150"/>
      <c r="AQ289" s="150"/>
      <c r="AR289" s="150"/>
      <c r="AS289" s="263"/>
      <c r="AT289" s="263"/>
      <c r="AU289" s="263"/>
      <c r="AV289" s="263"/>
      <c r="AW289" s="263"/>
      <c r="AX289" s="150"/>
      <c r="AY289" s="150"/>
      <c r="AZ289" s="150"/>
      <c r="BA289" s="161">
        <v>20000000</v>
      </c>
      <c r="BB289" s="161"/>
      <c r="BC289" s="161"/>
      <c r="BD289" s="150"/>
      <c r="BE289" s="150"/>
      <c r="BF289" s="150"/>
      <c r="BG289" s="150"/>
      <c r="BH289" s="150"/>
      <c r="BI289" s="150"/>
      <c r="BJ289" s="151">
        <f t="shared" ref="BJ289:BJ298" si="371">+W289+Z289+AC289+AF289+AI289+AL289+AO289+AR289+AU289+AX289+BA289+BD289+BG289</f>
        <v>20000000</v>
      </c>
      <c r="BK289" s="151">
        <f t="shared" ref="BK289:BK298" si="372">+X289+AA289+AD289+AG289+AJ289+AM289+AP289+AS289+AV289+AY289+BB289+BE289+BH289</f>
        <v>0</v>
      </c>
      <c r="BL289" s="151">
        <f t="shared" ref="BL289:BL298" si="373">+Y289+AB289+AE289+AH289+AK289+AN289+AQ289+AT289+AW289+AZ289+BC289+BF289+BI289</f>
        <v>0</v>
      </c>
      <c r="BM289" s="151" t="s">
        <v>800</v>
      </c>
      <c r="BN289" s="72" t="s">
        <v>801</v>
      </c>
    </row>
    <row r="290" spans="1:66" ht="92.25" customHeight="1" x14ac:dyDescent="0.2">
      <c r="A290" s="68"/>
      <c r="B290" s="91"/>
      <c r="C290" s="91"/>
      <c r="D290" s="91"/>
      <c r="E290" s="91"/>
      <c r="F290" s="112"/>
      <c r="G290" s="115"/>
      <c r="H290" s="571" t="s">
        <v>818</v>
      </c>
      <c r="I290" s="82" t="s">
        <v>47</v>
      </c>
      <c r="J290" s="571" t="s">
        <v>819</v>
      </c>
      <c r="K290" s="438">
        <v>4102001</v>
      </c>
      <c r="L290" s="571" t="s">
        <v>820</v>
      </c>
      <c r="M290" s="82" t="s">
        <v>47</v>
      </c>
      <c r="N290" s="577" t="s">
        <v>821</v>
      </c>
      <c r="O290" s="90">
        <v>410200100</v>
      </c>
      <c r="P290" s="577" t="s">
        <v>822</v>
      </c>
      <c r="Q290" s="200" t="s">
        <v>52</v>
      </c>
      <c r="R290" s="191">
        <v>12</v>
      </c>
      <c r="S290" s="191">
        <v>3</v>
      </c>
      <c r="T290" s="862"/>
      <c r="U290" s="873"/>
      <c r="V290" s="875"/>
      <c r="W290" s="150"/>
      <c r="X290" s="150"/>
      <c r="Y290" s="150"/>
      <c r="Z290" s="150"/>
      <c r="AA290" s="150"/>
      <c r="AB290" s="150"/>
      <c r="AC290" s="150"/>
      <c r="AD290" s="150"/>
      <c r="AE290" s="150"/>
      <c r="AF290" s="150"/>
      <c r="AG290" s="150"/>
      <c r="AH290" s="150"/>
      <c r="AI290" s="150"/>
      <c r="AJ290" s="262"/>
      <c r="AK290" s="262"/>
      <c r="AL290" s="262"/>
      <c r="AM290" s="262"/>
      <c r="AN290" s="262"/>
      <c r="AO290" s="150"/>
      <c r="AP290" s="150"/>
      <c r="AQ290" s="150"/>
      <c r="AR290" s="150"/>
      <c r="AS290" s="263"/>
      <c r="AT290" s="263"/>
      <c r="AU290" s="263"/>
      <c r="AV290" s="263"/>
      <c r="AW290" s="263"/>
      <c r="AX290" s="150"/>
      <c r="AY290" s="150"/>
      <c r="AZ290" s="150"/>
      <c r="BA290" s="161">
        <v>50000000</v>
      </c>
      <c r="BB290" s="161">
        <v>28850000</v>
      </c>
      <c r="BC290" s="161">
        <v>2885000</v>
      </c>
      <c r="BD290" s="150"/>
      <c r="BE290" s="150"/>
      <c r="BF290" s="150"/>
      <c r="BG290" s="150"/>
      <c r="BH290" s="150"/>
      <c r="BI290" s="150"/>
      <c r="BJ290" s="151">
        <f t="shared" si="371"/>
        <v>50000000</v>
      </c>
      <c r="BK290" s="151">
        <f t="shared" si="372"/>
        <v>28850000</v>
      </c>
      <c r="BL290" s="151">
        <f t="shared" si="373"/>
        <v>2885000</v>
      </c>
      <c r="BM290" s="151" t="s">
        <v>800</v>
      </c>
      <c r="BN290" s="72" t="s">
        <v>801</v>
      </c>
    </row>
    <row r="291" spans="1:66" ht="177.75" customHeight="1" x14ac:dyDescent="0.2">
      <c r="A291" s="145"/>
      <c r="B291" s="91"/>
      <c r="C291" s="91"/>
      <c r="D291" s="91"/>
      <c r="E291" s="91"/>
      <c r="F291" s="567"/>
      <c r="G291" s="569"/>
      <c r="H291" s="562" t="s">
        <v>823</v>
      </c>
      <c r="I291" s="82" t="s">
        <v>47</v>
      </c>
      <c r="J291" s="441" t="s">
        <v>824</v>
      </c>
      <c r="K291" s="440" t="s">
        <v>825</v>
      </c>
      <c r="L291" s="441" t="s">
        <v>826</v>
      </c>
      <c r="M291" s="82" t="s">
        <v>47</v>
      </c>
      <c r="N291" s="577" t="s">
        <v>827</v>
      </c>
      <c r="O291" s="267" t="s">
        <v>828</v>
      </c>
      <c r="P291" s="577" t="s">
        <v>829</v>
      </c>
      <c r="Q291" s="200" t="s">
        <v>52</v>
      </c>
      <c r="R291" s="191">
        <v>1</v>
      </c>
      <c r="S291" s="191">
        <v>0.2</v>
      </c>
      <c r="T291" s="570" t="s">
        <v>830</v>
      </c>
      <c r="U291" s="561" t="s">
        <v>831</v>
      </c>
      <c r="V291" s="562" t="s">
        <v>832</v>
      </c>
      <c r="W291" s="150"/>
      <c r="X291" s="150"/>
      <c r="Y291" s="150"/>
      <c r="Z291" s="150"/>
      <c r="AA291" s="150"/>
      <c r="AB291" s="150"/>
      <c r="AC291" s="150"/>
      <c r="AD291" s="150"/>
      <c r="AE291" s="150"/>
      <c r="AF291" s="150"/>
      <c r="AG291" s="150"/>
      <c r="AH291" s="150"/>
      <c r="AI291" s="150"/>
      <c r="AJ291" s="262"/>
      <c r="AK291" s="262"/>
      <c r="AL291" s="262"/>
      <c r="AM291" s="262"/>
      <c r="AN291" s="262"/>
      <c r="AO291" s="150"/>
      <c r="AP291" s="150"/>
      <c r="AQ291" s="150"/>
      <c r="AR291" s="150"/>
      <c r="AS291" s="263"/>
      <c r="AT291" s="263"/>
      <c r="AU291" s="263"/>
      <c r="AV291" s="263"/>
      <c r="AW291" s="263"/>
      <c r="AX291" s="150"/>
      <c r="AY291" s="150"/>
      <c r="AZ291" s="150"/>
      <c r="BA291" s="161">
        <v>135000000</v>
      </c>
      <c r="BB291" s="161">
        <v>27140000</v>
      </c>
      <c r="BC291" s="161"/>
      <c r="BD291" s="150"/>
      <c r="BE291" s="150"/>
      <c r="BF291" s="150"/>
      <c r="BG291" s="150"/>
      <c r="BH291" s="150"/>
      <c r="BI291" s="150"/>
      <c r="BJ291" s="151">
        <f t="shared" si="371"/>
        <v>135000000</v>
      </c>
      <c r="BK291" s="151">
        <f t="shared" si="372"/>
        <v>27140000</v>
      </c>
      <c r="BL291" s="151">
        <f t="shared" si="373"/>
        <v>0</v>
      </c>
      <c r="BM291" s="151" t="s">
        <v>800</v>
      </c>
      <c r="BN291" s="72" t="s">
        <v>801</v>
      </c>
    </row>
    <row r="292" spans="1:66" ht="336" customHeight="1" x14ac:dyDescent="0.2">
      <c r="A292" s="145"/>
      <c r="B292" s="91"/>
      <c r="C292" s="91"/>
      <c r="D292" s="91"/>
      <c r="E292" s="91"/>
      <c r="F292" s="567"/>
      <c r="G292" s="216"/>
      <c r="H292" s="562" t="s">
        <v>833</v>
      </c>
      <c r="I292" s="82" t="s">
        <v>47</v>
      </c>
      <c r="J292" s="565" t="s">
        <v>834</v>
      </c>
      <c r="K292" s="439" t="s">
        <v>835</v>
      </c>
      <c r="L292" s="565" t="s">
        <v>96</v>
      </c>
      <c r="M292" s="82" t="s">
        <v>47</v>
      </c>
      <c r="N292" s="559" t="s">
        <v>836</v>
      </c>
      <c r="O292" s="85" t="s">
        <v>837</v>
      </c>
      <c r="P292" s="559" t="s">
        <v>838</v>
      </c>
      <c r="Q292" s="200" t="s">
        <v>68</v>
      </c>
      <c r="R292" s="200">
        <v>1</v>
      </c>
      <c r="S292" s="849">
        <v>0.25</v>
      </c>
      <c r="T292" s="863" t="s">
        <v>839</v>
      </c>
      <c r="U292" s="882" t="s">
        <v>840</v>
      </c>
      <c r="V292" s="884" t="s">
        <v>841</v>
      </c>
      <c r="W292" s="150"/>
      <c r="X292" s="150"/>
      <c r="Y292" s="150"/>
      <c r="Z292" s="150"/>
      <c r="AA292" s="150"/>
      <c r="AB292" s="150"/>
      <c r="AC292" s="150"/>
      <c r="AD292" s="150"/>
      <c r="AE292" s="150"/>
      <c r="AF292" s="150"/>
      <c r="AG292" s="150"/>
      <c r="AH292" s="150"/>
      <c r="AI292" s="150"/>
      <c r="AJ292" s="262"/>
      <c r="AK292" s="262"/>
      <c r="AL292" s="262"/>
      <c r="AM292" s="262"/>
      <c r="AN292" s="262"/>
      <c r="AO292" s="150"/>
      <c r="AP292" s="150"/>
      <c r="AQ292" s="150"/>
      <c r="AR292" s="150"/>
      <c r="AS292" s="263"/>
      <c r="AT292" s="263"/>
      <c r="AU292" s="263"/>
      <c r="AV292" s="263"/>
      <c r="AW292" s="263"/>
      <c r="AX292" s="150"/>
      <c r="AY292" s="150"/>
      <c r="AZ292" s="150"/>
      <c r="BA292" s="161">
        <v>36000000</v>
      </c>
      <c r="BB292" s="161">
        <v>15540000</v>
      </c>
      <c r="BC292" s="161">
        <v>5770000</v>
      </c>
      <c r="BD292" s="150"/>
      <c r="BE292" s="150"/>
      <c r="BF292" s="150"/>
      <c r="BG292" s="150"/>
      <c r="BH292" s="150"/>
      <c r="BI292" s="150"/>
      <c r="BJ292" s="151">
        <f t="shared" ref="BJ292:BJ293" si="374">+W292+Z292+AC292+AF292+AI292+AL292+AO292+AR292+AU292+AX292+BA292+BD292+BG292</f>
        <v>36000000</v>
      </c>
      <c r="BK292" s="151">
        <f t="shared" si="372"/>
        <v>15540000</v>
      </c>
      <c r="BL292" s="151">
        <f t="shared" si="373"/>
        <v>5770000</v>
      </c>
      <c r="BM292" s="151" t="s">
        <v>800</v>
      </c>
      <c r="BN292" s="72" t="s">
        <v>801</v>
      </c>
    </row>
    <row r="293" spans="1:66" ht="282" customHeight="1" x14ac:dyDescent="0.2">
      <c r="A293" s="145"/>
      <c r="B293" s="91"/>
      <c r="C293" s="91"/>
      <c r="D293" s="91"/>
      <c r="E293" s="91"/>
      <c r="F293" s="567"/>
      <c r="G293" s="216"/>
      <c r="H293" s="562" t="s">
        <v>833</v>
      </c>
      <c r="I293" s="82" t="s">
        <v>47</v>
      </c>
      <c r="J293" s="565" t="s">
        <v>842</v>
      </c>
      <c r="K293" s="410" t="s">
        <v>825</v>
      </c>
      <c r="L293" s="565" t="s">
        <v>843</v>
      </c>
      <c r="M293" s="82" t="s">
        <v>47</v>
      </c>
      <c r="N293" s="559" t="s">
        <v>844</v>
      </c>
      <c r="O293" s="85">
        <v>410204301</v>
      </c>
      <c r="P293" s="559" t="s">
        <v>845</v>
      </c>
      <c r="Q293" s="200" t="s">
        <v>52</v>
      </c>
      <c r="R293" s="200">
        <v>1</v>
      </c>
      <c r="S293" s="593">
        <v>0.25</v>
      </c>
      <c r="T293" s="861"/>
      <c r="U293" s="883"/>
      <c r="V293" s="885"/>
      <c r="W293" s="150"/>
      <c r="X293" s="150"/>
      <c r="Y293" s="150"/>
      <c r="Z293" s="150"/>
      <c r="AA293" s="150"/>
      <c r="AB293" s="150"/>
      <c r="AC293" s="150"/>
      <c r="AD293" s="150"/>
      <c r="AE293" s="150"/>
      <c r="AF293" s="150"/>
      <c r="AG293" s="150"/>
      <c r="AH293" s="150"/>
      <c r="AI293" s="150"/>
      <c r="AJ293" s="262"/>
      <c r="AK293" s="262"/>
      <c r="AL293" s="262"/>
      <c r="AM293" s="262"/>
      <c r="AN293" s="262"/>
      <c r="AO293" s="150"/>
      <c r="AP293" s="150"/>
      <c r="AQ293" s="150"/>
      <c r="AR293" s="150"/>
      <c r="AS293" s="263"/>
      <c r="AT293" s="263"/>
      <c r="AU293" s="263"/>
      <c r="AV293" s="263"/>
      <c r="AW293" s="263"/>
      <c r="AX293" s="150"/>
      <c r="AY293" s="150"/>
      <c r="AZ293" s="150"/>
      <c r="BA293" s="161">
        <v>204000000</v>
      </c>
      <c r="BB293" s="161">
        <v>32430000</v>
      </c>
      <c r="BC293" s="161">
        <v>5110000</v>
      </c>
      <c r="BD293" s="150"/>
      <c r="BE293" s="150"/>
      <c r="BF293" s="150"/>
      <c r="BG293" s="150"/>
      <c r="BH293" s="150"/>
      <c r="BI293" s="150"/>
      <c r="BJ293" s="151">
        <f t="shared" si="374"/>
        <v>204000000</v>
      </c>
      <c r="BK293" s="151">
        <f t="shared" si="372"/>
        <v>32430000</v>
      </c>
      <c r="BL293" s="151">
        <f t="shared" si="373"/>
        <v>5110000</v>
      </c>
      <c r="BM293" s="151" t="s">
        <v>800</v>
      </c>
      <c r="BN293" s="72" t="s">
        <v>801</v>
      </c>
    </row>
    <row r="294" spans="1:66" s="44" customFormat="1" ht="204" customHeight="1" x14ac:dyDescent="0.2">
      <c r="A294" s="337"/>
      <c r="B294" s="83"/>
      <c r="C294" s="83"/>
      <c r="D294" s="83"/>
      <c r="E294" s="83"/>
      <c r="F294" s="82"/>
      <c r="G294" s="558"/>
      <c r="H294" s="565" t="s">
        <v>846</v>
      </c>
      <c r="I294" s="82" t="s">
        <v>47</v>
      </c>
      <c r="J294" s="565" t="s">
        <v>847</v>
      </c>
      <c r="K294" s="85">
        <v>4102038</v>
      </c>
      <c r="L294" s="565" t="s">
        <v>848</v>
      </c>
      <c r="M294" s="82" t="s">
        <v>47</v>
      </c>
      <c r="N294" s="565" t="s">
        <v>849</v>
      </c>
      <c r="O294" s="85">
        <v>410203800</v>
      </c>
      <c r="P294" s="565" t="s">
        <v>877</v>
      </c>
      <c r="Q294" s="200" t="s">
        <v>52</v>
      </c>
      <c r="R294" s="200">
        <v>1</v>
      </c>
      <c r="S294" s="200">
        <v>0.25</v>
      </c>
      <c r="T294" s="570" t="s">
        <v>850</v>
      </c>
      <c r="U294" s="559" t="s">
        <v>851</v>
      </c>
      <c r="V294" s="565" t="s">
        <v>852</v>
      </c>
      <c r="W294" s="150"/>
      <c r="X294" s="150"/>
      <c r="Y294" s="150"/>
      <c r="Z294" s="150"/>
      <c r="AA294" s="150"/>
      <c r="AB294" s="150"/>
      <c r="AC294" s="150"/>
      <c r="AD294" s="150"/>
      <c r="AE294" s="150"/>
      <c r="AF294" s="150"/>
      <c r="AG294" s="150"/>
      <c r="AH294" s="150"/>
      <c r="AI294" s="150"/>
      <c r="AJ294" s="262"/>
      <c r="AK294" s="262"/>
      <c r="AL294" s="262"/>
      <c r="AM294" s="262"/>
      <c r="AN294" s="262"/>
      <c r="AO294" s="150"/>
      <c r="AP294" s="150"/>
      <c r="AQ294" s="150"/>
      <c r="AR294" s="150"/>
      <c r="AS294" s="263"/>
      <c r="AT294" s="263"/>
      <c r="AU294" s="263"/>
      <c r="AV294" s="263"/>
      <c r="AW294" s="263"/>
      <c r="AX294" s="150"/>
      <c r="AY294" s="150"/>
      <c r="AZ294" s="150"/>
      <c r="BA294" s="161">
        <v>210000000</v>
      </c>
      <c r="BB294" s="161">
        <v>50260000</v>
      </c>
      <c r="BC294" s="161">
        <v>2885000</v>
      </c>
      <c r="BD294" s="150"/>
      <c r="BE294" s="150"/>
      <c r="BF294" s="150"/>
      <c r="BG294" s="150"/>
      <c r="BH294" s="150"/>
      <c r="BI294" s="150"/>
      <c r="BJ294" s="339">
        <f t="shared" si="371"/>
        <v>210000000</v>
      </c>
      <c r="BK294" s="339">
        <f t="shared" si="372"/>
        <v>50260000</v>
      </c>
      <c r="BL294" s="339">
        <f t="shared" si="373"/>
        <v>2885000</v>
      </c>
      <c r="BM294" s="339" t="s">
        <v>800</v>
      </c>
      <c r="BN294" s="341" t="s">
        <v>801</v>
      </c>
    </row>
    <row r="295" spans="1:66" ht="189.75" customHeight="1" x14ac:dyDescent="0.2">
      <c r="A295" s="145"/>
      <c r="B295" s="91"/>
      <c r="C295" s="91"/>
      <c r="D295" s="91"/>
      <c r="E295" s="91"/>
      <c r="F295" s="567"/>
      <c r="G295" s="216"/>
      <c r="H295" s="562" t="s">
        <v>853</v>
      </c>
      <c r="I295" s="82" t="s">
        <v>47</v>
      </c>
      <c r="J295" s="565" t="s">
        <v>854</v>
      </c>
      <c r="K295" s="85">
        <v>4102042</v>
      </c>
      <c r="L295" s="565" t="s">
        <v>855</v>
      </c>
      <c r="M295" s="82" t="s">
        <v>47</v>
      </c>
      <c r="N295" s="561" t="s">
        <v>856</v>
      </c>
      <c r="O295" s="85">
        <v>410204200</v>
      </c>
      <c r="P295" s="561" t="s">
        <v>857</v>
      </c>
      <c r="Q295" s="200" t="s">
        <v>52</v>
      </c>
      <c r="R295" s="191">
        <v>12</v>
      </c>
      <c r="S295" s="191">
        <v>0</v>
      </c>
      <c r="T295" s="572" t="s">
        <v>858</v>
      </c>
      <c r="U295" s="268" t="s">
        <v>859</v>
      </c>
      <c r="V295" s="123" t="s">
        <v>860</v>
      </c>
      <c r="W295" s="150"/>
      <c r="X295" s="150"/>
      <c r="Y295" s="150"/>
      <c r="Z295" s="150"/>
      <c r="AA295" s="150"/>
      <c r="AB295" s="150"/>
      <c r="AC295" s="150"/>
      <c r="AD295" s="150"/>
      <c r="AE295" s="150"/>
      <c r="AF295" s="150"/>
      <c r="AG295" s="150"/>
      <c r="AH295" s="150"/>
      <c r="AI295" s="150"/>
      <c r="AJ295" s="262"/>
      <c r="AK295" s="262"/>
      <c r="AL295" s="262"/>
      <c r="AM295" s="262"/>
      <c r="AN295" s="262"/>
      <c r="AO295" s="150"/>
      <c r="AP295" s="150"/>
      <c r="AQ295" s="150"/>
      <c r="AR295" s="150"/>
      <c r="AS295" s="263"/>
      <c r="AT295" s="263"/>
      <c r="AU295" s="263"/>
      <c r="AV295" s="263"/>
      <c r="AW295" s="263"/>
      <c r="AX295" s="150"/>
      <c r="AY295" s="150"/>
      <c r="AZ295" s="150"/>
      <c r="BA295" s="161">
        <v>18000000</v>
      </c>
      <c r="BB295" s="161">
        <v>10000000</v>
      </c>
      <c r="BC295" s="161"/>
      <c r="BD295" s="150"/>
      <c r="BE295" s="150"/>
      <c r="BF295" s="150"/>
      <c r="BG295" s="150"/>
      <c r="BH295" s="150"/>
      <c r="BI295" s="150"/>
      <c r="BJ295" s="151">
        <f t="shared" si="371"/>
        <v>18000000</v>
      </c>
      <c r="BK295" s="151">
        <f t="shared" si="372"/>
        <v>10000000</v>
      </c>
      <c r="BL295" s="151">
        <f t="shared" si="373"/>
        <v>0</v>
      </c>
      <c r="BM295" s="151" t="s">
        <v>800</v>
      </c>
      <c r="BN295" s="72" t="s">
        <v>801</v>
      </c>
    </row>
    <row r="296" spans="1:66" ht="116.25" customHeight="1" x14ac:dyDescent="0.2">
      <c r="A296" s="145"/>
      <c r="B296" s="91"/>
      <c r="C296" s="91"/>
      <c r="D296" s="91"/>
      <c r="E296" s="91"/>
      <c r="F296" s="567"/>
      <c r="G296" s="216"/>
      <c r="H296" s="562" t="s">
        <v>861</v>
      </c>
      <c r="I296" s="82" t="s">
        <v>47</v>
      </c>
      <c r="J296" s="111" t="s">
        <v>862</v>
      </c>
      <c r="K296" s="90">
        <v>4102001</v>
      </c>
      <c r="L296" s="111" t="s">
        <v>863</v>
      </c>
      <c r="M296" s="82" t="s">
        <v>47</v>
      </c>
      <c r="N296" s="110" t="s">
        <v>864</v>
      </c>
      <c r="O296" s="90">
        <v>410200100</v>
      </c>
      <c r="P296" s="110" t="s">
        <v>865</v>
      </c>
      <c r="Q296" s="200" t="s">
        <v>52</v>
      </c>
      <c r="R296" s="191">
        <v>1</v>
      </c>
      <c r="S296" s="191">
        <v>0.1</v>
      </c>
      <c r="T296" s="865" t="s">
        <v>866</v>
      </c>
      <c r="U296" s="868" t="s">
        <v>867</v>
      </c>
      <c r="V296" s="868" t="s">
        <v>868</v>
      </c>
      <c r="W296" s="150"/>
      <c r="X296" s="150"/>
      <c r="Y296" s="150"/>
      <c r="Z296" s="150"/>
      <c r="AA296" s="150"/>
      <c r="AB296" s="150"/>
      <c r="AC296" s="150"/>
      <c r="AD296" s="150"/>
      <c r="AE296" s="150"/>
      <c r="AF296" s="150"/>
      <c r="AG296" s="150"/>
      <c r="AH296" s="150"/>
      <c r="AI296" s="150"/>
      <c r="AJ296" s="262"/>
      <c r="AK296" s="262"/>
      <c r="AL296" s="262"/>
      <c r="AM296" s="262"/>
      <c r="AN296" s="262"/>
      <c r="AO296" s="150"/>
      <c r="AP296" s="150"/>
      <c r="AQ296" s="150"/>
      <c r="AR296" s="150"/>
      <c r="AS296" s="263"/>
      <c r="AT296" s="263"/>
      <c r="AU296" s="263"/>
      <c r="AV296" s="263"/>
      <c r="AW296" s="263"/>
      <c r="AX296" s="150"/>
      <c r="AY296" s="150"/>
      <c r="AZ296" s="150"/>
      <c r="BA296" s="161">
        <v>20000000</v>
      </c>
      <c r="BB296" s="161">
        <v>2540000</v>
      </c>
      <c r="BC296" s="161"/>
      <c r="BD296" s="150"/>
      <c r="BE296" s="150"/>
      <c r="BF296" s="150"/>
      <c r="BG296" s="150"/>
      <c r="BH296" s="150"/>
      <c r="BI296" s="150"/>
      <c r="BJ296" s="151">
        <f t="shared" si="371"/>
        <v>20000000</v>
      </c>
      <c r="BK296" s="151">
        <f t="shared" si="372"/>
        <v>2540000</v>
      </c>
      <c r="BL296" s="151">
        <f t="shared" si="373"/>
        <v>0</v>
      </c>
      <c r="BM296" s="151" t="s">
        <v>800</v>
      </c>
      <c r="BN296" s="72" t="s">
        <v>801</v>
      </c>
    </row>
    <row r="297" spans="1:66" ht="248.25" customHeight="1" x14ac:dyDescent="0.2">
      <c r="A297" s="145"/>
      <c r="B297" s="91"/>
      <c r="C297" s="91"/>
      <c r="D297" s="91"/>
      <c r="E297" s="91"/>
      <c r="F297" s="567"/>
      <c r="G297" s="216"/>
      <c r="H297" s="562" t="s">
        <v>869</v>
      </c>
      <c r="I297" s="82">
        <v>4102022</v>
      </c>
      <c r="J297" s="124" t="s">
        <v>870</v>
      </c>
      <c r="K297" s="118">
        <v>4102046</v>
      </c>
      <c r="L297" s="124" t="s">
        <v>871</v>
      </c>
      <c r="M297" s="457" t="s">
        <v>872</v>
      </c>
      <c r="N297" s="119" t="s">
        <v>873</v>
      </c>
      <c r="O297" s="118">
        <v>410204600</v>
      </c>
      <c r="P297" s="119" t="s">
        <v>874</v>
      </c>
      <c r="Q297" s="200" t="s">
        <v>68</v>
      </c>
      <c r="R297" s="191">
        <v>16</v>
      </c>
      <c r="S297" s="191">
        <v>1</v>
      </c>
      <c r="T297" s="865"/>
      <c r="U297" s="868"/>
      <c r="V297" s="868"/>
      <c r="W297" s="150"/>
      <c r="X297" s="150"/>
      <c r="Y297" s="150"/>
      <c r="Z297" s="150"/>
      <c r="AA297" s="150"/>
      <c r="AB297" s="150"/>
      <c r="AC297" s="150"/>
      <c r="AD297" s="150"/>
      <c r="AE297" s="150"/>
      <c r="AF297" s="150"/>
      <c r="AG297" s="150"/>
      <c r="AH297" s="150"/>
      <c r="AI297" s="150"/>
      <c r="AJ297" s="262"/>
      <c r="AK297" s="262"/>
      <c r="AL297" s="262"/>
      <c r="AM297" s="262"/>
      <c r="AN297" s="262"/>
      <c r="AO297" s="150"/>
      <c r="AP297" s="150"/>
      <c r="AQ297" s="150"/>
      <c r="AR297" s="150"/>
      <c r="AS297" s="263"/>
      <c r="AT297" s="263"/>
      <c r="AU297" s="263"/>
      <c r="AV297" s="263"/>
      <c r="AW297" s="263"/>
      <c r="AX297" s="150"/>
      <c r="AY297" s="150"/>
      <c r="AZ297" s="150"/>
      <c r="BA297" s="161">
        <v>18000000</v>
      </c>
      <c r="BB297" s="161">
        <v>9000000</v>
      </c>
      <c r="BC297" s="161"/>
      <c r="BD297" s="150"/>
      <c r="BE297" s="150"/>
      <c r="BF297" s="150"/>
      <c r="BG297" s="150"/>
      <c r="BH297" s="150"/>
      <c r="BI297" s="150"/>
      <c r="BJ297" s="151">
        <f t="shared" si="371"/>
        <v>18000000</v>
      </c>
      <c r="BK297" s="151">
        <f t="shared" si="372"/>
        <v>9000000</v>
      </c>
      <c r="BL297" s="151">
        <f t="shared" si="373"/>
        <v>0</v>
      </c>
      <c r="BM297" s="151" t="s">
        <v>800</v>
      </c>
      <c r="BN297" s="72" t="s">
        <v>801</v>
      </c>
    </row>
    <row r="298" spans="1:66" ht="174" customHeight="1" x14ac:dyDescent="0.2">
      <c r="A298" s="145"/>
      <c r="B298" s="91"/>
      <c r="C298" s="91"/>
      <c r="D298" s="91"/>
      <c r="E298" s="91"/>
      <c r="F298" s="567"/>
      <c r="G298" s="216"/>
      <c r="H298" s="562" t="s">
        <v>875</v>
      </c>
      <c r="I298" s="567">
        <v>4102038</v>
      </c>
      <c r="J298" s="562" t="s">
        <v>876</v>
      </c>
      <c r="K298" s="567">
        <v>4102038</v>
      </c>
      <c r="L298" s="562" t="s">
        <v>876</v>
      </c>
      <c r="M298" s="105">
        <v>410203800</v>
      </c>
      <c r="N298" s="577" t="s">
        <v>877</v>
      </c>
      <c r="O298" s="105">
        <v>410203800</v>
      </c>
      <c r="P298" s="577" t="s">
        <v>877</v>
      </c>
      <c r="Q298" s="200" t="s">
        <v>68</v>
      </c>
      <c r="R298" s="191">
        <v>10</v>
      </c>
      <c r="S298" s="191">
        <v>3</v>
      </c>
      <c r="T298" s="572" t="s">
        <v>878</v>
      </c>
      <c r="U298" s="102" t="s">
        <v>879</v>
      </c>
      <c r="V298" s="104" t="s">
        <v>880</v>
      </c>
      <c r="W298" s="150"/>
      <c r="X298" s="150"/>
      <c r="Y298" s="150"/>
      <c r="Z298" s="150"/>
      <c r="AA298" s="150"/>
      <c r="AB298" s="150"/>
      <c r="AC298" s="150"/>
      <c r="AD298" s="150"/>
      <c r="AE298" s="150"/>
      <c r="AF298" s="150"/>
      <c r="AG298" s="150"/>
      <c r="AH298" s="150"/>
      <c r="AI298" s="150"/>
      <c r="AJ298" s="262"/>
      <c r="AK298" s="262"/>
      <c r="AL298" s="262"/>
      <c r="AM298" s="262"/>
      <c r="AN298" s="262"/>
      <c r="AO298" s="150"/>
      <c r="AP298" s="150"/>
      <c r="AQ298" s="150"/>
      <c r="AR298" s="150"/>
      <c r="AS298" s="263"/>
      <c r="AT298" s="263"/>
      <c r="AU298" s="263"/>
      <c r="AV298" s="263"/>
      <c r="AW298" s="263"/>
      <c r="AX298" s="150"/>
      <c r="AY298" s="150"/>
      <c r="AZ298" s="150"/>
      <c r="BA298" s="161">
        <v>37000000</v>
      </c>
      <c r="BB298" s="161">
        <v>2500000</v>
      </c>
      <c r="BC298" s="161"/>
      <c r="BD298" s="150"/>
      <c r="BE298" s="150"/>
      <c r="BF298" s="150"/>
      <c r="BG298" s="150"/>
      <c r="BH298" s="150"/>
      <c r="BI298" s="150"/>
      <c r="BJ298" s="151">
        <f t="shared" si="371"/>
        <v>37000000</v>
      </c>
      <c r="BK298" s="151">
        <f t="shared" si="372"/>
        <v>2500000</v>
      </c>
      <c r="BL298" s="151">
        <f t="shared" si="373"/>
        <v>0</v>
      </c>
      <c r="BM298" s="151" t="s">
        <v>800</v>
      </c>
      <c r="BN298" s="72" t="s">
        <v>801</v>
      </c>
    </row>
    <row r="299" spans="1:66" ht="24" customHeight="1" x14ac:dyDescent="0.2">
      <c r="A299" s="145"/>
      <c r="B299" s="91"/>
      <c r="C299" s="91"/>
      <c r="D299" s="91"/>
      <c r="E299" s="91"/>
      <c r="F299" s="154">
        <v>4103</v>
      </c>
      <c r="G299" s="81" t="s">
        <v>319</v>
      </c>
      <c r="H299" s="194"/>
      <c r="I299" s="194"/>
      <c r="J299" s="693"/>
      <c r="K299" s="726"/>
      <c r="L299" s="693"/>
      <c r="M299" s="693"/>
      <c r="N299" s="688"/>
      <c r="O299" s="689"/>
      <c r="P299" s="688"/>
      <c r="Q299" s="727"/>
      <c r="R299" s="689"/>
      <c r="S299" s="689"/>
      <c r="T299" s="728"/>
      <c r="U299" s="147"/>
      <c r="V299" s="147"/>
      <c r="W299" s="160">
        <f>SUM(W300:W306)</f>
        <v>0</v>
      </c>
      <c r="X299" s="160"/>
      <c r="Y299" s="160"/>
      <c r="Z299" s="160">
        <f t="shared" ref="Z299:BG299" si="375">SUM(Z300:Z306)</f>
        <v>0</v>
      </c>
      <c r="AA299" s="160"/>
      <c r="AB299" s="160"/>
      <c r="AC299" s="160">
        <f t="shared" si="375"/>
        <v>0</v>
      </c>
      <c r="AD299" s="160"/>
      <c r="AE299" s="160"/>
      <c r="AF299" s="160">
        <f t="shared" si="375"/>
        <v>0</v>
      </c>
      <c r="AG299" s="160"/>
      <c r="AH299" s="160"/>
      <c r="AI299" s="160">
        <f t="shared" si="375"/>
        <v>0</v>
      </c>
      <c r="AJ299" s="269"/>
      <c r="AK299" s="269"/>
      <c r="AL299" s="269">
        <f t="shared" si="375"/>
        <v>0</v>
      </c>
      <c r="AM299" s="269"/>
      <c r="AN299" s="269"/>
      <c r="AO299" s="160">
        <f t="shared" si="375"/>
        <v>0</v>
      </c>
      <c r="AP299" s="160"/>
      <c r="AQ299" s="160"/>
      <c r="AR299" s="160">
        <f t="shared" si="375"/>
        <v>0</v>
      </c>
      <c r="AS299" s="270"/>
      <c r="AT299" s="270"/>
      <c r="AU299" s="270">
        <f t="shared" si="375"/>
        <v>0</v>
      </c>
      <c r="AV299" s="270"/>
      <c r="AW299" s="270"/>
      <c r="AX299" s="160">
        <f t="shared" si="375"/>
        <v>0</v>
      </c>
      <c r="AY299" s="160"/>
      <c r="AZ299" s="160"/>
      <c r="BA299" s="160">
        <f>SUM(BA300:BA306)</f>
        <v>175000000</v>
      </c>
      <c r="BB299" s="160">
        <f t="shared" ref="BB299:BC299" si="376">SUM(BB300:BB306)</f>
        <v>36510000</v>
      </c>
      <c r="BC299" s="160">
        <f t="shared" si="376"/>
        <v>8135000</v>
      </c>
      <c r="BD299" s="160">
        <f t="shared" si="375"/>
        <v>0</v>
      </c>
      <c r="BE299" s="160"/>
      <c r="BF299" s="160"/>
      <c r="BG299" s="160">
        <f t="shared" si="375"/>
        <v>0</v>
      </c>
      <c r="BH299" s="160"/>
      <c r="BI299" s="160"/>
      <c r="BJ299" s="160">
        <f>SUM(BJ300:BJ306)</f>
        <v>175000000</v>
      </c>
      <c r="BK299" s="160">
        <f t="shared" ref="BK299:BL299" si="377">SUM(BK300:BK306)</f>
        <v>36510000</v>
      </c>
      <c r="BL299" s="160">
        <f t="shared" si="377"/>
        <v>8135000</v>
      </c>
      <c r="BM299" s="160"/>
      <c r="BN299" s="160"/>
    </row>
    <row r="300" spans="1:66" ht="141" customHeight="1" x14ac:dyDescent="0.2">
      <c r="A300" s="145"/>
      <c r="B300" s="109"/>
      <c r="C300" s="109"/>
      <c r="D300" s="109"/>
      <c r="E300" s="109"/>
      <c r="F300" s="567"/>
      <c r="G300" s="216"/>
      <c r="H300" s="562" t="s">
        <v>881</v>
      </c>
      <c r="I300" s="85">
        <v>4103059</v>
      </c>
      <c r="J300" s="562" t="s">
        <v>882</v>
      </c>
      <c r="K300" s="85">
        <v>4103059</v>
      </c>
      <c r="L300" s="562" t="s">
        <v>882</v>
      </c>
      <c r="M300" s="198">
        <v>410305900</v>
      </c>
      <c r="N300" s="577" t="s">
        <v>883</v>
      </c>
      <c r="O300" s="198">
        <v>410305900</v>
      </c>
      <c r="P300" s="577" t="s">
        <v>883</v>
      </c>
      <c r="Q300" s="195" t="s">
        <v>68</v>
      </c>
      <c r="R300" s="125">
        <v>10</v>
      </c>
      <c r="S300" s="125">
        <v>2</v>
      </c>
      <c r="T300" s="570" t="s">
        <v>884</v>
      </c>
      <c r="U300" s="562" t="s">
        <v>885</v>
      </c>
      <c r="V300" s="562" t="s">
        <v>886</v>
      </c>
      <c r="W300" s="150"/>
      <c r="X300" s="150"/>
      <c r="Y300" s="150"/>
      <c r="Z300" s="150"/>
      <c r="AA300" s="150"/>
      <c r="AB300" s="150"/>
      <c r="AC300" s="150"/>
      <c r="AD300" s="150"/>
      <c r="AE300" s="150"/>
      <c r="AF300" s="150"/>
      <c r="AG300" s="150"/>
      <c r="AH300" s="150"/>
      <c r="AI300" s="150"/>
      <c r="AJ300" s="262"/>
      <c r="AK300" s="262"/>
      <c r="AL300" s="262"/>
      <c r="AM300" s="262"/>
      <c r="AN300" s="262"/>
      <c r="AO300" s="150"/>
      <c r="AP300" s="150"/>
      <c r="AQ300" s="150"/>
      <c r="AR300" s="150"/>
      <c r="AS300" s="263"/>
      <c r="AT300" s="263"/>
      <c r="AU300" s="263"/>
      <c r="AV300" s="263"/>
      <c r="AW300" s="263"/>
      <c r="AX300" s="150"/>
      <c r="AY300" s="150"/>
      <c r="AZ300" s="150"/>
      <c r="BA300" s="161">
        <v>15000000</v>
      </c>
      <c r="BB300" s="161">
        <v>6600000</v>
      </c>
      <c r="BC300" s="161"/>
      <c r="BD300" s="150"/>
      <c r="BE300" s="150"/>
      <c r="BF300" s="150"/>
      <c r="BG300" s="150"/>
      <c r="BH300" s="150"/>
      <c r="BI300" s="150"/>
      <c r="BJ300" s="151">
        <f t="shared" ref="BJ300:BJ312" si="378">+W300+Z300+AC300+AF300+AI300+AL300+AO300+AR300+AU300+AX300+BA300+BD300+BG300</f>
        <v>15000000</v>
      </c>
      <c r="BK300" s="151">
        <f t="shared" ref="BK300:BK306" si="379">+X300+AA300+AD300+AG300+AJ300+AM300+AP300+AS300+AV300+AY300+BB300+BE300+BH300</f>
        <v>6600000</v>
      </c>
      <c r="BL300" s="151">
        <f t="shared" ref="BL300:BL306" si="380">+Y300+AB300+AE300+AH300+AK300+AN300+AQ300+AT300+AW300+AZ300+BC300+BF300+BI300</f>
        <v>0</v>
      </c>
      <c r="BM300" s="151" t="s">
        <v>800</v>
      </c>
      <c r="BN300" s="72" t="s">
        <v>801</v>
      </c>
    </row>
    <row r="301" spans="1:66" ht="150.75" customHeight="1" x14ac:dyDescent="0.2">
      <c r="A301" s="145"/>
      <c r="B301" s="91"/>
      <c r="C301" s="91"/>
      <c r="D301" s="91"/>
      <c r="E301" s="91"/>
      <c r="F301" s="567"/>
      <c r="G301" s="216"/>
      <c r="H301" s="562" t="s">
        <v>887</v>
      </c>
      <c r="I301" s="567">
        <v>4103052</v>
      </c>
      <c r="J301" s="562" t="s">
        <v>322</v>
      </c>
      <c r="K301" s="567">
        <v>4103052</v>
      </c>
      <c r="L301" s="562" t="s">
        <v>322</v>
      </c>
      <c r="M301" s="105">
        <v>410305202</v>
      </c>
      <c r="N301" s="577" t="s">
        <v>888</v>
      </c>
      <c r="O301" s="105">
        <v>410305202</v>
      </c>
      <c r="P301" s="577" t="s">
        <v>888</v>
      </c>
      <c r="Q301" s="195" t="s">
        <v>52</v>
      </c>
      <c r="R301" s="125">
        <v>1</v>
      </c>
      <c r="S301" s="125">
        <v>0.25</v>
      </c>
      <c r="T301" s="570" t="s">
        <v>889</v>
      </c>
      <c r="U301" s="562" t="s">
        <v>890</v>
      </c>
      <c r="V301" s="562" t="s">
        <v>891</v>
      </c>
      <c r="W301" s="150"/>
      <c r="X301" s="150"/>
      <c r="Y301" s="150"/>
      <c r="Z301" s="150"/>
      <c r="AA301" s="150"/>
      <c r="AB301" s="150"/>
      <c r="AC301" s="150"/>
      <c r="AD301" s="150"/>
      <c r="AE301" s="150"/>
      <c r="AF301" s="150"/>
      <c r="AG301" s="150"/>
      <c r="AH301" s="150"/>
      <c r="AI301" s="150"/>
      <c r="AJ301" s="262"/>
      <c r="AK301" s="262"/>
      <c r="AL301" s="262"/>
      <c r="AM301" s="262"/>
      <c r="AN301" s="262"/>
      <c r="AO301" s="150"/>
      <c r="AP301" s="150"/>
      <c r="AQ301" s="150"/>
      <c r="AR301" s="150"/>
      <c r="AS301" s="263"/>
      <c r="AT301" s="263"/>
      <c r="AU301" s="263"/>
      <c r="AV301" s="263"/>
      <c r="AW301" s="263"/>
      <c r="AX301" s="150"/>
      <c r="AY301" s="150"/>
      <c r="AZ301" s="150"/>
      <c r="BA301" s="161">
        <v>20000000</v>
      </c>
      <c r="BB301" s="161">
        <v>11540000</v>
      </c>
      <c r="BC301" s="161"/>
      <c r="BD301" s="150"/>
      <c r="BE301" s="150"/>
      <c r="BF301" s="150"/>
      <c r="BG301" s="150"/>
      <c r="BH301" s="150"/>
      <c r="BI301" s="150"/>
      <c r="BJ301" s="151">
        <f t="shared" si="378"/>
        <v>20000000</v>
      </c>
      <c r="BK301" s="151">
        <f t="shared" si="379"/>
        <v>11540000</v>
      </c>
      <c r="BL301" s="151">
        <f t="shared" si="380"/>
        <v>0</v>
      </c>
      <c r="BM301" s="151" t="s">
        <v>800</v>
      </c>
      <c r="BN301" s="72" t="s">
        <v>801</v>
      </c>
    </row>
    <row r="302" spans="1:66" ht="271.5" customHeight="1" x14ac:dyDescent="0.2">
      <c r="A302" s="145"/>
      <c r="B302" s="91"/>
      <c r="C302" s="91"/>
      <c r="D302" s="91"/>
      <c r="E302" s="91"/>
      <c r="F302" s="567"/>
      <c r="G302" s="216"/>
      <c r="H302" s="562" t="s">
        <v>869</v>
      </c>
      <c r="I302" s="567">
        <v>4103050</v>
      </c>
      <c r="J302" s="562" t="s">
        <v>892</v>
      </c>
      <c r="K302" s="567">
        <v>4103050</v>
      </c>
      <c r="L302" s="562" t="s">
        <v>892</v>
      </c>
      <c r="M302" s="105">
        <v>410305001</v>
      </c>
      <c r="N302" s="577" t="s">
        <v>893</v>
      </c>
      <c r="O302" s="105">
        <v>410305001</v>
      </c>
      <c r="P302" s="577" t="s">
        <v>893</v>
      </c>
      <c r="Q302" s="195" t="s">
        <v>52</v>
      </c>
      <c r="R302" s="125">
        <v>12</v>
      </c>
      <c r="S302" s="125">
        <v>4</v>
      </c>
      <c r="T302" s="570" t="s">
        <v>894</v>
      </c>
      <c r="U302" s="562" t="s">
        <v>895</v>
      </c>
      <c r="V302" s="562" t="s">
        <v>896</v>
      </c>
      <c r="W302" s="150"/>
      <c r="X302" s="150"/>
      <c r="Y302" s="150"/>
      <c r="Z302" s="150"/>
      <c r="AA302" s="150"/>
      <c r="AB302" s="150"/>
      <c r="AC302" s="150"/>
      <c r="AD302" s="150"/>
      <c r="AE302" s="150"/>
      <c r="AF302" s="150"/>
      <c r="AG302" s="150"/>
      <c r="AH302" s="150"/>
      <c r="AI302" s="150"/>
      <c r="AJ302" s="262"/>
      <c r="AK302" s="262"/>
      <c r="AL302" s="262"/>
      <c r="AM302" s="262"/>
      <c r="AN302" s="262"/>
      <c r="AO302" s="150"/>
      <c r="AP302" s="150"/>
      <c r="AQ302" s="150"/>
      <c r="AR302" s="150"/>
      <c r="AS302" s="263"/>
      <c r="AT302" s="263"/>
      <c r="AU302" s="263"/>
      <c r="AV302" s="263"/>
      <c r="AW302" s="263"/>
      <c r="AX302" s="150"/>
      <c r="AY302" s="150"/>
      <c r="AZ302" s="150"/>
      <c r="BA302" s="161">
        <v>25000000</v>
      </c>
      <c r="BB302" s="161">
        <v>11770000</v>
      </c>
      <c r="BC302" s="161">
        <v>6485000</v>
      </c>
      <c r="BD302" s="150"/>
      <c r="BE302" s="150"/>
      <c r="BF302" s="150"/>
      <c r="BG302" s="150"/>
      <c r="BH302" s="150"/>
      <c r="BI302" s="150"/>
      <c r="BJ302" s="151">
        <f t="shared" si="378"/>
        <v>25000000</v>
      </c>
      <c r="BK302" s="151">
        <f t="shared" si="379"/>
        <v>11770000</v>
      </c>
      <c r="BL302" s="151">
        <f t="shared" si="380"/>
        <v>6485000</v>
      </c>
      <c r="BM302" s="151" t="s">
        <v>800</v>
      </c>
      <c r="BN302" s="72" t="s">
        <v>801</v>
      </c>
    </row>
    <row r="303" spans="1:66" ht="149.25" customHeight="1" x14ac:dyDescent="0.2">
      <c r="A303" s="145"/>
      <c r="B303" s="91"/>
      <c r="C303" s="91"/>
      <c r="D303" s="91"/>
      <c r="E303" s="91"/>
      <c r="F303" s="567"/>
      <c r="G303" s="216"/>
      <c r="H303" s="562" t="s">
        <v>897</v>
      </c>
      <c r="I303" s="85">
        <v>4103058</v>
      </c>
      <c r="J303" s="562" t="s">
        <v>898</v>
      </c>
      <c r="K303" s="85">
        <v>4103058</v>
      </c>
      <c r="L303" s="562" t="s">
        <v>898</v>
      </c>
      <c r="M303" s="198">
        <v>410305800</v>
      </c>
      <c r="N303" s="577" t="s">
        <v>899</v>
      </c>
      <c r="O303" s="198">
        <v>410305800</v>
      </c>
      <c r="P303" s="577" t="s">
        <v>899</v>
      </c>
      <c r="Q303" s="195" t="s">
        <v>68</v>
      </c>
      <c r="R303" s="125">
        <v>2</v>
      </c>
      <c r="S303" s="125">
        <v>0</v>
      </c>
      <c r="T303" s="570" t="s">
        <v>900</v>
      </c>
      <c r="U303" s="562" t="s">
        <v>901</v>
      </c>
      <c r="V303" s="562" t="s">
        <v>902</v>
      </c>
      <c r="W303" s="150"/>
      <c r="X303" s="150"/>
      <c r="Y303" s="150"/>
      <c r="Z303" s="150"/>
      <c r="AA303" s="150"/>
      <c r="AB303" s="150"/>
      <c r="AC303" s="150"/>
      <c r="AD303" s="150"/>
      <c r="AE303" s="150"/>
      <c r="AF303" s="150"/>
      <c r="AG303" s="150"/>
      <c r="AH303" s="150"/>
      <c r="AI303" s="150"/>
      <c r="AJ303" s="262"/>
      <c r="AK303" s="262"/>
      <c r="AL303" s="262"/>
      <c r="AM303" s="262"/>
      <c r="AN303" s="262"/>
      <c r="AO303" s="150"/>
      <c r="AP303" s="150"/>
      <c r="AQ303" s="150"/>
      <c r="AR303" s="150"/>
      <c r="AS303" s="263"/>
      <c r="AT303" s="263"/>
      <c r="AU303" s="263"/>
      <c r="AV303" s="263"/>
      <c r="AW303" s="263"/>
      <c r="AX303" s="150"/>
      <c r="AY303" s="150"/>
      <c r="AZ303" s="150"/>
      <c r="BA303" s="161">
        <v>28000000</v>
      </c>
      <c r="BB303" s="161">
        <v>6600000</v>
      </c>
      <c r="BC303" s="161">
        <v>1650000</v>
      </c>
      <c r="BD303" s="150"/>
      <c r="BE303" s="150"/>
      <c r="BF303" s="150"/>
      <c r="BG303" s="150"/>
      <c r="BH303" s="150"/>
      <c r="BI303" s="150"/>
      <c r="BJ303" s="151">
        <f t="shared" si="378"/>
        <v>28000000</v>
      </c>
      <c r="BK303" s="151">
        <f t="shared" si="379"/>
        <v>6600000</v>
      </c>
      <c r="BL303" s="151">
        <f t="shared" si="380"/>
        <v>1650000</v>
      </c>
      <c r="BM303" s="151" t="s">
        <v>800</v>
      </c>
      <c r="BN303" s="72" t="s">
        <v>801</v>
      </c>
    </row>
    <row r="304" spans="1:66" ht="96" customHeight="1" x14ac:dyDescent="0.2">
      <c r="A304" s="145"/>
      <c r="B304" s="91"/>
      <c r="C304" s="91"/>
      <c r="D304" s="91"/>
      <c r="E304" s="91"/>
      <c r="F304" s="567"/>
      <c r="G304" s="216"/>
      <c r="H304" s="574" t="s">
        <v>903</v>
      </c>
      <c r="I304" s="82" t="s">
        <v>47</v>
      </c>
      <c r="J304" s="571" t="s">
        <v>904</v>
      </c>
      <c r="K304" s="90">
        <v>4103060</v>
      </c>
      <c r="L304" s="571" t="s">
        <v>905</v>
      </c>
      <c r="M304" s="82" t="s">
        <v>47</v>
      </c>
      <c r="N304" s="577" t="s">
        <v>906</v>
      </c>
      <c r="O304" s="90">
        <v>410306000</v>
      </c>
      <c r="P304" s="577" t="s">
        <v>907</v>
      </c>
      <c r="Q304" s="195" t="s">
        <v>68</v>
      </c>
      <c r="R304" s="125">
        <v>5</v>
      </c>
      <c r="S304" s="125">
        <v>0</v>
      </c>
      <c r="T304" s="865" t="s">
        <v>908</v>
      </c>
      <c r="U304" s="875" t="s">
        <v>909</v>
      </c>
      <c r="V304" s="875" t="s">
        <v>910</v>
      </c>
      <c r="W304" s="150"/>
      <c r="X304" s="150"/>
      <c r="Y304" s="150"/>
      <c r="Z304" s="150"/>
      <c r="AA304" s="150"/>
      <c r="AB304" s="150"/>
      <c r="AC304" s="150"/>
      <c r="AD304" s="150"/>
      <c r="AE304" s="150"/>
      <c r="AF304" s="150"/>
      <c r="AG304" s="150"/>
      <c r="AH304" s="150"/>
      <c r="AI304" s="150"/>
      <c r="AJ304" s="262"/>
      <c r="AK304" s="262"/>
      <c r="AL304" s="262"/>
      <c r="AM304" s="262"/>
      <c r="AN304" s="262"/>
      <c r="AO304" s="150"/>
      <c r="AP304" s="150"/>
      <c r="AQ304" s="150"/>
      <c r="AR304" s="150"/>
      <c r="AS304" s="263"/>
      <c r="AT304" s="263"/>
      <c r="AU304" s="263"/>
      <c r="AV304" s="263"/>
      <c r="AW304" s="263"/>
      <c r="AX304" s="150"/>
      <c r="AY304" s="150"/>
      <c r="AZ304" s="150"/>
      <c r="BA304" s="161">
        <v>27000000</v>
      </c>
      <c r="BB304" s="161"/>
      <c r="BC304" s="161"/>
      <c r="BD304" s="150"/>
      <c r="BE304" s="150"/>
      <c r="BF304" s="150"/>
      <c r="BG304" s="150"/>
      <c r="BH304" s="150"/>
      <c r="BI304" s="150"/>
      <c r="BJ304" s="151">
        <f t="shared" si="378"/>
        <v>27000000</v>
      </c>
      <c r="BK304" s="151">
        <f t="shared" si="379"/>
        <v>0</v>
      </c>
      <c r="BL304" s="151">
        <f t="shared" si="380"/>
        <v>0</v>
      </c>
      <c r="BM304" s="151" t="s">
        <v>800</v>
      </c>
      <c r="BN304" s="72" t="s">
        <v>801</v>
      </c>
    </row>
    <row r="305" spans="1:106" ht="98.25" customHeight="1" x14ac:dyDescent="0.2">
      <c r="A305" s="145"/>
      <c r="B305" s="91"/>
      <c r="C305" s="91"/>
      <c r="D305" s="91"/>
      <c r="E305" s="91"/>
      <c r="F305" s="567"/>
      <c r="G305" s="216"/>
      <c r="H305" s="574" t="s">
        <v>911</v>
      </c>
      <c r="I305" s="82" t="s">
        <v>47</v>
      </c>
      <c r="J305" s="571" t="s">
        <v>912</v>
      </c>
      <c r="K305" s="90">
        <v>4103060</v>
      </c>
      <c r="L305" s="571" t="s">
        <v>905</v>
      </c>
      <c r="M305" s="82" t="s">
        <v>47</v>
      </c>
      <c r="N305" s="561" t="s">
        <v>913</v>
      </c>
      <c r="O305" s="90">
        <v>410306000</v>
      </c>
      <c r="P305" s="561" t="s">
        <v>907</v>
      </c>
      <c r="Q305" s="195" t="s">
        <v>52</v>
      </c>
      <c r="R305" s="125">
        <v>2</v>
      </c>
      <c r="S305" s="125">
        <v>0</v>
      </c>
      <c r="T305" s="865"/>
      <c r="U305" s="875"/>
      <c r="V305" s="875"/>
      <c r="W305" s="150"/>
      <c r="X305" s="150"/>
      <c r="Y305" s="150"/>
      <c r="Z305" s="150"/>
      <c r="AA305" s="150"/>
      <c r="AB305" s="150"/>
      <c r="AC305" s="150"/>
      <c r="AD305" s="150"/>
      <c r="AE305" s="150"/>
      <c r="AF305" s="150"/>
      <c r="AG305" s="150"/>
      <c r="AH305" s="150"/>
      <c r="AI305" s="150"/>
      <c r="AJ305" s="262"/>
      <c r="AK305" s="262"/>
      <c r="AL305" s="262"/>
      <c r="AM305" s="262"/>
      <c r="AN305" s="262"/>
      <c r="AO305" s="150"/>
      <c r="AP305" s="150"/>
      <c r="AQ305" s="150"/>
      <c r="AR305" s="150"/>
      <c r="AS305" s="263"/>
      <c r="AT305" s="263"/>
      <c r="AU305" s="263"/>
      <c r="AV305" s="263"/>
      <c r="AW305" s="263"/>
      <c r="AX305" s="150"/>
      <c r="AY305" s="150"/>
      <c r="AZ305" s="150"/>
      <c r="BA305" s="161">
        <v>20000000</v>
      </c>
      <c r="BB305" s="161"/>
      <c r="BC305" s="161"/>
      <c r="BD305" s="150"/>
      <c r="BE305" s="150"/>
      <c r="BF305" s="150"/>
      <c r="BG305" s="150"/>
      <c r="BH305" s="150"/>
      <c r="BI305" s="150"/>
      <c r="BJ305" s="151">
        <f t="shared" si="378"/>
        <v>20000000</v>
      </c>
      <c r="BK305" s="151">
        <f t="shared" si="379"/>
        <v>0</v>
      </c>
      <c r="BL305" s="151">
        <f t="shared" si="380"/>
        <v>0</v>
      </c>
      <c r="BM305" s="151" t="s">
        <v>800</v>
      </c>
      <c r="BN305" s="72" t="s">
        <v>801</v>
      </c>
    </row>
    <row r="306" spans="1:106" s="44" customFormat="1" ht="152.25" customHeight="1" x14ac:dyDescent="0.2">
      <c r="A306" s="337"/>
      <c r="B306" s="83"/>
      <c r="C306" s="83"/>
      <c r="D306" s="83"/>
      <c r="E306" s="83"/>
      <c r="F306" s="82"/>
      <c r="G306" s="558"/>
      <c r="H306" s="565" t="s">
        <v>914</v>
      </c>
      <c r="I306" s="82" t="s">
        <v>47</v>
      </c>
      <c r="J306" s="565" t="s">
        <v>915</v>
      </c>
      <c r="K306" s="85">
        <v>4103052</v>
      </c>
      <c r="L306" s="565" t="s">
        <v>322</v>
      </c>
      <c r="M306" s="82" t="s">
        <v>47</v>
      </c>
      <c r="N306" s="93" t="s">
        <v>916</v>
      </c>
      <c r="O306" s="85">
        <v>410305202</v>
      </c>
      <c r="P306" s="93" t="s">
        <v>888</v>
      </c>
      <c r="Q306" s="252" t="s">
        <v>52</v>
      </c>
      <c r="R306" s="252">
        <v>1</v>
      </c>
      <c r="S306" s="252">
        <v>0.1</v>
      </c>
      <c r="T306" s="570" t="s">
        <v>917</v>
      </c>
      <c r="U306" s="565" t="s">
        <v>918</v>
      </c>
      <c r="V306" s="565" t="s">
        <v>919</v>
      </c>
      <c r="W306" s="150"/>
      <c r="X306" s="150"/>
      <c r="Y306" s="150"/>
      <c r="Z306" s="150"/>
      <c r="AA306" s="150"/>
      <c r="AB306" s="150"/>
      <c r="AC306" s="150"/>
      <c r="AD306" s="150"/>
      <c r="AE306" s="150"/>
      <c r="AF306" s="150"/>
      <c r="AG306" s="150"/>
      <c r="AH306" s="150"/>
      <c r="AI306" s="150"/>
      <c r="AJ306" s="262"/>
      <c r="AK306" s="262"/>
      <c r="AL306" s="262"/>
      <c r="AM306" s="262"/>
      <c r="AN306" s="262"/>
      <c r="AO306" s="150"/>
      <c r="AP306" s="150"/>
      <c r="AQ306" s="150"/>
      <c r="AR306" s="150"/>
      <c r="AS306" s="263"/>
      <c r="AT306" s="263"/>
      <c r="AU306" s="263"/>
      <c r="AV306" s="263"/>
      <c r="AW306" s="263"/>
      <c r="AX306" s="150"/>
      <c r="AY306" s="150"/>
      <c r="AZ306" s="150"/>
      <c r="BA306" s="161">
        <v>40000000</v>
      </c>
      <c r="BB306" s="161"/>
      <c r="BC306" s="161"/>
      <c r="BD306" s="150"/>
      <c r="BE306" s="150"/>
      <c r="BF306" s="150"/>
      <c r="BG306" s="150"/>
      <c r="BH306" s="150"/>
      <c r="BI306" s="150"/>
      <c r="BJ306" s="339">
        <f t="shared" si="378"/>
        <v>40000000</v>
      </c>
      <c r="BK306" s="339">
        <f t="shared" si="379"/>
        <v>0</v>
      </c>
      <c r="BL306" s="339">
        <f t="shared" si="380"/>
        <v>0</v>
      </c>
      <c r="BM306" s="339" t="s">
        <v>800</v>
      </c>
      <c r="BN306" s="341" t="s">
        <v>801</v>
      </c>
    </row>
    <row r="307" spans="1:106" ht="24" customHeight="1" x14ac:dyDescent="0.2">
      <c r="A307" s="145"/>
      <c r="B307" s="91"/>
      <c r="C307" s="91"/>
      <c r="D307" s="91"/>
      <c r="E307" s="91"/>
      <c r="F307" s="154">
        <v>4104</v>
      </c>
      <c r="G307" s="81" t="s">
        <v>920</v>
      </c>
      <c r="H307" s="194"/>
      <c r="I307" s="194"/>
      <c r="J307" s="693"/>
      <c r="K307" s="726"/>
      <c r="L307" s="693"/>
      <c r="M307" s="693"/>
      <c r="N307" s="688"/>
      <c r="O307" s="689"/>
      <c r="P307" s="688"/>
      <c r="Q307" s="738"/>
      <c r="R307" s="689"/>
      <c r="S307" s="689"/>
      <c r="T307" s="728"/>
      <c r="U307" s="147"/>
      <c r="V307" s="147"/>
      <c r="W307" s="160">
        <f t="shared" ref="W307:BL307" si="381">SUM(W308:W312)</f>
        <v>3526539574</v>
      </c>
      <c r="X307" s="160">
        <f t="shared" si="381"/>
        <v>0</v>
      </c>
      <c r="Y307" s="160">
        <f t="shared" si="381"/>
        <v>0</v>
      </c>
      <c r="Z307" s="160">
        <f t="shared" si="381"/>
        <v>0</v>
      </c>
      <c r="AA307" s="160"/>
      <c r="AB307" s="160"/>
      <c r="AC307" s="160">
        <f t="shared" si="381"/>
        <v>0</v>
      </c>
      <c r="AD307" s="160"/>
      <c r="AE307" s="160"/>
      <c r="AF307" s="160">
        <f t="shared" si="381"/>
        <v>0</v>
      </c>
      <c r="AG307" s="160"/>
      <c r="AH307" s="160"/>
      <c r="AI307" s="160">
        <f t="shared" si="381"/>
        <v>0</v>
      </c>
      <c r="AJ307" s="269"/>
      <c r="AK307" s="269"/>
      <c r="AL307" s="269">
        <f t="shared" si="381"/>
        <v>0</v>
      </c>
      <c r="AM307" s="269"/>
      <c r="AN307" s="269"/>
      <c r="AO307" s="160">
        <f t="shared" si="381"/>
        <v>0</v>
      </c>
      <c r="AP307" s="160"/>
      <c r="AQ307" s="160"/>
      <c r="AR307" s="160">
        <f t="shared" si="381"/>
        <v>0</v>
      </c>
      <c r="AS307" s="270"/>
      <c r="AT307" s="270"/>
      <c r="AU307" s="270">
        <f t="shared" si="381"/>
        <v>0</v>
      </c>
      <c r="AV307" s="270"/>
      <c r="AW307" s="270"/>
      <c r="AX307" s="160">
        <f t="shared" si="381"/>
        <v>0</v>
      </c>
      <c r="AY307" s="160"/>
      <c r="AZ307" s="160"/>
      <c r="BA307" s="160">
        <f t="shared" si="381"/>
        <v>153000000</v>
      </c>
      <c r="BB307" s="160">
        <f t="shared" si="381"/>
        <v>36270000</v>
      </c>
      <c r="BC307" s="160">
        <f t="shared" si="381"/>
        <v>7625000</v>
      </c>
      <c r="BD307" s="160">
        <f t="shared" si="381"/>
        <v>0</v>
      </c>
      <c r="BE307" s="160"/>
      <c r="BF307" s="160"/>
      <c r="BG307" s="160">
        <f t="shared" si="381"/>
        <v>0</v>
      </c>
      <c r="BH307" s="160"/>
      <c r="BI307" s="160"/>
      <c r="BJ307" s="160">
        <f t="shared" si="381"/>
        <v>3679539574</v>
      </c>
      <c r="BK307" s="160">
        <f t="shared" si="381"/>
        <v>36270000</v>
      </c>
      <c r="BL307" s="160">
        <f t="shared" si="381"/>
        <v>7625000</v>
      </c>
      <c r="BM307" s="160"/>
      <c r="BN307" s="160"/>
    </row>
    <row r="308" spans="1:106" ht="152.25" customHeight="1" x14ac:dyDescent="0.2">
      <c r="A308" s="145"/>
      <c r="B308" s="91"/>
      <c r="C308" s="91"/>
      <c r="D308" s="91"/>
      <c r="E308" s="91"/>
      <c r="F308" s="567"/>
      <c r="G308" s="282"/>
      <c r="H308" s="645" t="s">
        <v>921</v>
      </c>
      <c r="I308" s="458">
        <v>4104035</v>
      </c>
      <c r="J308" s="643" t="s">
        <v>922</v>
      </c>
      <c r="K308" s="283">
        <v>4104020</v>
      </c>
      <c r="L308" s="643" t="s">
        <v>923</v>
      </c>
      <c r="M308" s="737">
        <v>410403500</v>
      </c>
      <c r="N308" s="650" t="s">
        <v>924</v>
      </c>
      <c r="O308" s="283">
        <v>410402000</v>
      </c>
      <c r="P308" s="649" t="s">
        <v>925</v>
      </c>
      <c r="Q308" s="285" t="s">
        <v>68</v>
      </c>
      <c r="R308" s="220">
        <v>50</v>
      </c>
      <c r="S308" s="220">
        <v>0</v>
      </c>
      <c r="T308" s="871" t="s">
        <v>926</v>
      </c>
      <c r="U308" s="872" t="s">
        <v>927</v>
      </c>
      <c r="V308" s="875" t="s">
        <v>928</v>
      </c>
      <c r="W308" s="150"/>
      <c r="X308" s="150"/>
      <c r="Y308" s="150"/>
      <c r="Z308" s="150"/>
      <c r="AA308" s="150"/>
      <c r="AB308" s="150"/>
      <c r="AC308" s="150"/>
      <c r="AD308" s="150"/>
      <c r="AE308" s="150"/>
      <c r="AF308" s="150"/>
      <c r="AG308" s="150"/>
      <c r="AH308" s="150"/>
      <c r="AI308" s="150"/>
      <c r="AJ308" s="262"/>
      <c r="AK308" s="262"/>
      <c r="AL308" s="262"/>
      <c r="AM308" s="262"/>
      <c r="AN308" s="262"/>
      <c r="AO308" s="150"/>
      <c r="AP308" s="150"/>
      <c r="AQ308" s="150"/>
      <c r="AR308" s="150"/>
      <c r="AS308" s="263"/>
      <c r="AT308" s="263"/>
      <c r="AU308" s="263"/>
      <c r="AV308" s="263"/>
      <c r="AW308" s="263"/>
      <c r="AX308" s="150"/>
      <c r="AY308" s="150"/>
      <c r="AZ308" s="150"/>
      <c r="BA308" s="164">
        <f>25000000+54000000</f>
        <v>79000000</v>
      </c>
      <c r="BB308" s="164"/>
      <c r="BC308" s="164"/>
      <c r="BD308" s="150"/>
      <c r="BE308" s="150"/>
      <c r="BF308" s="150"/>
      <c r="BG308" s="150"/>
      <c r="BH308" s="150"/>
      <c r="BI308" s="150"/>
      <c r="BJ308" s="151">
        <f t="shared" si="378"/>
        <v>79000000</v>
      </c>
      <c r="BK308" s="151">
        <f t="shared" ref="BK308:BK312" si="382">+X308+AA308+AD308+AG308+AJ308+AM308+AP308+AS308+AV308+AY308+BB308+BE308+BH308</f>
        <v>0</v>
      </c>
      <c r="BL308" s="151">
        <f t="shared" ref="BL308:BL312" si="383">+Y308+AB308+AE308+AH308+AK308+AN308+AQ308+AT308+AW308+AZ308+BC308+BF308+BI308</f>
        <v>0</v>
      </c>
      <c r="BM308" s="151" t="s">
        <v>800</v>
      </c>
      <c r="BN308" s="72" t="s">
        <v>801</v>
      </c>
    </row>
    <row r="309" spans="1:106" ht="134.25" customHeight="1" x14ac:dyDescent="0.2">
      <c r="A309" s="145"/>
      <c r="B309" s="91"/>
      <c r="C309" s="91"/>
      <c r="D309" s="91"/>
      <c r="E309" s="91"/>
      <c r="F309" s="567"/>
      <c r="G309" s="216"/>
      <c r="H309" s="562" t="s">
        <v>929</v>
      </c>
      <c r="I309" s="82">
        <v>4104035</v>
      </c>
      <c r="J309" s="571" t="s">
        <v>922</v>
      </c>
      <c r="K309" s="90">
        <v>4104020</v>
      </c>
      <c r="L309" s="571" t="s">
        <v>923</v>
      </c>
      <c r="M309" s="82" t="s">
        <v>47</v>
      </c>
      <c r="N309" s="462" t="s">
        <v>930</v>
      </c>
      <c r="O309" s="90">
        <v>410402000</v>
      </c>
      <c r="P309" s="561" t="s">
        <v>925</v>
      </c>
      <c r="Q309" s="209" t="s">
        <v>52</v>
      </c>
      <c r="R309" s="125">
        <v>12</v>
      </c>
      <c r="S309" s="125">
        <v>4</v>
      </c>
      <c r="T309" s="865"/>
      <c r="U309" s="872"/>
      <c r="V309" s="875"/>
      <c r="W309" s="150"/>
      <c r="X309" s="150"/>
      <c r="Y309" s="150"/>
      <c r="Z309" s="150"/>
      <c r="AA309" s="150"/>
      <c r="AB309" s="150"/>
      <c r="AC309" s="150"/>
      <c r="AD309" s="150"/>
      <c r="AE309" s="150"/>
      <c r="AF309" s="150"/>
      <c r="AG309" s="150"/>
      <c r="AH309" s="150"/>
      <c r="AI309" s="150"/>
      <c r="AJ309" s="262"/>
      <c r="AK309" s="262"/>
      <c r="AL309" s="262"/>
      <c r="AM309" s="262"/>
      <c r="AN309" s="262"/>
      <c r="AO309" s="150"/>
      <c r="AP309" s="150"/>
      <c r="AQ309" s="150"/>
      <c r="AR309" s="150"/>
      <c r="AS309" s="263"/>
      <c r="AT309" s="263"/>
      <c r="AU309" s="263"/>
      <c r="AV309" s="263"/>
      <c r="AW309" s="263"/>
      <c r="AX309" s="150"/>
      <c r="AY309" s="150"/>
      <c r="AZ309" s="150"/>
      <c r="BA309" s="161">
        <v>19000000</v>
      </c>
      <c r="BB309" s="161">
        <v>11540000</v>
      </c>
      <c r="BC309" s="161">
        <v>2885000</v>
      </c>
      <c r="BD309" s="150"/>
      <c r="BE309" s="150"/>
      <c r="BF309" s="150"/>
      <c r="BG309" s="150"/>
      <c r="BH309" s="150"/>
      <c r="BI309" s="150"/>
      <c r="BJ309" s="151">
        <f t="shared" si="378"/>
        <v>19000000</v>
      </c>
      <c r="BK309" s="151">
        <f t="shared" si="382"/>
        <v>11540000</v>
      </c>
      <c r="BL309" s="151">
        <f t="shared" si="383"/>
        <v>2885000</v>
      </c>
      <c r="BM309" s="151" t="s">
        <v>800</v>
      </c>
      <c r="BN309" s="72" t="s">
        <v>801</v>
      </c>
    </row>
    <row r="310" spans="1:106" ht="108.75" customHeight="1" x14ac:dyDescent="0.2">
      <c r="A310" s="145"/>
      <c r="B310" s="91"/>
      <c r="C310" s="91"/>
      <c r="D310" s="91"/>
      <c r="E310" s="91"/>
      <c r="F310" s="567"/>
      <c r="G310" s="216"/>
      <c r="H310" s="562" t="s">
        <v>931</v>
      </c>
      <c r="I310" s="437">
        <v>4104026</v>
      </c>
      <c r="J310" s="571" t="s">
        <v>932</v>
      </c>
      <c r="K310" s="90">
        <v>4104027</v>
      </c>
      <c r="L310" s="571" t="s">
        <v>933</v>
      </c>
      <c r="M310" s="82" t="s">
        <v>47</v>
      </c>
      <c r="N310" s="559" t="s">
        <v>934</v>
      </c>
      <c r="O310" s="90">
        <v>410402700</v>
      </c>
      <c r="P310" s="561" t="s">
        <v>935</v>
      </c>
      <c r="Q310" s="195" t="s">
        <v>52</v>
      </c>
      <c r="R310" s="125">
        <v>12</v>
      </c>
      <c r="S310" s="125">
        <v>4</v>
      </c>
      <c r="T310" s="575" t="s">
        <v>936</v>
      </c>
      <c r="U310" s="562" t="s">
        <v>937</v>
      </c>
      <c r="V310" s="562" t="s">
        <v>938</v>
      </c>
      <c r="W310" s="150"/>
      <c r="X310" s="150"/>
      <c r="Y310" s="150"/>
      <c r="Z310" s="150"/>
      <c r="AA310" s="150"/>
      <c r="AB310" s="150"/>
      <c r="AC310" s="150"/>
      <c r="AD310" s="150"/>
      <c r="AE310" s="150"/>
      <c r="AF310" s="150"/>
      <c r="AG310" s="150"/>
      <c r="AH310" s="150"/>
      <c r="AI310" s="150"/>
      <c r="AJ310" s="262"/>
      <c r="AK310" s="262"/>
      <c r="AL310" s="262"/>
      <c r="AM310" s="262"/>
      <c r="AN310" s="262"/>
      <c r="AO310" s="150"/>
      <c r="AP310" s="150"/>
      <c r="AQ310" s="150"/>
      <c r="AR310" s="150"/>
      <c r="AS310" s="263"/>
      <c r="AT310" s="263"/>
      <c r="AU310" s="263"/>
      <c r="AV310" s="263"/>
      <c r="AW310" s="263"/>
      <c r="AX310" s="150"/>
      <c r="AY310" s="150"/>
      <c r="AZ310" s="150"/>
      <c r="BA310" s="161">
        <v>35000000</v>
      </c>
      <c r="BB310" s="161">
        <v>11540000</v>
      </c>
      <c r="BC310" s="161"/>
      <c r="BD310" s="150"/>
      <c r="BE310" s="150"/>
      <c r="BF310" s="150"/>
      <c r="BG310" s="150"/>
      <c r="BH310" s="150"/>
      <c r="BI310" s="150"/>
      <c r="BJ310" s="151">
        <f t="shared" si="378"/>
        <v>35000000</v>
      </c>
      <c r="BK310" s="151">
        <f t="shared" si="382"/>
        <v>11540000</v>
      </c>
      <c r="BL310" s="151">
        <f t="shared" si="383"/>
        <v>0</v>
      </c>
      <c r="BM310" s="151" t="s">
        <v>800</v>
      </c>
      <c r="BN310" s="72" t="s">
        <v>801</v>
      </c>
    </row>
    <row r="311" spans="1:106" ht="131.25" customHeight="1" x14ac:dyDescent="0.2">
      <c r="A311" s="145"/>
      <c r="B311" s="91"/>
      <c r="C311" s="91"/>
      <c r="D311" s="91"/>
      <c r="E311" s="91"/>
      <c r="F311" s="567"/>
      <c r="G311" s="569"/>
      <c r="H311" s="562" t="s">
        <v>939</v>
      </c>
      <c r="I311" s="103">
        <v>4104015</v>
      </c>
      <c r="J311" s="123" t="s">
        <v>940</v>
      </c>
      <c r="K311" s="103">
        <v>4104015</v>
      </c>
      <c r="L311" s="123" t="s">
        <v>941</v>
      </c>
      <c r="M311" s="198">
        <v>410401500</v>
      </c>
      <c r="N311" s="577" t="s">
        <v>942</v>
      </c>
      <c r="O311" s="198">
        <v>410401500</v>
      </c>
      <c r="P311" s="577" t="s">
        <v>943</v>
      </c>
      <c r="Q311" s="195" t="s">
        <v>52</v>
      </c>
      <c r="R311" s="113">
        <v>7500</v>
      </c>
      <c r="S311" s="841">
        <v>1066</v>
      </c>
      <c r="T311" s="863" t="s">
        <v>944</v>
      </c>
      <c r="U311" s="877" t="s">
        <v>945</v>
      </c>
      <c r="V311" s="879" t="s">
        <v>946</v>
      </c>
      <c r="W311" s="150"/>
      <c r="X311" s="150"/>
      <c r="Y311" s="150"/>
      <c r="Z311" s="150"/>
      <c r="AA311" s="150"/>
      <c r="AB311" s="150"/>
      <c r="AC311" s="150"/>
      <c r="AD311" s="150"/>
      <c r="AE311" s="150"/>
      <c r="AF311" s="150"/>
      <c r="AG311" s="150"/>
      <c r="AH311" s="150"/>
      <c r="AI311" s="150"/>
      <c r="AJ311" s="262"/>
      <c r="AK311" s="262"/>
      <c r="AL311" s="262"/>
      <c r="AM311" s="262"/>
      <c r="AN311" s="262"/>
      <c r="AO311" s="150"/>
      <c r="AP311" s="150"/>
      <c r="AQ311" s="150"/>
      <c r="AR311" s="150"/>
      <c r="AS311" s="263"/>
      <c r="AT311" s="263"/>
      <c r="AU311" s="263"/>
      <c r="AV311" s="263"/>
      <c r="AW311" s="263"/>
      <c r="AX311" s="150"/>
      <c r="AY311" s="150"/>
      <c r="AZ311" s="150"/>
      <c r="BA311" s="161">
        <v>20000000</v>
      </c>
      <c r="BB311" s="161">
        <v>13190000</v>
      </c>
      <c r="BC311" s="161">
        <v>4740000</v>
      </c>
      <c r="BD311" s="150"/>
      <c r="BE311" s="150"/>
      <c r="BF311" s="150"/>
      <c r="BG311" s="150"/>
      <c r="BH311" s="150"/>
      <c r="BI311" s="150"/>
      <c r="BJ311" s="151">
        <f t="shared" si="378"/>
        <v>20000000</v>
      </c>
      <c r="BK311" s="151">
        <f t="shared" si="382"/>
        <v>13190000</v>
      </c>
      <c r="BL311" s="151">
        <f t="shared" si="383"/>
        <v>4740000</v>
      </c>
      <c r="BM311" s="151" t="s">
        <v>800</v>
      </c>
      <c r="BN311" s="72" t="s">
        <v>801</v>
      </c>
    </row>
    <row r="312" spans="1:106" s="44" customFormat="1" ht="203.25" customHeight="1" x14ac:dyDescent="0.2">
      <c r="A312" s="337"/>
      <c r="B312" s="83"/>
      <c r="C312" s="83"/>
      <c r="D312" s="83"/>
      <c r="E312" s="83"/>
      <c r="F312" s="82"/>
      <c r="G312" s="839"/>
      <c r="H312" s="840" t="s">
        <v>947</v>
      </c>
      <c r="I312" s="82" t="s">
        <v>47</v>
      </c>
      <c r="J312" s="104" t="s">
        <v>948</v>
      </c>
      <c r="K312" s="82">
        <v>4104008</v>
      </c>
      <c r="L312" s="104" t="s">
        <v>949</v>
      </c>
      <c r="M312" s="82" t="s">
        <v>47</v>
      </c>
      <c r="N312" s="462" t="s">
        <v>950</v>
      </c>
      <c r="O312" s="82">
        <v>410400800</v>
      </c>
      <c r="P312" s="462" t="s">
        <v>951</v>
      </c>
      <c r="Q312" s="839" t="s">
        <v>52</v>
      </c>
      <c r="R312" s="252">
        <v>12</v>
      </c>
      <c r="S312" s="842">
        <v>0</v>
      </c>
      <c r="T312" s="861"/>
      <c r="U312" s="878"/>
      <c r="V312" s="879"/>
      <c r="W312" s="207">
        <f>1057961872+2468577702</f>
        <v>3526539574</v>
      </c>
      <c r="X312" s="207"/>
      <c r="Y312" s="207"/>
      <c r="Z312" s="843"/>
      <c r="AA312" s="843"/>
      <c r="AB312" s="843"/>
      <c r="AC312" s="150"/>
      <c r="AD312" s="150"/>
      <c r="AE312" s="150"/>
      <c r="AF312" s="150"/>
      <c r="AG312" s="150"/>
      <c r="AH312" s="150"/>
      <c r="AI312" s="150"/>
      <c r="AJ312" s="262"/>
      <c r="AK312" s="262"/>
      <c r="AL312" s="262"/>
      <c r="AM312" s="262"/>
      <c r="AN312" s="262"/>
      <c r="AO312" s="150"/>
      <c r="AP312" s="150"/>
      <c r="AQ312" s="150"/>
      <c r="AR312" s="150"/>
      <c r="AS312" s="263"/>
      <c r="AT312" s="263"/>
      <c r="AU312" s="263"/>
      <c r="AV312" s="263"/>
      <c r="AW312" s="263"/>
      <c r="AX312" s="150"/>
      <c r="AY312" s="150"/>
      <c r="AZ312" s="150"/>
      <c r="BA312" s="161">
        <v>0</v>
      </c>
      <c r="BB312" s="161"/>
      <c r="BC312" s="161"/>
      <c r="BD312" s="150"/>
      <c r="BE312" s="150"/>
      <c r="BF312" s="150"/>
      <c r="BG312" s="150"/>
      <c r="BH312" s="150"/>
      <c r="BI312" s="150"/>
      <c r="BJ312" s="339">
        <f t="shared" si="378"/>
        <v>3526539574</v>
      </c>
      <c r="BK312" s="339">
        <f t="shared" si="382"/>
        <v>0</v>
      </c>
      <c r="BL312" s="339">
        <f t="shared" si="383"/>
        <v>0</v>
      </c>
      <c r="BM312" s="339" t="s">
        <v>800</v>
      </c>
      <c r="BN312" s="341" t="s">
        <v>801</v>
      </c>
    </row>
    <row r="313" spans="1:106" ht="24" customHeight="1" x14ac:dyDescent="0.2">
      <c r="A313" s="145"/>
      <c r="B313" s="131">
        <v>2</v>
      </c>
      <c r="C313" s="131"/>
      <c r="D313" s="74" t="s">
        <v>418</v>
      </c>
      <c r="E313" s="173"/>
      <c r="F313" s="74"/>
      <c r="G313" s="74"/>
      <c r="H313" s="180"/>
      <c r="I313" s="395"/>
      <c r="J313" s="182"/>
      <c r="K313" s="181"/>
      <c r="L313" s="182"/>
      <c r="M313" s="182"/>
      <c r="N313" s="184"/>
      <c r="O313" s="183"/>
      <c r="P313" s="184"/>
      <c r="Q313" s="185"/>
      <c r="R313" s="183"/>
      <c r="S313" s="183"/>
      <c r="T313" s="729"/>
      <c r="U313" s="132"/>
      <c r="V313" s="132"/>
      <c r="W313" s="134">
        <f>W314+W317</f>
        <v>0</v>
      </c>
      <c r="X313" s="134"/>
      <c r="Y313" s="134"/>
      <c r="Z313" s="134">
        <f t="shared" ref="Z313:BG313" si="384">Z314+Z317</f>
        <v>0</v>
      </c>
      <c r="AA313" s="134"/>
      <c r="AB313" s="134"/>
      <c r="AC313" s="134">
        <f t="shared" si="384"/>
        <v>0</v>
      </c>
      <c r="AD313" s="134"/>
      <c r="AE313" s="134"/>
      <c r="AF313" s="134">
        <f t="shared" si="384"/>
        <v>0</v>
      </c>
      <c r="AG313" s="134"/>
      <c r="AH313" s="134"/>
      <c r="AI313" s="134">
        <f t="shared" si="384"/>
        <v>0</v>
      </c>
      <c r="AJ313" s="134"/>
      <c r="AK313" s="134"/>
      <c r="AL313" s="134">
        <f t="shared" si="384"/>
        <v>0</v>
      </c>
      <c r="AM313" s="134"/>
      <c r="AN313" s="134"/>
      <c r="AO313" s="134">
        <f t="shared" si="384"/>
        <v>0</v>
      </c>
      <c r="AP313" s="134"/>
      <c r="AQ313" s="134"/>
      <c r="AR313" s="134">
        <f t="shared" si="384"/>
        <v>0</v>
      </c>
      <c r="AS313" s="134"/>
      <c r="AT313" s="134"/>
      <c r="AU313" s="134">
        <f t="shared" si="384"/>
        <v>0</v>
      </c>
      <c r="AV313" s="134"/>
      <c r="AW313" s="134"/>
      <c r="AX313" s="134">
        <f t="shared" si="384"/>
        <v>0</v>
      </c>
      <c r="AY313" s="134"/>
      <c r="AZ313" s="134"/>
      <c r="BA313" s="134">
        <f t="shared" si="384"/>
        <v>36000000</v>
      </c>
      <c r="BB313" s="134">
        <f t="shared" ref="BB313:BC313" si="385">BB314+BB317</f>
        <v>20440000</v>
      </c>
      <c r="BC313" s="134">
        <f t="shared" si="385"/>
        <v>0</v>
      </c>
      <c r="BD313" s="134">
        <f t="shared" si="384"/>
        <v>0</v>
      </c>
      <c r="BE313" s="134"/>
      <c r="BF313" s="134"/>
      <c r="BG313" s="134">
        <f t="shared" si="384"/>
        <v>0</v>
      </c>
      <c r="BH313" s="134"/>
      <c r="BI313" s="134"/>
      <c r="BJ313" s="134">
        <f>BJ314+BJ317</f>
        <v>36000000</v>
      </c>
      <c r="BK313" s="134">
        <f t="shared" ref="BK313:BL313" si="386">BK314+BK317</f>
        <v>20440000</v>
      </c>
      <c r="BL313" s="134">
        <f t="shared" si="386"/>
        <v>0</v>
      </c>
      <c r="BM313" s="134"/>
      <c r="BN313" s="168"/>
    </row>
    <row r="314" spans="1:106" s="9" customFormat="1" ht="24" customHeight="1" x14ac:dyDescent="0.25">
      <c r="A314" s="130"/>
      <c r="B314" s="83"/>
      <c r="C314" s="83"/>
      <c r="D314" s="77">
        <v>17</v>
      </c>
      <c r="E314" s="75" t="s">
        <v>470</v>
      </c>
      <c r="F314" s="75"/>
      <c r="G314" s="135"/>
      <c r="H314" s="136"/>
      <c r="I314" s="136"/>
      <c r="J314" s="138"/>
      <c r="K314" s="137"/>
      <c r="L314" s="138"/>
      <c r="M314" s="138"/>
      <c r="N314" s="140"/>
      <c r="O314" s="139"/>
      <c r="P314" s="140"/>
      <c r="Q314" s="141"/>
      <c r="R314" s="139"/>
      <c r="S314" s="139"/>
      <c r="T314" s="204"/>
      <c r="U314" s="143"/>
      <c r="V314" s="143"/>
      <c r="W314" s="144">
        <f>W315</f>
        <v>0</v>
      </c>
      <c r="X314" s="144"/>
      <c r="Y314" s="144"/>
      <c r="Z314" s="144">
        <f t="shared" ref="Z314:BL314" si="387">Z315</f>
        <v>0</v>
      </c>
      <c r="AA314" s="144"/>
      <c r="AB314" s="144"/>
      <c r="AC314" s="144">
        <f t="shared" si="387"/>
        <v>0</v>
      </c>
      <c r="AD314" s="144"/>
      <c r="AE314" s="144"/>
      <c r="AF314" s="144">
        <f t="shared" si="387"/>
        <v>0</v>
      </c>
      <c r="AG314" s="144"/>
      <c r="AH314" s="144"/>
      <c r="AI314" s="144">
        <f t="shared" si="387"/>
        <v>0</v>
      </c>
      <c r="AJ314" s="144"/>
      <c r="AK314" s="144"/>
      <c r="AL314" s="144">
        <f t="shared" si="387"/>
        <v>0</v>
      </c>
      <c r="AM314" s="144"/>
      <c r="AN314" s="144"/>
      <c r="AO314" s="144">
        <f t="shared" si="387"/>
        <v>0</v>
      </c>
      <c r="AP314" s="144"/>
      <c r="AQ314" s="144"/>
      <c r="AR314" s="144">
        <f t="shared" si="387"/>
        <v>0</v>
      </c>
      <c r="AS314" s="144"/>
      <c r="AT314" s="144"/>
      <c r="AU314" s="144">
        <f t="shared" si="387"/>
        <v>0</v>
      </c>
      <c r="AV314" s="144"/>
      <c r="AW314" s="144"/>
      <c r="AX314" s="144">
        <f t="shared" si="387"/>
        <v>0</v>
      </c>
      <c r="AY314" s="144"/>
      <c r="AZ314" s="144"/>
      <c r="BA314" s="144">
        <f t="shared" si="387"/>
        <v>18000000</v>
      </c>
      <c r="BB314" s="144">
        <f t="shared" si="387"/>
        <v>11540000</v>
      </c>
      <c r="BC314" s="144">
        <f t="shared" si="387"/>
        <v>0</v>
      </c>
      <c r="BD314" s="144">
        <f t="shared" si="387"/>
        <v>0</v>
      </c>
      <c r="BE314" s="144"/>
      <c r="BF314" s="144"/>
      <c r="BG314" s="144">
        <f t="shared" si="387"/>
        <v>0</v>
      </c>
      <c r="BH314" s="144"/>
      <c r="BI314" s="144"/>
      <c r="BJ314" s="144">
        <f t="shared" si="387"/>
        <v>18000000</v>
      </c>
      <c r="BK314" s="144">
        <f t="shared" si="387"/>
        <v>11540000</v>
      </c>
      <c r="BL314" s="144">
        <f t="shared" si="387"/>
        <v>0</v>
      </c>
      <c r="BM314" s="144"/>
      <c r="BN314" s="169"/>
      <c r="BO314" s="8"/>
      <c r="BP314" s="8"/>
      <c r="BQ314" s="8"/>
      <c r="BR314" s="8"/>
      <c r="BS314" s="8"/>
      <c r="BT314" s="8"/>
      <c r="BU314" s="8"/>
      <c r="BV314" s="8"/>
      <c r="BW314" s="8"/>
      <c r="BX314" s="8"/>
      <c r="BY314" s="8"/>
      <c r="BZ314" s="8"/>
      <c r="CA314" s="8"/>
      <c r="CB314" s="8"/>
      <c r="CC314" s="8"/>
      <c r="CD314" s="8"/>
      <c r="CE314" s="8"/>
      <c r="CF314" s="8"/>
      <c r="CG314" s="8"/>
      <c r="CH314" s="8"/>
      <c r="CI314" s="8"/>
      <c r="CJ314" s="8"/>
      <c r="CK314" s="8"/>
      <c r="CL314" s="8"/>
      <c r="CM314" s="8"/>
      <c r="CN314" s="8"/>
      <c r="CO314" s="8"/>
      <c r="CP314" s="8"/>
      <c r="CQ314" s="8"/>
      <c r="CR314" s="8"/>
      <c r="CS314" s="8"/>
      <c r="CT314" s="8"/>
      <c r="CU314" s="8"/>
      <c r="CV314" s="8"/>
      <c r="CW314" s="8"/>
      <c r="CX314" s="8"/>
      <c r="CY314" s="8"/>
      <c r="CZ314" s="8"/>
      <c r="DA314" s="8"/>
      <c r="DB314" s="8"/>
    </row>
    <row r="315" spans="1:106" ht="24" customHeight="1" x14ac:dyDescent="0.2">
      <c r="A315" s="145"/>
      <c r="B315" s="91"/>
      <c r="C315" s="91"/>
      <c r="D315" s="91"/>
      <c r="E315" s="91"/>
      <c r="F315" s="154">
        <v>1702</v>
      </c>
      <c r="G315" s="81" t="s">
        <v>471</v>
      </c>
      <c r="H315" s="188"/>
      <c r="I315" s="188"/>
      <c r="J315" s="736"/>
      <c r="K315" s="726"/>
      <c r="L315" s="693"/>
      <c r="M315" s="693"/>
      <c r="N315" s="688"/>
      <c r="O315" s="689"/>
      <c r="P315" s="688"/>
      <c r="Q315" s="727"/>
      <c r="R315" s="689"/>
      <c r="S315" s="689"/>
      <c r="T315" s="728"/>
      <c r="U315" s="153"/>
      <c r="V315" s="153"/>
      <c r="W315" s="160">
        <f t="shared" ref="W315:BL315" si="388">+W316</f>
        <v>0</v>
      </c>
      <c r="X315" s="160"/>
      <c r="Y315" s="160"/>
      <c r="Z315" s="160">
        <f t="shared" si="388"/>
        <v>0</v>
      </c>
      <c r="AA315" s="160"/>
      <c r="AB315" s="160"/>
      <c r="AC315" s="160">
        <f t="shared" si="388"/>
        <v>0</v>
      </c>
      <c r="AD315" s="160"/>
      <c r="AE315" s="160"/>
      <c r="AF315" s="160">
        <f t="shared" si="388"/>
        <v>0</v>
      </c>
      <c r="AG315" s="160"/>
      <c r="AH315" s="160"/>
      <c r="AI315" s="160">
        <f t="shared" si="388"/>
        <v>0</v>
      </c>
      <c r="AJ315" s="160"/>
      <c r="AK315" s="160"/>
      <c r="AL315" s="160">
        <f t="shared" si="388"/>
        <v>0</v>
      </c>
      <c r="AM315" s="160"/>
      <c r="AN315" s="160"/>
      <c r="AO315" s="160">
        <f t="shared" si="388"/>
        <v>0</v>
      </c>
      <c r="AP315" s="160"/>
      <c r="AQ315" s="160"/>
      <c r="AR315" s="160">
        <f t="shared" si="388"/>
        <v>0</v>
      </c>
      <c r="AS315" s="160"/>
      <c r="AT315" s="160"/>
      <c r="AU315" s="160">
        <f t="shared" si="388"/>
        <v>0</v>
      </c>
      <c r="AV315" s="160"/>
      <c r="AW315" s="160"/>
      <c r="AX315" s="160">
        <f t="shared" si="388"/>
        <v>0</v>
      </c>
      <c r="AY315" s="160"/>
      <c r="AZ315" s="160"/>
      <c r="BA315" s="160">
        <f t="shared" si="388"/>
        <v>18000000</v>
      </c>
      <c r="BB315" s="160">
        <f t="shared" si="388"/>
        <v>11540000</v>
      </c>
      <c r="BC315" s="160">
        <f t="shared" si="388"/>
        <v>0</v>
      </c>
      <c r="BD315" s="160">
        <f t="shared" si="388"/>
        <v>0</v>
      </c>
      <c r="BE315" s="160"/>
      <c r="BF315" s="160"/>
      <c r="BG315" s="160">
        <f t="shared" si="388"/>
        <v>0</v>
      </c>
      <c r="BH315" s="160"/>
      <c r="BI315" s="160"/>
      <c r="BJ315" s="160">
        <f t="shared" si="388"/>
        <v>18000000</v>
      </c>
      <c r="BK315" s="160">
        <f t="shared" si="388"/>
        <v>11540000</v>
      </c>
      <c r="BL315" s="160">
        <f t="shared" si="388"/>
        <v>0</v>
      </c>
      <c r="BM315" s="160"/>
      <c r="BN315" s="160"/>
    </row>
    <row r="316" spans="1:106" ht="135" customHeight="1" x14ac:dyDescent="0.2">
      <c r="A316" s="145"/>
      <c r="B316" s="91"/>
      <c r="C316" s="91"/>
      <c r="D316" s="91"/>
      <c r="E316" s="91"/>
      <c r="F316" s="567"/>
      <c r="G316" s="216"/>
      <c r="H316" s="562" t="s">
        <v>952</v>
      </c>
      <c r="I316" s="85">
        <v>1702011</v>
      </c>
      <c r="J316" s="562" t="s">
        <v>953</v>
      </c>
      <c r="K316" s="85">
        <v>1702011</v>
      </c>
      <c r="L316" s="562" t="s">
        <v>953</v>
      </c>
      <c r="M316" s="198" t="s">
        <v>954</v>
      </c>
      <c r="N316" s="577" t="s">
        <v>955</v>
      </c>
      <c r="O316" s="198" t="s">
        <v>954</v>
      </c>
      <c r="P316" s="577" t="s">
        <v>955</v>
      </c>
      <c r="Q316" s="238" t="s">
        <v>68</v>
      </c>
      <c r="R316" s="125">
        <v>4</v>
      </c>
      <c r="S316" s="125">
        <v>0</v>
      </c>
      <c r="T316" s="570" t="s">
        <v>956</v>
      </c>
      <c r="U316" s="562" t="s">
        <v>957</v>
      </c>
      <c r="V316" s="562" t="s">
        <v>958</v>
      </c>
      <c r="W316" s="150"/>
      <c r="X316" s="150"/>
      <c r="Y316" s="150"/>
      <c r="Z316" s="150"/>
      <c r="AA316" s="150"/>
      <c r="AB316" s="150"/>
      <c r="AC316" s="150"/>
      <c r="AD316" s="150"/>
      <c r="AE316" s="150"/>
      <c r="AF316" s="150"/>
      <c r="AG316" s="150"/>
      <c r="AH316" s="150"/>
      <c r="AI316" s="150"/>
      <c r="AJ316" s="262"/>
      <c r="AK316" s="262"/>
      <c r="AL316" s="262"/>
      <c r="AM316" s="262"/>
      <c r="AN316" s="262"/>
      <c r="AO316" s="150"/>
      <c r="AP316" s="150"/>
      <c r="AQ316" s="150"/>
      <c r="AR316" s="150"/>
      <c r="AS316" s="263"/>
      <c r="AT316" s="263"/>
      <c r="AU316" s="263"/>
      <c r="AV316" s="263"/>
      <c r="AW316" s="263"/>
      <c r="AX316" s="150"/>
      <c r="AY316" s="150"/>
      <c r="AZ316" s="150"/>
      <c r="BA316" s="161">
        <v>18000000</v>
      </c>
      <c r="BB316" s="161">
        <v>11540000</v>
      </c>
      <c r="BC316" s="161"/>
      <c r="BD316" s="150"/>
      <c r="BE316" s="150"/>
      <c r="BF316" s="150"/>
      <c r="BG316" s="150"/>
      <c r="BH316" s="150"/>
      <c r="BI316" s="150"/>
      <c r="BJ316" s="151">
        <f>+W316+Z316+AC316+AF316+AI316+AL316+AO316+AR316+AU316+AX316+BA316+BD316+BG316</f>
        <v>18000000</v>
      </c>
      <c r="BK316" s="151">
        <f t="shared" ref="BK316:BL316" si="389">+X316+AA316+AD316+AG316+AJ316+AM316+AP316+AS316+AV316+AY316+BB316+BE316+BH316</f>
        <v>11540000</v>
      </c>
      <c r="BL316" s="151">
        <f t="shared" si="389"/>
        <v>0</v>
      </c>
      <c r="BM316" s="151" t="s">
        <v>800</v>
      </c>
      <c r="BN316" s="72" t="s">
        <v>801</v>
      </c>
    </row>
    <row r="317" spans="1:106" s="9" customFormat="1" ht="24" customHeight="1" x14ac:dyDescent="0.25">
      <c r="A317" s="130"/>
      <c r="B317" s="83"/>
      <c r="C317" s="83"/>
      <c r="D317" s="77">
        <v>36</v>
      </c>
      <c r="E317" s="75" t="s">
        <v>452</v>
      </c>
      <c r="F317" s="75"/>
      <c r="G317" s="135"/>
      <c r="H317" s="136"/>
      <c r="I317" s="136"/>
      <c r="J317" s="138"/>
      <c r="K317" s="137"/>
      <c r="L317" s="138"/>
      <c r="M317" s="138"/>
      <c r="N317" s="140"/>
      <c r="O317" s="139"/>
      <c r="P317" s="140"/>
      <c r="Q317" s="141"/>
      <c r="R317" s="139"/>
      <c r="S317" s="139"/>
      <c r="T317" s="204"/>
      <c r="U317" s="143"/>
      <c r="V317" s="143"/>
      <c r="W317" s="144">
        <f>W318</f>
        <v>0</v>
      </c>
      <c r="X317" s="144"/>
      <c r="Y317" s="144"/>
      <c r="Z317" s="144">
        <f t="shared" ref="Z317:BL317" si="390">Z318</f>
        <v>0</v>
      </c>
      <c r="AA317" s="144"/>
      <c r="AB317" s="144"/>
      <c r="AC317" s="144">
        <f t="shared" si="390"/>
        <v>0</v>
      </c>
      <c r="AD317" s="144"/>
      <c r="AE317" s="144"/>
      <c r="AF317" s="144">
        <f t="shared" si="390"/>
        <v>0</v>
      </c>
      <c r="AG317" s="144"/>
      <c r="AH317" s="144"/>
      <c r="AI317" s="144">
        <f t="shared" si="390"/>
        <v>0</v>
      </c>
      <c r="AJ317" s="144"/>
      <c r="AK317" s="144"/>
      <c r="AL317" s="144">
        <f t="shared" si="390"/>
        <v>0</v>
      </c>
      <c r="AM317" s="144"/>
      <c r="AN317" s="144"/>
      <c r="AO317" s="144">
        <f t="shared" si="390"/>
        <v>0</v>
      </c>
      <c r="AP317" s="144"/>
      <c r="AQ317" s="144"/>
      <c r="AR317" s="144">
        <f t="shared" si="390"/>
        <v>0</v>
      </c>
      <c r="AS317" s="144"/>
      <c r="AT317" s="144"/>
      <c r="AU317" s="144">
        <f t="shared" si="390"/>
        <v>0</v>
      </c>
      <c r="AV317" s="144"/>
      <c r="AW317" s="144"/>
      <c r="AX317" s="144">
        <f t="shared" si="390"/>
        <v>0</v>
      </c>
      <c r="AY317" s="144"/>
      <c r="AZ317" s="144"/>
      <c r="BA317" s="144">
        <f t="shared" si="390"/>
        <v>18000000</v>
      </c>
      <c r="BB317" s="144">
        <f t="shared" si="390"/>
        <v>8900000</v>
      </c>
      <c r="BC317" s="144">
        <f t="shared" si="390"/>
        <v>0</v>
      </c>
      <c r="BD317" s="144">
        <f t="shared" si="390"/>
        <v>0</v>
      </c>
      <c r="BE317" s="144"/>
      <c r="BF317" s="144"/>
      <c r="BG317" s="144">
        <f t="shared" si="390"/>
        <v>0</v>
      </c>
      <c r="BH317" s="144"/>
      <c r="BI317" s="144"/>
      <c r="BJ317" s="144">
        <f t="shared" si="390"/>
        <v>18000000</v>
      </c>
      <c r="BK317" s="144">
        <f t="shared" si="390"/>
        <v>8900000</v>
      </c>
      <c r="BL317" s="144">
        <f t="shared" si="390"/>
        <v>0</v>
      </c>
      <c r="BM317" s="144"/>
      <c r="BN317" s="169"/>
      <c r="BO317" s="8"/>
      <c r="BP317" s="8"/>
      <c r="BQ317" s="8"/>
      <c r="BR317" s="8"/>
      <c r="BS317" s="8"/>
      <c r="BT317" s="8"/>
      <c r="BU317" s="8"/>
      <c r="BV317" s="8"/>
      <c r="BW317" s="8"/>
      <c r="BX317" s="8"/>
      <c r="BY317" s="8"/>
      <c r="BZ317" s="8"/>
      <c r="CA317" s="8"/>
      <c r="CB317" s="8"/>
      <c r="CC317" s="8"/>
      <c r="CD317" s="8"/>
      <c r="CE317" s="8"/>
      <c r="CF317" s="8"/>
      <c r="CG317" s="8"/>
      <c r="CH317" s="8"/>
      <c r="CI317" s="8"/>
      <c r="CJ317" s="8"/>
      <c r="CK317" s="8"/>
      <c r="CL317" s="8"/>
      <c r="CM317" s="8"/>
      <c r="CN317" s="8"/>
      <c r="CO317" s="8"/>
      <c r="CP317" s="8"/>
      <c r="CQ317" s="8"/>
      <c r="CR317" s="8"/>
      <c r="CS317" s="8"/>
      <c r="CT317" s="8"/>
      <c r="CU317" s="8"/>
      <c r="CV317" s="8"/>
      <c r="CW317" s="8"/>
      <c r="CX317" s="8"/>
      <c r="CY317" s="8"/>
      <c r="CZ317" s="8"/>
      <c r="DA317" s="8"/>
      <c r="DB317" s="8"/>
    </row>
    <row r="318" spans="1:106" ht="24" customHeight="1" x14ac:dyDescent="0.2">
      <c r="A318" s="145"/>
      <c r="B318" s="91"/>
      <c r="C318" s="91"/>
      <c r="D318" s="91"/>
      <c r="E318" s="91"/>
      <c r="F318" s="154">
        <v>3604</v>
      </c>
      <c r="G318" s="81" t="s">
        <v>959</v>
      </c>
      <c r="H318" s="81"/>
      <c r="I318" s="194"/>
      <c r="J318" s="693"/>
      <c r="K318" s="726"/>
      <c r="L318" s="693"/>
      <c r="M318" s="693"/>
      <c r="N318" s="688"/>
      <c r="O318" s="689"/>
      <c r="P318" s="688"/>
      <c r="Q318" s="727"/>
      <c r="R318" s="689"/>
      <c r="S318" s="689"/>
      <c r="T318" s="728"/>
      <c r="U318" s="153"/>
      <c r="V318" s="153"/>
      <c r="W318" s="160">
        <f t="shared" ref="W318:BL318" si="391">+W319</f>
        <v>0</v>
      </c>
      <c r="X318" s="160"/>
      <c r="Y318" s="160"/>
      <c r="Z318" s="160">
        <f t="shared" si="391"/>
        <v>0</v>
      </c>
      <c r="AA318" s="160"/>
      <c r="AB318" s="160"/>
      <c r="AC318" s="160">
        <f t="shared" si="391"/>
        <v>0</v>
      </c>
      <c r="AD318" s="160"/>
      <c r="AE318" s="160"/>
      <c r="AF318" s="160">
        <f t="shared" si="391"/>
        <v>0</v>
      </c>
      <c r="AG318" s="160"/>
      <c r="AH318" s="160"/>
      <c r="AI318" s="160">
        <f t="shared" si="391"/>
        <v>0</v>
      </c>
      <c r="AJ318" s="160"/>
      <c r="AK318" s="160"/>
      <c r="AL318" s="160">
        <f t="shared" si="391"/>
        <v>0</v>
      </c>
      <c r="AM318" s="160"/>
      <c r="AN318" s="160"/>
      <c r="AO318" s="160">
        <f t="shared" si="391"/>
        <v>0</v>
      </c>
      <c r="AP318" s="160"/>
      <c r="AQ318" s="160"/>
      <c r="AR318" s="160">
        <f t="shared" si="391"/>
        <v>0</v>
      </c>
      <c r="AS318" s="160"/>
      <c r="AT318" s="160"/>
      <c r="AU318" s="160">
        <f t="shared" si="391"/>
        <v>0</v>
      </c>
      <c r="AV318" s="160"/>
      <c r="AW318" s="160"/>
      <c r="AX318" s="160">
        <f t="shared" si="391"/>
        <v>0</v>
      </c>
      <c r="AY318" s="160"/>
      <c r="AZ318" s="160"/>
      <c r="BA318" s="160">
        <f t="shared" si="391"/>
        <v>18000000</v>
      </c>
      <c r="BB318" s="160">
        <f t="shared" si="391"/>
        <v>8900000</v>
      </c>
      <c r="BC318" s="160">
        <f t="shared" si="391"/>
        <v>0</v>
      </c>
      <c r="BD318" s="160">
        <f t="shared" si="391"/>
        <v>0</v>
      </c>
      <c r="BE318" s="160"/>
      <c r="BF318" s="160"/>
      <c r="BG318" s="160">
        <f t="shared" si="391"/>
        <v>0</v>
      </c>
      <c r="BH318" s="160"/>
      <c r="BI318" s="160"/>
      <c r="BJ318" s="160">
        <f t="shared" si="391"/>
        <v>18000000</v>
      </c>
      <c r="BK318" s="160">
        <f t="shared" si="391"/>
        <v>8900000</v>
      </c>
      <c r="BL318" s="160">
        <f t="shared" si="391"/>
        <v>0</v>
      </c>
      <c r="BM318" s="160"/>
      <c r="BN318" s="160"/>
    </row>
    <row r="319" spans="1:106" ht="131.25" customHeight="1" x14ac:dyDescent="0.2">
      <c r="A319" s="145"/>
      <c r="B319" s="91"/>
      <c r="C319" s="91"/>
      <c r="D319" s="91"/>
      <c r="E319" s="91"/>
      <c r="F319" s="567"/>
      <c r="G319" s="216"/>
      <c r="H319" s="562" t="s">
        <v>960</v>
      </c>
      <c r="I319" s="567">
        <v>3604006</v>
      </c>
      <c r="J319" s="562" t="s">
        <v>961</v>
      </c>
      <c r="K319" s="567">
        <v>3604006</v>
      </c>
      <c r="L319" s="562" t="s">
        <v>961</v>
      </c>
      <c r="M319" s="198">
        <v>360400600</v>
      </c>
      <c r="N319" s="157" t="s">
        <v>347</v>
      </c>
      <c r="O319" s="198">
        <v>360400600</v>
      </c>
      <c r="P319" s="157" t="s">
        <v>347</v>
      </c>
      <c r="Q319" s="256" t="s">
        <v>68</v>
      </c>
      <c r="R319" s="255">
        <v>200</v>
      </c>
      <c r="S319" s="255">
        <v>24</v>
      </c>
      <c r="T319" s="570" t="s">
        <v>962</v>
      </c>
      <c r="U319" s="123" t="s">
        <v>963</v>
      </c>
      <c r="V319" s="123" t="s">
        <v>964</v>
      </c>
      <c r="W319" s="150"/>
      <c r="X319" s="150"/>
      <c r="Y319" s="150"/>
      <c r="Z319" s="150"/>
      <c r="AA319" s="150"/>
      <c r="AB319" s="150"/>
      <c r="AC319" s="150"/>
      <c r="AD319" s="150"/>
      <c r="AE319" s="150"/>
      <c r="AF319" s="150"/>
      <c r="AG319" s="150"/>
      <c r="AH319" s="150"/>
      <c r="AI319" s="150"/>
      <c r="AJ319" s="262"/>
      <c r="AK319" s="262"/>
      <c r="AL319" s="262"/>
      <c r="AM319" s="262"/>
      <c r="AN319" s="262"/>
      <c r="AO319" s="150"/>
      <c r="AP319" s="150"/>
      <c r="AQ319" s="150"/>
      <c r="AR319" s="150"/>
      <c r="AS319" s="263"/>
      <c r="AT319" s="263"/>
      <c r="AU319" s="263"/>
      <c r="AV319" s="263"/>
      <c r="AW319" s="263"/>
      <c r="AX319" s="150"/>
      <c r="AY319" s="150"/>
      <c r="AZ319" s="150"/>
      <c r="BA319" s="161">
        <v>18000000</v>
      </c>
      <c r="BB319" s="161">
        <v>8900000</v>
      </c>
      <c r="BC319" s="161"/>
      <c r="BD319" s="150"/>
      <c r="BE319" s="150"/>
      <c r="BF319" s="150"/>
      <c r="BG319" s="150"/>
      <c r="BH319" s="150"/>
      <c r="BI319" s="150"/>
      <c r="BJ319" s="151">
        <f>+W319+Z319+AC319+AF319+AI319+AL319+AO319+AR319+AU319+AX319+BA319+BD319+BG319</f>
        <v>18000000</v>
      </c>
      <c r="BK319" s="151">
        <f t="shared" ref="BK319:BL319" si="392">+X319+AA319+AD319+AG319+AJ319+AM319+AP319+AS319+AV319+AY319+BB319+BE319+BH319</f>
        <v>8900000</v>
      </c>
      <c r="BL319" s="151">
        <f t="shared" si="392"/>
        <v>0</v>
      </c>
      <c r="BM319" s="151" t="s">
        <v>800</v>
      </c>
      <c r="BN319" s="72" t="s">
        <v>801</v>
      </c>
    </row>
    <row r="320" spans="1:106" ht="24" customHeight="1" x14ac:dyDescent="0.2">
      <c r="A320" s="145"/>
      <c r="B320" s="131">
        <v>4</v>
      </c>
      <c r="C320" s="131"/>
      <c r="D320" s="74" t="s">
        <v>43</v>
      </c>
      <c r="E320" s="173"/>
      <c r="F320" s="74"/>
      <c r="G320" s="180"/>
      <c r="H320" s="395"/>
      <c r="I320" s="395"/>
      <c r="J320" s="182"/>
      <c r="K320" s="181"/>
      <c r="L320" s="182"/>
      <c r="M320" s="182"/>
      <c r="N320" s="184"/>
      <c r="O320" s="183"/>
      <c r="P320" s="184"/>
      <c r="Q320" s="185"/>
      <c r="R320" s="183"/>
      <c r="S320" s="183"/>
      <c r="T320" s="729"/>
      <c r="U320" s="132"/>
      <c r="V320" s="132"/>
      <c r="W320" s="158">
        <f>W321</f>
        <v>0</v>
      </c>
      <c r="X320" s="158"/>
      <c r="Y320" s="158"/>
      <c r="Z320" s="158">
        <f t="shared" ref="Z320:BK321" si="393">Z321</f>
        <v>0</v>
      </c>
      <c r="AA320" s="158"/>
      <c r="AB320" s="158"/>
      <c r="AC320" s="158">
        <f t="shared" si="393"/>
        <v>0</v>
      </c>
      <c r="AD320" s="158"/>
      <c r="AE320" s="158"/>
      <c r="AF320" s="158">
        <f>AF321+AF328</f>
        <v>0</v>
      </c>
      <c r="AG320" s="158"/>
      <c r="AH320" s="158"/>
      <c r="AI320" s="158">
        <f t="shared" ref="AI320:BJ320" si="394">AI321+AI328</f>
        <v>0</v>
      </c>
      <c r="AJ320" s="158"/>
      <c r="AK320" s="158"/>
      <c r="AL320" s="158">
        <f t="shared" si="394"/>
        <v>0</v>
      </c>
      <c r="AM320" s="158"/>
      <c r="AN320" s="158"/>
      <c r="AO320" s="158">
        <f t="shared" si="394"/>
        <v>0</v>
      </c>
      <c r="AP320" s="158"/>
      <c r="AQ320" s="158"/>
      <c r="AR320" s="158">
        <f t="shared" si="394"/>
        <v>0</v>
      </c>
      <c r="AS320" s="158"/>
      <c r="AT320" s="158"/>
      <c r="AU320" s="158">
        <f t="shared" si="394"/>
        <v>0</v>
      </c>
      <c r="AV320" s="158"/>
      <c r="AW320" s="158"/>
      <c r="AX320" s="158">
        <f t="shared" si="394"/>
        <v>0</v>
      </c>
      <c r="AY320" s="158"/>
      <c r="AZ320" s="158"/>
      <c r="BA320" s="158">
        <f t="shared" si="394"/>
        <v>355000000</v>
      </c>
      <c r="BB320" s="158">
        <f t="shared" ref="BB320:BC320" si="395">BB321+BB328</f>
        <v>155810000</v>
      </c>
      <c r="BC320" s="158">
        <f t="shared" si="395"/>
        <v>11020000</v>
      </c>
      <c r="BD320" s="158">
        <f t="shared" si="394"/>
        <v>0</v>
      </c>
      <c r="BE320" s="158"/>
      <c r="BF320" s="158"/>
      <c r="BG320" s="158">
        <f t="shared" si="394"/>
        <v>0</v>
      </c>
      <c r="BH320" s="158"/>
      <c r="BI320" s="158"/>
      <c r="BJ320" s="158">
        <f t="shared" si="394"/>
        <v>355000000</v>
      </c>
      <c r="BK320" s="158">
        <f t="shared" ref="BK320:BL320" si="396">BK321+BK328</f>
        <v>155810000</v>
      </c>
      <c r="BL320" s="158">
        <f t="shared" si="396"/>
        <v>11020000</v>
      </c>
      <c r="BM320" s="158"/>
      <c r="BN320" s="158"/>
    </row>
    <row r="321" spans="1:106" s="9" customFormat="1" ht="24" customHeight="1" x14ac:dyDescent="0.25">
      <c r="A321" s="130"/>
      <c r="B321" s="83"/>
      <c r="C321" s="83"/>
      <c r="D321" s="77">
        <v>45</v>
      </c>
      <c r="E321" s="75" t="s">
        <v>965</v>
      </c>
      <c r="F321" s="75"/>
      <c r="G321" s="135"/>
      <c r="H321" s="136"/>
      <c r="I321" s="136"/>
      <c r="J321" s="138"/>
      <c r="K321" s="137"/>
      <c r="L321" s="138"/>
      <c r="M321" s="138"/>
      <c r="N321" s="140"/>
      <c r="O321" s="139"/>
      <c r="P321" s="140"/>
      <c r="Q321" s="141"/>
      <c r="R321" s="139"/>
      <c r="S321" s="139"/>
      <c r="T321" s="204"/>
      <c r="U321" s="143"/>
      <c r="V321" s="143"/>
      <c r="W321" s="144">
        <f>W322</f>
        <v>0</v>
      </c>
      <c r="X321" s="144"/>
      <c r="Y321" s="144"/>
      <c r="Z321" s="144">
        <f t="shared" si="393"/>
        <v>0</v>
      </c>
      <c r="AA321" s="144"/>
      <c r="AB321" s="144"/>
      <c r="AC321" s="144">
        <f t="shared" si="393"/>
        <v>0</v>
      </c>
      <c r="AD321" s="144"/>
      <c r="AE321" s="144"/>
      <c r="AF321" s="144">
        <f t="shared" si="393"/>
        <v>0</v>
      </c>
      <c r="AG321" s="144"/>
      <c r="AH321" s="144"/>
      <c r="AI321" s="144">
        <f t="shared" si="393"/>
        <v>0</v>
      </c>
      <c r="AJ321" s="144"/>
      <c r="AK321" s="144"/>
      <c r="AL321" s="144">
        <f t="shared" si="393"/>
        <v>0</v>
      </c>
      <c r="AM321" s="144"/>
      <c r="AN321" s="144"/>
      <c r="AO321" s="144">
        <f t="shared" si="393"/>
        <v>0</v>
      </c>
      <c r="AP321" s="144"/>
      <c r="AQ321" s="144"/>
      <c r="AR321" s="144">
        <f t="shared" si="393"/>
        <v>0</v>
      </c>
      <c r="AS321" s="144"/>
      <c r="AT321" s="144"/>
      <c r="AU321" s="144">
        <f t="shared" si="393"/>
        <v>0</v>
      </c>
      <c r="AV321" s="144"/>
      <c r="AW321" s="144"/>
      <c r="AX321" s="144">
        <f t="shared" si="393"/>
        <v>0</v>
      </c>
      <c r="AY321" s="144"/>
      <c r="AZ321" s="144"/>
      <c r="BA321" s="144">
        <f t="shared" si="393"/>
        <v>251000000</v>
      </c>
      <c r="BB321" s="144">
        <f t="shared" si="393"/>
        <v>126130000</v>
      </c>
      <c r="BC321" s="144">
        <f t="shared" si="393"/>
        <v>8135000</v>
      </c>
      <c r="BD321" s="144">
        <f t="shared" si="393"/>
        <v>0</v>
      </c>
      <c r="BE321" s="144"/>
      <c r="BF321" s="144"/>
      <c r="BG321" s="144">
        <f t="shared" si="393"/>
        <v>0</v>
      </c>
      <c r="BH321" s="144"/>
      <c r="BI321" s="144"/>
      <c r="BJ321" s="144">
        <f t="shared" si="393"/>
        <v>251000000</v>
      </c>
      <c r="BK321" s="144">
        <f t="shared" si="393"/>
        <v>126130000</v>
      </c>
      <c r="BL321" s="144">
        <f t="shared" ref="BL321" si="397">BL322</f>
        <v>8135000</v>
      </c>
      <c r="BM321" s="144"/>
      <c r="BN321" s="169"/>
      <c r="BO321" s="8"/>
      <c r="BP321" s="8"/>
      <c r="BQ321" s="8"/>
      <c r="BR321" s="8"/>
      <c r="BS321" s="8"/>
      <c r="BT321" s="8"/>
      <c r="BU321" s="8"/>
      <c r="BV321" s="8"/>
      <c r="BW321" s="8"/>
      <c r="BX321" s="8"/>
      <c r="BY321" s="8"/>
      <c r="BZ321" s="8"/>
      <c r="CA321" s="8"/>
      <c r="CB321" s="8"/>
      <c r="CC321" s="8"/>
      <c r="CD321" s="8"/>
      <c r="CE321" s="8"/>
      <c r="CF321" s="8"/>
      <c r="CG321" s="8"/>
      <c r="CH321" s="8"/>
      <c r="CI321" s="8"/>
      <c r="CJ321" s="8"/>
      <c r="CK321" s="8"/>
      <c r="CL321" s="8"/>
      <c r="CM321" s="8"/>
      <c r="CN321" s="8"/>
      <c r="CO321" s="8"/>
      <c r="CP321" s="8"/>
      <c r="CQ321" s="8"/>
      <c r="CR321" s="8"/>
      <c r="CS321" s="8"/>
      <c r="CT321" s="8"/>
      <c r="CU321" s="8"/>
      <c r="CV321" s="8"/>
      <c r="CW321" s="8"/>
      <c r="CX321" s="8"/>
      <c r="CY321" s="8"/>
      <c r="CZ321" s="8"/>
      <c r="DA321" s="8"/>
      <c r="DB321" s="8"/>
    </row>
    <row r="322" spans="1:106" ht="24" customHeight="1" x14ac:dyDescent="0.2">
      <c r="A322" s="271"/>
      <c r="B322" s="272"/>
      <c r="C322" s="272"/>
      <c r="D322" s="272"/>
      <c r="E322" s="272"/>
      <c r="F322" s="435">
        <v>4502</v>
      </c>
      <c r="G322" s="81" t="s">
        <v>71</v>
      </c>
      <c r="H322" s="194"/>
      <c r="I322" s="194"/>
      <c r="J322" s="693"/>
      <c r="K322" s="726"/>
      <c r="L322" s="693"/>
      <c r="M322" s="693"/>
      <c r="N322" s="688"/>
      <c r="O322" s="689"/>
      <c r="P322" s="688"/>
      <c r="Q322" s="727"/>
      <c r="R322" s="689"/>
      <c r="S322" s="689"/>
      <c r="T322" s="728"/>
      <c r="U322" s="292"/>
      <c r="V322" s="292"/>
      <c r="W322" s="436">
        <f t="shared" ref="W322:AX322" si="398">+W323</f>
        <v>0</v>
      </c>
      <c r="X322" s="436"/>
      <c r="Y322" s="436"/>
      <c r="Z322" s="436">
        <f t="shared" si="398"/>
        <v>0</v>
      </c>
      <c r="AA322" s="436"/>
      <c r="AB322" s="436"/>
      <c r="AC322" s="436">
        <f t="shared" si="398"/>
        <v>0</v>
      </c>
      <c r="AD322" s="436"/>
      <c r="AE322" s="436"/>
      <c r="AF322" s="436">
        <f t="shared" si="398"/>
        <v>0</v>
      </c>
      <c r="AG322" s="436"/>
      <c r="AH322" s="436"/>
      <c r="AI322" s="436">
        <f t="shared" si="398"/>
        <v>0</v>
      </c>
      <c r="AJ322" s="436"/>
      <c r="AK322" s="436"/>
      <c r="AL322" s="436">
        <f t="shared" si="398"/>
        <v>0</v>
      </c>
      <c r="AM322" s="436"/>
      <c r="AN322" s="436"/>
      <c r="AO322" s="436">
        <f t="shared" si="398"/>
        <v>0</v>
      </c>
      <c r="AP322" s="436"/>
      <c r="AQ322" s="436"/>
      <c r="AR322" s="436">
        <f t="shared" si="398"/>
        <v>0</v>
      </c>
      <c r="AS322" s="436"/>
      <c r="AT322" s="436"/>
      <c r="AU322" s="436">
        <f t="shared" si="398"/>
        <v>0</v>
      </c>
      <c r="AV322" s="436"/>
      <c r="AW322" s="436"/>
      <c r="AX322" s="436">
        <f t="shared" si="398"/>
        <v>0</v>
      </c>
      <c r="AY322" s="436"/>
      <c r="AZ322" s="436"/>
      <c r="BA322" s="436">
        <f>SUM(BA323:BA327)</f>
        <v>251000000</v>
      </c>
      <c r="BB322" s="436">
        <f t="shared" ref="BB322:BC322" si="399">SUM(BB323:BB327)</f>
        <v>126130000</v>
      </c>
      <c r="BC322" s="436">
        <f t="shared" si="399"/>
        <v>8135000</v>
      </c>
      <c r="BD322" s="436">
        <f t="shared" ref="BD322:BN322" si="400">SUM(BD323:BD327)</f>
        <v>0</v>
      </c>
      <c r="BE322" s="436"/>
      <c r="BF322" s="436"/>
      <c r="BG322" s="436">
        <f t="shared" si="400"/>
        <v>0</v>
      </c>
      <c r="BH322" s="436"/>
      <c r="BI322" s="436"/>
      <c r="BJ322" s="436">
        <f t="shared" si="400"/>
        <v>251000000</v>
      </c>
      <c r="BK322" s="436">
        <f t="shared" ref="BK322:BL322" si="401">SUM(BK323:BK327)</f>
        <v>126130000</v>
      </c>
      <c r="BL322" s="436">
        <f t="shared" si="401"/>
        <v>8135000</v>
      </c>
      <c r="BM322" s="436">
        <f t="shared" si="400"/>
        <v>0</v>
      </c>
      <c r="BN322" s="436">
        <f t="shared" si="400"/>
        <v>0</v>
      </c>
    </row>
    <row r="323" spans="1:106" ht="122.25" customHeight="1" x14ac:dyDescent="0.2">
      <c r="A323" s="280"/>
      <c r="B323" s="281"/>
      <c r="C323" s="281"/>
      <c r="D323" s="281"/>
      <c r="E323" s="281"/>
      <c r="F323" s="122"/>
      <c r="G323" s="282"/>
      <c r="H323" s="566" t="s">
        <v>966</v>
      </c>
      <c r="I323" s="117">
        <v>4502001</v>
      </c>
      <c r="J323" s="566" t="s">
        <v>83</v>
      </c>
      <c r="K323" s="117">
        <v>4502001</v>
      </c>
      <c r="L323" s="566" t="s">
        <v>83</v>
      </c>
      <c r="M323" s="458" t="s">
        <v>47</v>
      </c>
      <c r="N323" s="284" t="s">
        <v>967</v>
      </c>
      <c r="O323" s="283">
        <v>450200108</v>
      </c>
      <c r="P323" s="284" t="s">
        <v>968</v>
      </c>
      <c r="Q323" s="285" t="s">
        <v>68</v>
      </c>
      <c r="R323" s="220">
        <v>1</v>
      </c>
      <c r="S323" s="220">
        <v>0</v>
      </c>
      <c r="T323" s="573" t="s">
        <v>969</v>
      </c>
      <c r="U323" s="566" t="s">
        <v>970</v>
      </c>
      <c r="V323" s="566" t="s">
        <v>971</v>
      </c>
      <c r="W323" s="286"/>
      <c r="X323" s="286"/>
      <c r="Y323" s="286"/>
      <c r="Z323" s="286"/>
      <c r="AA323" s="286"/>
      <c r="AB323" s="286"/>
      <c r="AC323" s="286"/>
      <c r="AD323" s="286"/>
      <c r="AE323" s="286"/>
      <c r="AF323" s="286"/>
      <c r="AG323" s="286"/>
      <c r="AH323" s="286"/>
      <c r="AI323" s="286"/>
      <c r="AJ323" s="287"/>
      <c r="AK323" s="287"/>
      <c r="AL323" s="287"/>
      <c r="AM323" s="287"/>
      <c r="AN323" s="287"/>
      <c r="AO323" s="286"/>
      <c r="AP323" s="286"/>
      <c r="AQ323" s="286"/>
      <c r="AR323" s="286"/>
      <c r="AS323" s="288"/>
      <c r="AT323" s="288"/>
      <c r="AU323" s="288"/>
      <c r="AV323" s="288"/>
      <c r="AW323" s="288"/>
      <c r="AX323" s="286"/>
      <c r="AY323" s="286"/>
      <c r="AZ323" s="286"/>
      <c r="BA323" s="289">
        <v>18000000</v>
      </c>
      <c r="BB323" s="289"/>
      <c r="BC323" s="289"/>
      <c r="BD323" s="286"/>
      <c r="BE323" s="286"/>
      <c r="BF323" s="286"/>
      <c r="BG323" s="286"/>
      <c r="BH323" s="286"/>
      <c r="BI323" s="286"/>
      <c r="BJ323" s="290">
        <f>+W323+Z323+AC323+AF323+AI323+AL323+AO323+AR323+AU323+AX323+BA323+BD323+BG323</f>
        <v>18000000</v>
      </c>
      <c r="BK323" s="290">
        <f t="shared" ref="BK323:BL327" si="402">+X323+AA323+AD323+AG323+AJ323+AM323+AP323+AS323+AV323+AY323+BB323+BE323+BH323</f>
        <v>0</v>
      </c>
      <c r="BL323" s="290">
        <f t="shared" si="402"/>
        <v>0</v>
      </c>
      <c r="BM323" s="290" t="s">
        <v>800</v>
      </c>
      <c r="BN323" s="291" t="s">
        <v>801</v>
      </c>
    </row>
    <row r="324" spans="1:106" s="4" customFormat="1" ht="224.25" customHeight="1" x14ac:dyDescent="0.2">
      <c r="A324" s="68"/>
      <c r="B324" s="109"/>
      <c r="C324" s="109"/>
      <c r="D324" s="109"/>
      <c r="E324" s="109"/>
      <c r="F324" s="84"/>
      <c r="G324" s="108"/>
      <c r="H324" s="571" t="s">
        <v>972</v>
      </c>
      <c r="I324" s="458" t="s">
        <v>47</v>
      </c>
      <c r="J324" s="571" t="s">
        <v>973</v>
      </c>
      <c r="K324" s="118">
        <v>4502038</v>
      </c>
      <c r="L324" s="571" t="s">
        <v>974</v>
      </c>
      <c r="M324" s="458" t="s">
        <v>47</v>
      </c>
      <c r="N324" s="221" t="s">
        <v>975</v>
      </c>
      <c r="O324" s="113">
        <v>450203800</v>
      </c>
      <c r="P324" s="221" t="s">
        <v>976</v>
      </c>
      <c r="Q324" s="125" t="s">
        <v>52</v>
      </c>
      <c r="R324" s="125">
        <v>1</v>
      </c>
      <c r="S324" s="125">
        <v>0.25</v>
      </c>
      <c r="T324" s="108" t="s">
        <v>977</v>
      </c>
      <c r="U324" s="571" t="s">
        <v>978</v>
      </c>
      <c r="V324" s="571" t="s">
        <v>979</v>
      </c>
      <c r="W324" s="127"/>
      <c r="X324" s="127"/>
      <c r="Y324" s="127"/>
      <c r="Z324" s="127"/>
      <c r="AA324" s="127"/>
      <c r="AB324" s="127"/>
      <c r="AC324" s="127"/>
      <c r="AD324" s="127"/>
      <c r="AE324" s="127"/>
      <c r="AF324" s="127"/>
      <c r="AG324" s="127"/>
      <c r="AH324" s="127"/>
      <c r="AI324" s="127"/>
      <c r="AJ324" s="260"/>
      <c r="AK324" s="260"/>
      <c r="AL324" s="260"/>
      <c r="AM324" s="260"/>
      <c r="AN324" s="260"/>
      <c r="AO324" s="127"/>
      <c r="AP324" s="127"/>
      <c r="AQ324" s="127"/>
      <c r="AR324" s="127"/>
      <c r="AS324" s="261"/>
      <c r="AT324" s="261"/>
      <c r="AU324" s="261"/>
      <c r="AV324" s="261"/>
      <c r="AW324" s="261"/>
      <c r="AX324" s="127"/>
      <c r="AY324" s="127"/>
      <c r="AZ324" s="127"/>
      <c r="BA324" s="164">
        <f>95000000-18000000</f>
        <v>77000000</v>
      </c>
      <c r="BB324" s="164">
        <v>42650000</v>
      </c>
      <c r="BC324" s="164">
        <v>5250000</v>
      </c>
      <c r="BD324" s="127"/>
      <c r="BE324" s="127"/>
      <c r="BF324" s="127"/>
      <c r="BG324" s="127"/>
      <c r="BH324" s="127"/>
      <c r="BI324" s="127"/>
      <c r="BJ324" s="222">
        <f t="shared" ref="BJ324:BJ325" si="403">+W324+Z324+AC324+AF324+AI324+AL324+AO324+AR324+AU324+AX324+BA324+BD324+BG324</f>
        <v>77000000</v>
      </c>
      <c r="BK324" s="222">
        <f t="shared" si="402"/>
        <v>42650000</v>
      </c>
      <c r="BL324" s="222">
        <f t="shared" si="402"/>
        <v>5250000</v>
      </c>
      <c r="BM324" s="222" t="s">
        <v>800</v>
      </c>
      <c r="BN324" s="223" t="s">
        <v>801</v>
      </c>
    </row>
    <row r="325" spans="1:106" s="4" customFormat="1" ht="216" customHeight="1" x14ac:dyDescent="0.2">
      <c r="A325" s="68"/>
      <c r="B325" s="109"/>
      <c r="C325" s="109"/>
      <c r="D325" s="109"/>
      <c r="E325" s="109"/>
      <c r="F325" s="84"/>
      <c r="G325" s="108"/>
      <c r="H325" s="571" t="s">
        <v>980</v>
      </c>
      <c r="I325" s="458" t="s">
        <v>47</v>
      </c>
      <c r="J325" s="571" t="s">
        <v>981</v>
      </c>
      <c r="K325" s="118">
        <v>4502038</v>
      </c>
      <c r="L325" s="571" t="s">
        <v>974</v>
      </c>
      <c r="M325" s="458" t="s">
        <v>47</v>
      </c>
      <c r="N325" s="221" t="s">
        <v>982</v>
      </c>
      <c r="O325" s="113">
        <v>450203800</v>
      </c>
      <c r="P325" s="221" t="s">
        <v>976</v>
      </c>
      <c r="Q325" s="125" t="s">
        <v>52</v>
      </c>
      <c r="R325" s="125">
        <v>1</v>
      </c>
      <c r="S325" s="125">
        <v>0.25</v>
      </c>
      <c r="T325" s="108" t="s">
        <v>983</v>
      </c>
      <c r="U325" s="571" t="s">
        <v>984</v>
      </c>
      <c r="V325" s="571" t="s">
        <v>985</v>
      </c>
      <c r="W325" s="127"/>
      <c r="X325" s="127"/>
      <c r="Y325" s="127"/>
      <c r="Z325" s="127"/>
      <c r="AA325" s="127"/>
      <c r="AB325" s="127"/>
      <c r="AC325" s="127"/>
      <c r="AD325" s="127"/>
      <c r="AE325" s="127"/>
      <c r="AF325" s="127"/>
      <c r="AG325" s="127"/>
      <c r="AH325" s="127"/>
      <c r="AI325" s="127"/>
      <c r="AJ325" s="260"/>
      <c r="AK325" s="260"/>
      <c r="AL325" s="260"/>
      <c r="AM325" s="260"/>
      <c r="AN325" s="260"/>
      <c r="AO325" s="127"/>
      <c r="AP325" s="127"/>
      <c r="AQ325" s="127"/>
      <c r="AR325" s="127"/>
      <c r="AS325" s="261"/>
      <c r="AT325" s="261"/>
      <c r="AU325" s="261"/>
      <c r="AV325" s="261"/>
      <c r="AW325" s="261"/>
      <c r="AX325" s="127"/>
      <c r="AY325" s="127"/>
      <c r="AZ325" s="127"/>
      <c r="BA325" s="164">
        <v>90000000</v>
      </c>
      <c r="BB325" s="164">
        <v>51500000</v>
      </c>
      <c r="BC325" s="164"/>
      <c r="BD325" s="127"/>
      <c r="BE325" s="127"/>
      <c r="BF325" s="127"/>
      <c r="BG325" s="127"/>
      <c r="BH325" s="127"/>
      <c r="BI325" s="127"/>
      <c r="BJ325" s="222">
        <f t="shared" si="403"/>
        <v>90000000</v>
      </c>
      <c r="BK325" s="222">
        <f t="shared" si="402"/>
        <v>51500000</v>
      </c>
      <c r="BL325" s="222">
        <f t="shared" si="402"/>
        <v>0</v>
      </c>
      <c r="BM325" s="222" t="s">
        <v>800</v>
      </c>
      <c r="BN325" s="223" t="s">
        <v>801</v>
      </c>
    </row>
    <row r="326" spans="1:106" s="4" customFormat="1" ht="180" customHeight="1" x14ac:dyDescent="0.2">
      <c r="A326" s="68"/>
      <c r="B326" s="109"/>
      <c r="C326" s="109"/>
      <c r="D326" s="109"/>
      <c r="E326" s="109"/>
      <c r="F326" s="84"/>
      <c r="G326" s="115"/>
      <c r="H326" s="571" t="s">
        <v>986</v>
      </c>
      <c r="I326" s="90">
        <v>4501024</v>
      </c>
      <c r="J326" s="571" t="s">
        <v>358</v>
      </c>
      <c r="K326" s="90">
        <v>4502024</v>
      </c>
      <c r="L326" s="571" t="s">
        <v>358</v>
      </c>
      <c r="M326" s="458" t="s">
        <v>47</v>
      </c>
      <c r="N326" s="568" t="s">
        <v>987</v>
      </c>
      <c r="O326" s="90">
        <v>450202401</v>
      </c>
      <c r="P326" s="568" t="s">
        <v>988</v>
      </c>
      <c r="Q326" s="125" t="s">
        <v>52</v>
      </c>
      <c r="R326" s="125">
        <v>1</v>
      </c>
      <c r="S326" s="125">
        <v>0.25</v>
      </c>
      <c r="T326" s="108" t="s">
        <v>989</v>
      </c>
      <c r="U326" s="571" t="s">
        <v>990</v>
      </c>
      <c r="V326" s="571" t="s">
        <v>991</v>
      </c>
      <c r="W326" s="127">
        <v>0</v>
      </c>
      <c r="X326" s="127"/>
      <c r="Y326" s="127"/>
      <c r="Z326" s="127">
        <v>0</v>
      </c>
      <c r="AA326" s="127"/>
      <c r="AB326" s="127"/>
      <c r="AC326" s="127">
        <v>0</v>
      </c>
      <c r="AD326" s="127"/>
      <c r="AE326" s="127"/>
      <c r="AF326" s="127">
        <v>0</v>
      </c>
      <c r="AG326" s="127"/>
      <c r="AH326" s="127"/>
      <c r="AI326" s="127">
        <v>0</v>
      </c>
      <c r="AJ326" s="260"/>
      <c r="AK326" s="260"/>
      <c r="AL326" s="260">
        <v>0</v>
      </c>
      <c r="AM326" s="260"/>
      <c r="AN326" s="260"/>
      <c r="AO326" s="127">
        <v>0</v>
      </c>
      <c r="AP326" s="127"/>
      <c r="AQ326" s="127"/>
      <c r="AR326" s="127">
        <v>0</v>
      </c>
      <c r="AS326" s="261"/>
      <c r="AT326" s="261"/>
      <c r="AU326" s="261">
        <v>0</v>
      </c>
      <c r="AV326" s="261"/>
      <c r="AW326" s="261"/>
      <c r="AX326" s="127">
        <v>0</v>
      </c>
      <c r="AY326" s="127"/>
      <c r="AZ326" s="127"/>
      <c r="BA326" s="164">
        <v>33000000</v>
      </c>
      <c r="BB326" s="164">
        <v>11540000</v>
      </c>
      <c r="BC326" s="164">
        <v>2885000</v>
      </c>
      <c r="BD326" s="127"/>
      <c r="BE326" s="127"/>
      <c r="BF326" s="127"/>
      <c r="BG326" s="127"/>
      <c r="BH326" s="127"/>
      <c r="BI326" s="127"/>
      <c r="BJ326" s="222">
        <f>+W326+Z326+AC326+AF326+AI326+AL326+AO326+AR326+AU326+AX326+BA326+BD326+BG326</f>
        <v>33000000</v>
      </c>
      <c r="BK326" s="222">
        <f t="shared" si="402"/>
        <v>11540000</v>
      </c>
      <c r="BL326" s="222">
        <f t="shared" si="402"/>
        <v>2885000</v>
      </c>
      <c r="BM326" s="222" t="s">
        <v>800</v>
      </c>
      <c r="BN326" s="223" t="s">
        <v>801</v>
      </c>
    </row>
    <row r="327" spans="1:106" s="4" customFormat="1" ht="120" x14ac:dyDescent="0.2">
      <c r="A327" s="68"/>
      <c r="B327" s="109"/>
      <c r="C327" s="109"/>
      <c r="D327" s="109"/>
      <c r="E327" s="109"/>
      <c r="F327" s="84"/>
      <c r="G327" s="115"/>
      <c r="H327" s="571" t="s">
        <v>986</v>
      </c>
      <c r="I327" s="90">
        <v>4501024</v>
      </c>
      <c r="J327" s="571" t="s">
        <v>358</v>
      </c>
      <c r="K327" s="90">
        <v>4502024</v>
      </c>
      <c r="L327" s="571" t="s">
        <v>358</v>
      </c>
      <c r="M327" s="458" t="s">
        <v>47</v>
      </c>
      <c r="N327" s="568" t="s">
        <v>992</v>
      </c>
      <c r="O327" s="90">
        <v>450202401</v>
      </c>
      <c r="P327" s="568" t="s">
        <v>988</v>
      </c>
      <c r="Q327" s="125" t="s">
        <v>52</v>
      </c>
      <c r="R327" s="125">
        <v>1</v>
      </c>
      <c r="S327" s="125">
        <v>0.25</v>
      </c>
      <c r="T327" s="108" t="s">
        <v>993</v>
      </c>
      <c r="U327" s="571" t="s">
        <v>994</v>
      </c>
      <c r="V327" s="571" t="s">
        <v>995</v>
      </c>
      <c r="W327" s="127"/>
      <c r="X327" s="127"/>
      <c r="Y327" s="127"/>
      <c r="Z327" s="127"/>
      <c r="AA327" s="127"/>
      <c r="AB327" s="127"/>
      <c r="AC327" s="127"/>
      <c r="AD327" s="127"/>
      <c r="AE327" s="127"/>
      <c r="AF327" s="127"/>
      <c r="AG327" s="127"/>
      <c r="AH327" s="127"/>
      <c r="AI327" s="127"/>
      <c r="AJ327" s="260"/>
      <c r="AK327" s="260"/>
      <c r="AL327" s="260"/>
      <c r="AM327" s="260"/>
      <c r="AN327" s="260"/>
      <c r="AO327" s="127"/>
      <c r="AP327" s="127"/>
      <c r="AQ327" s="127"/>
      <c r="AR327" s="127"/>
      <c r="AS327" s="261"/>
      <c r="AT327" s="261"/>
      <c r="AU327" s="261"/>
      <c r="AV327" s="261"/>
      <c r="AW327" s="261"/>
      <c r="AX327" s="127"/>
      <c r="AY327" s="127"/>
      <c r="AZ327" s="127"/>
      <c r="BA327" s="164">
        <v>33000000</v>
      </c>
      <c r="BB327" s="164">
        <v>20440000</v>
      </c>
      <c r="BC327" s="164"/>
      <c r="BD327" s="127"/>
      <c r="BE327" s="127"/>
      <c r="BF327" s="127"/>
      <c r="BG327" s="127"/>
      <c r="BH327" s="127"/>
      <c r="BI327" s="127"/>
      <c r="BJ327" s="222">
        <f>+W327+Z327+AC327+AF327+AI327+AL327+AO327+AR327+AU327+AX327+BA327+BD327+BG327</f>
        <v>33000000</v>
      </c>
      <c r="BK327" s="222">
        <f t="shared" si="402"/>
        <v>20440000</v>
      </c>
      <c r="BL327" s="222">
        <f t="shared" si="402"/>
        <v>0</v>
      </c>
      <c r="BM327" s="222" t="s">
        <v>800</v>
      </c>
      <c r="BN327" s="223" t="s">
        <v>801</v>
      </c>
    </row>
    <row r="328" spans="1:106" ht="24" customHeight="1" x14ac:dyDescent="0.2">
      <c r="A328" s="271"/>
      <c r="B328" s="272"/>
      <c r="C328" s="272"/>
      <c r="D328" s="272"/>
      <c r="E328" s="272"/>
      <c r="F328" s="219">
        <v>4599</v>
      </c>
      <c r="G328" s="121" t="s">
        <v>655</v>
      </c>
      <c r="H328" s="273"/>
      <c r="I328" s="273"/>
      <c r="J328" s="275"/>
      <c r="K328" s="274"/>
      <c r="L328" s="275"/>
      <c r="M328" s="275"/>
      <c r="N328" s="276"/>
      <c r="O328" s="219"/>
      <c r="P328" s="276"/>
      <c r="Q328" s="277"/>
      <c r="R328" s="219"/>
      <c r="S328" s="219"/>
      <c r="T328" s="278"/>
      <c r="U328" s="275"/>
      <c r="V328" s="292"/>
      <c r="W328" s="279">
        <f t="shared" ref="W328:AC328" si="404">+W329</f>
        <v>0</v>
      </c>
      <c r="X328" s="279"/>
      <c r="Y328" s="279"/>
      <c r="Z328" s="279">
        <f t="shared" si="404"/>
        <v>0</v>
      </c>
      <c r="AA328" s="279"/>
      <c r="AB328" s="279"/>
      <c r="AC328" s="279">
        <f t="shared" si="404"/>
        <v>0</v>
      </c>
      <c r="AD328" s="279"/>
      <c r="AE328" s="279"/>
      <c r="AF328" s="279">
        <f t="shared" ref="AF328:BM328" si="405">SUM(AF329:AF331)</f>
        <v>0</v>
      </c>
      <c r="AG328" s="279"/>
      <c r="AH328" s="279"/>
      <c r="AI328" s="279">
        <f t="shared" si="405"/>
        <v>0</v>
      </c>
      <c r="AJ328" s="279"/>
      <c r="AK328" s="279"/>
      <c r="AL328" s="279">
        <f t="shared" si="405"/>
        <v>0</v>
      </c>
      <c r="AM328" s="279"/>
      <c r="AN328" s="279"/>
      <c r="AO328" s="279">
        <f t="shared" si="405"/>
        <v>0</v>
      </c>
      <c r="AP328" s="279"/>
      <c r="AQ328" s="279"/>
      <c r="AR328" s="279">
        <f t="shared" si="405"/>
        <v>0</v>
      </c>
      <c r="AS328" s="279"/>
      <c r="AT328" s="279"/>
      <c r="AU328" s="279">
        <f t="shared" si="405"/>
        <v>0</v>
      </c>
      <c r="AV328" s="279"/>
      <c r="AW328" s="279"/>
      <c r="AX328" s="279">
        <f t="shared" si="405"/>
        <v>0</v>
      </c>
      <c r="AY328" s="279"/>
      <c r="AZ328" s="279"/>
      <c r="BA328" s="279">
        <f t="shared" si="405"/>
        <v>104000000</v>
      </c>
      <c r="BB328" s="279">
        <f t="shared" si="405"/>
        <v>29680000</v>
      </c>
      <c r="BC328" s="279">
        <f t="shared" si="405"/>
        <v>2885000</v>
      </c>
      <c r="BD328" s="279">
        <f t="shared" si="405"/>
        <v>0</v>
      </c>
      <c r="BE328" s="279"/>
      <c r="BF328" s="279"/>
      <c r="BG328" s="279">
        <f t="shared" si="405"/>
        <v>0</v>
      </c>
      <c r="BH328" s="279"/>
      <c r="BI328" s="279"/>
      <c r="BJ328" s="279">
        <f t="shared" si="405"/>
        <v>104000000</v>
      </c>
      <c r="BK328" s="279">
        <f t="shared" si="405"/>
        <v>29680000</v>
      </c>
      <c r="BL328" s="279">
        <f t="shared" si="405"/>
        <v>2885000</v>
      </c>
      <c r="BM328" s="279">
        <f t="shared" si="405"/>
        <v>0</v>
      </c>
      <c r="BN328" s="279">
        <f>SUM(BN329:BN331)</f>
        <v>0</v>
      </c>
    </row>
    <row r="329" spans="1:106" s="4" customFormat="1" ht="207" customHeight="1" x14ac:dyDescent="0.2">
      <c r="A329" s="68"/>
      <c r="B329" s="109"/>
      <c r="C329" s="109"/>
      <c r="D329" s="109"/>
      <c r="E329" s="109"/>
      <c r="F329" s="84"/>
      <c r="G329" s="108"/>
      <c r="H329" s="443" t="s">
        <v>996</v>
      </c>
      <c r="I329" s="458" t="s">
        <v>47</v>
      </c>
      <c r="J329" s="460" t="s">
        <v>997</v>
      </c>
      <c r="K329" s="293" t="s">
        <v>998</v>
      </c>
      <c r="L329" s="442" t="s">
        <v>373</v>
      </c>
      <c r="M329" s="458" t="s">
        <v>47</v>
      </c>
      <c r="N329" s="294" t="s">
        <v>999</v>
      </c>
      <c r="O329" s="293" t="s">
        <v>1000</v>
      </c>
      <c r="P329" s="294" t="s">
        <v>1001</v>
      </c>
      <c r="Q329" s="125" t="s">
        <v>52</v>
      </c>
      <c r="R329" s="125">
        <v>1</v>
      </c>
      <c r="S329" s="125">
        <v>0</v>
      </c>
      <c r="T329" s="570" t="s">
        <v>1002</v>
      </c>
      <c r="U329" s="124" t="s">
        <v>1526</v>
      </c>
      <c r="V329" s="578" t="s">
        <v>1527</v>
      </c>
      <c r="W329" s="127"/>
      <c r="X329" s="127"/>
      <c r="Y329" s="127"/>
      <c r="Z329" s="127"/>
      <c r="AA329" s="127"/>
      <c r="AB329" s="127"/>
      <c r="AC329" s="127"/>
      <c r="AD329" s="127"/>
      <c r="AE329" s="127"/>
      <c r="AF329" s="127"/>
      <c r="AG329" s="127"/>
      <c r="AH329" s="127"/>
      <c r="AI329" s="127"/>
      <c r="AJ329" s="260"/>
      <c r="AK329" s="260"/>
      <c r="AL329" s="260"/>
      <c r="AM329" s="260"/>
      <c r="AN329" s="260"/>
      <c r="AO329" s="127"/>
      <c r="AP329" s="127"/>
      <c r="AQ329" s="127"/>
      <c r="AR329" s="127"/>
      <c r="AS329" s="261"/>
      <c r="AT329" s="261"/>
      <c r="AU329" s="261"/>
      <c r="AV329" s="261"/>
      <c r="AW329" s="261"/>
      <c r="AX329" s="127"/>
      <c r="AY329" s="127"/>
      <c r="AZ329" s="127"/>
      <c r="BA329" s="164">
        <v>50000000</v>
      </c>
      <c r="BB329" s="164"/>
      <c r="BC329" s="164"/>
      <c r="BD329" s="127"/>
      <c r="BE329" s="127"/>
      <c r="BF329" s="127"/>
      <c r="BG329" s="127"/>
      <c r="BH329" s="127"/>
      <c r="BI329" s="127"/>
      <c r="BJ329" s="222">
        <f t="shared" ref="BJ329:BJ330" si="406">+W329+Z329+AC329+AF329+AI329+AL329+AO329+AR329+AU329+AX329+BA329+BD329+BG329</f>
        <v>50000000</v>
      </c>
      <c r="BK329" s="222">
        <f t="shared" ref="BK329:BK331" si="407">+X329+AA329+AD329+AG329+AJ329+AM329+AP329+AS329+AV329+AY329+BB329+BE329+BH329</f>
        <v>0</v>
      </c>
      <c r="BL329" s="222">
        <f t="shared" ref="BL329:BL331" si="408">+Y329+AB329+AE329+AH329+AK329+AN329+AQ329+AT329+AW329+AZ329+BC329+BF329+BI329</f>
        <v>0</v>
      </c>
      <c r="BM329" s="222" t="s">
        <v>800</v>
      </c>
      <c r="BN329" s="223" t="s">
        <v>801</v>
      </c>
    </row>
    <row r="330" spans="1:106" s="4" customFormat="1" ht="237" customHeight="1" x14ac:dyDescent="0.2">
      <c r="A330" s="68"/>
      <c r="B330" s="109"/>
      <c r="C330" s="109"/>
      <c r="D330" s="109"/>
      <c r="E330" s="109"/>
      <c r="F330" s="84"/>
      <c r="G330" s="108"/>
      <c r="H330" s="443" t="s">
        <v>972</v>
      </c>
      <c r="I330" s="458" t="s">
        <v>47</v>
      </c>
      <c r="J330" s="459" t="s">
        <v>1003</v>
      </c>
      <c r="K330" s="411" t="s">
        <v>998</v>
      </c>
      <c r="L330" s="442" t="s">
        <v>373</v>
      </c>
      <c r="M330" s="458" t="s">
        <v>47</v>
      </c>
      <c r="N330" s="93" t="s">
        <v>1004</v>
      </c>
      <c r="O330" s="411" t="s">
        <v>1000</v>
      </c>
      <c r="P330" s="294" t="s">
        <v>1001</v>
      </c>
      <c r="Q330" s="125" t="s">
        <v>52</v>
      </c>
      <c r="R330" s="125">
        <v>1</v>
      </c>
      <c r="S330" s="125">
        <v>0.25</v>
      </c>
      <c r="T330" s="570" t="s">
        <v>1005</v>
      </c>
      <c r="U330" s="571" t="s">
        <v>1006</v>
      </c>
      <c r="V330" s="571" t="s">
        <v>979</v>
      </c>
      <c r="W330" s="127"/>
      <c r="X330" s="127"/>
      <c r="Y330" s="127"/>
      <c r="Z330" s="127"/>
      <c r="AA330" s="127"/>
      <c r="AB330" s="127"/>
      <c r="AC330" s="127"/>
      <c r="AD330" s="127"/>
      <c r="AE330" s="127"/>
      <c r="AF330" s="127"/>
      <c r="AG330" s="127"/>
      <c r="AH330" s="127"/>
      <c r="AI330" s="127"/>
      <c r="AJ330" s="260"/>
      <c r="AK330" s="260"/>
      <c r="AL330" s="260"/>
      <c r="AM330" s="260"/>
      <c r="AN330" s="260"/>
      <c r="AO330" s="127"/>
      <c r="AP330" s="127"/>
      <c r="AQ330" s="127"/>
      <c r="AR330" s="127"/>
      <c r="AS330" s="261"/>
      <c r="AT330" s="261"/>
      <c r="AU330" s="261"/>
      <c r="AV330" s="261"/>
      <c r="AW330" s="261"/>
      <c r="AX330" s="127"/>
      <c r="AY330" s="127"/>
      <c r="AZ330" s="127"/>
      <c r="BA330" s="164">
        <f>95000000-36000000-41000000</f>
        <v>18000000</v>
      </c>
      <c r="BB330" s="164">
        <v>11540000</v>
      </c>
      <c r="BC330" s="164"/>
      <c r="BD330" s="127"/>
      <c r="BE330" s="127"/>
      <c r="BF330" s="127"/>
      <c r="BG330" s="127"/>
      <c r="BH330" s="127"/>
      <c r="BI330" s="127"/>
      <c r="BJ330" s="222">
        <f t="shared" si="406"/>
        <v>18000000</v>
      </c>
      <c r="BK330" s="222">
        <f t="shared" si="407"/>
        <v>11540000</v>
      </c>
      <c r="BL330" s="222">
        <f t="shared" si="408"/>
        <v>0</v>
      </c>
      <c r="BM330" s="222" t="s">
        <v>800</v>
      </c>
      <c r="BN330" s="223" t="s">
        <v>801</v>
      </c>
    </row>
    <row r="331" spans="1:106" s="4" customFormat="1" ht="189" customHeight="1" x14ac:dyDescent="0.2">
      <c r="A331" s="68"/>
      <c r="B331" s="109"/>
      <c r="C331" s="109"/>
      <c r="D331" s="109"/>
      <c r="E331" s="109"/>
      <c r="F331" s="84"/>
      <c r="G331" s="108"/>
      <c r="H331" s="571" t="s">
        <v>1007</v>
      </c>
      <c r="I331" s="458" t="s">
        <v>47</v>
      </c>
      <c r="J331" s="413" t="s">
        <v>1008</v>
      </c>
      <c r="K331" s="412" t="s">
        <v>998</v>
      </c>
      <c r="L331" s="442" t="s">
        <v>373</v>
      </c>
      <c r="M331" s="458" t="s">
        <v>47</v>
      </c>
      <c r="N331" s="93" t="s">
        <v>1009</v>
      </c>
      <c r="O331" s="414" t="s">
        <v>1000</v>
      </c>
      <c r="P331" s="294" t="s">
        <v>1001</v>
      </c>
      <c r="Q331" s="108" t="s">
        <v>52</v>
      </c>
      <c r="R331" s="125">
        <v>1</v>
      </c>
      <c r="S331" s="125">
        <v>0.25</v>
      </c>
      <c r="T331" s="108" t="s">
        <v>1010</v>
      </c>
      <c r="U331" s="571" t="s">
        <v>1011</v>
      </c>
      <c r="V331" s="571" t="s">
        <v>1012</v>
      </c>
      <c r="W331" s="127"/>
      <c r="X331" s="127"/>
      <c r="Y331" s="127"/>
      <c r="Z331" s="127"/>
      <c r="AA331" s="127"/>
      <c r="AB331" s="127"/>
      <c r="AC331" s="127"/>
      <c r="AD331" s="127"/>
      <c r="AE331" s="127"/>
      <c r="AF331" s="127"/>
      <c r="AG331" s="127"/>
      <c r="AH331" s="127"/>
      <c r="AI331" s="127"/>
      <c r="AJ331" s="260"/>
      <c r="AK331" s="260"/>
      <c r="AL331" s="260"/>
      <c r="AM331" s="260"/>
      <c r="AN331" s="260"/>
      <c r="AO331" s="127"/>
      <c r="AP331" s="127"/>
      <c r="AQ331" s="127"/>
      <c r="AR331" s="127"/>
      <c r="AS331" s="261"/>
      <c r="AT331" s="261"/>
      <c r="AU331" s="261"/>
      <c r="AV331" s="261"/>
      <c r="AW331" s="261"/>
      <c r="AX331" s="127"/>
      <c r="AY331" s="127"/>
      <c r="AZ331" s="127"/>
      <c r="BA331" s="164">
        <v>36000000</v>
      </c>
      <c r="BB331" s="164">
        <v>18140000</v>
      </c>
      <c r="BC331" s="164">
        <v>2885000</v>
      </c>
      <c r="BD331" s="127"/>
      <c r="BE331" s="127"/>
      <c r="BF331" s="127"/>
      <c r="BG331" s="127"/>
      <c r="BH331" s="127"/>
      <c r="BI331" s="127"/>
      <c r="BJ331" s="222">
        <f>+W331+Z331+AC331+AF331+AI331+AL331+AO331+AR331+AU331+AX331+BA331+BD331+BG331</f>
        <v>36000000</v>
      </c>
      <c r="BK331" s="222">
        <f t="shared" si="407"/>
        <v>18140000</v>
      </c>
      <c r="BL331" s="222">
        <f t="shared" si="408"/>
        <v>2885000</v>
      </c>
      <c r="BM331" s="222" t="s">
        <v>800</v>
      </c>
      <c r="BN331" s="223" t="s">
        <v>801</v>
      </c>
    </row>
    <row r="332" spans="1:106" s="467" customFormat="1" ht="16.5" customHeight="1" x14ac:dyDescent="0.25">
      <c r="A332" s="463"/>
      <c r="B332" s="463"/>
      <c r="C332" s="463"/>
      <c r="D332" s="463"/>
      <c r="E332" s="463"/>
      <c r="F332" s="463"/>
      <c r="G332" s="463"/>
      <c r="H332" s="464"/>
      <c r="I332" s="463"/>
      <c r="J332" s="463"/>
      <c r="K332" s="463"/>
      <c r="L332" s="463"/>
      <c r="M332" s="463"/>
      <c r="N332" s="463"/>
      <c r="O332" s="463"/>
      <c r="P332" s="463"/>
      <c r="Q332" s="465"/>
      <c r="R332" s="463"/>
      <c r="S332" s="463"/>
      <c r="T332" s="465"/>
      <c r="U332" s="465"/>
      <c r="V332" s="465"/>
      <c r="W332" s="466"/>
      <c r="X332" s="466"/>
      <c r="Y332" s="466"/>
      <c r="Z332" s="466"/>
      <c r="AA332" s="466"/>
      <c r="AB332" s="466"/>
      <c r="AC332" s="466"/>
      <c r="AD332" s="466"/>
      <c r="AE332" s="466"/>
      <c r="AF332" s="466"/>
      <c r="AG332" s="466"/>
      <c r="AH332" s="466"/>
      <c r="AI332" s="466"/>
      <c r="AJ332" s="466"/>
      <c r="AK332" s="466"/>
      <c r="AL332" s="466"/>
      <c r="AM332" s="466"/>
      <c r="AN332" s="466"/>
      <c r="AO332" s="466"/>
      <c r="AP332" s="466"/>
      <c r="AQ332" s="466"/>
      <c r="AR332" s="466"/>
      <c r="AS332" s="466"/>
      <c r="AT332" s="466"/>
      <c r="AU332" s="466"/>
      <c r="AV332" s="466"/>
      <c r="AW332" s="466"/>
      <c r="AX332" s="466"/>
      <c r="AY332" s="466"/>
      <c r="AZ332" s="466"/>
      <c r="BA332" s="466"/>
      <c r="BB332" s="466"/>
      <c r="BC332" s="466"/>
      <c r="BD332" s="466"/>
      <c r="BE332" s="466"/>
      <c r="BF332" s="466"/>
      <c r="BG332" s="466"/>
      <c r="BH332" s="466"/>
      <c r="BI332" s="466"/>
      <c r="BJ332" s="466"/>
      <c r="BK332" s="466"/>
      <c r="BL332" s="466"/>
      <c r="BM332" s="466"/>
      <c r="BN332" s="466"/>
    </row>
    <row r="333" spans="1:106" s="394" customFormat="1" ht="24" customHeight="1" x14ac:dyDescent="0.2">
      <c r="A333" s="41" t="s">
        <v>1013</v>
      </c>
      <c r="B333" s="41"/>
      <c r="C333" s="41"/>
      <c r="D333" s="41"/>
      <c r="E333" s="41"/>
      <c r="F333" s="42"/>
      <c r="G333" s="43"/>
      <c r="H333" s="386"/>
      <c r="I333" s="386"/>
      <c r="J333" s="386"/>
      <c r="K333" s="389"/>
      <c r="L333" s="386"/>
      <c r="M333" s="386"/>
      <c r="N333" s="391"/>
      <c r="O333" s="390"/>
      <c r="P333" s="391"/>
      <c r="Q333" s="392"/>
      <c r="R333" s="390"/>
      <c r="S333" s="390"/>
      <c r="T333" s="43"/>
      <c r="U333" s="391"/>
      <c r="V333" s="391"/>
      <c r="W333" s="387">
        <f>+W334</f>
        <v>0</v>
      </c>
      <c r="X333" s="387"/>
      <c r="Y333" s="387"/>
      <c r="Z333" s="387">
        <f t="shared" ref="Z333:BL333" si="409">+Z334</f>
        <v>0</v>
      </c>
      <c r="AA333" s="387"/>
      <c r="AB333" s="387"/>
      <c r="AC333" s="387">
        <f t="shared" si="409"/>
        <v>0</v>
      </c>
      <c r="AD333" s="387"/>
      <c r="AE333" s="387"/>
      <c r="AF333" s="387">
        <f t="shared" si="409"/>
        <v>400000000</v>
      </c>
      <c r="AG333" s="387">
        <f t="shared" si="409"/>
        <v>0</v>
      </c>
      <c r="AH333" s="387">
        <f t="shared" si="409"/>
        <v>0</v>
      </c>
      <c r="AI333" s="387">
        <f t="shared" si="409"/>
        <v>6893527853.4899998</v>
      </c>
      <c r="AJ333" s="387">
        <f t="shared" si="409"/>
        <v>1923180036</v>
      </c>
      <c r="AK333" s="387">
        <f t="shared" si="409"/>
        <v>183157000</v>
      </c>
      <c r="AL333" s="387">
        <f t="shared" si="409"/>
        <v>35242837560</v>
      </c>
      <c r="AM333" s="387">
        <f t="shared" si="409"/>
        <v>31380939122</v>
      </c>
      <c r="AN333" s="387">
        <f t="shared" si="409"/>
        <v>9093990335.3199997</v>
      </c>
      <c r="AO333" s="387">
        <f t="shared" si="409"/>
        <v>0</v>
      </c>
      <c r="AP333" s="387"/>
      <c r="AQ333" s="387"/>
      <c r="AR333" s="387">
        <f t="shared" si="409"/>
        <v>0</v>
      </c>
      <c r="AS333" s="387"/>
      <c r="AT333" s="387"/>
      <c r="AU333" s="387">
        <f t="shared" si="409"/>
        <v>0</v>
      </c>
      <c r="AV333" s="387"/>
      <c r="AW333" s="387"/>
      <c r="AX333" s="387">
        <f t="shared" si="409"/>
        <v>0</v>
      </c>
      <c r="AY333" s="387"/>
      <c r="AZ333" s="387"/>
      <c r="BA333" s="387">
        <f t="shared" si="409"/>
        <v>2034618945</v>
      </c>
      <c r="BB333" s="387">
        <f t="shared" si="409"/>
        <v>535843945</v>
      </c>
      <c r="BC333" s="387">
        <f t="shared" si="409"/>
        <v>48414376</v>
      </c>
      <c r="BD333" s="387">
        <f t="shared" si="409"/>
        <v>0</v>
      </c>
      <c r="BE333" s="387"/>
      <c r="BF333" s="387"/>
      <c r="BG333" s="387">
        <f t="shared" si="409"/>
        <v>2632245289</v>
      </c>
      <c r="BH333" s="387">
        <f t="shared" si="409"/>
        <v>168889789.32999998</v>
      </c>
      <c r="BI333" s="387">
        <f t="shared" si="409"/>
        <v>113711497.33</v>
      </c>
      <c r="BJ333" s="387">
        <f t="shared" si="409"/>
        <v>47203229647.489998</v>
      </c>
      <c r="BK333" s="387">
        <f t="shared" si="409"/>
        <v>34008852892.330002</v>
      </c>
      <c r="BL333" s="387">
        <f t="shared" si="409"/>
        <v>9439273208.6499996</v>
      </c>
      <c r="BM333" s="387"/>
      <c r="BN333" s="388"/>
      <c r="BO333" s="393"/>
      <c r="BP333" s="393"/>
      <c r="BQ333" s="393"/>
      <c r="BR333" s="393"/>
      <c r="BS333" s="393"/>
      <c r="BT333" s="393"/>
      <c r="BU333" s="393"/>
      <c r="BV333" s="393"/>
      <c r="BW333" s="393"/>
      <c r="BX333" s="393"/>
      <c r="BY333" s="393"/>
      <c r="BZ333" s="393"/>
      <c r="CA333" s="393"/>
      <c r="CB333" s="393"/>
      <c r="CC333" s="393"/>
      <c r="CD333" s="393"/>
      <c r="CE333" s="393"/>
      <c r="CF333" s="393"/>
      <c r="CG333" s="393"/>
      <c r="CH333" s="393"/>
      <c r="CI333" s="393"/>
      <c r="CJ333" s="393"/>
      <c r="CK333" s="393"/>
      <c r="CL333" s="393"/>
      <c r="CM333" s="393"/>
      <c r="CN333" s="393"/>
      <c r="CO333" s="393"/>
      <c r="CP333" s="393"/>
      <c r="CQ333" s="393"/>
      <c r="CR333" s="393"/>
      <c r="CS333" s="393"/>
      <c r="CT333" s="393"/>
      <c r="CU333" s="393"/>
      <c r="CV333" s="393"/>
      <c r="CW333" s="393"/>
      <c r="CX333" s="393"/>
      <c r="CY333" s="393"/>
      <c r="CZ333" s="393"/>
      <c r="DA333" s="393"/>
      <c r="DB333" s="393"/>
    </row>
    <row r="334" spans="1:106" ht="24" customHeight="1" x14ac:dyDescent="0.2">
      <c r="A334" s="145"/>
      <c r="B334" s="131">
        <v>1</v>
      </c>
      <c r="C334" s="131"/>
      <c r="D334" s="76" t="s">
        <v>149</v>
      </c>
      <c r="E334" s="173"/>
      <c r="F334" s="74"/>
      <c r="G334" s="180"/>
      <c r="H334" s="395"/>
      <c r="I334" s="395"/>
      <c r="J334" s="182"/>
      <c r="K334" s="181"/>
      <c r="L334" s="182"/>
      <c r="M334" s="182"/>
      <c r="N334" s="184"/>
      <c r="O334" s="183"/>
      <c r="P334" s="184"/>
      <c r="Q334" s="185"/>
      <c r="R334" s="183"/>
      <c r="S334" s="183"/>
      <c r="T334" s="729"/>
      <c r="U334" s="133"/>
      <c r="V334" s="133"/>
      <c r="W334" s="134">
        <f>W335</f>
        <v>0</v>
      </c>
      <c r="X334" s="134"/>
      <c r="Y334" s="134"/>
      <c r="Z334" s="134">
        <f t="shared" ref="Z334:BI334" si="410">Z335</f>
        <v>0</v>
      </c>
      <c r="AA334" s="134"/>
      <c r="AB334" s="134"/>
      <c r="AC334" s="134">
        <f t="shared" si="410"/>
        <v>0</v>
      </c>
      <c r="AD334" s="134"/>
      <c r="AE334" s="134"/>
      <c r="AF334" s="134">
        <f t="shared" si="410"/>
        <v>400000000</v>
      </c>
      <c r="AG334" s="134">
        <f t="shared" si="410"/>
        <v>0</v>
      </c>
      <c r="AH334" s="134">
        <f t="shared" si="410"/>
        <v>0</v>
      </c>
      <c r="AI334" s="134">
        <f t="shared" si="410"/>
        <v>6893527853.4899998</v>
      </c>
      <c r="AJ334" s="134">
        <f t="shared" si="410"/>
        <v>1923180036</v>
      </c>
      <c r="AK334" s="134">
        <f t="shared" si="410"/>
        <v>183157000</v>
      </c>
      <c r="AL334" s="134">
        <f t="shared" si="410"/>
        <v>35242837560</v>
      </c>
      <c r="AM334" s="134">
        <f t="shared" si="410"/>
        <v>31380939122</v>
      </c>
      <c r="AN334" s="134">
        <f t="shared" si="410"/>
        <v>9093990335.3199997</v>
      </c>
      <c r="AO334" s="134">
        <f t="shared" si="410"/>
        <v>0</v>
      </c>
      <c r="AP334" s="134"/>
      <c r="AQ334" s="134"/>
      <c r="AR334" s="134">
        <f t="shared" si="410"/>
        <v>0</v>
      </c>
      <c r="AS334" s="134"/>
      <c r="AT334" s="134"/>
      <c r="AU334" s="134">
        <f t="shared" si="410"/>
        <v>0</v>
      </c>
      <c r="AV334" s="134"/>
      <c r="AW334" s="134"/>
      <c r="AX334" s="134">
        <f t="shared" si="410"/>
        <v>0</v>
      </c>
      <c r="AY334" s="134"/>
      <c r="AZ334" s="134"/>
      <c r="BA334" s="134">
        <f t="shared" si="410"/>
        <v>2034618945</v>
      </c>
      <c r="BB334" s="134">
        <f t="shared" si="410"/>
        <v>535843945</v>
      </c>
      <c r="BC334" s="134">
        <f t="shared" si="410"/>
        <v>48414376</v>
      </c>
      <c r="BD334" s="134">
        <f t="shared" si="410"/>
        <v>0</v>
      </c>
      <c r="BE334" s="134"/>
      <c r="BF334" s="134"/>
      <c r="BG334" s="134">
        <f t="shared" si="410"/>
        <v>2632245289</v>
      </c>
      <c r="BH334" s="134">
        <f t="shared" si="410"/>
        <v>168889789.32999998</v>
      </c>
      <c r="BI334" s="134">
        <f t="shared" si="410"/>
        <v>113711497.33</v>
      </c>
      <c r="BJ334" s="134">
        <f>BJ335</f>
        <v>47203229647.489998</v>
      </c>
      <c r="BK334" s="134">
        <f t="shared" ref="BK334:BL334" si="411">BK335</f>
        <v>34008852892.330002</v>
      </c>
      <c r="BL334" s="134">
        <f t="shared" si="411"/>
        <v>9439273208.6499996</v>
      </c>
      <c r="BM334" s="134"/>
      <c r="BN334" s="168"/>
    </row>
    <row r="335" spans="1:106" s="9" customFormat="1" ht="24" customHeight="1" x14ac:dyDescent="0.25">
      <c r="A335" s="130"/>
      <c r="B335" s="83"/>
      <c r="C335" s="83"/>
      <c r="D335" s="77">
        <v>19</v>
      </c>
      <c r="E335" s="75" t="s">
        <v>161</v>
      </c>
      <c r="F335" s="75"/>
      <c r="G335" s="135"/>
      <c r="H335" s="136"/>
      <c r="I335" s="136"/>
      <c r="J335" s="138"/>
      <c r="K335" s="137"/>
      <c r="L335" s="138"/>
      <c r="M335" s="138"/>
      <c r="N335" s="140"/>
      <c r="O335" s="139"/>
      <c r="P335" s="140"/>
      <c r="Q335" s="141"/>
      <c r="R335" s="139"/>
      <c r="S335" s="139"/>
      <c r="T335" s="204"/>
      <c r="U335" s="143"/>
      <c r="V335" s="143"/>
      <c r="W335" s="144">
        <f>W336+W359+W389</f>
        <v>0</v>
      </c>
      <c r="X335" s="144"/>
      <c r="Y335" s="144"/>
      <c r="Z335" s="144">
        <f t="shared" ref="Z335:BJ335" si="412">Z336+Z359+Z389</f>
        <v>0</v>
      </c>
      <c r="AA335" s="144"/>
      <c r="AB335" s="144"/>
      <c r="AC335" s="144">
        <f t="shared" si="412"/>
        <v>0</v>
      </c>
      <c r="AD335" s="144"/>
      <c r="AE335" s="144"/>
      <c r="AF335" s="144">
        <f t="shared" si="412"/>
        <v>400000000</v>
      </c>
      <c r="AG335" s="144">
        <f t="shared" ref="AG335:AH335" si="413">AG336+AG359+AG389</f>
        <v>0</v>
      </c>
      <c r="AH335" s="144">
        <f t="shared" si="413"/>
        <v>0</v>
      </c>
      <c r="AI335" s="144">
        <f t="shared" si="412"/>
        <v>6893527853.4899998</v>
      </c>
      <c r="AJ335" s="144">
        <f t="shared" ref="AJ335:AK335" si="414">AJ336+AJ359+AJ389</f>
        <v>1923180036</v>
      </c>
      <c r="AK335" s="144">
        <f t="shared" si="414"/>
        <v>183157000</v>
      </c>
      <c r="AL335" s="144">
        <f t="shared" si="412"/>
        <v>35242837560</v>
      </c>
      <c r="AM335" s="144">
        <f t="shared" ref="AM335:AN335" si="415">AM336+AM359+AM389</f>
        <v>31380939122</v>
      </c>
      <c r="AN335" s="144">
        <f t="shared" si="415"/>
        <v>9093990335.3199997</v>
      </c>
      <c r="AO335" s="144">
        <f t="shared" si="412"/>
        <v>0</v>
      </c>
      <c r="AP335" s="144"/>
      <c r="AQ335" s="144"/>
      <c r="AR335" s="144">
        <f t="shared" si="412"/>
        <v>0</v>
      </c>
      <c r="AS335" s="144"/>
      <c r="AT335" s="144"/>
      <c r="AU335" s="144">
        <f t="shared" si="412"/>
        <v>0</v>
      </c>
      <c r="AV335" s="144"/>
      <c r="AW335" s="144"/>
      <c r="AX335" s="144">
        <f t="shared" si="412"/>
        <v>0</v>
      </c>
      <c r="AY335" s="144"/>
      <c r="AZ335" s="144"/>
      <c r="BA335" s="144">
        <f t="shared" si="412"/>
        <v>2034618945</v>
      </c>
      <c r="BB335" s="144">
        <f t="shared" ref="BB335:BC335" si="416">BB336+BB359+BB389</f>
        <v>535843945</v>
      </c>
      <c r="BC335" s="144">
        <f t="shared" si="416"/>
        <v>48414376</v>
      </c>
      <c r="BD335" s="144">
        <f t="shared" si="412"/>
        <v>0</v>
      </c>
      <c r="BE335" s="144"/>
      <c r="BF335" s="144"/>
      <c r="BG335" s="144">
        <f t="shared" si="412"/>
        <v>2632245289</v>
      </c>
      <c r="BH335" s="144">
        <f t="shared" ref="BH335:BI335" si="417">BH336+BH359+BH389</f>
        <v>168889789.32999998</v>
      </c>
      <c r="BI335" s="144">
        <f t="shared" si="417"/>
        <v>113711497.33</v>
      </c>
      <c r="BJ335" s="144">
        <f t="shared" si="412"/>
        <v>47203229647.489998</v>
      </c>
      <c r="BK335" s="144">
        <f t="shared" ref="BK335:BL335" si="418">BK336+BK359+BK389</f>
        <v>34008852892.330002</v>
      </c>
      <c r="BL335" s="144">
        <f t="shared" si="418"/>
        <v>9439273208.6499996</v>
      </c>
      <c r="BM335" s="144"/>
      <c r="BN335" s="169"/>
      <c r="BO335" s="8"/>
      <c r="BP335" s="8"/>
      <c r="BQ335" s="8"/>
      <c r="BR335" s="8"/>
      <c r="BS335" s="8"/>
      <c r="BT335" s="8"/>
      <c r="BU335" s="8"/>
      <c r="BV335" s="8"/>
      <c r="BW335" s="8"/>
      <c r="BX335" s="8"/>
      <c r="BY335" s="8"/>
      <c r="BZ335" s="8"/>
      <c r="CA335" s="8"/>
      <c r="CB335" s="8"/>
      <c r="CC335" s="8"/>
      <c r="CD335" s="8"/>
      <c r="CE335" s="8"/>
      <c r="CF335" s="8"/>
      <c r="CG335" s="8"/>
      <c r="CH335" s="8"/>
      <c r="CI335" s="8"/>
      <c r="CJ335" s="8"/>
      <c r="CK335" s="8"/>
      <c r="CL335" s="8"/>
      <c r="CM335" s="8"/>
      <c r="CN335" s="8"/>
      <c r="CO335" s="8"/>
      <c r="CP335" s="8"/>
      <c r="CQ335" s="8"/>
      <c r="CR335" s="8"/>
      <c r="CS335" s="8"/>
      <c r="CT335" s="8"/>
      <c r="CU335" s="8"/>
      <c r="CV335" s="8"/>
      <c r="CW335" s="8"/>
      <c r="CX335" s="8"/>
      <c r="CY335" s="8"/>
      <c r="CZ335" s="8"/>
      <c r="DA335" s="8"/>
      <c r="DB335" s="8"/>
    </row>
    <row r="336" spans="1:106" ht="24" customHeight="1" x14ac:dyDescent="0.2">
      <c r="A336" s="145"/>
      <c r="B336" s="91"/>
      <c r="C336" s="91"/>
      <c r="D336" s="91"/>
      <c r="E336" s="91"/>
      <c r="F336" s="154">
        <v>1903</v>
      </c>
      <c r="G336" s="81" t="s">
        <v>1014</v>
      </c>
      <c r="H336" s="194"/>
      <c r="I336" s="194"/>
      <c r="J336" s="693"/>
      <c r="K336" s="726"/>
      <c r="L336" s="693"/>
      <c r="M336" s="693"/>
      <c r="N336" s="688"/>
      <c r="O336" s="689"/>
      <c r="P336" s="688"/>
      <c r="Q336" s="727"/>
      <c r="R336" s="689"/>
      <c r="S336" s="689"/>
      <c r="T336" s="728"/>
      <c r="U336" s="147"/>
      <c r="V336" s="147"/>
      <c r="W336" s="148">
        <f>SUM(W337:W358)</f>
        <v>0</v>
      </c>
      <c r="X336" s="148"/>
      <c r="Y336" s="148"/>
      <c r="Z336" s="148">
        <f t="shared" ref="Z336:BJ336" si="419">SUM(Z337:Z358)</f>
        <v>0</v>
      </c>
      <c r="AA336" s="148"/>
      <c r="AB336" s="148"/>
      <c r="AC336" s="148">
        <f t="shared" si="419"/>
        <v>0</v>
      </c>
      <c r="AD336" s="148"/>
      <c r="AE336" s="148"/>
      <c r="AF336" s="148">
        <f t="shared" si="419"/>
        <v>0</v>
      </c>
      <c r="AG336" s="148">
        <f t="shared" si="419"/>
        <v>0</v>
      </c>
      <c r="AH336" s="148">
        <f t="shared" si="419"/>
        <v>0</v>
      </c>
      <c r="AI336" s="148">
        <f t="shared" si="419"/>
        <v>1389901448</v>
      </c>
      <c r="AJ336" s="148">
        <f t="shared" ref="AJ336:AK336" si="420">SUM(AJ337:AJ358)</f>
        <v>486756000</v>
      </c>
      <c r="AK336" s="148">
        <f t="shared" si="420"/>
        <v>85207000</v>
      </c>
      <c r="AL336" s="148">
        <f t="shared" si="419"/>
        <v>91081005</v>
      </c>
      <c r="AM336" s="148">
        <f t="shared" ref="AM336:AN336" si="421">SUM(AM337:AM358)</f>
        <v>29680000</v>
      </c>
      <c r="AN336" s="148">
        <f t="shared" si="421"/>
        <v>5770000</v>
      </c>
      <c r="AO336" s="148">
        <f t="shared" si="419"/>
        <v>0</v>
      </c>
      <c r="AP336" s="148"/>
      <c r="AQ336" s="148"/>
      <c r="AR336" s="148">
        <f t="shared" si="419"/>
        <v>0</v>
      </c>
      <c r="AS336" s="148"/>
      <c r="AT336" s="148"/>
      <c r="AU336" s="148">
        <f t="shared" si="419"/>
        <v>0</v>
      </c>
      <c r="AV336" s="148"/>
      <c r="AW336" s="148"/>
      <c r="AX336" s="148">
        <f t="shared" si="419"/>
        <v>0</v>
      </c>
      <c r="AY336" s="148"/>
      <c r="AZ336" s="148"/>
      <c r="BA336" s="148">
        <f t="shared" si="419"/>
        <v>252324569</v>
      </c>
      <c r="BB336" s="148">
        <f t="shared" ref="BB336:BC336" si="422">SUM(BB337:BB358)</f>
        <v>157834569</v>
      </c>
      <c r="BC336" s="148">
        <f t="shared" si="422"/>
        <v>5770000</v>
      </c>
      <c r="BD336" s="148">
        <f t="shared" si="419"/>
        <v>0</v>
      </c>
      <c r="BE336" s="148"/>
      <c r="BF336" s="148"/>
      <c r="BG336" s="148">
        <f t="shared" si="419"/>
        <v>877778292</v>
      </c>
      <c r="BH336" s="148">
        <f t="shared" ref="BH336:BI336" si="423">SUM(BH337:BH358)</f>
        <v>86287980.329999998</v>
      </c>
      <c r="BI336" s="148">
        <f t="shared" si="423"/>
        <v>31109688.329999998</v>
      </c>
      <c r="BJ336" s="148">
        <f t="shared" si="419"/>
        <v>2611085314</v>
      </c>
      <c r="BK336" s="148">
        <f t="shared" ref="BK336:BL336" si="424">SUM(BK337:BK358)</f>
        <v>760558549.32999992</v>
      </c>
      <c r="BL336" s="148">
        <f t="shared" si="424"/>
        <v>127856688.33</v>
      </c>
      <c r="BM336" s="148"/>
      <c r="BN336" s="156"/>
    </row>
    <row r="337" spans="1:66" ht="66" customHeight="1" x14ac:dyDescent="0.2">
      <c r="A337" s="145"/>
      <c r="B337" s="91"/>
      <c r="C337" s="91"/>
      <c r="D337" s="91"/>
      <c r="E337" s="91"/>
      <c r="F337" s="87"/>
      <c r="G337" s="197"/>
      <c r="H337" s="562" t="s">
        <v>1015</v>
      </c>
      <c r="I337" s="82">
        <v>1903009</v>
      </c>
      <c r="J337" s="850" t="s">
        <v>1016</v>
      </c>
      <c r="K337" s="82">
        <v>1903009</v>
      </c>
      <c r="L337" s="850" t="s">
        <v>1017</v>
      </c>
      <c r="M337" s="415">
        <v>190300900</v>
      </c>
      <c r="N337" s="93" t="s">
        <v>1018</v>
      </c>
      <c r="O337" s="415">
        <v>190300900</v>
      </c>
      <c r="P337" s="93" t="s">
        <v>1570</v>
      </c>
      <c r="Q337" s="252" t="s">
        <v>68</v>
      </c>
      <c r="R337" s="252">
        <v>600</v>
      </c>
      <c r="S337" s="252">
        <v>125</v>
      </c>
      <c r="T337" s="862" t="s">
        <v>1019</v>
      </c>
      <c r="U337" s="881" t="s">
        <v>1020</v>
      </c>
      <c r="V337" s="881" t="s">
        <v>1021</v>
      </c>
      <c r="W337" s="150"/>
      <c r="X337" s="150"/>
      <c r="Y337" s="150"/>
      <c r="Z337" s="150"/>
      <c r="AA337" s="150"/>
      <c r="AB337" s="150"/>
      <c r="AC337" s="150"/>
      <c r="AD337" s="150"/>
      <c r="AE337" s="150"/>
      <c r="AF337" s="150"/>
      <c r="AG337" s="150"/>
      <c r="AH337" s="150"/>
      <c r="AI337" s="127">
        <v>38000000</v>
      </c>
      <c r="AJ337" s="847">
        <v>23080000</v>
      </c>
      <c r="AK337" s="847">
        <v>5770000</v>
      </c>
      <c r="AL337" s="262"/>
      <c r="AM337" s="262"/>
      <c r="AN337" s="262"/>
      <c r="AO337" s="150"/>
      <c r="AP337" s="150"/>
      <c r="AQ337" s="150"/>
      <c r="AR337" s="150"/>
      <c r="AS337" s="263"/>
      <c r="AT337" s="263"/>
      <c r="AU337" s="263"/>
      <c r="AV337" s="263"/>
      <c r="AW337" s="263"/>
      <c r="AX337" s="150"/>
      <c r="AY337" s="150"/>
      <c r="AZ337" s="150"/>
      <c r="BA337" s="161">
        <f>40000000-40000000</f>
        <v>0</v>
      </c>
      <c r="BB337" s="161"/>
      <c r="BC337" s="161"/>
      <c r="BD337" s="150"/>
      <c r="BE337" s="150"/>
      <c r="BF337" s="150"/>
      <c r="BG337" s="150"/>
      <c r="BH337" s="150"/>
      <c r="BI337" s="150"/>
      <c r="BJ337" s="151">
        <f t="shared" ref="BJ337:BJ395" si="425">+W337+Z337+AC337+AF337+AI337+AL337+AO337+AR337+AU337+AX337+BA337+BD337+BG337</f>
        <v>38000000</v>
      </c>
      <c r="BK337" s="151">
        <f t="shared" ref="BK337:BK358" si="426">+X337+AA337+AD337+AG337+AJ337+AM337+AP337+AS337+AV337+AY337+BB337+BE337+BH337</f>
        <v>23080000</v>
      </c>
      <c r="BL337" s="151">
        <f t="shared" ref="BL337:BL358" si="427">+Y337+AB337+AE337+AH337+AK337+AN337+AQ337+AT337+AW337+AZ337+BC337+BF337+BI337</f>
        <v>5770000</v>
      </c>
      <c r="BM337" s="151" t="s">
        <v>1022</v>
      </c>
      <c r="BN337" s="72" t="s">
        <v>1528</v>
      </c>
    </row>
    <row r="338" spans="1:66" s="4" customFormat="1" ht="47.25" customHeight="1" x14ac:dyDescent="0.2">
      <c r="A338" s="68"/>
      <c r="B338" s="109"/>
      <c r="C338" s="109"/>
      <c r="D338" s="109"/>
      <c r="E338" s="109"/>
      <c r="F338" s="112"/>
      <c r="G338" s="94"/>
      <c r="H338" s="571" t="s">
        <v>1023</v>
      </c>
      <c r="I338" s="82">
        <v>1903031</v>
      </c>
      <c r="J338" s="850" t="s">
        <v>1024</v>
      </c>
      <c r="K338" s="82">
        <v>1903031</v>
      </c>
      <c r="L338" s="850" t="s">
        <v>1024</v>
      </c>
      <c r="M338" s="415">
        <v>190303100</v>
      </c>
      <c r="N338" s="93" t="s">
        <v>1025</v>
      </c>
      <c r="O338" s="415">
        <v>190303100</v>
      </c>
      <c r="P338" s="93" t="s">
        <v>1025</v>
      </c>
      <c r="Q338" s="252" t="s">
        <v>52</v>
      </c>
      <c r="R338" s="252">
        <v>12</v>
      </c>
      <c r="S338" s="252">
        <v>3</v>
      </c>
      <c r="T338" s="862"/>
      <c r="U338" s="881"/>
      <c r="V338" s="881"/>
      <c r="W338" s="127"/>
      <c r="X338" s="127"/>
      <c r="Y338" s="127"/>
      <c r="Z338" s="127"/>
      <c r="AA338" s="127"/>
      <c r="AB338" s="127"/>
      <c r="AC338" s="127"/>
      <c r="AD338" s="127"/>
      <c r="AE338" s="127"/>
      <c r="AF338" s="127"/>
      <c r="AG338" s="127"/>
      <c r="AH338" s="127"/>
      <c r="AI338" s="237">
        <v>74000000</v>
      </c>
      <c r="AJ338" s="309">
        <v>18140000</v>
      </c>
      <c r="AK338" s="309">
        <v>1650000</v>
      </c>
      <c r="AL338" s="260"/>
      <c r="AM338" s="260"/>
      <c r="AN338" s="260"/>
      <c r="AO338" s="127"/>
      <c r="AP338" s="127"/>
      <c r="AQ338" s="127"/>
      <c r="AR338" s="127"/>
      <c r="AS338" s="261"/>
      <c r="AT338" s="261"/>
      <c r="AU338" s="261"/>
      <c r="AV338" s="261"/>
      <c r="AW338" s="261"/>
      <c r="AX338" s="127"/>
      <c r="AY338" s="127"/>
      <c r="AZ338" s="127"/>
      <c r="BA338" s="164"/>
      <c r="BB338" s="164"/>
      <c r="BC338" s="164"/>
      <c r="BD338" s="127"/>
      <c r="BE338" s="127"/>
      <c r="BF338" s="127"/>
      <c r="BG338" s="127"/>
      <c r="BH338" s="127"/>
      <c r="BI338" s="127"/>
      <c r="BJ338" s="222">
        <f>+W338+Z338+AC338+AF338+AI338+AL338+AO338+AR338+AU338+AX338+BA338+BD338+BG338</f>
        <v>74000000</v>
      </c>
      <c r="BK338" s="222">
        <f t="shared" si="426"/>
        <v>18140000</v>
      </c>
      <c r="BL338" s="222">
        <f t="shared" si="427"/>
        <v>1650000</v>
      </c>
      <c r="BM338" s="151" t="s">
        <v>1022</v>
      </c>
      <c r="BN338" s="72" t="s">
        <v>1528</v>
      </c>
    </row>
    <row r="339" spans="1:66" ht="83.25" customHeight="1" x14ac:dyDescent="0.2">
      <c r="A339" s="145"/>
      <c r="B339" s="91"/>
      <c r="C339" s="91"/>
      <c r="D339" s="91"/>
      <c r="E339" s="91"/>
      <c r="F339" s="87"/>
      <c r="G339" s="197"/>
      <c r="H339" s="562" t="s">
        <v>1026</v>
      </c>
      <c r="I339" s="82">
        <v>1903023</v>
      </c>
      <c r="J339" s="850" t="s">
        <v>1027</v>
      </c>
      <c r="K339" s="82">
        <v>1903023</v>
      </c>
      <c r="L339" s="850" t="s">
        <v>1027</v>
      </c>
      <c r="M339" s="415">
        <v>190302300</v>
      </c>
      <c r="N339" s="93" t="s">
        <v>1028</v>
      </c>
      <c r="O339" s="415">
        <v>190302300</v>
      </c>
      <c r="P339" s="93" t="s">
        <v>1028</v>
      </c>
      <c r="Q339" s="195" t="s">
        <v>52</v>
      </c>
      <c r="R339" s="125">
        <v>12</v>
      </c>
      <c r="S339" s="125">
        <v>11</v>
      </c>
      <c r="T339" s="862"/>
      <c r="U339" s="881"/>
      <c r="V339" s="881"/>
      <c r="W339" s="150"/>
      <c r="X339" s="150"/>
      <c r="Y339" s="150"/>
      <c r="Z339" s="150"/>
      <c r="AA339" s="150"/>
      <c r="AB339" s="150"/>
      <c r="AC339" s="150"/>
      <c r="AD339" s="150"/>
      <c r="AE339" s="150"/>
      <c r="AF339" s="150"/>
      <c r="AG339" s="150"/>
      <c r="AH339" s="150"/>
      <c r="AI339" s="127">
        <v>28000000</v>
      </c>
      <c r="AJ339" s="260">
        <v>11540000</v>
      </c>
      <c r="AK339" s="260">
        <v>2885000</v>
      </c>
      <c r="AL339" s="262"/>
      <c r="AM339" s="262"/>
      <c r="AN339" s="262"/>
      <c r="AO339" s="150"/>
      <c r="AP339" s="150"/>
      <c r="AQ339" s="150"/>
      <c r="AR339" s="150"/>
      <c r="AS339" s="263"/>
      <c r="AT339" s="263"/>
      <c r="AU339" s="263"/>
      <c r="AV339" s="263"/>
      <c r="AW339" s="263"/>
      <c r="AX339" s="150"/>
      <c r="AY339" s="150"/>
      <c r="AZ339" s="150"/>
      <c r="BA339" s="70"/>
      <c r="BB339" s="70"/>
      <c r="BC339" s="70"/>
      <c r="BD339" s="150"/>
      <c r="BE339" s="150"/>
      <c r="BF339" s="150"/>
      <c r="BG339" s="150"/>
      <c r="BH339" s="150"/>
      <c r="BI339" s="150"/>
      <c r="BJ339" s="151">
        <f t="shared" si="425"/>
        <v>28000000</v>
      </c>
      <c r="BK339" s="151">
        <f t="shared" si="426"/>
        <v>11540000</v>
      </c>
      <c r="BL339" s="151">
        <f t="shared" si="427"/>
        <v>2885000</v>
      </c>
      <c r="BM339" s="151" t="s">
        <v>1022</v>
      </c>
      <c r="BN339" s="72" t="s">
        <v>1528</v>
      </c>
    </row>
    <row r="340" spans="1:66" ht="175.5" customHeight="1" x14ac:dyDescent="0.2">
      <c r="A340" s="145"/>
      <c r="B340" s="91"/>
      <c r="C340" s="91"/>
      <c r="D340" s="91"/>
      <c r="E340" s="91"/>
      <c r="F340" s="87"/>
      <c r="G340" s="197"/>
      <c r="H340" s="562" t="s">
        <v>1029</v>
      </c>
      <c r="I340" s="82" t="s">
        <v>47</v>
      </c>
      <c r="J340" s="850" t="s">
        <v>1030</v>
      </c>
      <c r="K340" s="82">
        <v>1903050</v>
      </c>
      <c r="L340" s="850" t="s">
        <v>1031</v>
      </c>
      <c r="M340" s="82" t="s">
        <v>47</v>
      </c>
      <c r="N340" s="93" t="s">
        <v>1032</v>
      </c>
      <c r="O340" s="415">
        <v>190305000</v>
      </c>
      <c r="P340" s="93" t="s">
        <v>1033</v>
      </c>
      <c r="Q340" s="195" t="s">
        <v>52</v>
      </c>
      <c r="R340" s="125">
        <v>12</v>
      </c>
      <c r="S340" s="125">
        <v>5</v>
      </c>
      <c r="T340" s="862"/>
      <c r="U340" s="881"/>
      <c r="V340" s="881"/>
      <c r="W340" s="150"/>
      <c r="X340" s="150"/>
      <c r="Y340" s="150"/>
      <c r="Z340" s="150"/>
      <c r="AA340" s="150"/>
      <c r="AB340" s="150"/>
      <c r="AC340" s="150"/>
      <c r="AD340" s="150"/>
      <c r="AE340" s="150"/>
      <c r="AF340" s="150"/>
      <c r="AG340" s="150"/>
      <c r="AH340" s="150"/>
      <c r="AI340" s="127">
        <v>28000000</v>
      </c>
      <c r="AJ340" s="848">
        <v>13080000</v>
      </c>
      <c r="AK340" s="848">
        <v>2885000</v>
      </c>
      <c r="AL340" s="295"/>
      <c r="AM340" s="295"/>
      <c r="AN340" s="295"/>
      <c r="AO340" s="150"/>
      <c r="AP340" s="150"/>
      <c r="AQ340" s="150"/>
      <c r="AR340" s="150"/>
      <c r="AS340" s="263"/>
      <c r="AT340" s="263"/>
      <c r="AU340" s="263"/>
      <c r="AV340" s="263"/>
      <c r="AW340" s="263"/>
      <c r="AX340" s="150"/>
      <c r="AY340" s="150"/>
      <c r="AZ340" s="150"/>
      <c r="BA340" s="70"/>
      <c r="BB340" s="70"/>
      <c r="BC340" s="70"/>
      <c r="BD340" s="150"/>
      <c r="BE340" s="150"/>
      <c r="BF340" s="150"/>
      <c r="BG340" s="150"/>
      <c r="BH340" s="150"/>
      <c r="BI340" s="150"/>
      <c r="BJ340" s="151">
        <f t="shared" si="425"/>
        <v>28000000</v>
      </c>
      <c r="BK340" s="151">
        <f t="shared" si="426"/>
        <v>13080000</v>
      </c>
      <c r="BL340" s="151">
        <f t="shared" si="427"/>
        <v>2885000</v>
      </c>
      <c r="BM340" s="151" t="s">
        <v>1022</v>
      </c>
      <c r="BN340" s="72" t="s">
        <v>1528</v>
      </c>
    </row>
    <row r="341" spans="1:66" ht="144" customHeight="1" x14ac:dyDescent="0.2">
      <c r="A341" s="145"/>
      <c r="B341" s="91"/>
      <c r="C341" s="91"/>
      <c r="D341" s="91"/>
      <c r="E341" s="91"/>
      <c r="F341" s="87"/>
      <c r="G341" s="197"/>
      <c r="H341" s="562" t="s">
        <v>1015</v>
      </c>
      <c r="I341" s="82" t="s">
        <v>47</v>
      </c>
      <c r="J341" s="850" t="s">
        <v>1034</v>
      </c>
      <c r="K341" s="82">
        <v>1903038</v>
      </c>
      <c r="L341" s="850" t="s">
        <v>1035</v>
      </c>
      <c r="M341" s="82" t="s">
        <v>47</v>
      </c>
      <c r="N341" s="851" t="s">
        <v>1036</v>
      </c>
      <c r="O341" s="82">
        <v>190303801</v>
      </c>
      <c r="P341" s="851" t="s">
        <v>1037</v>
      </c>
      <c r="Q341" s="195" t="s">
        <v>52</v>
      </c>
      <c r="R341" s="84">
        <v>1</v>
      </c>
      <c r="S341" s="84">
        <v>0</v>
      </c>
      <c r="T341" s="862"/>
      <c r="U341" s="881"/>
      <c r="V341" s="881"/>
      <c r="W341" s="150"/>
      <c r="X341" s="150"/>
      <c r="Y341" s="150"/>
      <c r="Z341" s="150"/>
      <c r="AA341" s="150"/>
      <c r="AB341" s="150"/>
      <c r="AC341" s="150"/>
      <c r="AD341" s="150"/>
      <c r="AE341" s="150"/>
      <c r="AF341" s="150"/>
      <c r="AG341" s="150"/>
      <c r="AH341" s="150"/>
      <c r="AI341" s="127">
        <v>48000000</v>
      </c>
      <c r="AJ341" s="260"/>
      <c r="AK341" s="260"/>
      <c r="AL341" s="262"/>
      <c r="AM341" s="262"/>
      <c r="AN341" s="262"/>
      <c r="AO341" s="150"/>
      <c r="AP341" s="150"/>
      <c r="AQ341" s="150"/>
      <c r="AR341" s="150"/>
      <c r="AS341" s="263"/>
      <c r="AT341" s="263"/>
      <c r="AU341" s="263"/>
      <c r="AV341" s="263"/>
      <c r="AW341" s="263"/>
      <c r="AX341" s="150"/>
      <c r="AY341" s="150"/>
      <c r="AZ341" s="150"/>
      <c r="BA341" s="70"/>
      <c r="BB341" s="70"/>
      <c r="BC341" s="70"/>
      <c r="BD341" s="150"/>
      <c r="BE341" s="150"/>
      <c r="BF341" s="150"/>
      <c r="BG341" s="296">
        <f>842700000+2000000</f>
        <v>844700000</v>
      </c>
      <c r="BH341" s="296">
        <v>53209688.329999998</v>
      </c>
      <c r="BI341" s="296">
        <v>31109688.329999998</v>
      </c>
      <c r="BJ341" s="151">
        <f t="shared" si="425"/>
        <v>892700000</v>
      </c>
      <c r="BK341" s="151">
        <f t="shared" si="426"/>
        <v>53209688.329999998</v>
      </c>
      <c r="BL341" s="151">
        <f t="shared" si="427"/>
        <v>31109688.329999998</v>
      </c>
      <c r="BM341" s="151" t="s">
        <v>1022</v>
      </c>
      <c r="BN341" s="72" t="s">
        <v>1528</v>
      </c>
    </row>
    <row r="342" spans="1:66" ht="120.75" customHeight="1" x14ac:dyDescent="0.2">
      <c r="A342" s="145"/>
      <c r="B342" s="91"/>
      <c r="C342" s="91"/>
      <c r="D342" s="91"/>
      <c r="E342" s="91"/>
      <c r="F342" s="87"/>
      <c r="G342" s="197"/>
      <c r="H342" s="562" t="s">
        <v>1038</v>
      </c>
      <c r="I342" s="82">
        <v>1903038</v>
      </c>
      <c r="J342" s="850" t="s">
        <v>1035</v>
      </c>
      <c r="K342" s="82">
        <v>1903038</v>
      </c>
      <c r="L342" s="850" t="s">
        <v>1035</v>
      </c>
      <c r="M342" s="415">
        <v>190303801</v>
      </c>
      <c r="N342" s="851" t="s">
        <v>1039</v>
      </c>
      <c r="O342" s="415">
        <v>190303801</v>
      </c>
      <c r="P342" s="851" t="s">
        <v>1039</v>
      </c>
      <c r="Q342" s="195" t="s">
        <v>52</v>
      </c>
      <c r="R342" s="125">
        <v>11</v>
      </c>
      <c r="S342" s="125">
        <v>11</v>
      </c>
      <c r="T342" s="862"/>
      <c r="U342" s="881"/>
      <c r="V342" s="881"/>
      <c r="W342" s="150"/>
      <c r="X342" s="150"/>
      <c r="Y342" s="150"/>
      <c r="Z342" s="150"/>
      <c r="AA342" s="150"/>
      <c r="AB342" s="150"/>
      <c r="AC342" s="150"/>
      <c r="AD342" s="150"/>
      <c r="AE342" s="150"/>
      <c r="AF342" s="150"/>
      <c r="AG342" s="150"/>
      <c r="AH342" s="150"/>
      <c r="AI342" s="296">
        <v>19000000</v>
      </c>
      <c r="AJ342" s="845">
        <v>13200000</v>
      </c>
      <c r="AK342" s="845">
        <v>3300000</v>
      </c>
      <c r="AL342" s="262"/>
      <c r="AM342" s="262"/>
      <c r="AN342" s="262"/>
      <c r="AO342" s="150"/>
      <c r="AP342" s="150"/>
      <c r="AQ342" s="150"/>
      <c r="AR342" s="150"/>
      <c r="AS342" s="263"/>
      <c r="AT342" s="263"/>
      <c r="AU342" s="263"/>
      <c r="AV342" s="263"/>
      <c r="AW342" s="263"/>
      <c r="AX342" s="150"/>
      <c r="AY342" s="150"/>
      <c r="AZ342" s="150"/>
      <c r="BA342" s="70"/>
      <c r="BB342" s="70"/>
      <c r="BC342" s="70"/>
      <c r="BD342" s="150"/>
      <c r="BE342" s="150"/>
      <c r="BF342" s="150"/>
      <c r="BG342" s="150"/>
      <c r="BH342" s="150"/>
      <c r="BI342" s="150"/>
      <c r="BJ342" s="151">
        <f t="shared" si="425"/>
        <v>19000000</v>
      </c>
      <c r="BK342" s="151">
        <f t="shared" si="426"/>
        <v>13200000</v>
      </c>
      <c r="BL342" s="151">
        <f t="shared" si="427"/>
        <v>3300000</v>
      </c>
      <c r="BM342" s="151" t="s">
        <v>1022</v>
      </c>
      <c r="BN342" s="72" t="s">
        <v>1528</v>
      </c>
    </row>
    <row r="343" spans="1:66" ht="78.75" customHeight="1" x14ac:dyDescent="0.2">
      <c r="A343" s="145"/>
      <c r="B343" s="91"/>
      <c r="C343" s="91"/>
      <c r="D343" s="91"/>
      <c r="E343" s="91"/>
      <c r="F343" s="87"/>
      <c r="G343" s="197"/>
      <c r="H343" s="562" t="s">
        <v>1023</v>
      </c>
      <c r="I343" s="82">
        <v>1903027</v>
      </c>
      <c r="J343" s="850" t="s">
        <v>1040</v>
      </c>
      <c r="K343" s="82">
        <v>1903027</v>
      </c>
      <c r="L343" s="850" t="s">
        <v>1040</v>
      </c>
      <c r="M343" s="415">
        <v>190302700</v>
      </c>
      <c r="N343" s="93" t="s">
        <v>1041</v>
      </c>
      <c r="O343" s="415">
        <v>190302700</v>
      </c>
      <c r="P343" s="93" t="s">
        <v>1041</v>
      </c>
      <c r="Q343" s="195" t="s">
        <v>52</v>
      </c>
      <c r="R343" s="125">
        <v>5</v>
      </c>
      <c r="S343" s="125">
        <v>5</v>
      </c>
      <c r="T343" s="862"/>
      <c r="U343" s="881"/>
      <c r="V343" s="881"/>
      <c r="W343" s="150"/>
      <c r="X343" s="150"/>
      <c r="Y343" s="150"/>
      <c r="Z343" s="150"/>
      <c r="AA343" s="150"/>
      <c r="AB343" s="150"/>
      <c r="AC343" s="150"/>
      <c r="AD343" s="150"/>
      <c r="AE343" s="150"/>
      <c r="AF343" s="150"/>
      <c r="AG343" s="150"/>
      <c r="AH343" s="150"/>
      <c r="AI343" s="296">
        <v>19000000</v>
      </c>
      <c r="AJ343" s="845">
        <v>11540000</v>
      </c>
      <c r="AK343" s="845">
        <v>2885000</v>
      </c>
      <c r="AL343" s="262"/>
      <c r="AM343" s="262"/>
      <c r="AN343" s="262"/>
      <c r="AO343" s="150"/>
      <c r="AP343" s="150"/>
      <c r="AQ343" s="150"/>
      <c r="AR343" s="150"/>
      <c r="AS343" s="263"/>
      <c r="AT343" s="263"/>
      <c r="AU343" s="263"/>
      <c r="AV343" s="263"/>
      <c r="AW343" s="263"/>
      <c r="AX343" s="150"/>
      <c r="AY343" s="150"/>
      <c r="AZ343" s="150"/>
      <c r="BA343" s="70"/>
      <c r="BB343" s="70"/>
      <c r="BC343" s="70"/>
      <c r="BD343" s="150"/>
      <c r="BE343" s="150"/>
      <c r="BF343" s="150"/>
      <c r="BG343" s="150"/>
      <c r="BH343" s="150"/>
      <c r="BI343" s="150"/>
      <c r="BJ343" s="151">
        <f t="shared" si="425"/>
        <v>19000000</v>
      </c>
      <c r="BK343" s="151">
        <f t="shared" si="426"/>
        <v>11540000</v>
      </c>
      <c r="BL343" s="151">
        <f t="shared" si="427"/>
        <v>2885000</v>
      </c>
      <c r="BM343" s="151" t="s">
        <v>1022</v>
      </c>
      <c r="BN343" s="72" t="s">
        <v>1528</v>
      </c>
    </row>
    <row r="344" spans="1:66" ht="69" customHeight="1" x14ac:dyDescent="0.2">
      <c r="A344" s="145"/>
      <c r="B344" s="91"/>
      <c r="C344" s="91"/>
      <c r="D344" s="91"/>
      <c r="E344" s="91"/>
      <c r="F344" s="87"/>
      <c r="G344" s="197"/>
      <c r="H344" s="562" t="s">
        <v>1042</v>
      </c>
      <c r="I344" s="82">
        <v>1903011</v>
      </c>
      <c r="J344" s="850" t="s">
        <v>1043</v>
      </c>
      <c r="K344" s="82">
        <v>1903011</v>
      </c>
      <c r="L344" s="850" t="s">
        <v>1043</v>
      </c>
      <c r="M344" s="415">
        <v>190301100</v>
      </c>
      <c r="N344" s="93" t="s">
        <v>1044</v>
      </c>
      <c r="O344" s="415">
        <v>190301100</v>
      </c>
      <c r="P344" s="93" t="s">
        <v>1045</v>
      </c>
      <c r="Q344" s="195" t="s">
        <v>52</v>
      </c>
      <c r="R344" s="125">
        <v>140</v>
      </c>
      <c r="S344" s="125">
        <v>96</v>
      </c>
      <c r="T344" s="862"/>
      <c r="U344" s="881"/>
      <c r="V344" s="881"/>
      <c r="W344" s="150"/>
      <c r="X344" s="150"/>
      <c r="Y344" s="150"/>
      <c r="Z344" s="150"/>
      <c r="AA344" s="150"/>
      <c r="AB344" s="150"/>
      <c r="AC344" s="150"/>
      <c r="AD344" s="150"/>
      <c r="AE344" s="150"/>
      <c r="AF344" s="150"/>
      <c r="AG344" s="150"/>
      <c r="AH344" s="150"/>
      <c r="AI344" s="127">
        <v>19000000</v>
      </c>
      <c r="AJ344" s="260">
        <v>17420000</v>
      </c>
      <c r="AK344" s="260">
        <v>4740000</v>
      </c>
      <c r="AL344" s="262"/>
      <c r="AM344" s="262"/>
      <c r="AN344" s="262"/>
      <c r="AO344" s="150"/>
      <c r="AP344" s="150"/>
      <c r="AQ344" s="150"/>
      <c r="AR344" s="150"/>
      <c r="AS344" s="263"/>
      <c r="AT344" s="263"/>
      <c r="AU344" s="263"/>
      <c r="AV344" s="263"/>
      <c r="AW344" s="263"/>
      <c r="AX344" s="150"/>
      <c r="AY344" s="150"/>
      <c r="AZ344" s="150"/>
      <c r="BA344" s="70"/>
      <c r="BB344" s="70"/>
      <c r="BC344" s="70"/>
      <c r="BD344" s="150"/>
      <c r="BE344" s="150"/>
      <c r="BF344" s="150"/>
      <c r="BG344" s="150"/>
      <c r="BH344" s="150"/>
      <c r="BI344" s="150"/>
      <c r="BJ344" s="151">
        <f t="shared" si="425"/>
        <v>19000000</v>
      </c>
      <c r="BK344" s="151">
        <f t="shared" si="426"/>
        <v>17420000</v>
      </c>
      <c r="BL344" s="151">
        <f t="shared" si="427"/>
        <v>4740000</v>
      </c>
      <c r="BM344" s="151" t="s">
        <v>1022</v>
      </c>
      <c r="BN344" s="72" t="s">
        <v>1528</v>
      </c>
    </row>
    <row r="345" spans="1:66" ht="110.25" customHeight="1" x14ac:dyDescent="0.2">
      <c r="A345" s="145"/>
      <c r="B345" s="91"/>
      <c r="C345" s="91"/>
      <c r="D345" s="91"/>
      <c r="E345" s="91"/>
      <c r="F345" s="87"/>
      <c r="G345" s="569"/>
      <c r="H345" s="562" t="s">
        <v>1046</v>
      </c>
      <c r="I345" s="82">
        <v>1903001</v>
      </c>
      <c r="J345" s="850" t="s">
        <v>96</v>
      </c>
      <c r="K345" s="82">
        <v>1903001</v>
      </c>
      <c r="L345" s="850" t="s">
        <v>96</v>
      </c>
      <c r="M345" s="415">
        <v>190300100</v>
      </c>
      <c r="N345" s="93" t="s">
        <v>1047</v>
      </c>
      <c r="O345" s="415">
        <v>190300100</v>
      </c>
      <c r="P345" s="93" t="s">
        <v>1047</v>
      </c>
      <c r="Q345" s="252" t="s">
        <v>52</v>
      </c>
      <c r="R345" s="252">
        <v>1</v>
      </c>
      <c r="S345" s="252">
        <v>1</v>
      </c>
      <c r="T345" s="862" t="s">
        <v>1048</v>
      </c>
      <c r="U345" s="873" t="s">
        <v>1049</v>
      </c>
      <c r="V345" s="873" t="s">
        <v>1050</v>
      </c>
      <c r="W345" s="150"/>
      <c r="X345" s="150"/>
      <c r="Y345" s="150"/>
      <c r="Z345" s="150"/>
      <c r="AA345" s="150"/>
      <c r="AB345" s="150"/>
      <c r="AC345" s="150"/>
      <c r="AD345" s="150"/>
      <c r="AE345" s="150"/>
      <c r="AF345" s="150"/>
      <c r="AG345" s="150"/>
      <c r="AH345" s="150"/>
      <c r="AI345" s="150">
        <v>81470000</v>
      </c>
      <c r="AJ345" s="262">
        <v>57700000</v>
      </c>
      <c r="AK345" s="262">
        <v>5770000</v>
      </c>
      <c r="AL345" s="262"/>
      <c r="AM345" s="262"/>
      <c r="AN345" s="262"/>
      <c r="AO345" s="150"/>
      <c r="AP345" s="150"/>
      <c r="AQ345" s="150"/>
      <c r="AR345" s="150"/>
      <c r="AS345" s="263"/>
      <c r="AT345" s="263"/>
      <c r="AU345" s="263"/>
      <c r="AV345" s="263"/>
      <c r="AW345" s="263"/>
      <c r="AX345" s="150"/>
      <c r="AY345" s="150"/>
      <c r="AZ345" s="150"/>
      <c r="BA345" s="161"/>
      <c r="BB345" s="161"/>
      <c r="BC345" s="161"/>
      <c r="BD345" s="150"/>
      <c r="BE345" s="150"/>
      <c r="BF345" s="150"/>
      <c r="BG345" s="150"/>
      <c r="BH345" s="150"/>
      <c r="BI345" s="150"/>
      <c r="BJ345" s="339">
        <f t="shared" si="425"/>
        <v>81470000</v>
      </c>
      <c r="BK345" s="339">
        <f t="shared" si="426"/>
        <v>57700000</v>
      </c>
      <c r="BL345" s="339">
        <f t="shared" si="427"/>
        <v>5770000</v>
      </c>
      <c r="BM345" s="151" t="s">
        <v>1022</v>
      </c>
      <c r="BN345" s="72" t="s">
        <v>1528</v>
      </c>
    </row>
    <row r="346" spans="1:66" ht="81.75" customHeight="1" x14ac:dyDescent="0.2">
      <c r="A346" s="145"/>
      <c r="B346" s="91"/>
      <c r="C346" s="91"/>
      <c r="D346" s="91"/>
      <c r="E346" s="91"/>
      <c r="F346" s="87"/>
      <c r="G346" s="569"/>
      <c r="H346" s="562" t="s">
        <v>1051</v>
      </c>
      <c r="I346" s="82">
        <v>1903015</v>
      </c>
      <c r="J346" s="850" t="s">
        <v>1052</v>
      </c>
      <c r="K346" s="82">
        <v>1903015</v>
      </c>
      <c r="L346" s="850" t="s">
        <v>1052</v>
      </c>
      <c r="M346" s="415">
        <v>190301500</v>
      </c>
      <c r="N346" s="851" t="s">
        <v>1053</v>
      </c>
      <c r="O346" s="415">
        <v>190301500</v>
      </c>
      <c r="P346" s="851" t="s">
        <v>1053</v>
      </c>
      <c r="Q346" s="252" t="s">
        <v>52</v>
      </c>
      <c r="R346" s="252">
        <v>12</v>
      </c>
      <c r="S346" s="252">
        <v>5</v>
      </c>
      <c r="T346" s="862"/>
      <c r="U346" s="873"/>
      <c r="V346" s="873"/>
      <c r="W346" s="150"/>
      <c r="X346" s="150"/>
      <c r="Y346" s="150"/>
      <c r="Z346" s="150"/>
      <c r="AA346" s="150"/>
      <c r="AB346" s="150"/>
      <c r="AC346" s="150"/>
      <c r="AD346" s="150"/>
      <c r="AE346" s="150"/>
      <c r="AF346" s="150"/>
      <c r="AG346" s="150"/>
      <c r="AH346" s="150"/>
      <c r="AI346" s="150">
        <v>211530000</v>
      </c>
      <c r="AJ346" s="262">
        <v>108820000</v>
      </c>
      <c r="AK346" s="262">
        <v>10510000</v>
      </c>
      <c r="AL346" s="262"/>
      <c r="AM346" s="262"/>
      <c r="AN346" s="262"/>
      <c r="AO346" s="150"/>
      <c r="AP346" s="150"/>
      <c r="AQ346" s="150"/>
      <c r="AR346" s="150"/>
      <c r="AS346" s="263"/>
      <c r="AT346" s="263"/>
      <c r="AU346" s="263"/>
      <c r="AV346" s="263"/>
      <c r="AW346" s="263"/>
      <c r="AX346" s="150"/>
      <c r="AY346" s="150"/>
      <c r="AZ346" s="150"/>
      <c r="BA346" s="161"/>
      <c r="BB346" s="161"/>
      <c r="BC346" s="161"/>
      <c r="BD346" s="150"/>
      <c r="BE346" s="580"/>
      <c r="BF346" s="580"/>
      <c r="BG346" s="580"/>
      <c r="BH346" s="580"/>
      <c r="BI346" s="580"/>
      <c r="BJ346" s="339">
        <f t="shared" si="425"/>
        <v>211530000</v>
      </c>
      <c r="BK346" s="339">
        <f t="shared" si="426"/>
        <v>108820000</v>
      </c>
      <c r="BL346" s="339">
        <f t="shared" si="427"/>
        <v>10510000</v>
      </c>
      <c r="BM346" s="151" t="s">
        <v>1022</v>
      </c>
      <c r="BN346" s="72" t="s">
        <v>1528</v>
      </c>
    </row>
    <row r="347" spans="1:66" ht="134.25" customHeight="1" x14ac:dyDescent="0.2">
      <c r="A347" s="145"/>
      <c r="B347" s="91"/>
      <c r="C347" s="91"/>
      <c r="D347" s="91"/>
      <c r="E347" s="91"/>
      <c r="F347" s="87"/>
      <c r="G347" s="569"/>
      <c r="H347" s="562" t="s">
        <v>1054</v>
      </c>
      <c r="I347" s="82">
        <v>1903012</v>
      </c>
      <c r="J347" s="850" t="s">
        <v>1055</v>
      </c>
      <c r="K347" s="82">
        <v>1903012</v>
      </c>
      <c r="L347" s="850" t="s">
        <v>1055</v>
      </c>
      <c r="M347" s="415">
        <v>190301200</v>
      </c>
      <c r="N347" s="851" t="s">
        <v>1056</v>
      </c>
      <c r="O347" s="415">
        <v>190301200</v>
      </c>
      <c r="P347" s="851" t="s">
        <v>1056</v>
      </c>
      <c r="Q347" s="252" t="s">
        <v>52</v>
      </c>
      <c r="R347" s="252">
        <v>4000</v>
      </c>
      <c r="S347" s="252">
        <v>1382</v>
      </c>
      <c r="T347" s="862" t="s">
        <v>1057</v>
      </c>
      <c r="U347" s="873" t="s">
        <v>1058</v>
      </c>
      <c r="V347" s="873" t="s">
        <v>1059</v>
      </c>
      <c r="W347" s="150"/>
      <c r="X347" s="150"/>
      <c r="Y347" s="150"/>
      <c r="Z347" s="150"/>
      <c r="AA347" s="150"/>
      <c r="AB347" s="150"/>
      <c r="AC347" s="150"/>
      <c r="AD347" s="150"/>
      <c r="AE347" s="150"/>
      <c r="AF347" s="150">
        <f>100000000-100000000</f>
        <v>0</v>
      </c>
      <c r="AG347" s="150"/>
      <c r="AH347" s="150"/>
      <c r="AI347" s="207">
        <f>610901448+25000000</f>
        <v>635901448</v>
      </c>
      <c r="AJ347" s="297">
        <v>167168000</v>
      </c>
      <c r="AK347" s="297">
        <v>33545000</v>
      </c>
      <c r="AL347" s="297"/>
      <c r="AM347" s="297"/>
      <c r="AN347" s="297"/>
      <c r="AO347" s="150"/>
      <c r="AP347" s="150"/>
      <c r="AQ347" s="150"/>
      <c r="AR347" s="150"/>
      <c r="AS347" s="263"/>
      <c r="AT347" s="263"/>
      <c r="AU347" s="263"/>
      <c r="AV347" s="263"/>
      <c r="AW347" s="263"/>
      <c r="AX347" s="150"/>
      <c r="AY347" s="150"/>
      <c r="AZ347" s="150"/>
      <c r="BA347" s="161">
        <f>243062000-243062000+90734569</f>
        <v>90734569</v>
      </c>
      <c r="BB347" s="601">
        <v>90734569</v>
      </c>
      <c r="BC347" s="601"/>
      <c r="BD347" s="262"/>
      <c r="BE347" s="262"/>
      <c r="BF347" s="262"/>
      <c r="BG347" s="613">
        <v>33078292</v>
      </c>
      <c r="BH347" s="846">
        <v>33078292</v>
      </c>
      <c r="BI347" s="602"/>
      <c r="BJ347" s="583">
        <f t="shared" si="425"/>
        <v>759714309</v>
      </c>
      <c r="BK347" s="583">
        <f t="shared" si="426"/>
        <v>290980861</v>
      </c>
      <c r="BL347" s="583">
        <f t="shared" si="427"/>
        <v>33545000</v>
      </c>
      <c r="BM347" s="151" t="s">
        <v>1022</v>
      </c>
      <c r="BN347" s="72" t="s">
        <v>1528</v>
      </c>
    </row>
    <row r="348" spans="1:66" ht="77.25" customHeight="1" x14ac:dyDescent="0.2">
      <c r="A348" s="145"/>
      <c r="B348" s="91"/>
      <c r="C348" s="91"/>
      <c r="D348" s="91"/>
      <c r="E348" s="91"/>
      <c r="F348" s="87"/>
      <c r="G348" s="569"/>
      <c r="H348" s="562" t="s">
        <v>1060</v>
      </c>
      <c r="I348" s="82">
        <v>1903016</v>
      </c>
      <c r="J348" s="850" t="s">
        <v>1061</v>
      </c>
      <c r="K348" s="82">
        <v>1903016</v>
      </c>
      <c r="L348" s="850" t="s">
        <v>1061</v>
      </c>
      <c r="M348" s="415">
        <v>190301600</v>
      </c>
      <c r="N348" s="93" t="s">
        <v>1062</v>
      </c>
      <c r="O348" s="415">
        <v>190301600</v>
      </c>
      <c r="P348" s="93" t="s">
        <v>1062</v>
      </c>
      <c r="Q348" s="252" t="s">
        <v>52</v>
      </c>
      <c r="R348" s="252">
        <v>240</v>
      </c>
      <c r="S348" s="252">
        <v>95</v>
      </c>
      <c r="T348" s="862"/>
      <c r="U348" s="873"/>
      <c r="V348" s="873"/>
      <c r="W348" s="150"/>
      <c r="X348" s="150"/>
      <c r="Y348" s="150"/>
      <c r="Z348" s="150"/>
      <c r="AA348" s="150"/>
      <c r="AB348" s="150"/>
      <c r="AC348" s="150"/>
      <c r="AD348" s="150"/>
      <c r="AE348" s="150"/>
      <c r="AF348" s="150"/>
      <c r="AG348" s="150"/>
      <c r="AH348" s="150"/>
      <c r="AI348" s="207">
        <v>94000000</v>
      </c>
      <c r="AJ348" s="297">
        <v>45068000</v>
      </c>
      <c r="AK348" s="297">
        <v>11267000</v>
      </c>
      <c r="AL348" s="262"/>
      <c r="AM348" s="262"/>
      <c r="AN348" s="262"/>
      <c r="AO348" s="150"/>
      <c r="AP348" s="150"/>
      <c r="AQ348" s="150"/>
      <c r="AR348" s="150"/>
      <c r="AS348" s="263"/>
      <c r="AT348" s="263"/>
      <c r="AU348" s="263"/>
      <c r="AV348" s="263"/>
      <c r="AW348" s="263"/>
      <c r="AX348" s="150"/>
      <c r="AY348" s="150"/>
      <c r="AZ348" s="150"/>
      <c r="BA348" s="161"/>
      <c r="BB348" s="161"/>
      <c r="BC348" s="161"/>
      <c r="BD348" s="150"/>
      <c r="BE348" s="286"/>
      <c r="BF348" s="286"/>
      <c r="BG348" s="286"/>
      <c r="BH348" s="286"/>
      <c r="BI348" s="286"/>
      <c r="BJ348" s="339">
        <f t="shared" si="425"/>
        <v>94000000</v>
      </c>
      <c r="BK348" s="339">
        <f t="shared" si="426"/>
        <v>45068000</v>
      </c>
      <c r="BL348" s="339">
        <f t="shared" si="427"/>
        <v>11267000</v>
      </c>
      <c r="BM348" s="151" t="s">
        <v>1022</v>
      </c>
      <c r="BN348" s="72" t="s">
        <v>1528</v>
      </c>
    </row>
    <row r="349" spans="1:66" ht="75" customHeight="1" x14ac:dyDescent="0.2">
      <c r="A349" s="145"/>
      <c r="B349" s="91"/>
      <c r="C349" s="91"/>
      <c r="D349" s="91"/>
      <c r="E349" s="91"/>
      <c r="F349" s="87"/>
      <c r="G349" s="569"/>
      <c r="H349" s="562" t="s">
        <v>1042</v>
      </c>
      <c r="I349" s="82">
        <v>1903011</v>
      </c>
      <c r="J349" s="850" t="s">
        <v>1043</v>
      </c>
      <c r="K349" s="82">
        <v>1903011</v>
      </c>
      <c r="L349" s="850" t="s">
        <v>1043</v>
      </c>
      <c r="M349" s="415">
        <v>190301101</v>
      </c>
      <c r="N349" s="851" t="s">
        <v>1063</v>
      </c>
      <c r="O349" s="415">
        <v>190301101</v>
      </c>
      <c r="P349" s="851" t="s">
        <v>1063</v>
      </c>
      <c r="Q349" s="252" t="s">
        <v>52</v>
      </c>
      <c r="R349" s="252">
        <v>12</v>
      </c>
      <c r="S349" s="252">
        <v>3</v>
      </c>
      <c r="T349" s="862"/>
      <c r="U349" s="873"/>
      <c r="V349" s="873"/>
      <c r="W349" s="150"/>
      <c r="X349" s="150"/>
      <c r="Y349" s="150"/>
      <c r="Z349" s="150"/>
      <c r="AA349" s="150"/>
      <c r="AB349" s="150"/>
      <c r="AC349" s="150"/>
      <c r="AD349" s="150"/>
      <c r="AE349" s="150"/>
      <c r="AF349" s="150"/>
      <c r="AG349" s="150"/>
      <c r="AH349" s="150"/>
      <c r="AI349" s="207">
        <v>94000000</v>
      </c>
      <c r="AJ349" s="297"/>
      <c r="AK349" s="297"/>
      <c r="AL349" s="262"/>
      <c r="AM349" s="262"/>
      <c r="AN349" s="262"/>
      <c r="AO349" s="150"/>
      <c r="AP349" s="150"/>
      <c r="AQ349" s="150"/>
      <c r="AR349" s="150"/>
      <c r="AS349" s="263"/>
      <c r="AT349" s="263"/>
      <c r="AU349" s="263"/>
      <c r="AV349" s="263"/>
      <c r="AW349" s="263"/>
      <c r="AX349" s="150"/>
      <c r="AY349" s="150"/>
      <c r="AZ349" s="150"/>
      <c r="BA349" s="161"/>
      <c r="BB349" s="161"/>
      <c r="BC349" s="161"/>
      <c r="BD349" s="150"/>
      <c r="BE349" s="150"/>
      <c r="BF349" s="150"/>
      <c r="BG349" s="150"/>
      <c r="BH349" s="150"/>
      <c r="BI349" s="150"/>
      <c r="BJ349" s="339">
        <f t="shared" si="425"/>
        <v>94000000</v>
      </c>
      <c r="BK349" s="339">
        <f t="shared" si="426"/>
        <v>0</v>
      </c>
      <c r="BL349" s="339">
        <f t="shared" si="427"/>
        <v>0</v>
      </c>
      <c r="BM349" s="151" t="s">
        <v>1022</v>
      </c>
      <c r="BN349" s="72" t="s">
        <v>1528</v>
      </c>
    </row>
    <row r="350" spans="1:66" ht="86.25" customHeight="1" x14ac:dyDescent="0.2">
      <c r="A350" s="145"/>
      <c r="B350" s="91"/>
      <c r="C350" s="91"/>
      <c r="D350" s="91"/>
      <c r="E350" s="91"/>
      <c r="F350" s="567"/>
      <c r="G350" s="569"/>
      <c r="H350" s="562" t="s">
        <v>1042</v>
      </c>
      <c r="I350" s="82">
        <v>1903034</v>
      </c>
      <c r="J350" s="850" t="s">
        <v>115</v>
      </c>
      <c r="K350" s="82">
        <v>1903034</v>
      </c>
      <c r="L350" s="850" t="s">
        <v>115</v>
      </c>
      <c r="M350" s="415">
        <v>190303400</v>
      </c>
      <c r="N350" s="851" t="s">
        <v>1064</v>
      </c>
      <c r="O350" s="415">
        <v>190303400</v>
      </c>
      <c r="P350" s="851" t="s">
        <v>1064</v>
      </c>
      <c r="Q350" s="195" t="s">
        <v>52</v>
      </c>
      <c r="R350" s="125">
        <v>12</v>
      </c>
      <c r="S350" s="125">
        <v>12</v>
      </c>
      <c r="T350" s="570" t="s">
        <v>1065</v>
      </c>
      <c r="U350" s="561" t="s">
        <v>1066</v>
      </c>
      <c r="V350" s="561" t="s">
        <v>1067</v>
      </c>
      <c r="W350" s="150"/>
      <c r="X350" s="150"/>
      <c r="Y350" s="150"/>
      <c r="Z350" s="150"/>
      <c r="AA350" s="150"/>
      <c r="AB350" s="150"/>
      <c r="AC350" s="150"/>
      <c r="AD350" s="150"/>
      <c r="AE350" s="150"/>
      <c r="AF350" s="150"/>
      <c r="AG350" s="150"/>
      <c r="AH350" s="150"/>
      <c r="AI350" s="150"/>
      <c r="AJ350" s="262"/>
      <c r="AK350" s="262"/>
      <c r="AL350" s="297"/>
      <c r="AM350" s="297"/>
      <c r="AN350" s="297"/>
      <c r="AO350" s="150"/>
      <c r="AP350" s="150"/>
      <c r="AQ350" s="150"/>
      <c r="AR350" s="150"/>
      <c r="AS350" s="263"/>
      <c r="AT350" s="263"/>
      <c r="AU350" s="263"/>
      <c r="AV350" s="263"/>
      <c r="AW350" s="263"/>
      <c r="AX350" s="150"/>
      <c r="AY350" s="150"/>
      <c r="AZ350" s="150"/>
      <c r="BA350" s="161">
        <v>96954000</v>
      </c>
      <c r="BB350" s="161">
        <v>29620000</v>
      </c>
      <c r="BC350" s="161">
        <v>2885000</v>
      </c>
      <c r="BD350" s="150"/>
      <c r="BE350" s="150"/>
      <c r="BF350" s="150"/>
      <c r="BG350" s="150"/>
      <c r="BH350" s="150"/>
      <c r="BI350" s="150"/>
      <c r="BJ350" s="339">
        <f t="shared" si="425"/>
        <v>96954000</v>
      </c>
      <c r="BK350" s="339">
        <f t="shared" si="426"/>
        <v>29620000</v>
      </c>
      <c r="BL350" s="339">
        <f t="shared" si="427"/>
        <v>2885000</v>
      </c>
      <c r="BM350" s="151" t="s">
        <v>1022</v>
      </c>
      <c r="BN350" s="72" t="s">
        <v>1528</v>
      </c>
    </row>
    <row r="351" spans="1:66" ht="75" customHeight="1" x14ac:dyDescent="0.2">
      <c r="A351" s="145"/>
      <c r="B351" s="91"/>
      <c r="C351" s="91"/>
      <c r="D351" s="91"/>
      <c r="E351" s="91"/>
      <c r="F351" s="567"/>
      <c r="G351" s="569"/>
      <c r="H351" s="562" t="s">
        <v>1068</v>
      </c>
      <c r="I351" s="82">
        <v>1903045</v>
      </c>
      <c r="J351" s="850" t="s">
        <v>1069</v>
      </c>
      <c r="K351" s="82">
        <v>1903045</v>
      </c>
      <c r="L351" s="850" t="s">
        <v>1069</v>
      </c>
      <c r="M351" s="415">
        <v>190304500</v>
      </c>
      <c r="N351" s="93" t="s">
        <v>1070</v>
      </c>
      <c r="O351" s="415">
        <v>190304500</v>
      </c>
      <c r="P351" s="93" t="s">
        <v>1070</v>
      </c>
      <c r="Q351" s="195" t="s">
        <v>68</v>
      </c>
      <c r="R351" s="125">
        <v>725</v>
      </c>
      <c r="S351" s="125">
        <v>125</v>
      </c>
      <c r="T351" s="862" t="s">
        <v>1071</v>
      </c>
      <c r="U351" s="873" t="s">
        <v>1072</v>
      </c>
      <c r="V351" s="873" t="s">
        <v>1073</v>
      </c>
      <c r="W351" s="150"/>
      <c r="X351" s="150"/>
      <c r="Y351" s="150"/>
      <c r="Z351" s="150"/>
      <c r="AA351" s="150"/>
      <c r="AB351" s="150"/>
      <c r="AC351" s="150"/>
      <c r="AD351" s="150"/>
      <c r="AE351" s="150"/>
      <c r="AF351" s="150"/>
      <c r="AG351" s="150"/>
      <c r="AH351" s="150"/>
      <c r="AI351" s="150"/>
      <c r="AJ351" s="262"/>
      <c r="AK351" s="262"/>
      <c r="AL351" s="297"/>
      <c r="AM351" s="297"/>
      <c r="AN351" s="297"/>
      <c r="AO351" s="150"/>
      <c r="AP351" s="150"/>
      <c r="AQ351" s="150"/>
      <c r="AR351" s="150"/>
      <c r="AS351" s="263"/>
      <c r="AT351" s="263"/>
      <c r="AU351" s="263"/>
      <c r="AV351" s="263"/>
      <c r="AW351" s="263"/>
      <c r="AX351" s="150"/>
      <c r="AY351" s="150"/>
      <c r="AZ351" s="150"/>
      <c r="BA351" s="164">
        <v>19636000</v>
      </c>
      <c r="BB351" s="164">
        <v>19636000</v>
      </c>
      <c r="BC351" s="164">
        <v>2885000</v>
      </c>
      <c r="BD351" s="150"/>
      <c r="BE351" s="150"/>
      <c r="BF351" s="150"/>
      <c r="BG351" s="150"/>
      <c r="BH351" s="150"/>
      <c r="BI351" s="150"/>
      <c r="BJ351" s="151">
        <f t="shared" si="425"/>
        <v>19636000</v>
      </c>
      <c r="BK351" s="151">
        <f t="shared" si="426"/>
        <v>19636000</v>
      </c>
      <c r="BL351" s="151">
        <f t="shared" si="427"/>
        <v>2885000</v>
      </c>
      <c r="BM351" s="151" t="s">
        <v>1022</v>
      </c>
      <c r="BN351" s="72" t="s">
        <v>1528</v>
      </c>
    </row>
    <row r="352" spans="1:66" ht="95.25" customHeight="1" x14ac:dyDescent="0.2">
      <c r="A352" s="145"/>
      <c r="B352" s="91"/>
      <c r="C352" s="91"/>
      <c r="D352" s="91"/>
      <c r="E352" s="91"/>
      <c r="F352" s="567"/>
      <c r="G352" s="569"/>
      <c r="H352" s="562" t="s">
        <v>1046</v>
      </c>
      <c r="I352" s="82">
        <v>1903001</v>
      </c>
      <c r="J352" s="850" t="s">
        <v>96</v>
      </c>
      <c r="K352" s="82">
        <v>1903001</v>
      </c>
      <c r="L352" s="850" t="s">
        <v>96</v>
      </c>
      <c r="M352" s="415">
        <v>190300100</v>
      </c>
      <c r="N352" s="93" t="s">
        <v>1047</v>
      </c>
      <c r="O352" s="415">
        <v>190300100</v>
      </c>
      <c r="P352" s="93" t="s">
        <v>1047</v>
      </c>
      <c r="Q352" s="252" t="s">
        <v>52</v>
      </c>
      <c r="R352" s="82">
        <v>1</v>
      </c>
      <c r="S352" s="82">
        <v>0</v>
      </c>
      <c r="T352" s="862"/>
      <c r="U352" s="873"/>
      <c r="V352" s="873"/>
      <c r="W352" s="150"/>
      <c r="X352" s="150"/>
      <c r="Y352" s="150"/>
      <c r="Z352" s="150"/>
      <c r="AA352" s="150"/>
      <c r="AB352" s="150"/>
      <c r="AC352" s="150"/>
      <c r="AD352" s="150"/>
      <c r="AE352" s="150"/>
      <c r="AF352" s="150"/>
      <c r="AG352" s="150"/>
      <c r="AH352" s="150"/>
      <c r="AI352" s="150"/>
      <c r="AJ352" s="262"/>
      <c r="AK352" s="262"/>
      <c r="AL352" s="297"/>
      <c r="AM352" s="297"/>
      <c r="AN352" s="297"/>
      <c r="AO352" s="150"/>
      <c r="AP352" s="150"/>
      <c r="AQ352" s="150"/>
      <c r="AR352" s="150"/>
      <c r="AS352" s="263"/>
      <c r="AT352" s="263"/>
      <c r="AU352" s="263"/>
      <c r="AV352" s="263"/>
      <c r="AW352" s="263"/>
      <c r="AX352" s="150"/>
      <c r="AY352" s="150"/>
      <c r="AZ352" s="150"/>
      <c r="BA352" s="164">
        <v>15000000</v>
      </c>
      <c r="BB352" s="164"/>
      <c r="BC352" s="164"/>
      <c r="BD352" s="150"/>
      <c r="BE352" s="150"/>
      <c r="BF352" s="150"/>
      <c r="BG352" s="150"/>
      <c r="BH352" s="150"/>
      <c r="BI352" s="150"/>
      <c r="BJ352" s="339">
        <f t="shared" si="425"/>
        <v>15000000</v>
      </c>
      <c r="BK352" s="339">
        <f t="shared" si="426"/>
        <v>0</v>
      </c>
      <c r="BL352" s="339">
        <f t="shared" si="427"/>
        <v>0</v>
      </c>
      <c r="BM352" s="151" t="s">
        <v>1022</v>
      </c>
      <c r="BN352" s="72" t="s">
        <v>1528</v>
      </c>
    </row>
    <row r="353" spans="1:66" ht="71.25" customHeight="1" x14ac:dyDescent="0.2">
      <c r="A353" s="145"/>
      <c r="B353" s="91"/>
      <c r="C353" s="91"/>
      <c r="D353" s="91"/>
      <c r="E353" s="91"/>
      <c r="F353" s="567"/>
      <c r="G353" s="569"/>
      <c r="H353" s="577" t="s">
        <v>1074</v>
      </c>
      <c r="I353" s="415">
        <v>1903010</v>
      </c>
      <c r="J353" s="852" t="s">
        <v>1075</v>
      </c>
      <c r="K353" s="415">
        <v>1903010</v>
      </c>
      <c r="L353" s="852" t="s">
        <v>1075</v>
      </c>
      <c r="M353" s="415">
        <v>190301000</v>
      </c>
      <c r="N353" s="93" t="s">
        <v>1076</v>
      </c>
      <c r="O353" s="415">
        <v>190301000</v>
      </c>
      <c r="P353" s="93" t="s">
        <v>1076</v>
      </c>
      <c r="Q353" s="195" t="s">
        <v>52</v>
      </c>
      <c r="R353" s="125">
        <v>12</v>
      </c>
      <c r="S353" s="125">
        <v>0</v>
      </c>
      <c r="T353" s="862"/>
      <c r="U353" s="873"/>
      <c r="V353" s="873"/>
      <c r="W353" s="150"/>
      <c r="X353" s="150"/>
      <c r="Y353" s="150"/>
      <c r="Z353" s="150"/>
      <c r="AA353" s="150"/>
      <c r="AB353" s="150"/>
      <c r="AC353" s="150"/>
      <c r="AD353" s="150"/>
      <c r="AE353" s="150"/>
      <c r="AF353" s="150"/>
      <c r="AG353" s="150"/>
      <c r="AH353" s="150"/>
      <c r="AI353" s="150"/>
      <c r="AJ353" s="262"/>
      <c r="AK353" s="262"/>
      <c r="AL353" s="297"/>
      <c r="AM353" s="297"/>
      <c r="AN353" s="297"/>
      <c r="AO353" s="150"/>
      <c r="AP353" s="150"/>
      <c r="AQ353" s="150"/>
      <c r="AR353" s="150"/>
      <c r="AS353" s="263"/>
      <c r="AT353" s="263"/>
      <c r="AU353" s="263"/>
      <c r="AV353" s="263"/>
      <c r="AW353" s="263"/>
      <c r="AX353" s="150"/>
      <c r="AY353" s="150"/>
      <c r="AZ353" s="150"/>
      <c r="BA353" s="164">
        <v>15000000</v>
      </c>
      <c r="BB353" s="164">
        <v>11540000</v>
      </c>
      <c r="BC353" s="164"/>
      <c r="BD353" s="150"/>
      <c r="BE353" s="150"/>
      <c r="BF353" s="150"/>
      <c r="BG353" s="150"/>
      <c r="BH353" s="150"/>
      <c r="BI353" s="150"/>
      <c r="BJ353" s="339">
        <f t="shared" si="425"/>
        <v>15000000</v>
      </c>
      <c r="BK353" s="339">
        <f t="shared" si="426"/>
        <v>11540000</v>
      </c>
      <c r="BL353" s="339">
        <f t="shared" si="427"/>
        <v>0</v>
      </c>
      <c r="BM353" s="151" t="s">
        <v>1022</v>
      </c>
      <c r="BN353" s="72" t="s">
        <v>1528</v>
      </c>
    </row>
    <row r="354" spans="1:66" ht="76.5" customHeight="1" x14ac:dyDescent="0.2">
      <c r="A354" s="145"/>
      <c r="B354" s="91"/>
      <c r="C354" s="91"/>
      <c r="D354" s="91"/>
      <c r="E354" s="83"/>
      <c r="F354" s="567"/>
      <c r="G354" s="569"/>
      <c r="H354" s="562" t="s">
        <v>1077</v>
      </c>
      <c r="I354" s="82">
        <v>1903011</v>
      </c>
      <c r="J354" s="850" t="s">
        <v>1043</v>
      </c>
      <c r="K354" s="82">
        <v>1903011</v>
      </c>
      <c r="L354" s="850" t="s">
        <v>1043</v>
      </c>
      <c r="M354" s="415">
        <v>190301101</v>
      </c>
      <c r="N354" s="851" t="s">
        <v>1063</v>
      </c>
      <c r="O354" s="415">
        <v>190301101</v>
      </c>
      <c r="P354" s="851" t="s">
        <v>1063</v>
      </c>
      <c r="Q354" s="195" t="s">
        <v>52</v>
      </c>
      <c r="R354" s="373">
        <v>12</v>
      </c>
      <c r="S354" s="594">
        <v>7</v>
      </c>
      <c r="T354" s="862"/>
      <c r="U354" s="873"/>
      <c r="V354" s="873"/>
      <c r="W354" s="150"/>
      <c r="X354" s="150"/>
      <c r="Y354" s="150"/>
      <c r="Z354" s="150"/>
      <c r="AA354" s="150"/>
      <c r="AB354" s="150"/>
      <c r="AC354" s="150"/>
      <c r="AD354" s="150"/>
      <c r="AE354" s="150"/>
      <c r="AF354" s="150"/>
      <c r="AG354" s="150"/>
      <c r="AH354" s="150"/>
      <c r="AI354" s="150"/>
      <c r="AJ354" s="262"/>
      <c r="AK354" s="262"/>
      <c r="AL354" s="297"/>
      <c r="AM354" s="297"/>
      <c r="AN354" s="297"/>
      <c r="AO354" s="150"/>
      <c r="AP354" s="150"/>
      <c r="AQ354" s="150"/>
      <c r="AR354" s="150"/>
      <c r="AS354" s="263"/>
      <c r="AT354" s="263"/>
      <c r="AU354" s="263"/>
      <c r="AV354" s="263"/>
      <c r="AW354" s="263"/>
      <c r="AX354" s="150"/>
      <c r="AY354" s="150"/>
      <c r="AZ354" s="150"/>
      <c r="BA354" s="164">
        <v>15000000</v>
      </c>
      <c r="BB354" s="164">
        <v>6304000</v>
      </c>
      <c r="BC354" s="164"/>
      <c r="BD354" s="150"/>
      <c r="BE354" s="150"/>
      <c r="BF354" s="150"/>
      <c r="BG354" s="150"/>
      <c r="BH354" s="150"/>
      <c r="BI354" s="150"/>
      <c r="BJ354" s="339">
        <f t="shared" si="425"/>
        <v>15000000</v>
      </c>
      <c r="BK354" s="339">
        <f t="shared" si="426"/>
        <v>6304000</v>
      </c>
      <c r="BL354" s="339">
        <f t="shared" si="427"/>
        <v>0</v>
      </c>
      <c r="BM354" s="151" t="s">
        <v>1022</v>
      </c>
      <c r="BN354" s="72" t="s">
        <v>1528</v>
      </c>
    </row>
    <row r="355" spans="1:66" ht="58.5" customHeight="1" x14ac:dyDescent="0.2">
      <c r="A355" s="145"/>
      <c r="B355" s="91"/>
      <c r="C355" s="91"/>
      <c r="D355" s="91"/>
      <c r="E355" s="91"/>
      <c r="F355" s="567"/>
      <c r="G355" s="569"/>
      <c r="H355" s="562" t="s">
        <v>1078</v>
      </c>
      <c r="I355" s="82">
        <v>1903047</v>
      </c>
      <c r="J355" s="850" t="s">
        <v>1079</v>
      </c>
      <c r="K355" s="82">
        <v>1903047</v>
      </c>
      <c r="L355" s="850" t="s">
        <v>1079</v>
      </c>
      <c r="M355" s="415">
        <v>190304701</v>
      </c>
      <c r="N355" s="93" t="s">
        <v>1080</v>
      </c>
      <c r="O355" s="415">
        <v>190304701</v>
      </c>
      <c r="P355" s="93" t="s">
        <v>1080</v>
      </c>
      <c r="Q355" s="195" t="s">
        <v>52</v>
      </c>
      <c r="R355" s="125">
        <v>1</v>
      </c>
      <c r="S355" s="125">
        <v>0</v>
      </c>
      <c r="T355" s="862" t="s">
        <v>1081</v>
      </c>
      <c r="U355" s="873" t="s">
        <v>1082</v>
      </c>
      <c r="V355" s="873" t="s">
        <v>1083</v>
      </c>
      <c r="W355" s="150"/>
      <c r="X355" s="150"/>
      <c r="Y355" s="150"/>
      <c r="Z355" s="150"/>
      <c r="AA355" s="150"/>
      <c r="AB355" s="150"/>
      <c r="AC355" s="150"/>
      <c r="AD355" s="150"/>
      <c r="AE355" s="150"/>
      <c r="AF355" s="150"/>
      <c r="AG355" s="150"/>
      <c r="AH355" s="150"/>
      <c r="AI355" s="150"/>
      <c r="AJ355" s="262"/>
      <c r="AK355" s="262"/>
      <c r="AL355" s="433">
        <f>15000000-5000000</f>
        <v>10000000</v>
      </c>
      <c r="AM355" s="433"/>
      <c r="AN355" s="433"/>
      <c r="AO355" s="150"/>
      <c r="AP355" s="150"/>
      <c r="AQ355" s="150"/>
      <c r="AR355" s="150"/>
      <c r="AS355" s="263"/>
      <c r="AT355" s="263"/>
      <c r="AU355" s="263"/>
      <c r="AV355" s="263"/>
      <c r="AW355" s="263"/>
      <c r="AX355" s="150"/>
      <c r="AY355" s="150"/>
      <c r="AZ355" s="150"/>
      <c r="BA355" s="161"/>
      <c r="BB355" s="161"/>
      <c r="BC355" s="161"/>
      <c r="BD355" s="150"/>
      <c r="BE355" s="150"/>
      <c r="BF355" s="150"/>
      <c r="BG355" s="150"/>
      <c r="BH355" s="150"/>
      <c r="BI355" s="150"/>
      <c r="BJ355" s="151">
        <f t="shared" si="425"/>
        <v>10000000</v>
      </c>
      <c r="BK355" s="151">
        <f t="shared" si="426"/>
        <v>0</v>
      </c>
      <c r="BL355" s="151">
        <f t="shared" si="427"/>
        <v>0</v>
      </c>
      <c r="BM355" s="151" t="s">
        <v>1022</v>
      </c>
      <c r="BN355" s="72" t="s">
        <v>1528</v>
      </c>
    </row>
    <row r="356" spans="1:66" ht="90.75" customHeight="1" x14ac:dyDescent="0.2">
      <c r="A356" s="145"/>
      <c r="B356" s="91"/>
      <c r="C356" s="91"/>
      <c r="D356" s="91"/>
      <c r="E356" s="91"/>
      <c r="F356" s="567"/>
      <c r="G356" s="569"/>
      <c r="H356" s="562" t="s">
        <v>1084</v>
      </c>
      <c r="I356" s="82">
        <v>1903019</v>
      </c>
      <c r="J356" s="850" t="s">
        <v>1085</v>
      </c>
      <c r="K356" s="82">
        <v>1903019</v>
      </c>
      <c r="L356" s="850" t="s">
        <v>1085</v>
      </c>
      <c r="M356" s="415">
        <v>190301900</v>
      </c>
      <c r="N356" s="93" t="s">
        <v>1086</v>
      </c>
      <c r="O356" s="415">
        <v>190301900</v>
      </c>
      <c r="P356" s="93" t="s">
        <v>1086</v>
      </c>
      <c r="Q356" s="195" t="s">
        <v>52</v>
      </c>
      <c r="R356" s="125">
        <v>75</v>
      </c>
      <c r="S356" s="125">
        <v>20</v>
      </c>
      <c r="T356" s="862"/>
      <c r="U356" s="873"/>
      <c r="V356" s="873"/>
      <c r="W356" s="150"/>
      <c r="X356" s="150"/>
      <c r="Y356" s="150"/>
      <c r="Z356" s="150"/>
      <c r="AA356" s="150"/>
      <c r="AB356" s="150"/>
      <c r="AC356" s="150"/>
      <c r="AD356" s="150"/>
      <c r="AE356" s="150"/>
      <c r="AF356" s="150"/>
      <c r="AG356" s="150"/>
      <c r="AH356" s="150"/>
      <c r="AI356" s="150"/>
      <c r="AJ356" s="262"/>
      <c r="AK356" s="262"/>
      <c r="AL356" s="433">
        <f>55000000-27918995</f>
        <v>27081005</v>
      </c>
      <c r="AM356" s="597"/>
      <c r="AN356" s="597"/>
      <c r="AO356" s="434"/>
      <c r="AP356" s="598"/>
      <c r="AQ356" s="598"/>
      <c r="AR356" s="150"/>
      <c r="AS356" s="263"/>
      <c r="AT356" s="263"/>
      <c r="AU356" s="263"/>
      <c r="AV356" s="263"/>
      <c r="AW356" s="263"/>
      <c r="AX356" s="150"/>
      <c r="AY356" s="150"/>
      <c r="AZ356" s="150"/>
      <c r="BA356" s="161"/>
      <c r="BB356" s="161"/>
      <c r="BC356" s="161"/>
      <c r="BD356" s="150"/>
      <c r="BE356" s="150"/>
      <c r="BF356" s="150"/>
      <c r="BG356" s="150"/>
      <c r="BH356" s="150"/>
      <c r="BI356" s="150"/>
      <c r="BJ356" s="151">
        <f t="shared" si="425"/>
        <v>27081005</v>
      </c>
      <c r="BK356" s="151">
        <f t="shared" si="426"/>
        <v>0</v>
      </c>
      <c r="BL356" s="151">
        <f t="shared" si="427"/>
        <v>0</v>
      </c>
      <c r="BM356" s="151" t="s">
        <v>1022</v>
      </c>
      <c r="BN356" s="72" t="s">
        <v>1528</v>
      </c>
    </row>
    <row r="357" spans="1:66" ht="88.5" customHeight="1" x14ac:dyDescent="0.2">
      <c r="A357" s="145"/>
      <c r="B357" s="91"/>
      <c r="C357" s="91"/>
      <c r="D357" s="91"/>
      <c r="E357" s="91"/>
      <c r="F357" s="567"/>
      <c r="G357" s="569"/>
      <c r="H357" s="562" t="s">
        <v>1087</v>
      </c>
      <c r="I357" s="82">
        <v>1903028</v>
      </c>
      <c r="J357" s="850" t="s">
        <v>1088</v>
      </c>
      <c r="K357" s="82">
        <v>1903028</v>
      </c>
      <c r="L357" s="850" t="s">
        <v>1088</v>
      </c>
      <c r="M357" s="415">
        <v>190302800</v>
      </c>
      <c r="N357" s="851" t="s">
        <v>1089</v>
      </c>
      <c r="O357" s="415">
        <v>190302800</v>
      </c>
      <c r="P357" s="851" t="s">
        <v>1089</v>
      </c>
      <c r="Q357" s="195" t="s">
        <v>52</v>
      </c>
      <c r="R357" s="125">
        <v>250</v>
      </c>
      <c r="S357" s="125">
        <v>75</v>
      </c>
      <c r="T357" s="862"/>
      <c r="U357" s="873"/>
      <c r="V357" s="873"/>
      <c r="W357" s="150"/>
      <c r="X357" s="150"/>
      <c r="Y357" s="150"/>
      <c r="Z357" s="150"/>
      <c r="AA357" s="150"/>
      <c r="AB357" s="150"/>
      <c r="AC357" s="150"/>
      <c r="AD357" s="150"/>
      <c r="AE357" s="150"/>
      <c r="AF357" s="150"/>
      <c r="AG357" s="150"/>
      <c r="AH357" s="150"/>
      <c r="AI357" s="150"/>
      <c r="AJ357" s="262"/>
      <c r="AK357" s="262"/>
      <c r="AL357" s="433">
        <f>40000000-26000000</f>
        <v>14000000</v>
      </c>
      <c r="AM357" s="433">
        <v>6600000</v>
      </c>
      <c r="AN357" s="433"/>
      <c r="AO357" s="150"/>
      <c r="AP357" s="150"/>
      <c r="AQ357" s="150"/>
      <c r="AR357" s="150"/>
      <c r="AS357" s="263"/>
      <c r="AT357" s="263"/>
      <c r="AU357" s="263"/>
      <c r="AV357" s="263"/>
      <c r="AW357" s="263"/>
      <c r="AX357" s="150"/>
      <c r="AY357" s="150"/>
      <c r="AZ357" s="150"/>
      <c r="BA357" s="161"/>
      <c r="BB357" s="161"/>
      <c r="BC357" s="161"/>
      <c r="BD357" s="150"/>
      <c r="BE357" s="150"/>
      <c r="BF357" s="150"/>
      <c r="BG357" s="150"/>
      <c r="BH357" s="150"/>
      <c r="BI357" s="150"/>
      <c r="BJ357" s="151">
        <f t="shared" si="425"/>
        <v>14000000</v>
      </c>
      <c r="BK357" s="151">
        <f t="shared" si="426"/>
        <v>6600000</v>
      </c>
      <c r="BL357" s="151">
        <f t="shared" si="427"/>
        <v>0</v>
      </c>
      <c r="BM357" s="151" t="s">
        <v>1022</v>
      </c>
      <c r="BN357" s="72" t="s">
        <v>1528</v>
      </c>
    </row>
    <row r="358" spans="1:66" ht="85.5" customHeight="1" x14ac:dyDescent="0.2">
      <c r="A358" s="145"/>
      <c r="B358" s="91"/>
      <c r="C358" s="91"/>
      <c r="D358" s="91"/>
      <c r="E358" s="91"/>
      <c r="F358" s="567"/>
      <c r="G358" s="569"/>
      <c r="H358" s="562" t="s">
        <v>1051</v>
      </c>
      <c r="I358" s="82">
        <v>1903025</v>
      </c>
      <c r="J358" s="850" t="s">
        <v>1090</v>
      </c>
      <c r="K358" s="82">
        <v>1903025</v>
      </c>
      <c r="L358" s="850" t="s">
        <v>1090</v>
      </c>
      <c r="M358" s="415">
        <v>190302500</v>
      </c>
      <c r="N358" s="93" t="s">
        <v>1091</v>
      </c>
      <c r="O358" s="415">
        <v>190302500</v>
      </c>
      <c r="P358" s="93" t="s">
        <v>1091</v>
      </c>
      <c r="Q358" s="209" t="s">
        <v>52</v>
      </c>
      <c r="R358" s="125">
        <v>12</v>
      </c>
      <c r="S358" s="125">
        <v>12</v>
      </c>
      <c r="T358" s="862"/>
      <c r="U358" s="873"/>
      <c r="V358" s="873"/>
      <c r="W358" s="150"/>
      <c r="X358" s="150"/>
      <c r="Y358" s="150"/>
      <c r="Z358" s="150"/>
      <c r="AA358" s="150"/>
      <c r="AB358" s="150"/>
      <c r="AC358" s="150"/>
      <c r="AD358" s="150"/>
      <c r="AE358" s="150"/>
      <c r="AF358" s="150"/>
      <c r="AG358" s="150"/>
      <c r="AH358" s="150"/>
      <c r="AI358" s="150"/>
      <c r="AJ358" s="262"/>
      <c r="AK358" s="262"/>
      <c r="AL358" s="433">
        <v>40000000</v>
      </c>
      <c r="AM358" s="433">
        <v>23080000</v>
      </c>
      <c r="AN358" s="433">
        <v>5770000</v>
      </c>
      <c r="AO358" s="150"/>
      <c r="AP358" s="150"/>
      <c r="AQ358" s="150"/>
      <c r="AR358" s="150"/>
      <c r="AS358" s="263"/>
      <c r="AT358" s="263"/>
      <c r="AU358" s="263"/>
      <c r="AV358" s="263"/>
      <c r="AW358" s="263"/>
      <c r="AX358" s="150"/>
      <c r="AY358" s="150"/>
      <c r="AZ358" s="150"/>
      <c r="BA358" s="161"/>
      <c r="BB358" s="161"/>
      <c r="BC358" s="161"/>
      <c r="BD358" s="150"/>
      <c r="BE358" s="150"/>
      <c r="BF358" s="150"/>
      <c r="BG358" s="150"/>
      <c r="BH358" s="150"/>
      <c r="BI358" s="150"/>
      <c r="BJ358" s="151">
        <f t="shared" si="425"/>
        <v>40000000</v>
      </c>
      <c r="BK358" s="151">
        <f t="shared" si="426"/>
        <v>23080000</v>
      </c>
      <c r="BL358" s="151">
        <f t="shared" si="427"/>
        <v>5770000</v>
      </c>
      <c r="BM358" s="151" t="s">
        <v>1022</v>
      </c>
      <c r="BN358" s="72" t="s">
        <v>1528</v>
      </c>
    </row>
    <row r="359" spans="1:66" ht="24" customHeight="1" x14ac:dyDescent="0.2">
      <c r="A359" s="145"/>
      <c r="B359" s="91"/>
      <c r="C359" s="91"/>
      <c r="D359" s="91"/>
      <c r="E359" s="91"/>
      <c r="F359" s="154">
        <v>1905</v>
      </c>
      <c r="G359" s="81" t="s">
        <v>793</v>
      </c>
      <c r="H359" s="194"/>
      <c r="I359" s="194"/>
      <c r="J359" s="693"/>
      <c r="K359" s="726"/>
      <c r="L359" s="693"/>
      <c r="M359" s="693"/>
      <c r="N359" s="688"/>
      <c r="O359" s="689"/>
      <c r="P359" s="688"/>
      <c r="Q359" s="727"/>
      <c r="R359" s="689"/>
      <c r="S359" s="689"/>
      <c r="T359" s="728"/>
      <c r="U359" s="147"/>
      <c r="V359" s="147"/>
      <c r="W359" s="298">
        <f>SUM(W360:W388)</f>
        <v>0</v>
      </c>
      <c r="X359" s="298"/>
      <c r="Y359" s="298"/>
      <c r="Z359" s="298">
        <f t="shared" ref="Z359:BI359" si="428">SUM(Z360:Z388)</f>
        <v>0</v>
      </c>
      <c r="AA359" s="298"/>
      <c r="AB359" s="298"/>
      <c r="AC359" s="298">
        <f t="shared" si="428"/>
        <v>0</v>
      </c>
      <c r="AD359" s="298"/>
      <c r="AE359" s="298"/>
      <c r="AF359" s="298">
        <f t="shared" si="428"/>
        <v>0</v>
      </c>
      <c r="AG359" s="298"/>
      <c r="AH359" s="298"/>
      <c r="AI359" s="298">
        <f t="shared" si="428"/>
        <v>3279598376.4899998</v>
      </c>
      <c r="AJ359" s="298">
        <f t="shared" si="428"/>
        <v>1436424036</v>
      </c>
      <c r="AK359" s="298">
        <f t="shared" si="428"/>
        <v>97950000</v>
      </c>
      <c r="AL359" s="299">
        <f t="shared" si="428"/>
        <v>0</v>
      </c>
      <c r="AM359" s="299"/>
      <c r="AN359" s="299"/>
      <c r="AO359" s="298">
        <f t="shared" si="428"/>
        <v>0</v>
      </c>
      <c r="AP359" s="298"/>
      <c r="AQ359" s="298"/>
      <c r="AR359" s="298">
        <f t="shared" si="428"/>
        <v>0</v>
      </c>
      <c r="AS359" s="300"/>
      <c r="AT359" s="300"/>
      <c r="AU359" s="300">
        <f t="shared" si="428"/>
        <v>0</v>
      </c>
      <c r="AV359" s="300"/>
      <c r="AW359" s="300"/>
      <c r="AX359" s="298">
        <f t="shared" si="428"/>
        <v>0</v>
      </c>
      <c r="AY359" s="298"/>
      <c r="AZ359" s="298"/>
      <c r="BA359" s="298">
        <f>SUM(BA360:BA388)</f>
        <v>1551904376</v>
      </c>
      <c r="BB359" s="298">
        <f t="shared" ref="BB359:BC359" si="429">SUM(BB360:BB388)</f>
        <v>291309376</v>
      </c>
      <c r="BC359" s="298">
        <f t="shared" si="429"/>
        <v>29989376</v>
      </c>
      <c r="BD359" s="298">
        <f t="shared" si="428"/>
        <v>0</v>
      </c>
      <c r="BE359" s="298"/>
      <c r="BF359" s="298"/>
      <c r="BG359" s="298">
        <f t="shared" si="428"/>
        <v>392854357</v>
      </c>
      <c r="BH359" s="298">
        <f t="shared" si="428"/>
        <v>82601809</v>
      </c>
      <c r="BI359" s="298">
        <f t="shared" si="428"/>
        <v>82601809</v>
      </c>
      <c r="BJ359" s="298">
        <f>SUM(BJ360:BJ388)</f>
        <v>5224357109.4899998</v>
      </c>
      <c r="BK359" s="298">
        <f t="shared" ref="BK359:BL359" si="430">SUM(BK360:BK388)</f>
        <v>1810335221</v>
      </c>
      <c r="BL359" s="298">
        <f t="shared" si="430"/>
        <v>210541185</v>
      </c>
      <c r="BM359" s="298"/>
      <c r="BN359" s="301"/>
    </row>
    <row r="360" spans="1:66" ht="159.75" customHeight="1" x14ac:dyDescent="0.2">
      <c r="A360" s="145"/>
      <c r="B360" s="91"/>
      <c r="C360" s="91"/>
      <c r="D360" s="91"/>
      <c r="E360" s="91"/>
      <c r="F360" s="87"/>
      <c r="G360" s="569"/>
      <c r="H360" s="562" t="s">
        <v>1026</v>
      </c>
      <c r="I360" s="82">
        <v>1905028</v>
      </c>
      <c r="J360" s="850" t="s">
        <v>1092</v>
      </c>
      <c r="K360" s="82">
        <v>1905028</v>
      </c>
      <c r="L360" s="850" t="s">
        <v>1092</v>
      </c>
      <c r="M360" s="415">
        <v>190502800</v>
      </c>
      <c r="N360" s="851" t="s">
        <v>1093</v>
      </c>
      <c r="O360" s="415">
        <v>190502800</v>
      </c>
      <c r="P360" s="851" t="s">
        <v>1093</v>
      </c>
      <c r="Q360" s="569" t="s">
        <v>52</v>
      </c>
      <c r="R360" s="125">
        <v>12</v>
      </c>
      <c r="S360" s="125">
        <v>12</v>
      </c>
      <c r="T360" s="862" t="s">
        <v>1094</v>
      </c>
      <c r="U360" s="873" t="s">
        <v>1095</v>
      </c>
      <c r="V360" s="873" t="s">
        <v>1096</v>
      </c>
      <c r="W360" s="150"/>
      <c r="X360" s="150"/>
      <c r="Y360" s="150"/>
      <c r="Z360" s="150"/>
      <c r="AA360" s="150"/>
      <c r="AB360" s="150"/>
      <c r="AC360" s="150"/>
      <c r="AD360" s="150"/>
      <c r="AE360" s="150"/>
      <c r="AF360" s="150"/>
      <c r="AG360" s="150"/>
      <c r="AH360" s="150"/>
      <c r="AI360" s="127">
        <v>38000000</v>
      </c>
      <c r="AJ360" s="260">
        <v>11540000</v>
      </c>
      <c r="AK360" s="260"/>
      <c r="AL360" s="262"/>
      <c r="AM360" s="262"/>
      <c r="AN360" s="262"/>
      <c r="AO360" s="150"/>
      <c r="AP360" s="150"/>
      <c r="AQ360" s="150"/>
      <c r="AR360" s="150"/>
      <c r="AS360" s="263"/>
      <c r="AT360" s="263"/>
      <c r="AU360" s="263"/>
      <c r="AV360" s="263"/>
      <c r="AW360" s="263"/>
      <c r="AX360" s="150"/>
      <c r="AY360" s="150"/>
      <c r="AZ360" s="150"/>
      <c r="BA360" s="161"/>
      <c r="BB360" s="161"/>
      <c r="BC360" s="161"/>
      <c r="BD360" s="150"/>
      <c r="BE360" s="150"/>
      <c r="BF360" s="150"/>
      <c r="BG360" s="150"/>
      <c r="BH360" s="150"/>
      <c r="BI360" s="150"/>
      <c r="BJ360" s="151">
        <f t="shared" si="425"/>
        <v>38000000</v>
      </c>
      <c r="BK360" s="151">
        <f t="shared" ref="BK360:BK388" si="431">+X360+AA360+AD360+AG360+AJ360+AM360+AP360+AS360+AV360+AY360+BB360+BE360+BH360</f>
        <v>11540000</v>
      </c>
      <c r="BL360" s="151">
        <f t="shared" ref="BL360:BL388" si="432">+Y360+AB360+AE360+AH360+AK360+AN360+AQ360+AT360+AW360+AZ360+BC360+BF360+BI360</f>
        <v>0</v>
      </c>
      <c r="BM360" s="151" t="s">
        <v>1022</v>
      </c>
      <c r="BN360" s="72" t="s">
        <v>1528</v>
      </c>
    </row>
    <row r="361" spans="1:66" ht="114.75" customHeight="1" x14ac:dyDescent="0.2">
      <c r="A361" s="145"/>
      <c r="B361" s="91"/>
      <c r="C361" s="91"/>
      <c r="D361" s="91"/>
      <c r="E361" s="83"/>
      <c r="F361" s="87"/>
      <c r="G361" s="569"/>
      <c r="H361" s="562" t="s">
        <v>1026</v>
      </c>
      <c r="I361" s="82">
        <v>1905031</v>
      </c>
      <c r="J361" s="850" t="s">
        <v>1097</v>
      </c>
      <c r="K361" s="82">
        <v>1905031</v>
      </c>
      <c r="L361" s="850" t="s">
        <v>1097</v>
      </c>
      <c r="M361" s="82">
        <v>190503100</v>
      </c>
      <c r="N361" s="851" t="s">
        <v>1098</v>
      </c>
      <c r="O361" s="82">
        <v>190503100</v>
      </c>
      <c r="P361" s="851" t="s">
        <v>1098</v>
      </c>
      <c r="Q361" s="195" t="s">
        <v>52</v>
      </c>
      <c r="R361" s="125">
        <v>12</v>
      </c>
      <c r="S361" s="125">
        <v>0</v>
      </c>
      <c r="T361" s="862"/>
      <c r="U361" s="873"/>
      <c r="V361" s="873"/>
      <c r="W361" s="150"/>
      <c r="X361" s="150"/>
      <c r="Y361" s="150"/>
      <c r="Z361" s="150"/>
      <c r="AA361" s="150"/>
      <c r="AB361" s="150"/>
      <c r="AC361" s="150"/>
      <c r="AD361" s="150"/>
      <c r="AE361" s="150"/>
      <c r="AF361" s="150"/>
      <c r="AG361" s="150"/>
      <c r="AH361" s="150"/>
      <c r="AI361" s="127">
        <v>38000000</v>
      </c>
      <c r="AJ361" s="260">
        <v>19080000</v>
      </c>
      <c r="AK361" s="260">
        <v>1885000</v>
      </c>
      <c r="AL361" s="262"/>
      <c r="AM361" s="262"/>
      <c r="AN361" s="262"/>
      <c r="AO361" s="150"/>
      <c r="AP361" s="150"/>
      <c r="AQ361" s="150"/>
      <c r="AR361" s="150"/>
      <c r="AS361" s="263"/>
      <c r="AT361" s="263"/>
      <c r="AU361" s="263"/>
      <c r="AV361" s="263"/>
      <c r="AW361" s="263"/>
      <c r="AX361" s="150"/>
      <c r="AY361" s="150"/>
      <c r="AZ361" s="150"/>
      <c r="BA361" s="161"/>
      <c r="BB361" s="161"/>
      <c r="BC361" s="161"/>
      <c r="BD361" s="150"/>
      <c r="BE361" s="150"/>
      <c r="BF361" s="150"/>
      <c r="BG361" s="150"/>
      <c r="BH361" s="150"/>
      <c r="BI361" s="150"/>
      <c r="BJ361" s="151">
        <f t="shared" si="425"/>
        <v>38000000</v>
      </c>
      <c r="BK361" s="151">
        <f t="shared" si="431"/>
        <v>19080000</v>
      </c>
      <c r="BL361" s="151">
        <f t="shared" si="432"/>
        <v>1885000</v>
      </c>
      <c r="BM361" s="151" t="s">
        <v>1022</v>
      </c>
      <c r="BN361" s="72" t="s">
        <v>1528</v>
      </c>
    </row>
    <row r="362" spans="1:66" ht="73.5" customHeight="1" x14ac:dyDescent="0.2">
      <c r="A362" s="145"/>
      <c r="B362" s="91"/>
      <c r="C362" s="91"/>
      <c r="D362" s="91"/>
      <c r="E362" s="91"/>
      <c r="F362" s="87"/>
      <c r="G362" s="569"/>
      <c r="H362" s="562" t="s">
        <v>1099</v>
      </c>
      <c r="I362" s="82">
        <v>1905019</v>
      </c>
      <c r="J362" s="850" t="s">
        <v>1100</v>
      </c>
      <c r="K362" s="82">
        <v>1905019</v>
      </c>
      <c r="L362" s="850" t="s">
        <v>1100</v>
      </c>
      <c r="M362" s="82">
        <v>190501900</v>
      </c>
      <c r="N362" s="851" t="s">
        <v>347</v>
      </c>
      <c r="O362" s="82">
        <v>190501900</v>
      </c>
      <c r="P362" s="851" t="s">
        <v>347</v>
      </c>
      <c r="Q362" s="195" t="s">
        <v>52</v>
      </c>
      <c r="R362" s="125">
        <v>60</v>
      </c>
      <c r="S362" s="125">
        <v>35</v>
      </c>
      <c r="T362" s="862" t="s">
        <v>1101</v>
      </c>
      <c r="U362" s="873" t="s">
        <v>1102</v>
      </c>
      <c r="V362" s="873" t="s">
        <v>1103</v>
      </c>
      <c r="W362" s="150"/>
      <c r="X362" s="150"/>
      <c r="Y362" s="150"/>
      <c r="Z362" s="150"/>
      <c r="AA362" s="150"/>
      <c r="AB362" s="150"/>
      <c r="AC362" s="150"/>
      <c r="AD362" s="150"/>
      <c r="AE362" s="150"/>
      <c r="AF362" s="150"/>
      <c r="AG362" s="150"/>
      <c r="AH362" s="150"/>
      <c r="AI362" s="302">
        <v>20000000</v>
      </c>
      <c r="AJ362" s="595">
        <v>11540000</v>
      </c>
      <c r="AK362" s="595"/>
      <c r="AL362" s="262"/>
      <c r="AM362" s="262"/>
      <c r="AN362" s="262"/>
      <c r="AO362" s="150"/>
      <c r="AP362" s="150"/>
      <c r="AQ362" s="150"/>
      <c r="AR362" s="150"/>
      <c r="AS362" s="263"/>
      <c r="AT362" s="263"/>
      <c r="AU362" s="263"/>
      <c r="AV362" s="263"/>
      <c r="AW362" s="263"/>
      <c r="AX362" s="150"/>
      <c r="AY362" s="150"/>
      <c r="AZ362" s="150"/>
      <c r="BA362" s="161"/>
      <c r="BB362" s="161"/>
      <c r="BC362" s="161"/>
      <c r="BD362" s="150"/>
      <c r="BE362" s="150"/>
      <c r="BF362" s="150"/>
      <c r="BG362" s="150"/>
      <c r="BH362" s="150"/>
      <c r="BI362" s="150"/>
      <c r="BJ362" s="151">
        <f t="shared" si="425"/>
        <v>20000000</v>
      </c>
      <c r="BK362" s="151">
        <f t="shared" si="431"/>
        <v>11540000</v>
      </c>
      <c r="BL362" s="151">
        <f t="shared" si="432"/>
        <v>0</v>
      </c>
      <c r="BM362" s="151" t="s">
        <v>1022</v>
      </c>
      <c r="BN362" s="72" t="s">
        <v>1528</v>
      </c>
    </row>
    <row r="363" spans="1:66" ht="152.25" customHeight="1" x14ac:dyDescent="0.2">
      <c r="A363" s="145"/>
      <c r="B363" s="91"/>
      <c r="C363" s="91"/>
      <c r="D363" s="91"/>
      <c r="E363" s="91"/>
      <c r="F363" s="87"/>
      <c r="G363" s="569"/>
      <c r="H363" s="562" t="s">
        <v>1104</v>
      </c>
      <c r="I363" s="82" t="s">
        <v>1105</v>
      </c>
      <c r="J363" s="850" t="s">
        <v>1106</v>
      </c>
      <c r="K363" s="82">
        <v>1905031</v>
      </c>
      <c r="L363" s="850" t="s">
        <v>1107</v>
      </c>
      <c r="M363" s="82" t="s">
        <v>47</v>
      </c>
      <c r="N363" s="851" t="s">
        <v>1108</v>
      </c>
      <c r="O363" s="82">
        <v>190503100</v>
      </c>
      <c r="P363" s="851" t="s">
        <v>1109</v>
      </c>
      <c r="Q363" s="570" t="s">
        <v>52</v>
      </c>
      <c r="R363" s="252">
        <v>11</v>
      </c>
      <c r="S363" s="252">
        <v>0</v>
      </c>
      <c r="T363" s="862"/>
      <c r="U363" s="873"/>
      <c r="V363" s="873"/>
      <c r="W363" s="150"/>
      <c r="X363" s="150"/>
      <c r="Y363" s="150"/>
      <c r="Z363" s="150"/>
      <c r="AA363" s="150"/>
      <c r="AB363" s="150"/>
      <c r="AC363" s="150"/>
      <c r="AD363" s="150"/>
      <c r="AE363" s="150"/>
      <c r="AF363" s="150"/>
      <c r="AG363" s="150"/>
      <c r="AH363" s="150"/>
      <c r="AI363" s="302">
        <v>20000000</v>
      </c>
      <c r="AJ363" s="595">
        <v>13200000</v>
      </c>
      <c r="AK363" s="595"/>
      <c r="AL363" s="262"/>
      <c r="AM363" s="262"/>
      <c r="AN363" s="262"/>
      <c r="AO363" s="150"/>
      <c r="AP363" s="150"/>
      <c r="AQ363" s="150"/>
      <c r="AR363" s="150"/>
      <c r="AS363" s="263"/>
      <c r="AT363" s="263"/>
      <c r="AU363" s="263"/>
      <c r="AV363" s="263"/>
      <c r="AW363" s="263"/>
      <c r="AX363" s="150"/>
      <c r="AY363" s="150"/>
      <c r="AZ363" s="150"/>
      <c r="BA363" s="161"/>
      <c r="BB363" s="161"/>
      <c r="BC363" s="161"/>
      <c r="BD363" s="150"/>
      <c r="BE363" s="150"/>
      <c r="BF363" s="150"/>
      <c r="BG363" s="150"/>
      <c r="BH363" s="150"/>
      <c r="BI363" s="150"/>
      <c r="BJ363" s="151">
        <f t="shared" si="425"/>
        <v>20000000</v>
      </c>
      <c r="BK363" s="151">
        <f t="shared" si="431"/>
        <v>13200000</v>
      </c>
      <c r="BL363" s="151">
        <f t="shared" si="432"/>
        <v>0</v>
      </c>
      <c r="BM363" s="151" t="s">
        <v>1022</v>
      </c>
      <c r="BN363" s="72" t="s">
        <v>1528</v>
      </c>
    </row>
    <row r="364" spans="1:66" ht="112.5" customHeight="1" x14ac:dyDescent="0.2">
      <c r="A364" s="145"/>
      <c r="B364" s="91"/>
      <c r="C364" s="91"/>
      <c r="D364" s="91"/>
      <c r="E364" s="91"/>
      <c r="F364" s="87"/>
      <c r="G364" s="569"/>
      <c r="H364" s="562" t="s">
        <v>1110</v>
      </c>
      <c r="I364" s="82" t="s">
        <v>47</v>
      </c>
      <c r="J364" s="850" t="s">
        <v>1111</v>
      </c>
      <c r="K364" s="82">
        <v>1905015</v>
      </c>
      <c r="L364" s="850" t="s">
        <v>249</v>
      </c>
      <c r="M364" s="82" t="s">
        <v>47</v>
      </c>
      <c r="N364" s="93" t="s">
        <v>1112</v>
      </c>
      <c r="O364" s="82">
        <v>190501500</v>
      </c>
      <c r="P364" s="93" t="s">
        <v>251</v>
      </c>
      <c r="Q364" s="195" t="s">
        <v>52</v>
      </c>
      <c r="R364" s="125">
        <v>1</v>
      </c>
      <c r="S364" s="125">
        <v>0</v>
      </c>
      <c r="T364" s="862"/>
      <c r="U364" s="873"/>
      <c r="V364" s="873"/>
      <c r="W364" s="150"/>
      <c r="X364" s="150"/>
      <c r="Y364" s="150"/>
      <c r="Z364" s="150"/>
      <c r="AA364" s="150"/>
      <c r="AB364" s="150"/>
      <c r="AC364" s="150"/>
      <c r="AD364" s="150"/>
      <c r="AE364" s="150"/>
      <c r="AF364" s="150"/>
      <c r="AG364" s="150"/>
      <c r="AH364" s="150"/>
      <c r="AI364" s="302">
        <v>20000000</v>
      </c>
      <c r="AJ364" s="595">
        <v>11540000</v>
      </c>
      <c r="AK364" s="595">
        <v>2885000</v>
      </c>
      <c r="AL364" s="262"/>
      <c r="AM364" s="262"/>
      <c r="AN364" s="262"/>
      <c r="AO364" s="150"/>
      <c r="AP364" s="150"/>
      <c r="AQ364" s="150"/>
      <c r="AR364" s="150"/>
      <c r="AS364" s="263"/>
      <c r="AT364" s="263"/>
      <c r="AU364" s="263"/>
      <c r="AV364" s="263"/>
      <c r="AW364" s="263"/>
      <c r="AX364" s="150"/>
      <c r="AY364" s="150"/>
      <c r="AZ364" s="150"/>
      <c r="BA364" s="161"/>
      <c r="BB364" s="161"/>
      <c r="BC364" s="161"/>
      <c r="BD364" s="150"/>
      <c r="BE364" s="150"/>
      <c r="BF364" s="150"/>
      <c r="BG364" s="150"/>
      <c r="BH364" s="150"/>
      <c r="BI364" s="150"/>
      <c r="BJ364" s="151">
        <f t="shared" si="425"/>
        <v>20000000</v>
      </c>
      <c r="BK364" s="151">
        <f t="shared" si="431"/>
        <v>11540000</v>
      </c>
      <c r="BL364" s="151">
        <f t="shared" si="432"/>
        <v>2885000</v>
      </c>
      <c r="BM364" s="151" t="s">
        <v>1022</v>
      </c>
      <c r="BN364" s="72" t="s">
        <v>1528</v>
      </c>
    </row>
    <row r="365" spans="1:66" ht="120.75" customHeight="1" x14ac:dyDescent="0.2">
      <c r="A365" s="145"/>
      <c r="B365" s="91"/>
      <c r="C365" s="91"/>
      <c r="D365" s="91"/>
      <c r="E365" s="91"/>
      <c r="F365" s="87"/>
      <c r="G365" s="569"/>
      <c r="H365" s="562" t="s">
        <v>1029</v>
      </c>
      <c r="I365" s="82" t="s">
        <v>47</v>
      </c>
      <c r="J365" s="850" t="s">
        <v>1113</v>
      </c>
      <c r="K365" s="82">
        <v>1905024</v>
      </c>
      <c r="L365" s="850" t="s">
        <v>1114</v>
      </c>
      <c r="M365" s="82" t="s">
        <v>47</v>
      </c>
      <c r="N365" s="93" t="s">
        <v>1115</v>
      </c>
      <c r="O365" s="82">
        <v>190502400</v>
      </c>
      <c r="P365" s="93" t="s">
        <v>1116</v>
      </c>
      <c r="Q365" s="195" t="s">
        <v>68</v>
      </c>
      <c r="R365" s="125">
        <v>3</v>
      </c>
      <c r="S365" s="125">
        <v>1</v>
      </c>
      <c r="T365" s="862"/>
      <c r="U365" s="873"/>
      <c r="V365" s="873"/>
      <c r="W365" s="150"/>
      <c r="X365" s="150"/>
      <c r="Y365" s="150"/>
      <c r="Z365" s="150"/>
      <c r="AA365" s="150"/>
      <c r="AB365" s="150"/>
      <c r="AC365" s="150"/>
      <c r="AD365" s="150"/>
      <c r="AE365" s="150"/>
      <c r="AF365" s="150"/>
      <c r="AG365" s="150"/>
      <c r="AH365" s="150"/>
      <c r="AI365" s="302">
        <v>64000000</v>
      </c>
      <c r="AJ365" s="595">
        <v>57700000</v>
      </c>
      <c r="AK365" s="595">
        <v>8655000</v>
      </c>
      <c r="AL365" s="262"/>
      <c r="AM365" s="262"/>
      <c r="AN365" s="262"/>
      <c r="AO365" s="150"/>
      <c r="AP365" s="150"/>
      <c r="AQ365" s="150"/>
      <c r="AR365" s="150"/>
      <c r="AS365" s="263"/>
      <c r="AT365" s="263"/>
      <c r="AU365" s="263"/>
      <c r="AV365" s="263"/>
      <c r="AW365" s="263"/>
      <c r="AX365" s="150"/>
      <c r="AY365" s="150"/>
      <c r="AZ365" s="150"/>
      <c r="BA365" s="161"/>
      <c r="BB365" s="161"/>
      <c r="BC365" s="161"/>
      <c r="BD365" s="150"/>
      <c r="BE365" s="150"/>
      <c r="BF365" s="150"/>
      <c r="BG365" s="150"/>
      <c r="BH365" s="150"/>
      <c r="BI365" s="150"/>
      <c r="BJ365" s="151">
        <f t="shared" si="425"/>
        <v>64000000</v>
      </c>
      <c r="BK365" s="151">
        <f t="shared" si="431"/>
        <v>57700000</v>
      </c>
      <c r="BL365" s="151">
        <f t="shared" si="432"/>
        <v>8655000</v>
      </c>
      <c r="BM365" s="151" t="s">
        <v>1022</v>
      </c>
      <c r="BN365" s="72" t="s">
        <v>1528</v>
      </c>
    </row>
    <row r="366" spans="1:66" ht="78" customHeight="1" x14ac:dyDescent="0.2">
      <c r="A366" s="145"/>
      <c r="B366" s="91"/>
      <c r="C366" s="91"/>
      <c r="D366" s="91"/>
      <c r="E366" s="91"/>
      <c r="F366" s="87"/>
      <c r="G366" s="569"/>
      <c r="H366" s="562" t="s">
        <v>1117</v>
      </c>
      <c r="I366" s="82" t="s">
        <v>47</v>
      </c>
      <c r="J366" s="850" t="s">
        <v>1118</v>
      </c>
      <c r="K366" s="82">
        <v>1905015</v>
      </c>
      <c r="L366" s="850" t="s">
        <v>249</v>
      </c>
      <c r="M366" s="82" t="s">
        <v>47</v>
      </c>
      <c r="N366" s="93" t="s">
        <v>1119</v>
      </c>
      <c r="O366" s="82">
        <v>190501500</v>
      </c>
      <c r="P366" s="93" t="s">
        <v>251</v>
      </c>
      <c r="Q366" s="569" t="s">
        <v>68</v>
      </c>
      <c r="R366" s="125">
        <v>4</v>
      </c>
      <c r="S366" s="125">
        <v>1</v>
      </c>
      <c r="T366" s="862"/>
      <c r="U366" s="873"/>
      <c r="V366" s="873"/>
      <c r="W366" s="150"/>
      <c r="X366" s="150"/>
      <c r="Y366" s="150"/>
      <c r="Z366" s="150"/>
      <c r="AA366" s="150"/>
      <c r="AB366" s="150"/>
      <c r="AC366" s="150"/>
      <c r="AD366" s="150"/>
      <c r="AE366" s="150"/>
      <c r="AF366" s="150"/>
      <c r="AG366" s="150"/>
      <c r="AH366" s="150"/>
      <c r="AI366" s="302">
        <v>20000000</v>
      </c>
      <c r="AJ366" s="595"/>
      <c r="AK366" s="595"/>
      <c r="AL366" s="262"/>
      <c r="AM366" s="262"/>
      <c r="AN366" s="262"/>
      <c r="AO366" s="150"/>
      <c r="AP366" s="150"/>
      <c r="AQ366" s="150"/>
      <c r="AR366" s="150"/>
      <c r="AS366" s="263"/>
      <c r="AT366" s="263"/>
      <c r="AU366" s="263"/>
      <c r="AV366" s="263"/>
      <c r="AW366" s="263"/>
      <c r="AX366" s="150"/>
      <c r="AY366" s="150"/>
      <c r="AZ366" s="150"/>
      <c r="BA366" s="164"/>
      <c r="BB366" s="164"/>
      <c r="BC366" s="164"/>
      <c r="BD366" s="150"/>
      <c r="BE366" s="150"/>
      <c r="BF366" s="150"/>
      <c r="BG366" s="150"/>
      <c r="BH366" s="150"/>
      <c r="BI366" s="150"/>
      <c r="BJ366" s="151">
        <f t="shared" si="425"/>
        <v>20000000</v>
      </c>
      <c r="BK366" s="151">
        <f t="shared" si="431"/>
        <v>0</v>
      </c>
      <c r="BL366" s="151">
        <f t="shared" si="432"/>
        <v>0</v>
      </c>
      <c r="BM366" s="151" t="s">
        <v>1022</v>
      </c>
      <c r="BN366" s="72" t="s">
        <v>1528</v>
      </c>
    </row>
    <row r="367" spans="1:66" ht="126.75" customHeight="1" x14ac:dyDescent="0.2">
      <c r="A367" s="145"/>
      <c r="B367" s="91"/>
      <c r="C367" s="91"/>
      <c r="D367" s="91"/>
      <c r="E367" s="91"/>
      <c r="F367" s="87"/>
      <c r="G367" s="569"/>
      <c r="H367" s="562" t="s">
        <v>1029</v>
      </c>
      <c r="I367" s="82" t="s">
        <v>47</v>
      </c>
      <c r="J367" s="850" t="s">
        <v>1120</v>
      </c>
      <c r="K367" s="82">
        <v>1905024</v>
      </c>
      <c r="L367" s="850" t="s">
        <v>1114</v>
      </c>
      <c r="M367" s="82" t="s">
        <v>47</v>
      </c>
      <c r="N367" s="93" t="s">
        <v>1121</v>
      </c>
      <c r="O367" s="415">
        <v>190502400</v>
      </c>
      <c r="P367" s="93" t="s">
        <v>1116</v>
      </c>
      <c r="Q367" s="252" t="s">
        <v>68</v>
      </c>
      <c r="R367" s="252">
        <v>4</v>
      </c>
      <c r="S367" s="252">
        <v>4</v>
      </c>
      <c r="T367" s="862"/>
      <c r="U367" s="873"/>
      <c r="V367" s="873"/>
      <c r="W367" s="150"/>
      <c r="X367" s="150"/>
      <c r="Y367" s="150"/>
      <c r="Z367" s="150"/>
      <c r="AA367" s="150"/>
      <c r="AB367" s="150"/>
      <c r="AC367" s="150"/>
      <c r="AD367" s="150"/>
      <c r="AE367" s="150"/>
      <c r="AF367" s="150"/>
      <c r="AG367" s="150"/>
      <c r="AH367" s="150"/>
      <c r="AI367" s="302">
        <v>28000000</v>
      </c>
      <c r="AJ367" s="595">
        <v>11540000</v>
      </c>
      <c r="AK367" s="595"/>
      <c r="AL367" s="262"/>
      <c r="AM367" s="262"/>
      <c r="AN367" s="262"/>
      <c r="AO367" s="150"/>
      <c r="AP367" s="150"/>
      <c r="AQ367" s="150"/>
      <c r="AR367" s="150"/>
      <c r="AS367" s="263"/>
      <c r="AT367" s="263"/>
      <c r="AU367" s="263"/>
      <c r="AV367" s="263"/>
      <c r="AW367" s="263"/>
      <c r="AX367" s="150"/>
      <c r="AY367" s="150"/>
      <c r="AZ367" s="150"/>
      <c r="BA367" s="161"/>
      <c r="BB367" s="161"/>
      <c r="BC367" s="161"/>
      <c r="BD367" s="150"/>
      <c r="BE367" s="150"/>
      <c r="BF367" s="150"/>
      <c r="BG367" s="150"/>
      <c r="BH367" s="150"/>
      <c r="BI367" s="150"/>
      <c r="BJ367" s="151">
        <f t="shared" si="425"/>
        <v>28000000</v>
      </c>
      <c r="BK367" s="151">
        <f t="shared" si="431"/>
        <v>11540000</v>
      </c>
      <c r="BL367" s="151">
        <f t="shared" si="432"/>
        <v>0</v>
      </c>
      <c r="BM367" s="151" t="s">
        <v>1022</v>
      </c>
      <c r="BN367" s="72" t="s">
        <v>1528</v>
      </c>
    </row>
    <row r="368" spans="1:66" ht="127.5" customHeight="1" x14ac:dyDescent="0.2">
      <c r="A368" s="145"/>
      <c r="B368" s="91"/>
      <c r="C368" s="91"/>
      <c r="D368" s="91"/>
      <c r="E368" s="91"/>
      <c r="F368" s="87"/>
      <c r="G368" s="569"/>
      <c r="H368" s="562" t="s">
        <v>1068</v>
      </c>
      <c r="I368" s="82" t="s">
        <v>47</v>
      </c>
      <c r="J368" s="850" t="s">
        <v>1122</v>
      </c>
      <c r="K368" s="82">
        <v>1905024</v>
      </c>
      <c r="L368" s="850" t="s">
        <v>1114</v>
      </c>
      <c r="M368" s="82" t="s">
        <v>47</v>
      </c>
      <c r="N368" s="93" t="s">
        <v>1123</v>
      </c>
      <c r="O368" s="415">
        <v>190502401</v>
      </c>
      <c r="P368" s="93" t="s">
        <v>1124</v>
      </c>
      <c r="Q368" s="252" t="s">
        <v>52</v>
      </c>
      <c r="R368" s="252">
        <v>12</v>
      </c>
      <c r="S368" s="252">
        <v>3</v>
      </c>
      <c r="T368" s="862"/>
      <c r="U368" s="873"/>
      <c r="V368" s="873"/>
      <c r="W368" s="150"/>
      <c r="X368" s="150"/>
      <c r="Y368" s="150"/>
      <c r="Z368" s="150"/>
      <c r="AA368" s="150"/>
      <c r="AB368" s="150"/>
      <c r="AC368" s="150"/>
      <c r="AD368" s="150"/>
      <c r="AE368" s="150"/>
      <c r="AF368" s="150"/>
      <c r="AG368" s="150"/>
      <c r="AH368" s="150"/>
      <c r="AI368" s="302">
        <v>28000000</v>
      </c>
      <c r="AJ368" s="595">
        <v>7420000</v>
      </c>
      <c r="AK368" s="595">
        <v>1855000</v>
      </c>
      <c r="AL368" s="262"/>
      <c r="AM368" s="262"/>
      <c r="AN368" s="262"/>
      <c r="AO368" s="150"/>
      <c r="AP368" s="150"/>
      <c r="AQ368" s="150"/>
      <c r="AR368" s="150"/>
      <c r="AS368" s="263"/>
      <c r="AT368" s="263"/>
      <c r="AU368" s="263"/>
      <c r="AV368" s="263"/>
      <c r="AW368" s="263"/>
      <c r="AX368" s="150"/>
      <c r="AY368" s="150"/>
      <c r="AZ368" s="150"/>
      <c r="BA368" s="161"/>
      <c r="BB368" s="161"/>
      <c r="BC368" s="161"/>
      <c r="BD368" s="150"/>
      <c r="BE368" s="150"/>
      <c r="BF368" s="150"/>
      <c r="BG368" s="150"/>
      <c r="BH368" s="150"/>
      <c r="BI368" s="150"/>
      <c r="BJ368" s="151">
        <f t="shared" si="425"/>
        <v>28000000</v>
      </c>
      <c r="BK368" s="151">
        <f t="shared" si="431"/>
        <v>7420000</v>
      </c>
      <c r="BL368" s="151">
        <f t="shared" si="432"/>
        <v>1855000</v>
      </c>
      <c r="BM368" s="151" t="s">
        <v>1022</v>
      </c>
      <c r="BN368" s="72" t="s">
        <v>1528</v>
      </c>
    </row>
    <row r="369" spans="1:66" ht="120.75" customHeight="1" x14ac:dyDescent="0.2">
      <c r="A369" s="145"/>
      <c r="B369" s="91"/>
      <c r="C369" s="91"/>
      <c r="D369" s="91"/>
      <c r="E369" s="91"/>
      <c r="F369" s="87"/>
      <c r="G369" s="216"/>
      <c r="H369" s="562" t="s">
        <v>794</v>
      </c>
      <c r="I369" s="82">
        <v>1905021</v>
      </c>
      <c r="J369" s="850" t="s">
        <v>795</v>
      </c>
      <c r="K369" s="82">
        <v>1905021</v>
      </c>
      <c r="L369" s="850" t="s">
        <v>795</v>
      </c>
      <c r="M369" s="415">
        <v>190502100</v>
      </c>
      <c r="N369" s="93" t="s">
        <v>796</v>
      </c>
      <c r="O369" s="415">
        <v>190502100</v>
      </c>
      <c r="P369" s="93" t="s">
        <v>796</v>
      </c>
      <c r="Q369" s="570" t="s">
        <v>52</v>
      </c>
      <c r="R369" s="252">
        <v>12</v>
      </c>
      <c r="S369" s="252">
        <v>3</v>
      </c>
      <c r="T369" s="862" t="s">
        <v>1125</v>
      </c>
      <c r="U369" s="873" t="s">
        <v>1126</v>
      </c>
      <c r="V369" s="873" t="s">
        <v>1127</v>
      </c>
      <c r="W369" s="150"/>
      <c r="X369" s="150"/>
      <c r="Y369" s="150"/>
      <c r="Z369" s="150"/>
      <c r="AA369" s="150"/>
      <c r="AB369" s="150"/>
      <c r="AC369" s="150"/>
      <c r="AD369" s="150"/>
      <c r="AE369" s="150"/>
      <c r="AF369" s="150"/>
      <c r="AG369" s="150"/>
      <c r="AH369" s="150"/>
      <c r="AI369" s="302">
        <v>105000000</v>
      </c>
      <c r="AJ369" s="595">
        <v>11540000</v>
      </c>
      <c r="AK369" s="595">
        <v>2885000</v>
      </c>
      <c r="AL369" s="262"/>
      <c r="AM369" s="262"/>
      <c r="AN369" s="262"/>
      <c r="AO369" s="150"/>
      <c r="AP369" s="150"/>
      <c r="AQ369" s="150"/>
      <c r="AR369" s="150"/>
      <c r="AS369" s="263"/>
      <c r="AT369" s="263"/>
      <c r="AU369" s="263"/>
      <c r="AV369" s="263"/>
      <c r="AW369" s="263"/>
      <c r="AX369" s="150"/>
      <c r="AY369" s="150"/>
      <c r="AZ369" s="150"/>
      <c r="BA369" s="161"/>
      <c r="BB369" s="161"/>
      <c r="BC369" s="161"/>
      <c r="BD369" s="150"/>
      <c r="BE369" s="150"/>
      <c r="BF369" s="150"/>
      <c r="BG369" s="150"/>
      <c r="BH369" s="150"/>
      <c r="BI369" s="150"/>
      <c r="BJ369" s="151">
        <f t="shared" si="425"/>
        <v>105000000</v>
      </c>
      <c r="BK369" s="151">
        <f t="shared" si="431"/>
        <v>11540000</v>
      </c>
      <c r="BL369" s="151">
        <f t="shared" si="432"/>
        <v>2885000</v>
      </c>
      <c r="BM369" s="151" t="s">
        <v>1022</v>
      </c>
      <c r="BN369" s="72" t="s">
        <v>1528</v>
      </c>
    </row>
    <row r="370" spans="1:66" ht="156" customHeight="1" x14ac:dyDescent="0.2">
      <c r="A370" s="145"/>
      <c r="B370" s="91"/>
      <c r="C370" s="91"/>
      <c r="D370" s="91"/>
      <c r="E370" s="91"/>
      <c r="F370" s="87"/>
      <c r="G370" s="569"/>
      <c r="H370" s="562" t="s">
        <v>1104</v>
      </c>
      <c r="I370" s="82" t="s">
        <v>47</v>
      </c>
      <c r="J370" s="850" t="s">
        <v>1128</v>
      </c>
      <c r="K370" s="82">
        <v>1905021</v>
      </c>
      <c r="L370" s="850" t="s">
        <v>1129</v>
      </c>
      <c r="M370" s="82" t="s">
        <v>47</v>
      </c>
      <c r="N370" s="851" t="s">
        <v>1108</v>
      </c>
      <c r="O370" s="82">
        <v>190502100</v>
      </c>
      <c r="P370" s="851" t="s">
        <v>1130</v>
      </c>
      <c r="Q370" s="570" t="s">
        <v>52</v>
      </c>
      <c r="R370" s="252">
        <v>11</v>
      </c>
      <c r="S370" s="252">
        <v>8</v>
      </c>
      <c r="T370" s="862"/>
      <c r="U370" s="873"/>
      <c r="V370" s="873"/>
      <c r="W370" s="150"/>
      <c r="X370" s="150"/>
      <c r="Y370" s="150"/>
      <c r="Z370" s="150"/>
      <c r="AA370" s="150"/>
      <c r="AB370" s="150"/>
      <c r="AC370" s="150"/>
      <c r="AD370" s="150"/>
      <c r="AE370" s="150"/>
      <c r="AF370" s="150"/>
      <c r="AG370" s="150"/>
      <c r="AH370" s="150"/>
      <c r="AI370" s="302">
        <v>56000000</v>
      </c>
      <c r="AJ370" s="595">
        <v>36040000</v>
      </c>
      <c r="AK370" s="595"/>
      <c r="AL370" s="262"/>
      <c r="AM370" s="262"/>
      <c r="AN370" s="262"/>
      <c r="AO370" s="150"/>
      <c r="AP370" s="150"/>
      <c r="AQ370" s="150"/>
      <c r="AR370" s="150"/>
      <c r="AS370" s="263"/>
      <c r="AT370" s="263"/>
      <c r="AU370" s="263"/>
      <c r="AV370" s="263"/>
      <c r="AW370" s="263"/>
      <c r="AX370" s="150"/>
      <c r="AY370" s="150"/>
      <c r="AZ370" s="150"/>
      <c r="BA370" s="161"/>
      <c r="BB370" s="161"/>
      <c r="BC370" s="161"/>
      <c r="BD370" s="150"/>
      <c r="BE370" s="150"/>
      <c r="BF370" s="150"/>
      <c r="BG370" s="150"/>
      <c r="BH370" s="150"/>
      <c r="BI370" s="150"/>
      <c r="BJ370" s="151">
        <f t="shared" si="425"/>
        <v>56000000</v>
      </c>
      <c r="BK370" s="151">
        <f t="shared" si="431"/>
        <v>36040000</v>
      </c>
      <c r="BL370" s="151">
        <f t="shared" si="432"/>
        <v>0</v>
      </c>
      <c r="BM370" s="151" t="s">
        <v>1022</v>
      </c>
      <c r="BN370" s="72" t="s">
        <v>1528</v>
      </c>
    </row>
    <row r="371" spans="1:66" ht="129.75" customHeight="1" x14ac:dyDescent="0.2">
      <c r="A371" s="145"/>
      <c r="B371" s="91"/>
      <c r="C371" s="91"/>
      <c r="D371" s="91"/>
      <c r="E371" s="91"/>
      <c r="F371" s="87"/>
      <c r="G371" s="569"/>
      <c r="H371" s="562" t="s">
        <v>1051</v>
      </c>
      <c r="I371" s="342">
        <v>1905020</v>
      </c>
      <c r="J371" s="850" t="s">
        <v>1131</v>
      </c>
      <c r="K371" s="342">
        <v>1905020</v>
      </c>
      <c r="L371" s="850" t="s">
        <v>1131</v>
      </c>
      <c r="M371" s="415">
        <v>190502000</v>
      </c>
      <c r="N371" s="93" t="s">
        <v>1132</v>
      </c>
      <c r="O371" s="415">
        <v>190502000</v>
      </c>
      <c r="P371" s="93" t="s">
        <v>1132</v>
      </c>
      <c r="Q371" s="195" t="s">
        <v>52</v>
      </c>
      <c r="R371" s="125">
        <v>12</v>
      </c>
      <c r="S371" s="125">
        <v>12</v>
      </c>
      <c r="T371" s="862" t="s">
        <v>1133</v>
      </c>
      <c r="U371" s="873" t="s">
        <v>1134</v>
      </c>
      <c r="V371" s="873" t="s">
        <v>1135</v>
      </c>
      <c r="W371" s="150"/>
      <c r="X371" s="150"/>
      <c r="Y371" s="150"/>
      <c r="Z371" s="150"/>
      <c r="AA371" s="150"/>
      <c r="AB371" s="150"/>
      <c r="AC371" s="150"/>
      <c r="AD371" s="150"/>
      <c r="AE371" s="150"/>
      <c r="AF371" s="150"/>
      <c r="AG371" s="150"/>
      <c r="AH371" s="150"/>
      <c r="AI371" s="303">
        <v>38000000</v>
      </c>
      <c r="AJ371" s="596">
        <v>18200000</v>
      </c>
      <c r="AK371" s="596">
        <v>3300000</v>
      </c>
      <c r="AL371" s="262"/>
      <c r="AM371" s="262"/>
      <c r="AN371" s="262"/>
      <c r="AO371" s="150"/>
      <c r="AP371" s="150"/>
      <c r="AQ371" s="150"/>
      <c r="AR371" s="150"/>
      <c r="AS371" s="263"/>
      <c r="AT371" s="263"/>
      <c r="AU371" s="263"/>
      <c r="AV371" s="263"/>
      <c r="AW371" s="263"/>
      <c r="AX371" s="150"/>
      <c r="AY371" s="150"/>
      <c r="AZ371" s="150"/>
      <c r="BA371" s="161"/>
      <c r="BB371" s="161"/>
      <c r="BC371" s="161"/>
      <c r="BD371" s="150"/>
      <c r="BE371" s="150"/>
      <c r="BF371" s="150"/>
      <c r="BG371" s="150"/>
      <c r="BH371" s="150"/>
      <c r="BI371" s="150"/>
      <c r="BJ371" s="151">
        <f t="shared" si="425"/>
        <v>38000000</v>
      </c>
      <c r="BK371" s="151">
        <f t="shared" si="431"/>
        <v>18200000</v>
      </c>
      <c r="BL371" s="151">
        <f t="shared" si="432"/>
        <v>3300000</v>
      </c>
      <c r="BM371" s="151" t="s">
        <v>1022</v>
      </c>
      <c r="BN371" s="72" t="s">
        <v>1528</v>
      </c>
    </row>
    <row r="372" spans="1:66" ht="183" customHeight="1" x14ac:dyDescent="0.2">
      <c r="A372" s="145"/>
      <c r="B372" s="91"/>
      <c r="C372" s="91"/>
      <c r="D372" s="91"/>
      <c r="E372" s="91"/>
      <c r="F372" s="87"/>
      <c r="G372" s="216"/>
      <c r="H372" s="562" t="s">
        <v>802</v>
      </c>
      <c r="I372" s="342">
        <v>1905022</v>
      </c>
      <c r="J372" s="850" t="s">
        <v>803</v>
      </c>
      <c r="K372" s="342">
        <v>1905022</v>
      </c>
      <c r="L372" s="850" t="s">
        <v>803</v>
      </c>
      <c r="M372" s="415">
        <v>190502200</v>
      </c>
      <c r="N372" s="93" t="s">
        <v>804</v>
      </c>
      <c r="O372" s="415">
        <v>190502200</v>
      </c>
      <c r="P372" s="93" t="s">
        <v>804</v>
      </c>
      <c r="Q372" s="195" t="s">
        <v>52</v>
      </c>
      <c r="R372" s="125">
        <v>12</v>
      </c>
      <c r="S372" s="125">
        <v>3</v>
      </c>
      <c r="T372" s="862"/>
      <c r="U372" s="873"/>
      <c r="V372" s="873"/>
      <c r="W372" s="150"/>
      <c r="X372" s="150"/>
      <c r="Y372" s="150"/>
      <c r="Z372" s="150"/>
      <c r="AA372" s="150"/>
      <c r="AB372" s="150"/>
      <c r="AC372" s="150"/>
      <c r="AD372" s="150"/>
      <c r="AE372" s="150"/>
      <c r="AF372" s="150"/>
      <c r="AG372" s="150"/>
      <c r="AH372" s="150"/>
      <c r="AI372" s="303">
        <v>57000000</v>
      </c>
      <c r="AJ372" s="596">
        <v>27810000</v>
      </c>
      <c r="AK372" s="596">
        <v>2885000</v>
      </c>
      <c r="AL372" s="262"/>
      <c r="AM372" s="262"/>
      <c r="AN372" s="262"/>
      <c r="AO372" s="150"/>
      <c r="AP372" s="150"/>
      <c r="AQ372" s="150"/>
      <c r="AR372" s="150"/>
      <c r="AS372" s="263"/>
      <c r="AT372" s="263"/>
      <c r="AU372" s="263"/>
      <c r="AV372" s="263"/>
      <c r="AW372" s="263"/>
      <c r="AX372" s="150"/>
      <c r="AY372" s="150"/>
      <c r="AZ372" s="150"/>
      <c r="BA372" s="161"/>
      <c r="BB372" s="161"/>
      <c r="BC372" s="161"/>
      <c r="BD372" s="150"/>
      <c r="BE372" s="150"/>
      <c r="BF372" s="150"/>
      <c r="BG372" s="150"/>
      <c r="BH372" s="150"/>
      <c r="BI372" s="150"/>
      <c r="BJ372" s="151">
        <f t="shared" si="425"/>
        <v>57000000</v>
      </c>
      <c r="BK372" s="151">
        <f t="shared" si="431"/>
        <v>27810000</v>
      </c>
      <c r="BL372" s="151">
        <f t="shared" si="432"/>
        <v>2885000</v>
      </c>
      <c r="BM372" s="151" t="s">
        <v>1022</v>
      </c>
      <c r="BN372" s="72" t="s">
        <v>1528</v>
      </c>
    </row>
    <row r="373" spans="1:66" ht="96" customHeight="1" x14ac:dyDescent="0.2">
      <c r="A373" s="145"/>
      <c r="B373" s="91"/>
      <c r="C373" s="91"/>
      <c r="D373" s="83"/>
      <c r="E373" s="83"/>
      <c r="F373" s="338"/>
      <c r="G373" s="558"/>
      <c r="H373" s="565" t="s">
        <v>1051</v>
      </c>
      <c r="I373" s="82" t="s">
        <v>47</v>
      </c>
      <c r="J373" s="850" t="s">
        <v>1136</v>
      </c>
      <c r="K373" s="82">
        <v>1905015</v>
      </c>
      <c r="L373" s="850" t="s">
        <v>249</v>
      </c>
      <c r="M373" s="82" t="s">
        <v>47</v>
      </c>
      <c r="N373" s="93" t="s">
        <v>1137</v>
      </c>
      <c r="O373" s="82" t="s">
        <v>1138</v>
      </c>
      <c r="P373" s="93" t="s">
        <v>1139</v>
      </c>
      <c r="Q373" s="252" t="s">
        <v>52</v>
      </c>
      <c r="R373" s="252">
        <v>1</v>
      </c>
      <c r="S373" s="252">
        <v>0</v>
      </c>
      <c r="T373" s="862"/>
      <c r="U373" s="873"/>
      <c r="V373" s="873"/>
      <c r="W373" s="150"/>
      <c r="X373" s="150"/>
      <c r="Y373" s="150"/>
      <c r="Z373" s="150"/>
      <c r="AA373" s="150"/>
      <c r="AB373" s="150"/>
      <c r="AC373" s="150"/>
      <c r="AD373" s="150"/>
      <c r="AE373" s="150"/>
      <c r="AF373" s="127">
        <f>100000000-100000000</f>
        <v>0</v>
      </c>
      <c r="AG373" s="127"/>
      <c r="AH373" s="127"/>
      <c r="AI373" s="303">
        <v>58000000</v>
      </c>
      <c r="AJ373" s="596">
        <v>16210000</v>
      </c>
      <c r="AK373" s="596"/>
      <c r="AL373" s="262"/>
      <c r="AM373" s="262"/>
      <c r="AN373" s="262"/>
      <c r="AO373" s="150"/>
      <c r="AP373" s="150"/>
      <c r="AQ373" s="150"/>
      <c r="AR373" s="150"/>
      <c r="AS373" s="263"/>
      <c r="AT373" s="263"/>
      <c r="AU373" s="263"/>
      <c r="AV373" s="263"/>
      <c r="AW373" s="263"/>
      <c r="AX373" s="150"/>
      <c r="AY373" s="150"/>
      <c r="AZ373" s="150"/>
      <c r="BA373" s="161"/>
      <c r="BB373" s="161"/>
      <c r="BC373" s="161"/>
      <c r="BD373" s="150"/>
      <c r="BE373" s="150"/>
      <c r="BF373" s="150"/>
      <c r="BG373" s="150"/>
      <c r="BH373" s="150"/>
      <c r="BI373" s="150"/>
      <c r="BJ373" s="151">
        <f t="shared" si="425"/>
        <v>58000000</v>
      </c>
      <c r="BK373" s="151">
        <f t="shared" si="431"/>
        <v>16210000</v>
      </c>
      <c r="BL373" s="151">
        <f t="shared" si="432"/>
        <v>0</v>
      </c>
      <c r="BM373" s="151" t="s">
        <v>1022</v>
      </c>
      <c r="BN373" s="72" t="s">
        <v>1528</v>
      </c>
    </row>
    <row r="374" spans="1:66" ht="120" customHeight="1" x14ac:dyDescent="0.2">
      <c r="A374" s="145"/>
      <c r="B374" s="91"/>
      <c r="C374" s="91"/>
      <c r="D374" s="83"/>
      <c r="E374" s="83"/>
      <c r="F374" s="338"/>
      <c r="G374" s="558"/>
      <c r="H374" s="565" t="s">
        <v>1140</v>
      </c>
      <c r="I374" s="82">
        <v>1905023</v>
      </c>
      <c r="J374" s="850" t="s">
        <v>1141</v>
      </c>
      <c r="K374" s="82">
        <v>1905023</v>
      </c>
      <c r="L374" s="850" t="s">
        <v>1141</v>
      </c>
      <c r="M374" s="415">
        <v>190502300</v>
      </c>
      <c r="N374" s="93" t="s">
        <v>1142</v>
      </c>
      <c r="O374" s="415">
        <v>190502300</v>
      </c>
      <c r="P374" s="93" t="s">
        <v>1142</v>
      </c>
      <c r="Q374" s="252" t="s">
        <v>52</v>
      </c>
      <c r="R374" s="252">
        <v>12</v>
      </c>
      <c r="S374" s="252">
        <v>12</v>
      </c>
      <c r="T374" s="862" t="s">
        <v>1143</v>
      </c>
      <c r="U374" s="873" t="s">
        <v>1144</v>
      </c>
      <c r="V374" s="873" t="s">
        <v>1145</v>
      </c>
      <c r="W374" s="150"/>
      <c r="X374" s="150"/>
      <c r="Y374" s="150"/>
      <c r="Z374" s="150"/>
      <c r="AA374" s="150"/>
      <c r="AB374" s="150"/>
      <c r="AC374" s="150"/>
      <c r="AD374" s="150"/>
      <c r="AE374" s="150"/>
      <c r="AF374" s="150"/>
      <c r="AG374" s="150"/>
      <c r="AH374" s="150"/>
      <c r="AI374" s="303">
        <v>105000000</v>
      </c>
      <c r="AJ374" s="596">
        <v>55960000</v>
      </c>
      <c r="AK374" s="596">
        <v>5085000</v>
      </c>
      <c r="AL374" s="262"/>
      <c r="AM374" s="262"/>
      <c r="AN374" s="262"/>
      <c r="AO374" s="150"/>
      <c r="AP374" s="150"/>
      <c r="AQ374" s="150"/>
      <c r="AR374" s="150"/>
      <c r="AS374" s="263"/>
      <c r="AT374" s="263"/>
      <c r="AU374" s="263"/>
      <c r="AV374" s="263"/>
      <c r="AW374" s="263"/>
      <c r="AX374" s="150"/>
      <c r="AY374" s="150"/>
      <c r="AZ374" s="150"/>
      <c r="BA374" s="161"/>
      <c r="BB374" s="161"/>
      <c r="BC374" s="161"/>
      <c r="BD374" s="150"/>
      <c r="BE374" s="150"/>
      <c r="BF374" s="150"/>
      <c r="BG374" s="150"/>
      <c r="BH374" s="150"/>
      <c r="BI374" s="150"/>
      <c r="BJ374" s="151">
        <f t="shared" si="425"/>
        <v>105000000</v>
      </c>
      <c r="BK374" s="151">
        <f t="shared" si="431"/>
        <v>55960000</v>
      </c>
      <c r="BL374" s="151">
        <f t="shared" si="432"/>
        <v>5085000</v>
      </c>
      <c r="BM374" s="151" t="s">
        <v>1022</v>
      </c>
      <c r="BN374" s="72" t="s">
        <v>1528</v>
      </c>
    </row>
    <row r="375" spans="1:66" ht="134.25" customHeight="1" x14ac:dyDescent="0.2">
      <c r="A375" s="145"/>
      <c r="B375" s="91"/>
      <c r="C375" s="91"/>
      <c r="D375" s="83"/>
      <c r="E375" s="83"/>
      <c r="F375" s="338"/>
      <c r="G375" s="95"/>
      <c r="H375" s="565" t="s">
        <v>1026</v>
      </c>
      <c r="I375" s="82">
        <v>1905031</v>
      </c>
      <c r="J375" s="850" t="s">
        <v>1097</v>
      </c>
      <c r="K375" s="82">
        <v>1905031</v>
      </c>
      <c r="L375" s="850" t="s">
        <v>1097</v>
      </c>
      <c r="M375" s="82">
        <v>190503100</v>
      </c>
      <c r="N375" s="851" t="s">
        <v>1098</v>
      </c>
      <c r="O375" s="82">
        <v>190503100</v>
      </c>
      <c r="P375" s="851" t="s">
        <v>1098</v>
      </c>
      <c r="Q375" s="252" t="s">
        <v>52</v>
      </c>
      <c r="R375" s="252">
        <v>12</v>
      </c>
      <c r="S375" s="252">
        <v>12</v>
      </c>
      <c r="T375" s="862"/>
      <c r="U375" s="873"/>
      <c r="V375" s="873"/>
      <c r="W375" s="150"/>
      <c r="X375" s="150"/>
      <c r="Y375" s="150"/>
      <c r="Z375" s="150"/>
      <c r="AA375" s="150"/>
      <c r="AB375" s="150"/>
      <c r="AC375" s="150"/>
      <c r="AD375" s="150"/>
      <c r="AE375" s="150"/>
      <c r="AF375" s="150"/>
      <c r="AG375" s="150"/>
      <c r="AH375" s="150"/>
      <c r="AI375" s="303">
        <v>76000000</v>
      </c>
      <c r="AJ375" s="596">
        <v>35280000</v>
      </c>
      <c r="AK375" s="596"/>
      <c r="AL375" s="262"/>
      <c r="AM375" s="262"/>
      <c r="AN375" s="262"/>
      <c r="AO375" s="150"/>
      <c r="AP375" s="150"/>
      <c r="AQ375" s="150"/>
      <c r="AR375" s="150"/>
      <c r="AS375" s="263"/>
      <c r="AT375" s="263"/>
      <c r="AU375" s="263"/>
      <c r="AV375" s="263"/>
      <c r="AW375" s="263"/>
      <c r="AX375" s="150"/>
      <c r="AY375" s="150"/>
      <c r="AZ375" s="150"/>
      <c r="BA375" s="161"/>
      <c r="BB375" s="161"/>
      <c r="BC375" s="161"/>
      <c r="BD375" s="150"/>
      <c r="BE375" s="150"/>
      <c r="BF375" s="150"/>
      <c r="BG375" s="150"/>
      <c r="BH375" s="150"/>
      <c r="BI375" s="150"/>
      <c r="BJ375" s="151">
        <f t="shared" si="425"/>
        <v>76000000</v>
      </c>
      <c r="BK375" s="151">
        <f t="shared" si="431"/>
        <v>35280000</v>
      </c>
      <c r="BL375" s="151">
        <f t="shared" si="432"/>
        <v>0</v>
      </c>
      <c r="BM375" s="151" t="s">
        <v>1022</v>
      </c>
      <c r="BN375" s="72" t="s">
        <v>1528</v>
      </c>
    </row>
    <row r="376" spans="1:66" ht="122.25" customHeight="1" x14ac:dyDescent="0.2">
      <c r="A376" s="145"/>
      <c r="B376" s="91"/>
      <c r="C376" s="91"/>
      <c r="D376" s="83"/>
      <c r="E376" s="83"/>
      <c r="F376" s="338"/>
      <c r="G376" s="558"/>
      <c r="H376" s="565" t="s">
        <v>1146</v>
      </c>
      <c r="I376" s="82">
        <v>1905012</v>
      </c>
      <c r="J376" s="850" t="s">
        <v>1147</v>
      </c>
      <c r="K376" s="82">
        <v>1905012</v>
      </c>
      <c r="L376" s="850" t="s">
        <v>1147</v>
      </c>
      <c r="M376" s="415">
        <v>190501200</v>
      </c>
      <c r="N376" s="93" t="s">
        <v>1147</v>
      </c>
      <c r="O376" s="415">
        <v>190501200</v>
      </c>
      <c r="P376" s="93" t="s">
        <v>1147</v>
      </c>
      <c r="Q376" s="252" t="s">
        <v>52</v>
      </c>
      <c r="R376" s="252">
        <v>1</v>
      </c>
      <c r="S376" s="252">
        <v>1</v>
      </c>
      <c r="T376" s="862" t="s">
        <v>1148</v>
      </c>
      <c r="U376" s="873" t="s">
        <v>1149</v>
      </c>
      <c r="V376" s="873" t="s">
        <v>1150</v>
      </c>
      <c r="W376" s="150"/>
      <c r="X376" s="150"/>
      <c r="Y376" s="150"/>
      <c r="Z376" s="150"/>
      <c r="AA376" s="150"/>
      <c r="AB376" s="150"/>
      <c r="AC376" s="150"/>
      <c r="AD376" s="150"/>
      <c r="AE376" s="150"/>
      <c r="AF376" s="150"/>
      <c r="AG376" s="150"/>
      <c r="AH376" s="150"/>
      <c r="AI376" s="127">
        <v>20000000</v>
      </c>
      <c r="AJ376" s="260">
        <v>7420000</v>
      </c>
      <c r="AK376" s="260">
        <v>1855000</v>
      </c>
      <c r="AL376" s="262"/>
      <c r="AM376" s="262"/>
      <c r="AN376" s="262"/>
      <c r="AO376" s="150"/>
      <c r="AP376" s="150"/>
      <c r="AQ376" s="150"/>
      <c r="AR376" s="150"/>
      <c r="AS376" s="263"/>
      <c r="AT376" s="263"/>
      <c r="AU376" s="263"/>
      <c r="AV376" s="263"/>
      <c r="AW376" s="263"/>
      <c r="AX376" s="150"/>
      <c r="AY376" s="150"/>
      <c r="AZ376" s="150"/>
      <c r="BA376" s="161"/>
      <c r="BB376" s="161"/>
      <c r="BC376" s="161"/>
      <c r="BD376" s="150"/>
      <c r="BE376" s="150"/>
      <c r="BF376" s="150"/>
      <c r="BG376" s="210"/>
      <c r="BH376" s="210"/>
      <c r="BI376" s="210"/>
      <c r="BJ376" s="151">
        <f t="shared" si="425"/>
        <v>20000000</v>
      </c>
      <c r="BK376" s="151">
        <f t="shared" si="431"/>
        <v>7420000</v>
      </c>
      <c r="BL376" s="151">
        <f t="shared" si="432"/>
        <v>1855000</v>
      </c>
      <c r="BM376" s="151" t="s">
        <v>1022</v>
      </c>
      <c r="BN376" s="72" t="s">
        <v>1528</v>
      </c>
    </row>
    <row r="377" spans="1:66" ht="180" customHeight="1" x14ac:dyDescent="0.2">
      <c r="A377" s="145"/>
      <c r="B377" s="91"/>
      <c r="C377" s="91"/>
      <c r="D377" s="83"/>
      <c r="E377" s="83"/>
      <c r="F377" s="338"/>
      <c r="G377" s="558"/>
      <c r="H377" s="565" t="s">
        <v>1151</v>
      </c>
      <c r="I377" s="82">
        <v>1905026</v>
      </c>
      <c r="J377" s="850" t="s">
        <v>1152</v>
      </c>
      <c r="K377" s="82">
        <v>1905026</v>
      </c>
      <c r="L377" s="850" t="s">
        <v>1152</v>
      </c>
      <c r="M377" s="415">
        <v>190502600</v>
      </c>
      <c r="N377" s="93" t="s">
        <v>1153</v>
      </c>
      <c r="O377" s="415">
        <v>190502600</v>
      </c>
      <c r="P377" s="93" t="s">
        <v>1153</v>
      </c>
      <c r="Q377" s="570" t="s">
        <v>52</v>
      </c>
      <c r="R377" s="252">
        <v>12</v>
      </c>
      <c r="S377" s="252">
        <v>12</v>
      </c>
      <c r="T377" s="862"/>
      <c r="U377" s="873"/>
      <c r="V377" s="873"/>
      <c r="W377" s="150"/>
      <c r="X377" s="150"/>
      <c r="Y377" s="150"/>
      <c r="Z377" s="150"/>
      <c r="AA377" s="150"/>
      <c r="AB377" s="150"/>
      <c r="AC377" s="150"/>
      <c r="AD377" s="150"/>
      <c r="AE377" s="150"/>
      <c r="AF377" s="150"/>
      <c r="AG377" s="150"/>
      <c r="AH377" s="150"/>
      <c r="AI377" s="127">
        <v>58000000</v>
      </c>
      <c r="AJ377" s="260">
        <v>32040000</v>
      </c>
      <c r="AK377" s="260"/>
      <c r="AL377" s="262"/>
      <c r="AM377" s="262"/>
      <c r="AN377" s="262"/>
      <c r="AO377" s="150"/>
      <c r="AP377" s="150"/>
      <c r="AQ377" s="150"/>
      <c r="AR377" s="150"/>
      <c r="AS377" s="263"/>
      <c r="AT377" s="263"/>
      <c r="AU377" s="263"/>
      <c r="AV377" s="263"/>
      <c r="AW377" s="263"/>
      <c r="AX377" s="150"/>
      <c r="AY377" s="150"/>
      <c r="AZ377" s="150"/>
      <c r="BA377" s="164"/>
      <c r="BB377" s="164"/>
      <c r="BC377" s="164"/>
      <c r="BD377" s="150"/>
      <c r="BE377" s="150"/>
      <c r="BF377" s="150"/>
      <c r="BG377" s="210"/>
      <c r="BH377" s="210"/>
      <c r="BI377" s="210"/>
      <c r="BJ377" s="151">
        <f t="shared" si="425"/>
        <v>58000000</v>
      </c>
      <c r="BK377" s="151">
        <f t="shared" si="431"/>
        <v>32040000</v>
      </c>
      <c r="BL377" s="151">
        <f t="shared" si="432"/>
        <v>0</v>
      </c>
      <c r="BM377" s="151" t="s">
        <v>1022</v>
      </c>
      <c r="BN377" s="72" t="s">
        <v>1528</v>
      </c>
    </row>
    <row r="378" spans="1:66" ht="150" customHeight="1" x14ac:dyDescent="0.2">
      <c r="A378" s="145"/>
      <c r="B378" s="91"/>
      <c r="C378" s="91"/>
      <c r="D378" s="83"/>
      <c r="E378" s="83"/>
      <c r="F378" s="338"/>
      <c r="G378" s="570"/>
      <c r="H378" s="565" t="s">
        <v>1146</v>
      </c>
      <c r="I378" s="82">
        <v>1905027</v>
      </c>
      <c r="J378" s="850" t="s">
        <v>1154</v>
      </c>
      <c r="K378" s="82">
        <v>1905027</v>
      </c>
      <c r="L378" s="850" t="s">
        <v>1154</v>
      </c>
      <c r="M378" s="415">
        <v>190502700</v>
      </c>
      <c r="N378" s="851" t="s">
        <v>1155</v>
      </c>
      <c r="O378" s="415">
        <v>190502700</v>
      </c>
      <c r="P378" s="851" t="s">
        <v>1155</v>
      </c>
      <c r="Q378" s="252" t="s">
        <v>52</v>
      </c>
      <c r="R378" s="252">
        <v>12</v>
      </c>
      <c r="S378" s="252">
        <v>12</v>
      </c>
      <c r="T378" s="862"/>
      <c r="U378" s="873"/>
      <c r="V378" s="873"/>
      <c r="W378" s="150"/>
      <c r="X378" s="150"/>
      <c r="Y378" s="150"/>
      <c r="Z378" s="150"/>
      <c r="AA378" s="150"/>
      <c r="AB378" s="150"/>
      <c r="AC378" s="150"/>
      <c r="AD378" s="150"/>
      <c r="AE378" s="150"/>
      <c r="AF378" s="150"/>
      <c r="AG378" s="150"/>
      <c r="AH378" s="150"/>
      <c r="AI378" s="127">
        <v>75000000</v>
      </c>
      <c r="AJ378" s="260">
        <v>49580000</v>
      </c>
      <c r="AK378" s="260"/>
      <c r="AL378" s="304"/>
      <c r="AM378" s="304"/>
      <c r="AN378" s="304"/>
      <c r="AO378" s="150"/>
      <c r="AP378" s="150"/>
      <c r="AQ378" s="150"/>
      <c r="AR378" s="150"/>
      <c r="AS378" s="263"/>
      <c r="AT378" s="263"/>
      <c r="AU378" s="263"/>
      <c r="AV378" s="263"/>
      <c r="AW378" s="263"/>
      <c r="AX378" s="150"/>
      <c r="AY378" s="150"/>
      <c r="AZ378" s="150"/>
      <c r="BA378" s="164">
        <f>20000000-13438000-6562000</f>
        <v>0</v>
      </c>
      <c r="BB378" s="164"/>
      <c r="BC378" s="164"/>
      <c r="BD378" s="150"/>
      <c r="BE378" s="150"/>
      <c r="BF378" s="150"/>
      <c r="BG378" s="150"/>
      <c r="BH378" s="150"/>
      <c r="BI378" s="150"/>
      <c r="BJ378" s="151">
        <f t="shared" si="425"/>
        <v>75000000</v>
      </c>
      <c r="BK378" s="151">
        <f t="shared" si="431"/>
        <v>49580000</v>
      </c>
      <c r="BL378" s="151">
        <f t="shared" si="432"/>
        <v>0</v>
      </c>
      <c r="BM378" s="151" t="s">
        <v>1022</v>
      </c>
      <c r="BN378" s="72" t="s">
        <v>1528</v>
      </c>
    </row>
    <row r="379" spans="1:66" ht="108.75" customHeight="1" x14ac:dyDescent="0.2">
      <c r="A379" s="145"/>
      <c r="B379" s="91"/>
      <c r="C379" s="91"/>
      <c r="D379" s="83"/>
      <c r="E379" s="83"/>
      <c r="F379" s="338"/>
      <c r="G379" s="558"/>
      <c r="H379" s="565" t="s">
        <v>1156</v>
      </c>
      <c r="I379" s="82" t="s">
        <v>47</v>
      </c>
      <c r="J379" s="850" t="s">
        <v>1118</v>
      </c>
      <c r="K379" s="82" t="s">
        <v>1157</v>
      </c>
      <c r="L379" s="850" t="s">
        <v>373</v>
      </c>
      <c r="M379" s="82" t="s">
        <v>47</v>
      </c>
      <c r="N379" s="93" t="s">
        <v>1119</v>
      </c>
      <c r="O379" s="415" t="s">
        <v>1158</v>
      </c>
      <c r="P379" s="93" t="s">
        <v>251</v>
      </c>
      <c r="Q379" s="570" t="s">
        <v>68</v>
      </c>
      <c r="R379" s="252">
        <v>4</v>
      </c>
      <c r="S379" s="252">
        <v>1</v>
      </c>
      <c r="T379" s="862" t="s">
        <v>1159</v>
      </c>
      <c r="U379" s="873" t="s">
        <v>1160</v>
      </c>
      <c r="V379" s="873" t="s">
        <v>1161</v>
      </c>
      <c r="W379" s="150"/>
      <c r="X379" s="150"/>
      <c r="Y379" s="150"/>
      <c r="Z379" s="150"/>
      <c r="AA379" s="150"/>
      <c r="AB379" s="150"/>
      <c r="AC379" s="150"/>
      <c r="AD379" s="150"/>
      <c r="AE379" s="150"/>
      <c r="AF379" s="150"/>
      <c r="AG379" s="150"/>
      <c r="AH379" s="150"/>
      <c r="AI379" s="127">
        <v>95000000</v>
      </c>
      <c r="AJ379" s="260">
        <v>49780000</v>
      </c>
      <c r="AK379" s="260">
        <v>7335000</v>
      </c>
      <c r="AL379" s="262"/>
      <c r="AM379" s="262"/>
      <c r="AN379" s="262"/>
      <c r="AO379" s="150"/>
      <c r="AP379" s="150"/>
      <c r="AQ379" s="150"/>
      <c r="AR379" s="150"/>
      <c r="AS379" s="263"/>
      <c r="AT379" s="263"/>
      <c r="AU379" s="263"/>
      <c r="AV379" s="263"/>
      <c r="AW379" s="263"/>
      <c r="AX379" s="150"/>
      <c r="AY379" s="150"/>
      <c r="AZ379" s="150"/>
      <c r="BA379" s="164"/>
      <c r="BB379" s="164"/>
      <c r="BC379" s="164"/>
      <c r="BD379" s="150"/>
      <c r="BE379" s="150"/>
      <c r="BF379" s="150"/>
      <c r="BG379" s="150"/>
      <c r="BH379" s="150"/>
      <c r="BI379" s="150"/>
      <c r="BJ379" s="151">
        <f t="shared" si="425"/>
        <v>95000000</v>
      </c>
      <c r="BK379" s="151">
        <f t="shared" si="431"/>
        <v>49780000</v>
      </c>
      <c r="BL379" s="151">
        <f t="shared" si="432"/>
        <v>7335000</v>
      </c>
      <c r="BM379" s="151" t="s">
        <v>1022</v>
      </c>
      <c r="BN379" s="72" t="s">
        <v>1528</v>
      </c>
    </row>
    <row r="380" spans="1:66" ht="187.5" customHeight="1" x14ac:dyDescent="0.2">
      <c r="A380" s="145"/>
      <c r="B380" s="91"/>
      <c r="C380" s="91"/>
      <c r="D380" s="83"/>
      <c r="E380" s="83"/>
      <c r="F380" s="338"/>
      <c r="G380" s="570"/>
      <c r="H380" s="565" t="s">
        <v>1151</v>
      </c>
      <c r="I380" s="82">
        <v>1905026</v>
      </c>
      <c r="J380" s="850" t="s">
        <v>1152</v>
      </c>
      <c r="K380" s="82">
        <v>1905026</v>
      </c>
      <c r="L380" s="850" t="s">
        <v>1152</v>
      </c>
      <c r="M380" s="415">
        <v>190502600</v>
      </c>
      <c r="N380" s="93" t="s">
        <v>1153</v>
      </c>
      <c r="O380" s="415">
        <v>190502600</v>
      </c>
      <c r="P380" s="93" t="s">
        <v>1153</v>
      </c>
      <c r="Q380" s="570" t="s">
        <v>52</v>
      </c>
      <c r="R380" s="82">
        <v>12</v>
      </c>
      <c r="S380" s="82">
        <v>11</v>
      </c>
      <c r="T380" s="862"/>
      <c r="U380" s="873"/>
      <c r="V380" s="873"/>
      <c r="W380" s="150"/>
      <c r="X380" s="150"/>
      <c r="Y380" s="150"/>
      <c r="Z380" s="150"/>
      <c r="AA380" s="150"/>
      <c r="AB380" s="150"/>
      <c r="AC380" s="150"/>
      <c r="AD380" s="150"/>
      <c r="AE380" s="150"/>
      <c r="AF380" s="150"/>
      <c r="AG380" s="150"/>
      <c r="AH380" s="150"/>
      <c r="AI380" s="150">
        <v>96000000</v>
      </c>
      <c r="AJ380" s="262">
        <v>24740000</v>
      </c>
      <c r="AK380" s="262"/>
      <c r="AL380" s="262"/>
      <c r="AM380" s="262"/>
      <c r="AN380" s="262"/>
      <c r="AO380" s="337"/>
      <c r="AP380" s="337"/>
      <c r="AQ380" s="337"/>
      <c r="AR380" s="150"/>
      <c r="AS380" s="263"/>
      <c r="AT380" s="263"/>
      <c r="AU380" s="263"/>
      <c r="AV380" s="263"/>
      <c r="AW380" s="263"/>
      <c r="AX380" s="150"/>
      <c r="AY380" s="150"/>
      <c r="AZ380" s="150"/>
      <c r="BA380" s="150">
        <v>130000000</v>
      </c>
      <c r="BB380" s="150"/>
      <c r="BC380" s="150"/>
      <c r="BD380" s="150"/>
      <c r="BE380" s="150"/>
      <c r="BF380" s="150"/>
      <c r="BG380" s="127">
        <v>210707393</v>
      </c>
      <c r="BH380" s="127">
        <v>82601809</v>
      </c>
      <c r="BI380" s="127">
        <v>82601809</v>
      </c>
      <c r="BJ380" s="151">
        <f t="shared" si="425"/>
        <v>436707393</v>
      </c>
      <c r="BK380" s="151">
        <f t="shared" si="431"/>
        <v>107341809</v>
      </c>
      <c r="BL380" s="151">
        <f t="shared" si="432"/>
        <v>82601809</v>
      </c>
      <c r="BM380" s="151" t="s">
        <v>1022</v>
      </c>
      <c r="BN380" s="305" t="s">
        <v>1528</v>
      </c>
    </row>
    <row r="381" spans="1:66" ht="79.5" customHeight="1" x14ac:dyDescent="0.2">
      <c r="A381" s="145"/>
      <c r="B381" s="91"/>
      <c r="C381" s="91"/>
      <c r="D381" s="83"/>
      <c r="E381" s="83"/>
      <c r="F381" s="338"/>
      <c r="G381" s="570"/>
      <c r="H381" s="565" t="s">
        <v>1029</v>
      </c>
      <c r="I381" s="82">
        <v>1905014</v>
      </c>
      <c r="J381" s="850" t="s">
        <v>96</v>
      </c>
      <c r="K381" s="82">
        <v>1905014</v>
      </c>
      <c r="L381" s="850" t="s">
        <v>96</v>
      </c>
      <c r="M381" s="82">
        <v>190501400</v>
      </c>
      <c r="N381" s="851" t="s">
        <v>553</v>
      </c>
      <c r="O381" s="82">
        <v>190501400</v>
      </c>
      <c r="P381" s="851" t="s">
        <v>553</v>
      </c>
      <c r="Q381" s="252" t="s">
        <v>52</v>
      </c>
      <c r="R381" s="252">
        <v>12</v>
      </c>
      <c r="S381" s="252">
        <v>12</v>
      </c>
      <c r="T381" s="862" t="s">
        <v>1162</v>
      </c>
      <c r="U381" s="873" t="s">
        <v>1163</v>
      </c>
      <c r="V381" s="873" t="s">
        <v>1164</v>
      </c>
      <c r="W381" s="150"/>
      <c r="X381" s="150"/>
      <c r="Y381" s="150"/>
      <c r="Z381" s="150"/>
      <c r="AA381" s="150"/>
      <c r="AB381" s="150"/>
      <c r="AC381" s="150"/>
      <c r="AD381" s="150"/>
      <c r="AE381" s="150"/>
      <c r="AF381" s="150"/>
      <c r="AG381" s="150"/>
      <c r="AH381" s="150"/>
      <c r="AI381" s="150">
        <v>43000000</v>
      </c>
      <c r="AJ381" s="262">
        <v>42988636</v>
      </c>
      <c r="AK381" s="262">
        <v>13395000</v>
      </c>
      <c r="AL381" s="262"/>
      <c r="AM381" s="262"/>
      <c r="AN381" s="262"/>
      <c r="AO381" s="150"/>
      <c r="AP381" s="150"/>
      <c r="AQ381" s="150"/>
      <c r="AR381" s="150"/>
      <c r="AS381" s="263"/>
      <c r="AT381" s="263"/>
      <c r="AU381" s="263"/>
      <c r="AV381" s="263"/>
      <c r="AW381" s="263"/>
      <c r="AX381" s="150"/>
      <c r="AY381" s="150"/>
      <c r="AZ381" s="150"/>
      <c r="BA381" s="161"/>
      <c r="BB381" s="161"/>
      <c r="BC381" s="161"/>
      <c r="BD381" s="150"/>
      <c r="BE381" s="150"/>
      <c r="BF381" s="150"/>
      <c r="BG381" s="150"/>
      <c r="BH381" s="150"/>
      <c r="BI381" s="150"/>
      <c r="BJ381" s="151">
        <f t="shared" si="425"/>
        <v>43000000</v>
      </c>
      <c r="BK381" s="151">
        <f t="shared" si="431"/>
        <v>42988636</v>
      </c>
      <c r="BL381" s="151">
        <f t="shared" si="432"/>
        <v>13395000</v>
      </c>
      <c r="BM381" s="151" t="s">
        <v>1022</v>
      </c>
      <c r="BN381" s="72" t="s">
        <v>1528</v>
      </c>
    </row>
    <row r="382" spans="1:66" ht="166.5" customHeight="1" x14ac:dyDescent="0.2">
      <c r="A382" s="145"/>
      <c r="B382" s="91"/>
      <c r="C382" s="91"/>
      <c r="D382" s="83"/>
      <c r="E382" s="83"/>
      <c r="F382" s="338"/>
      <c r="G382" s="570"/>
      <c r="H382" s="565" t="s">
        <v>1151</v>
      </c>
      <c r="I382" s="415">
        <v>1905026</v>
      </c>
      <c r="J382" s="850" t="s">
        <v>1165</v>
      </c>
      <c r="K382" s="82">
        <v>1905026</v>
      </c>
      <c r="L382" s="850" t="s">
        <v>1165</v>
      </c>
      <c r="M382" s="415">
        <v>190502600</v>
      </c>
      <c r="N382" s="93" t="s">
        <v>1153</v>
      </c>
      <c r="O382" s="415">
        <v>190502600</v>
      </c>
      <c r="P382" s="93" t="s">
        <v>1153</v>
      </c>
      <c r="Q382" s="570" t="s">
        <v>52</v>
      </c>
      <c r="R382" s="82">
        <v>12</v>
      </c>
      <c r="S382" s="82">
        <v>0</v>
      </c>
      <c r="T382" s="862"/>
      <c r="U382" s="873"/>
      <c r="V382" s="873"/>
      <c r="W382" s="150"/>
      <c r="X382" s="150"/>
      <c r="Y382" s="150"/>
      <c r="Z382" s="150"/>
      <c r="AA382" s="150"/>
      <c r="AB382" s="150"/>
      <c r="AC382" s="150"/>
      <c r="AD382" s="150"/>
      <c r="AE382" s="150"/>
      <c r="AF382" s="150"/>
      <c r="AG382" s="150"/>
      <c r="AH382" s="150"/>
      <c r="AI382" s="150"/>
      <c r="AJ382" s="262"/>
      <c r="AK382" s="262"/>
      <c r="AL382" s="262"/>
      <c r="AM382" s="262"/>
      <c r="AN382" s="262"/>
      <c r="AO382" s="150"/>
      <c r="AP382" s="150"/>
      <c r="AQ382" s="150"/>
      <c r="AR382" s="150"/>
      <c r="AS382" s="263"/>
      <c r="AT382" s="263"/>
      <c r="AU382" s="263"/>
      <c r="AV382" s="263"/>
      <c r="AW382" s="263"/>
      <c r="AX382" s="150"/>
      <c r="AY382" s="150"/>
      <c r="AZ382" s="150"/>
      <c r="BA382" s="161"/>
      <c r="BB382" s="161"/>
      <c r="BC382" s="161"/>
      <c r="BD382" s="150"/>
      <c r="BE382" s="150"/>
      <c r="BF382" s="150"/>
      <c r="BG382" s="164">
        <v>182146964</v>
      </c>
      <c r="BH382" s="164"/>
      <c r="BI382" s="164"/>
      <c r="BJ382" s="151">
        <f t="shared" si="425"/>
        <v>182146964</v>
      </c>
      <c r="BK382" s="151">
        <f t="shared" si="431"/>
        <v>0</v>
      </c>
      <c r="BL382" s="151">
        <f t="shared" si="432"/>
        <v>0</v>
      </c>
      <c r="BM382" s="151" t="s">
        <v>1022</v>
      </c>
      <c r="BN382" s="72" t="s">
        <v>1528</v>
      </c>
    </row>
    <row r="383" spans="1:66" ht="188.25" customHeight="1" x14ac:dyDescent="0.2">
      <c r="A383" s="145"/>
      <c r="B383" s="91"/>
      <c r="C383" s="91"/>
      <c r="D383" s="83"/>
      <c r="E383" s="83"/>
      <c r="F383" s="338"/>
      <c r="G383" s="95"/>
      <c r="H383" s="565" t="s">
        <v>1151</v>
      </c>
      <c r="I383" s="82">
        <v>1905026</v>
      </c>
      <c r="J383" s="850" t="s">
        <v>1152</v>
      </c>
      <c r="K383" s="82">
        <v>1905026</v>
      </c>
      <c r="L383" s="850" t="s">
        <v>1152</v>
      </c>
      <c r="M383" s="415">
        <v>190502600</v>
      </c>
      <c r="N383" s="93" t="s">
        <v>1153</v>
      </c>
      <c r="O383" s="415">
        <v>190502600</v>
      </c>
      <c r="P383" s="93" t="s">
        <v>1153</v>
      </c>
      <c r="Q383" s="570" t="s">
        <v>52</v>
      </c>
      <c r="R383" s="82">
        <v>12</v>
      </c>
      <c r="S383" s="82">
        <v>12</v>
      </c>
      <c r="T383" s="570" t="s">
        <v>1166</v>
      </c>
      <c r="U383" s="561" t="s">
        <v>1167</v>
      </c>
      <c r="V383" s="561" t="s">
        <v>1168</v>
      </c>
      <c r="W383" s="150"/>
      <c r="X383" s="150"/>
      <c r="Y383" s="150"/>
      <c r="Z383" s="150"/>
      <c r="AA383" s="150"/>
      <c r="AB383" s="150"/>
      <c r="AC383" s="150"/>
      <c r="AD383" s="150"/>
      <c r="AE383" s="150"/>
      <c r="AF383" s="150"/>
      <c r="AG383" s="150"/>
      <c r="AH383" s="150"/>
      <c r="AI383" s="150"/>
      <c r="AJ383" s="262"/>
      <c r="AK383" s="262"/>
      <c r="AL383" s="433"/>
      <c r="AM383" s="433"/>
      <c r="AN383" s="433"/>
      <c r="AO383" s="150"/>
      <c r="AP383" s="150"/>
      <c r="AQ383" s="150"/>
      <c r="AR383" s="150"/>
      <c r="AS383" s="263"/>
      <c r="AT383" s="263"/>
      <c r="AU383" s="263"/>
      <c r="AV383" s="263"/>
      <c r="AW383" s="263"/>
      <c r="AX383" s="150"/>
      <c r="AY383" s="150"/>
      <c r="AZ383" s="150"/>
      <c r="BA383" s="161">
        <f>500000000-398675151+36000000+100000000+10000000+252675151+600000000</f>
        <v>1100000000</v>
      </c>
      <c r="BB383" s="161">
        <v>140385000</v>
      </c>
      <c r="BC383" s="161">
        <v>3300000</v>
      </c>
      <c r="BD383" s="150"/>
      <c r="BE383" s="150"/>
      <c r="BF383" s="150"/>
      <c r="BG383" s="150">
        <v>0</v>
      </c>
      <c r="BH383" s="150"/>
      <c r="BI383" s="150"/>
      <c r="BJ383" s="151">
        <f t="shared" si="425"/>
        <v>1100000000</v>
      </c>
      <c r="BK383" s="151">
        <f t="shared" si="431"/>
        <v>140385000</v>
      </c>
      <c r="BL383" s="151">
        <f t="shared" si="432"/>
        <v>3300000</v>
      </c>
      <c r="BM383" s="151" t="s">
        <v>1022</v>
      </c>
      <c r="BN383" s="72" t="s">
        <v>1528</v>
      </c>
    </row>
    <row r="384" spans="1:66" ht="120" customHeight="1" x14ac:dyDescent="0.2">
      <c r="A384" s="145"/>
      <c r="B384" s="91"/>
      <c r="C384" s="91"/>
      <c r="D384" s="83"/>
      <c r="E384" s="83"/>
      <c r="F384" s="338"/>
      <c r="G384" s="570"/>
      <c r="H384" s="565" t="s">
        <v>1038</v>
      </c>
      <c r="I384" s="82">
        <v>1905029</v>
      </c>
      <c r="J384" s="850" t="s">
        <v>1169</v>
      </c>
      <c r="K384" s="82">
        <v>1905030</v>
      </c>
      <c r="L384" s="850" t="s">
        <v>1170</v>
      </c>
      <c r="M384" s="461">
        <v>190502900</v>
      </c>
      <c r="N384" s="93" t="s">
        <v>1171</v>
      </c>
      <c r="O384" s="415">
        <v>190503000</v>
      </c>
      <c r="P384" s="93" t="s">
        <v>1171</v>
      </c>
      <c r="Q384" s="252" t="s">
        <v>52</v>
      </c>
      <c r="R384" s="252">
        <v>60</v>
      </c>
      <c r="S384" s="252">
        <v>15</v>
      </c>
      <c r="T384" s="570" t="s">
        <v>1172</v>
      </c>
      <c r="U384" s="561" t="s">
        <v>1173</v>
      </c>
      <c r="V384" s="561" t="s">
        <v>1174</v>
      </c>
      <c r="W384" s="150"/>
      <c r="X384" s="150"/>
      <c r="Y384" s="150"/>
      <c r="Z384" s="150"/>
      <c r="AA384" s="150"/>
      <c r="AB384" s="150"/>
      <c r="AC384" s="150"/>
      <c r="AD384" s="150"/>
      <c r="AE384" s="150"/>
      <c r="AF384" s="150"/>
      <c r="AG384" s="150"/>
      <c r="AH384" s="150"/>
      <c r="AI384" s="150">
        <v>20000000</v>
      </c>
      <c r="AJ384" s="262">
        <v>19906500</v>
      </c>
      <c r="AK384" s="262">
        <v>5770000</v>
      </c>
      <c r="AL384" s="262"/>
      <c r="AM384" s="262"/>
      <c r="AN384" s="262"/>
      <c r="AO384" s="150"/>
      <c r="AP384" s="150"/>
      <c r="AQ384" s="150"/>
      <c r="AR384" s="150"/>
      <c r="AS384" s="263"/>
      <c r="AT384" s="263"/>
      <c r="AU384" s="263"/>
      <c r="AV384" s="263"/>
      <c r="AW384" s="263"/>
      <c r="AX384" s="150"/>
      <c r="AY384" s="150"/>
      <c r="AZ384" s="150"/>
      <c r="BA384" s="161"/>
      <c r="BB384" s="161"/>
      <c r="BC384" s="161"/>
      <c r="BD384" s="150"/>
      <c r="BE384" s="150"/>
      <c r="BF384" s="150"/>
      <c r="BG384" s="150"/>
      <c r="BH384" s="150"/>
      <c r="BI384" s="150"/>
      <c r="BJ384" s="151">
        <f t="shared" si="425"/>
        <v>20000000</v>
      </c>
      <c r="BK384" s="151">
        <f t="shared" si="431"/>
        <v>19906500</v>
      </c>
      <c r="BL384" s="151">
        <f t="shared" si="432"/>
        <v>5770000</v>
      </c>
      <c r="BM384" s="151" t="s">
        <v>1022</v>
      </c>
      <c r="BN384" s="72" t="s">
        <v>1528</v>
      </c>
    </row>
    <row r="385" spans="1:66" ht="93.75" customHeight="1" x14ac:dyDescent="0.2">
      <c r="A385" s="145"/>
      <c r="B385" s="91"/>
      <c r="C385" s="91"/>
      <c r="D385" s="83"/>
      <c r="E385" s="83"/>
      <c r="F385" s="338"/>
      <c r="G385" s="570"/>
      <c r="H385" s="565" t="s">
        <v>1078</v>
      </c>
      <c r="I385" s="82">
        <v>1905025</v>
      </c>
      <c r="J385" s="850" t="s">
        <v>1175</v>
      </c>
      <c r="K385" s="82">
        <v>1905025</v>
      </c>
      <c r="L385" s="850" t="s">
        <v>1175</v>
      </c>
      <c r="M385" s="415">
        <v>190502500</v>
      </c>
      <c r="N385" s="93" t="s">
        <v>1176</v>
      </c>
      <c r="O385" s="415">
        <v>190502500</v>
      </c>
      <c r="P385" s="93" t="s">
        <v>1176</v>
      </c>
      <c r="Q385" s="252" t="s">
        <v>52</v>
      </c>
      <c r="R385" s="252">
        <v>12</v>
      </c>
      <c r="S385" s="252">
        <v>4</v>
      </c>
      <c r="T385" s="570" t="s">
        <v>1177</v>
      </c>
      <c r="U385" s="561" t="s">
        <v>1178</v>
      </c>
      <c r="V385" s="561" t="s">
        <v>1179</v>
      </c>
      <c r="W385" s="150"/>
      <c r="X385" s="150"/>
      <c r="Y385" s="150"/>
      <c r="Z385" s="150"/>
      <c r="AA385" s="150"/>
      <c r="AB385" s="150"/>
      <c r="AC385" s="150"/>
      <c r="AD385" s="150"/>
      <c r="AE385" s="150"/>
      <c r="AF385" s="150"/>
      <c r="AG385" s="150"/>
      <c r="AH385" s="150"/>
      <c r="AI385" s="150">
        <v>84414100</v>
      </c>
      <c r="AJ385" s="262">
        <v>46160000</v>
      </c>
      <c r="AK385" s="262">
        <v>8655000</v>
      </c>
      <c r="AL385" s="262"/>
      <c r="AM385" s="262"/>
      <c r="AN385" s="262"/>
      <c r="AO385" s="150"/>
      <c r="AP385" s="150"/>
      <c r="AQ385" s="150"/>
      <c r="AR385" s="150"/>
      <c r="AS385" s="263"/>
      <c r="AT385" s="263"/>
      <c r="AU385" s="263"/>
      <c r="AV385" s="263"/>
      <c r="AW385" s="263"/>
      <c r="AX385" s="150"/>
      <c r="AY385" s="150"/>
      <c r="AZ385" s="150"/>
      <c r="BA385" s="161"/>
      <c r="BB385" s="161"/>
      <c r="BC385" s="161"/>
      <c r="BD385" s="150"/>
      <c r="BE385" s="150"/>
      <c r="BF385" s="150"/>
      <c r="BG385" s="150"/>
      <c r="BH385" s="150"/>
      <c r="BI385" s="150"/>
      <c r="BJ385" s="151">
        <f t="shared" si="425"/>
        <v>84414100</v>
      </c>
      <c r="BK385" s="151">
        <f t="shared" si="431"/>
        <v>46160000</v>
      </c>
      <c r="BL385" s="151">
        <f t="shared" si="432"/>
        <v>8655000</v>
      </c>
      <c r="BM385" s="151" t="s">
        <v>1022</v>
      </c>
      <c r="BN385" s="72" t="s">
        <v>1528</v>
      </c>
    </row>
    <row r="386" spans="1:66" s="44" customFormat="1" ht="86.25" customHeight="1" x14ac:dyDescent="0.2">
      <c r="A386" s="337"/>
      <c r="B386" s="83"/>
      <c r="C386" s="83"/>
      <c r="D386" s="83"/>
      <c r="E386" s="83"/>
      <c r="F386" s="338"/>
      <c r="G386" s="95"/>
      <c r="H386" s="565" t="s">
        <v>1042</v>
      </c>
      <c r="I386" s="82">
        <v>1905015</v>
      </c>
      <c r="J386" s="850" t="s">
        <v>249</v>
      </c>
      <c r="K386" s="82">
        <v>1905015</v>
      </c>
      <c r="L386" s="850" t="s">
        <v>249</v>
      </c>
      <c r="M386" s="82">
        <v>190501503</v>
      </c>
      <c r="N386" s="851" t="s">
        <v>1180</v>
      </c>
      <c r="O386" s="82">
        <v>190501503</v>
      </c>
      <c r="P386" s="851" t="s">
        <v>1180</v>
      </c>
      <c r="Q386" s="252" t="s">
        <v>52</v>
      </c>
      <c r="R386" s="252">
        <v>15</v>
      </c>
      <c r="S386" s="252">
        <v>5</v>
      </c>
      <c r="T386" s="570" t="s">
        <v>1181</v>
      </c>
      <c r="U386" s="559" t="s">
        <v>1182</v>
      </c>
      <c r="V386" s="559" t="s">
        <v>1183</v>
      </c>
      <c r="W386" s="150"/>
      <c r="X386" s="150"/>
      <c r="Y386" s="150"/>
      <c r="Z386" s="150"/>
      <c r="AA386" s="150"/>
      <c r="AB386" s="150"/>
      <c r="AC386" s="150"/>
      <c r="AD386" s="150"/>
      <c r="AE386" s="150"/>
      <c r="AF386" s="150">
        <f>100000000-100000000</f>
        <v>0</v>
      </c>
      <c r="AG386" s="150"/>
      <c r="AH386" s="150"/>
      <c r="AI386" s="207">
        <v>320000000</v>
      </c>
      <c r="AJ386" s="297">
        <v>204180000</v>
      </c>
      <c r="AK386" s="297">
        <v>21610000</v>
      </c>
      <c r="AL386" s="262"/>
      <c r="AM386" s="262"/>
      <c r="AN386" s="262"/>
      <c r="AO386" s="150"/>
      <c r="AP386" s="150"/>
      <c r="AQ386" s="150"/>
      <c r="AR386" s="150"/>
      <c r="AS386" s="263"/>
      <c r="AT386" s="263"/>
      <c r="AU386" s="263"/>
      <c r="AV386" s="263"/>
      <c r="AW386" s="263"/>
      <c r="AX386" s="150"/>
      <c r="AY386" s="150"/>
      <c r="AZ386" s="150"/>
      <c r="BA386" s="161"/>
      <c r="BB386" s="161"/>
      <c r="BC386" s="161"/>
      <c r="BD386" s="150"/>
      <c r="BE386" s="150"/>
      <c r="BF386" s="150"/>
      <c r="BG386" s="150"/>
      <c r="BH386" s="150"/>
      <c r="BI386" s="150"/>
      <c r="BJ386" s="339">
        <f t="shared" si="425"/>
        <v>320000000</v>
      </c>
      <c r="BK386" s="339">
        <f t="shared" si="431"/>
        <v>204180000</v>
      </c>
      <c r="BL386" s="339">
        <f t="shared" si="432"/>
        <v>21610000</v>
      </c>
      <c r="BM386" s="339" t="s">
        <v>1022</v>
      </c>
      <c r="BN386" s="341" t="s">
        <v>1528</v>
      </c>
    </row>
    <row r="387" spans="1:66" ht="63.75" customHeight="1" x14ac:dyDescent="0.2">
      <c r="A387" s="145"/>
      <c r="B387" s="91"/>
      <c r="C387" s="91"/>
      <c r="D387" s="83"/>
      <c r="E387" s="83"/>
      <c r="F387" s="82"/>
      <c r="G387" s="570"/>
      <c r="H387" s="565" t="s">
        <v>1184</v>
      </c>
      <c r="I387" s="82" t="s">
        <v>47</v>
      </c>
      <c r="J387" s="850" t="s">
        <v>1185</v>
      </c>
      <c r="K387" s="82" t="s">
        <v>1186</v>
      </c>
      <c r="L387" s="850" t="s">
        <v>1187</v>
      </c>
      <c r="M387" s="82" t="s">
        <v>47</v>
      </c>
      <c r="N387" s="851" t="s">
        <v>1188</v>
      </c>
      <c r="O387" s="82" t="s">
        <v>1189</v>
      </c>
      <c r="P387" s="851" t="s">
        <v>1190</v>
      </c>
      <c r="Q387" s="252" t="s">
        <v>52</v>
      </c>
      <c r="R387" s="252">
        <v>1</v>
      </c>
      <c r="S387" s="252">
        <v>1</v>
      </c>
      <c r="T387" s="570" t="s">
        <v>1191</v>
      </c>
      <c r="U387" s="561" t="s">
        <v>1192</v>
      </c>
      <c r="V387" s="561" t="s">
        <v>1193</v>
      </c>
      <c r="W387" s="150"/>
      <c r="X387" s="150"/>
      <c r="Y387" s="150"/>
      <c r="Z387" s="150"/>
      <c r="AA387" s="150"/>
      <c r="AB387" s="150"/>
      <c r="AC387" s="150"/>
      <c r="AD387" s="150"/>
      <c r="AE387" s="150"/>
      <c r="AF387" s="150"/>
      <c r="AG387" s="150"/>
      <c r="AH387" s="150"/>
      <c r="AI387" s="150"/>
      <c r="AJ387" s="262"/>
      <c r="AK387" s="262"/>
      <c r="AL387" s="306"/>
      <c r="AM387" s="306"/>
      <c r="AN387" s="306"/>
      <c r="AO387" s="150"/>
      <c r="AP387" s="150"/>
      <c r="AQ387" s="150"/>
      <c r="AR387" s="150"/>
      <c r="AS387" s="263"/>
      <c r="AT387" s="263"/>
      <c r="AU387" s="263"/>
      <c r="AV387" s="263"/>
      <c r="AW387" s="263"/>
      <c r="AX387" s="150"/>
      <c r="AY387" s="150"/>
      <c r="AZ387" s="150"/>
      <c r="BA387" s="161">
        <f>300000000+21904376</f>
        <v>321904376</v>
      </c>
      <c r="BB387" s="161">
        <v>150924376</v>
      </c>
      <c r="BC387" s="161">
        <v>26689376</v>
      </c>
      <c r="BD387" s="150"/>
      <c r="BE387" s="150"/>
      <c r="BF387" s="150"/>
      <c r="BG387" s="150"/>
      <c r="BH387" s="150"/>
      <c r="BI387" s="150"/>
      <c r="BJ387" s="151">
        <f t="shared" si="425"/>
        <v>321904376</v>
      </c>
      <c r="BK387" s="151">
        <f t="shared" si="431"/>
        <v>150924376</v>
      </c>
      <c r="BL387" s="151">
        <f t="shared" si="432"/>
        <v>26689376</v>
      </c>
      <c r="BM387" s="151" t="s">
        <v>1022</v>
      </c>
      <c r="BN387" s="72" t="s">
        <v>1528</v>
      </c>
    </row>
    <row r="388" spans="1:66" ht="88.5" customHeight="1" x14ac:dyDescent="0.2">
      <c r="A388" s="145"/>
      <c r="B388" s="91"/>
      <c r="C388" s="91"/>
      <c r="D388" s="83"/>
      <c r="E388" s="83"/>
      <c r="F388" s="338"/>
      <c r="G388" s="570"/>
      <c r="H388" s="565" t="s">
        <v>1023</v>
      </c>
      <c r="I388" s="342">
        <v>1905031</v>
      </c>
      <c r="J388" s="850" t="s">
        <v>1097</v>
      </c>
      <c r="K388" s="342">
        <v>1905031</v>
      </c>
      <c r="L388" s="850" t="s">
        <v>1097</v>
      </c>
      <c r="M388" s="342">
        <v>190503100</v>
      </c>
      <c r="N388" s="851" t="s">
        <v>1098</v>
      </c>
      <c r="O388" s="82">
        <v>190503100</v>
      </c>
      <c r="P388" s="851" t="s">
        <v>1098</v>
      </c>
      <c r="Q388" s="252" t="s">
        <v>52</v>
      </c>
      <c r="R388" s="252">
        <v>12</v>
      </c>
      <c r="S388" s="252">
        <v>11</v>
      </c>
      <c r="T388" s="570" t="s">
        <v>1194</v>
      </c>
      <c r="U388" s="561" t="s">
        <v>1195</v>
      </c>
      <c r="V388" s="561" t="s">
        <v>1196</v>
      </c>
      <c r="W388" s="150"/>
      <c r="X388" s="150"/>
      <c r="Y388" s="150"/>
      <c r="Z388" s="150"/>
      <c r="AA388" s="150"/>
      <c r="AB388" s="150"/>
      <c r="AC388" s="150"/>
      <c r="AD388" s="150"/>
      <c r="AE388" s="150"/>
      <c r="AF388" s="150"/>
      <c r="AG388" s="150"/>
      <c r="AH388" s="150"/>
      <c r="AI388" s="150">
        <f>1263850000+433334276.49</f>
        <v>1697184276.49</v>
      </c>
      <c r="AJ388" s="262">
        <v>615028900</v>
      </c>
      <c r="AK388" s="262">
        <v>9895000</v>
      </c>
      <c r="AL388" s="262"/>
      <c r="AM388" s="262"/>
      <c r="AN388" s="262"/>
      <c r="AO388" s="150"/>
      <c r="AP388" s="150"/>
      <c r="AQ388" s="150"/>
      <c r="AR388" s="150"/>
      <c r="AS388" s="263"/>
      <c r="AT388" s="263"/>
      <c r="AU388" s="263"/>
      <c r="AV388" s="263"/>
      <c r="AW388" s="263"/>
      <c r="AX388" s="150"/>
      <c r="AY388" s="150"/>
      <c r="AZ388" s="150"/>
      <c r="BA388" s="161"/>
      <c r="BB388" s="161"/>
      <c r="BC388" s="161"/>
      <c r="BD388" s="150"/>
      <c r="BE388" s="150"/>
      <c r="BF388" s="150"/>
      <c r="BG388" s="150"/>
      <c r="BH388" s="150"/>
      <c r="BI388" s="150"/>
      <c r="BJ388" s="151">
        <f t="shared" si="425"/>
        <v>1697184276.49</v>
      </c>
      <c r="BK388" s="151">
        <f t="shared" si="431"/>
        <v>615028900</v>
      </c>
      <c r="BL388" s="151">
        <f t="shared" si="432"/>
        <v>9895000</v>
      </c>
      <c r="BM388" s="151" t="s">
        <v>1022</v>
      </c>
      <c r="BN388" s="72" t="s">
        <v>1528</v>
      </c>
    </row>
    <row r="389" spans="1:66" ht="24" customHeight="1" x14ac:dyDescent="0.2">
      <c r="A389" s="145"/>
      <c r="B389" s="91"/>
      <c r="C389" s="91"/>
      <c r="D389" s="91"/>
      <c r="E389" s="91"/>
      <c r="F389" s="154">
        <v>1906</v>
      </c>
      <c r="G389" s="81" t="s">
        <v>162</v>
      </c>
      <c r="H389" s="194"/>
      <c r="I389" s="194"/>
      <c r="J389" s="693"/>
      <c r="K389" s="726"/>
      <c r="L389" s="693"/>
      <c r="M389" s="693"/>
      <c r="N389" s="688"/>
      <c r="O389" s="689"/>
      <c r="P389" s="688"/>
      <c r="Q389" s="727"/>
      <c r="R389" s="689"/>
      <c r="S389" s="689"/>
      <c r="T389" s="728"/>
      <c r="U389" s="147"/>
      <c r="V389" s="147"/>
      <c r="W389" s="148">
        <f t="shared" ref="W389:BD389" si="433">SUM(W390:W395)</f>
        <v>0</v>
      </c>
      <c r="X389" s="148"/>
      <c r="Y389" s="148"/>
      <c r="Z389" s="148">
        <f t="shared" si="433"/>
        <v>0</v>
      </c>
      <c r="AA389" s="148"/>
      <c r="AB389" s="148"/>
      <c r="AC389" s="148">
        <f t="shared" si="433"/>
        <v>0</v>
      </c>
      <c r="AD389" s="148"/>
      <c r="AE389" s="148"/>
      <c r="AF389" s="148">
        <f t="shared" si="433"/>
        <v>400000000</v>
      </c>
      <c r="AG389" s="148">
        <f t="shared" si="433"/>
        <v>0</v>
      </c>
      <c r="AH389" s="148">
        <f t="shared" si="433"/>
        <v>0</v>
      </c>
      <c r="AI389" s="148">
        <f>SUM(AI390:AI399)</f>
        <v>2224028029</v>
      </c>
      <c r="AJ389" s="148">
        <f t="shared" ref="AJ389:AK389" si="434">SUM(AJ390:AJ399)</f>
        <v>0</v>
      </c>
      <c r="AK389" s="148">
        <f t="shared" si="434"/>
        <v>0</v>
      </c>
      <c r="AL389" s="307">
        <f>SUM(AL390:AL399)</f>
        <v>35151756555</v>
      </c>
      <c r="AM389" s="307">
        <f t="shared" ref="AM389:AN389" si="435">SUM(AM390:AM399)</f>
        <v>31351259122</v>
      </c>
      <c r="AN389" s="307">
        <f t="shared" si="435"/>
        <v>9088220335.3199997</v>
      </c>
      <c r="AO389" s="148">
        <f t="shared" si="433"/>
        <v>0</v>
      </c>
      <c r="AP389" s="148"/>
      <c r="AQ389" s="148"/>
      <c r="AR389" s="148">
        <f t="shared" si="433"/>
        <v>0</v>
      </c>
      <c r="AS389" s="308"/>
      <c r="AT389" s="308"/>
      <c r="AU389" s="308">
        <f t="shared" si="433"/>
        <v>0</v>
      </c>
      <c r="AV389" s="308"/>
      <c r="AW389" s="308"/>
      <c r="AX389" s="148">
        <f t="shared" si="433"/>
        <v>0</v>
      </c>
      <c r="AY389" s="148"/>
      <c r="AZ389" s="148"/>
      <c r="BA389" s="148">
        <f>SUM(BA390:BA399)</f>
        <v>230390000</v>
      </c>
      <c r="BB389" s="148">
        <f t="shared" ref="BB389:BC389" si="436">SUM(BB390:BB399)</f>
        <v>86700000</v>
      </c>
      <c r="BC389" s="148">
        <f t="shared" si="436"/>
        <v>12655000</v>
      </c>
      <c r="BD389" s="148">
        <f t="shared" si="433"/>
        <v>0</v>
      </c>
      <c r="BE389" s="148"/>
      <c r="BF389" s="148"/>
      <c r="BG389" s="148">
        <f>SUM(BG390:BG399)</f>
        <v>1361612640</v>
      </c>
      <c r="BH389" s="148">
        <f t="shared" ref="BH389:BI389" si="437">SUM(BH390:BH399)</f>
        <v>0</v>
      </c>
      <c r="BI389" s="148">
        <f t="shared" si="437"/>
        <v>0</v>
      </c>
      <c r="BJ389" s="148">
        <f>SUM(BJ390:BJ399)</f>
        <v>39367787224</v>
      </c>
      <c r="BK389" s="148">
        <f t="shared" ref="BK389:BL389" si="438">SUM(BK390:BK399)</f>
        <v>31437959122</v>
      </c>
      <c r="BL389" s="148">
        <f t="shared" si="438"/>
        <v>9100875335.3199997</v>
      </c>
      <c r="BM389" s="148"/>
      <c r="BN389" s="156"/>
    </row>
    <row r="390" spans="1:66" ht="93" customHeight="1" x14ac:dyDescent="0.2">
      <c r="A390" s="145"/>
      <c r="B390" s="91"/>
      <c r="C390" s="91"/>
      <c r="D390" s="91"/>
      <c r="E390" s="91"/>
      <c r="F390" s="87"/>
      <c r="G390" s="569"/>
      <c r="H390" s="562" t="s">
        <v>1078</v>
      </c>
      <c r="I390" s="82">
        <v>1906032</v>
      </c>
      <c r="J390" s="850" t="s">
        <v>1197</v>
      </c>
      <c r="K390" s="82">
        <v>1906032</v>
      </c>
      <c r="L390" s="850" t="s">
        <v>1197</v>
      </c>
      <c r="M390" s="415">
        <v>190603200</v>
      </c>
      <c r="N390" s="851" t="s">
        <v>1198</v>
      </c>
      <c r="O390" s="415">
        <v>190603200</v>
      </c>
      <c r="P390" s="851" t="s">
        <v>1198</v>
      </c>
      <c r="Q390" s="195" t="s">
        <v>68</v>
      </c>
      <c r="R390" s="125">
        <v>1500</v>
      </c>
      <c r="S390" s="125">
        <v>8820</v>
      </c>
      <c r="T390" s="862" t="s">
        <v>1199</v>
      </c>
      <c r="U390" s="873" t="s">
        <v>1200</v>
      </c>
      <c r="V390" s="873" t="s">
        <v>1201</v>
      </c>
      <c r="W390" s="150"/>
      <c r="X390" s="150"/>
      <c r="Y390" s="150"/>
      <c r="Z390" s="150"/>
      <c r="AA390" s="150"/>
      <c r="AB390" s="150"/>
      <c r="AC390" s="150"/>
      <c r="AD390" s="150"/>
      <c r="AE390" s="150"/>
      <c r="AF390" s="150"/>
      <c r="AG390" s="150"/>
      <c r="AH390" s="150"/>
      <c r="AI390" s="150"/>
      <c r="AJ390" s="262"/>
      <c r="AK390" s="262"/>
      <c r="AL390" s="309">
        <v>0</v>
      </c>
      <c r="AM390" s="309"/>
      <c r="AN390" s="309"/>
      <c r="AO390" s="150"/>
      <c r="AP390" s="150"/>
      <c r="AQ390" s="150"/>
      <c r="AR390" s="150"/>
      <c r="AS390" s="263"/>
      <c r="AT390" s="263"/>
      <c r="AU390" s="263"/>
      <c r="AV390" s="263"/>
      <c r="AW390" s="263"/>
      <c r="AX390" s="150"/>
      <c r="AY390" s="150"/>
      <c r="AZ390" s="150"/>
      <c r="BA390" s="161"/>
      <c r="BB390" s="161"/>
      <c r="BC390" s="161"/>
      <c r="BD390" s="150"/>
      <c r="BE390" s="150"/>
      <c r="BF390" s="150"/>
      <c r="BG390" s="150"/>
      <c r="BH390" s="150"/>
      <c r="BI390" s="150"/>
      <c r="BJ390" s="151">
        <f t="shared" si="425"/>
        <v>0</v>
      </c>
      <c r="BK390" s="151">
        <f t="shared" ref="BK390:BK399" si="439">+X390+AA390+AD390+AG390+AJ390+AM390+AP390+AS390+AV390+AY390+BB390+BE390+BH390</f>
        <v>0</v>
      </c>
      <c r="BL390" s="151">
        <f t="shared" ref="BL390:BL399" si="440">+Y390+AB390+AE390+AH390+AK390+AN390+AQ390+AT390+AW390+AZ390+BC390+BF390+BI390</f>
        <v>0</v>
      </c>
      <c r="BM390" s="151" t="s">
        <v>1022</v>
      </c>
      <c r="BN390" s="72" t="s">
        <v>1528</v>
      </c>
    </row>
    <row r="391" spans="1:66" ht="87.75" customHeight="1" x14ac:dyDescent="0.2">
      <c r="A391" s="145"/>
      <c r="B391" s="91"/>
      <c r="C391" s="91"/>
      <c r="D391" s="91"/>
      <c r="E391" s="91"/>
      <c r="F391" s="87"/>
      <c r="G391" s="569"/>
      <c r="H391" s="562" t="s">
        <v>1202</v>
      </c>
      <c r="I391" s="82" t="s">
        <v>47</v>
      </c>
      <c r="J391" s="850" t="s">
        <v>1203</v>
      </c>
      <c r="K391" s="82">
        <v>1906023</v>
      </c>
      <c r="L391" s="850" t="s">
        <v>1204</v>
      </c>
      <c r="M391" s="82" t="s">
        <v>47</v>
      </c>
      <c r="N391" s="851" t="s">
        <v>1205</v>
      </c>
      <c r="O391" s="82">
        <v>190602300</v>
      </c>
      <c r="P391" s="851" t="s">
        <v>1206</v>
      </c>
      <c r="Q391" s="252" t="s">
        <v>52</v>
      </c>
      <c r="R391" s="125">
        <v>19899</v>
      </c>
      <c r="S391" s="125">
        <v>2769</v>
      </c>
      <c r="T391" s="862"/>
      <c r="U391" s="873"/>
      <c r="V391" s="873"/>
      <c r="W391" s="150"/>
      <c r="X391" s="150"/>
      <c r="Y391" s="150"/>
      <c r="Z391" s="150"/>
      <c r="AA391" s="150"/>
      <c r="AB391" s="150"/>
      <c r="AC391" s="150"/>
      <c r="AD391" s="150"/>
      <c r="AE391" s="150"/>
      <c r="AF391" s="150"/>
      <c r="AG391" s="150"/>
      <c r="AH391" s="150"/>
      <c r="AI391" s="150"/>
      <c r="AJ391" s="262"/>
      <c r="AK391" s="262"/>
      <c r="AL391" s="297">
        <f>31408028135-56769013</f>
        <v>31351259122</v>
      </c>
      <c r="AM391" s="297">
        <v>31351259122</v>
      </c>
      <c r="AN391" s="297">
        <v>9088220335.3199997</v>
      </c>
      <c r="AO391" s="150"/>
      <c r="AP391" s="150"/>
      <c r="AQ391" s="150"/>
      <c r="AR391" s="150"/>
      <c r="AS391" s="263"/>
      <c r="AT391" s="263"/>
      <c r="AU391" s="263"/>
      <c r="AV391" s="263"/>
      <c r="AW391" s="263"/>
      <c r="AX391" s="150"/>
      <c r="AY391" s="150"/>
      <c r="AZ391" s="150"/>
      <c r="BA391" s="161">
        <v>0</v>
      </c>
      <c r="BB391" s="161"/>
      <c r="BC391" s="161"/>
      <c r="BD391" s="150"/>
      <c r="BE391" s="150"/>
      <c r="BF391" s="150"/>
      <c r="BG391" s="150"/>
      <c r="BH391" s="150"/>
      <c r="BI391" s="150"/>
      <c r="BJ391" s="151">
        <f>+W391+Z391+AC391+AF391+AI391+AL391+AO391+AR391+AU391+AX391+BA391+BD391+BG391</f>
        <v>31351259122</v>
      </c>
      <c r="BK391" s="151">
        <f t="shared" si="439"/>
        <v>31351259122</v>
      </c>
      <c r="BL391" s="151">
        <f t="shared" si="440"/>
        <v>9088220335.3199997</v>
      </c>
      <c r="BM391" s="151" t="s">
        <v>1022</v>
      </c>
      <c r="BN391" s="72" t="s">
        <v>1528</v>
      </c>
    </row>
    <row r="392" spans="1:66" ht="83.25" customHeight="1" x14ac:dyDescent="0.2">
      <c r="A392" s="145"/>
      <c r="B392" s="91"/>
      <c r="C392" s="91"/>
      <c r="D392" s="91"/>
      <c r="E392" s="91"/>
      <c r="F392" s="567"/>
      <c r="G392" s="569"/>
      <c r="H392" s="562" t="s">
        <v>1202</v>
      </c>
      <c r="I392" s="82" t="s">
        <v>47</v>
      </c>
      <c r="J392" s="850" t="s">
        <v>1207</v>
      </c>
      <c r="K392" s="430">
        <v>1906023</v>
      </c>
      <c r="L392" s="850" t="s">
        <v>1204</v>
      </c>
      <c r="M392" s="82" t="s">
        <v>47</v>
      </c>
      <c r="N392" s="93" t="s">
        <v>1208</v>
      </c>
      <c r="O392" s="415">
        <v>190602301</v>
      </c>
      <c r="P392" s="93" t="s">
        <v>1209</v>
      </c>
      <c r="Q392" s="195" t="s">
        <v>52</v>
      </c>
      <c r="R392" s="125">
        <v>60</v>
      </c>
      <c r="S392" s="125">
        <v>0</v>
      </c>
      <c r="T392" s="862" t="s">
        <v>1210</v>
      </c>
      <c r="U392" s="873" t="s">
        <v>1211</v>
      </c>
      <c r="V392" s="873" t="s">
        <v>1212</v>
      </c>
      <c r="W392" s="150"/>
      <c r="X392" s="150"/>
      <c r="Y392" s="150"/>
      <c r="Z392" s="150"/>
      <c r="AA392" s="150"/>
      <c r="AB392" s="150"/>
      <c r="AC392" s="150"/>
      <c r="AD392" s="150"/>
      <c r="AE392" s="150"/>
      <c r="AF392" s="150"/>
      <c r="AG392" s="150"/>
      <c r="AH392" s="150"/>
      <c r="AI392" s="150"/>
      <c r="AJ392" s="262"/>
      <c r="AK392" s="262"/>
      <c r="AL392" s="297">
        <v>115688008</v>
      </c>
      <c r="AM392" s="297"/>
      <c r="AN392" s="297"/>
      <c r="AO392" s="150"/>
      <c r="AP392" s="150"/>
      <c r="AQ392" s="150"/>
      <c r="AR392" s="150"/>
      <c r="AS392" s="263"/>
      <c r="AT392" s="263"/>
      <c r="AU392" s="263"/>
      <c r="AV392" s="263"/>
      <c r="AW392" s="263"/>
      <c r="AX392" s="150"/>
      <c r="AY392" s="150"/>
      <c r="AZ392" s="150"/>
      <c r="BA392" s="161"/>
      <c r="BB392" s="161"/>
      <c r="BC392" s="161"/>
      <c r="BD392" s="150"/>
      <c r="BE392" s="150"/>
      <c r="BF392" s="150"/>
      <c r="BG392" s="127">
        <v>1361612640</v>
      </c>
      <c r="BH392" s="127"/>
      <c r="BI392" s="127"/>
      <c r="BJ392" s="151">
        <f t="shared" si="425"/>
        <v>1477300648</v>
      </c>
      <c r="BK392" s="151">
        <f t="shared" si="439"/>
        <v>0</v>
      </c>
      <c r="BL392" s="151">
        <f t="shared" si="440"/>
        <v>0</v>
      </c>
      <c r="BM392" s="151" t="s">
        <v>1022</v>
      </c>
      <c r="BN392" s="72" t="s">
        <v>1528</v>
      </c>
    </row>
    <row r="393" spans="1:66" ht="147" customHeight="1" x14ac:dyDescent="0.2">
      <c r="A393" s="145"/>
      <c r="B393" s="91"/>
      <c r="C393" s="91"/>
      <c r="D393" s="91"/>
      <c r="E393" s="91"/>
      <c r="F393" s="567"/>
      <c r="G393" s="569"/>
      <c r="H393" s="562" t="s">
        <v>1202</v>
      </c>
      <c r="I393" s="82" t="s">
        <v>47</v>
      </c>
      <c r="J393" s="850" t="s">
        <v>1213</v>
      </c>
      <c r="K393" s="430">
        <v>1906025</v>
      </c>
      <c r="L393" s="850" t="s">
        <v>1214</v>
      </c>
      <c r="M393" s="82" t="s">
        <v>47</v>
      </c>
      <c r="N393" s="93" t="s">
        <v>1215</v>
      </c>
      <c r="O393" s="430">
        <v>190602500</v>
      </c>
      <c r="P393" s="93" t="s">
        <v>1216</v>
      </c>
      <c r="Q393" s="195" t="s">
        <v>52</v>
      </c>
      <c r="R393" s="125">
        <v>100</v>
      </c>
      <c r="S393" s="125">
        <v>0</v>
      </c>
      <c r="T393" s="862"/>
      <c r="U393" s="873"/>
      <c r="V393" s="873"/>
      <c r="W393" s="150"/>
      <c r="X393" s="150"/>
      <c r="Y393" s="150"/>
      <c r="Z393" s="150"/>
      <c r="AA393" s="150"/>
      <c r="AB393" s="150"/>
      <c r="AC393" s="150"/>
      <c r="AD393" s="150"/>
      <c r="AE393" s="150"/>
      <c r="AF393" s="127">
        <f>100000000+300000000</f>
        <v>400000000</v>
      </c>
      <c r="AG393" s="127"/>
      <c r="AH393" s="127"/>
      <c r="AI393" s="127">
        <v>2224028029</v>
      </c>
      <c r="AJ393" s="260"/>
      <c r="AK393" s="260"/>
      <c r="AL393" s="310"/>
      <c r="AM393" s="310"/>
      <c r="AN393" s="310"/>
      <c r="AO393" s="150"/>
      <c r="AP393" s="150"/>
      <c r="AQ393" s="150"/>
      <c r="AR393" s="150"/>
      <c r="AS393" s="263"/>
      <c r="AT393" s="263"/>
      <c r="AU393" s="263"/>
      <c r="AV393" s="263"/>
      <c r="AW393" s="263"/>
      <c r="AX393" s="150"/>
      <c r="AY393" s="150"/>
      <c r="AZ393" s="150"/>
      <c r="BA393" s="161"/>
      <c r="BB393" s="161"/>
      <c r="BC393" s="161"/>
      <c r="BD393" s="150"/>
      <c r="BE393" s="150"/>
      <c r="BF393" s="150"/>
      <c r="BG393" s="150"/>
      <c r="BH393" s="150"/>
      <c r="BI393" s="150"/>
      <c r="BJ393" s="151">
        <f t="shared" si="425"/>
        <v>2624028029</v>
      </c>
      <c r="BK393" s="151">
        <f t="shared" si="439"/>
        <v>0</v>
      </c>
      <c r="BL393" s="151">
        <f t="shared" si="440"/>
        <v>0</v>
      </c>
      <c r="BM393" s="151" t="s">
        <v>1022</v>
      </c>
      <c r="BN393" s="72" t="s">
        <v>1528</v>
      </c>
    </row>
    <row r="394" spans="1:66" ht="95.25" customHeight="1" x14ac:dyDescent="0.2">
      <c r="A394" s="145"/>
      <c r="B394" s="91"/>
      <c r="C394" s="91"/>
      <c r="D394" s="91"/>
      <c r="E394" s="91"/>
      <c r="F394" s="567"/>
      <c r="G394" s="569"/>
      <c r="H394" s="562" t="s">
        <v>1202</v>
      </c>
      <c r="I394" s="82" t="s">
        <v>47</v>
      </c>
      <c r="J394" s="850" t="s">
        <v>1217</v>
      </c>
      <c r="K394" s="430">
        <v>1906025</v>
      </c>
      <c r="L394" s="850" t="s">
        <v>1214</v>
      </c>
      <c r="M394" s="82" t="s">
        <v>47</v>
      </c>
      <c r="N394" s="93" t="s">
        <v>1218</v>
      </c>
      <c r="O394" s="430">
        <v>190602500</v>
      </c>
      <c r="P394" s="93" t="s">
        <v>1216</v>
      </c>
      <c r="Q394" s="195" t="s">
        <v>52</v>
      </c>
      <c r="R394" s="125">
        <v>100</v>
      </c>
      <c r="S394" s="125">
        <v>0</v>
      </c>
      <c r="T394" s="862"/>
      <c r="U394" s="873"/>
      <c r="V394" s="873"/>
      <c r="W394" s="150"/>
      <c r="X394" s="150"/>
      <c r="Y394" s="150"/>
      <c r="Z394" s="150"/>
      <c r="AA394" s="150"/>
      <c r="AB394" s="150"/>
      <c r="AC394" s="150"/>
      <c r="AD394" s="150"/>
      <c r="AE394" s="150"/>
      <c r="AF394" s="127"/>
      <c r="AG394" s="127"/>
      <c r="AH394" s="127"/>
      <c r="AI394" s="127"/>
      <c r="AJ394" s="260"/>
      <c r="AK394" s="260"/>
      <c r="AL394" s="260">
        <v>3684809425</v>
      </c>
      <c r="AM394" s="260"/>
      <c r="AN394" s="260"/>
      <c r="AO394" s="150"/>
      <c r="AP394" s="150"/>
      <c r="AQ394" s="150"/>
      <c r="AR394" s="150"/>
      <c r="AS394" s="263"/>
      <c r="AT394" s="263"/>
      <c r="AU394" s="263"/>
      <c r="AV394" s="263"/>
      <c r="AW394" s="263"/>
      <c r="AX394" s="150"/>
      <c r="AY394" s="150"/>
      <c r="AZ394" s="150"/>
      <c r="BA394" s="161"/>
      <c r="BB394" s="161"/>
      <c r="BC394" s="161"/>
      <c r="BD394" s="150"/>
      <c r="BE394" s="150"/>
      <c r="BF394" s="150"/>
      <c r="BG394" s="150"/>
      <c r="BH394" s="150"/>
      <c r="BI394" s="150"/>
      <c r="BJ394" s="151">
        <f t="shared" si="425"/>
        <v>3684809425</v>
      </c>
      <c r="BK394" s="151">
        <f t="shared" si="439"/>
        <v>0</v>
      </c>
      <c r="BL394" s="151">
        <f t="shared" si="440"/>
        <v>0</v>
      </c>
      <c r="BM394" s="151" t="s">
        <v>1022</v>
      </c>
      <c r="BN394" s="72" t="s">
        <v>1528</v>
      </c>
    </row>
    <row r="395" spans="1:66" ht="95.25" customHeight="1" x14ac:dyDescent="0.2">
      <c r="A395" s="145"/>
      <c r="B395" s="91"/>
      <c r="C395" s="91"/>
      <c r="D395" s="91"/>
      <c r="E395" s="91"/>
      <c r="F395" s="567"/>
      <c r="G395" s="569"/>
      <c r="H395" s="562" t="s">
        <v>1219</v>
      </c>
      <c r="I395" s="82">
        <v>1906029</v>
      </c>
      <c r="J395" s="850" t="s">
        <v>1220</v>
      </c>
      <c r="K395" s="82">
        <v>1906029</v>
      </c>
      <c r="L395" s="850" t="s">
        <v>1220</v>
      </c>
      <c r="M395" s="415">
        <v>190602900</v>
      </c>
      <c r="N395" s="93" t="s">
        <v>1221</v>
      </c>
      <c r="O395" s="415">
        <v>190602900</v>
      </c>
      <c r="P395" s="93" t="s">
        <v>1221</v>
      </c>
      <c r="Q395" s="195" t="s">
        <v>52</v>
      </c>
      <c r="R395" s="125">
        <v>40</v>
      </c>
      <c r="S395" s="125">
        <v>14</v>
      </c>
      <c r="T395" s="862" t="s">
        <v>1222</v>
      </c>
      <c r="U395" s="873" t="s">
        <v>1223</v>
      </c>
      <c r="V395" s="873" t="s">
        <v>1224</v>
      </c>
      <c r="W395" s="150"/>
      <c r="X395" s="150"/>
      <c r="Y395" s="150"/>
      <c r="Z395" s="150"/>
      <c r="AA395" s="150"/>
      <c r="AB395" s="150"/>
      <c r="AC395" s="150"/>
      <c r="AD395" s="150"/>
      <c r="AE395" s="150"/>
      <c r="AF395" s="150"/>
      <c r="AG395" s="150"/>
      <c r="AH395" s="150"/>
      <c r="AI395" s="150"/>
      <c r="AJ395" s="262"/>
      <c r="AK395" s="262"/>
      <c r="AL395" s="297"/>
      <c r="AM395" s="297"/>
      <c r="AN395" s="297"/>
      <c r="AO395" s="150"/>
      <c r="AP395" s="150"/>
      <c r="AQ395" s="150"/>
      <c r="AR395" s="150"/>
      <c r="AS395" s="263"/>
      <c r="AT395" s="263"/>
      <c r="AU395" s="263"/>
      <c r="AV395" s="263"/>
      <c r="AW395" s="263"/>
      <c r="AX395" s="150"/>
      <c r="AY395" s="150"/>
      <c r="AZ395" s="150"/>
      <c r="BA395" s="164">
        <v>150390000</v>
      </c>
      <c r="BB395" s="164">
        <v>75160000</v>
      </c>
      <c r="BC395" s="164">
        <v>9770000</v>
      </c>
      <c r="BD395" s="150"/>
      <c r="BE395" s="150"/>
      <c r="BF395" s="150"/>
      <c r="BG395" s="150"/>
      <c r="BH395" s="150"/>
      <c r="BI395" s="150"/>
      <c r="BJ395" s="151">
        <f t="shared" si="425"/>
        <v>150390000</v>
      </c>
      <c r="BK395" s="151">
        <f t="shared" si="439"/>
        <v>75160000</v>
      </c>
      <c r="BL395" s="151">
        <f t="shared" si="440"/>
        <v>9770000</v>
      </c>
      <c r="BM395" s="151" t="s">
        <v>1022</v>
      </c>
      <c r="BN395" s="72" t="s">
        <v>1528</v>
      </c>
    </row>
    <row r="396" spans="1:66" s="4" customFormat="1" ht="87.75" customHeight="1" x14ac:dyDescent="0.2">
      <c r="A396" s="68"/>
      <c r="B396" s="109"/>
      <c r="C396" s="109"/>
      <c r="D396" s="109"/>
      <c r="E396" s="109"/>
      <c r="F396" s="112"/>
      <c r="G396" s="108"/>
      <c r="H396" s="571" t="s">
        <v>1078</v>
      </c>
      <c r="I396" s="82">
        <v>1906032</v>
      </c>
      <c r="J396" s="850" t="s">
        <v>1197</v>
      </c>
      <c r="K396" s="82">
        <v>1906032</v>
      </c>
      <c r="L396" s="850" t="s">
        <v>1197</v>
      </c>
      <c r="M396" s="415">
        <v>190603200</v>
      </c>
      <c r="N396" s="851" t="s">
        <v>1198</v>
      </c>
      <c r="O396" s="415">
        <v>190603200</v>
      </c>
      <c r="P396" s="851" t="s">
        <v>1198</v>
      </c>
      <c r="Q396" s="125" t="s">
        <v>68</v>
      </c>
      <c r="R396" s="125">
        <v>1500</v>
      </c>
      <c r="S396" s="125">
        <v>8820</v>
      </c>
      <c r="T396" s="862"/>
      <c r="U396" s="873"/>
      <c r="V396" s="873"/>
      <c r="W396" s="127"/>
      <c r="X396" s="127"/>
      <c r="Y396" s="127"/>
      <c r="Z396" s="127"/>
      <c r="AA396" s="127"/>
      <c r="AB396" s="127"/>
      <c r="AC396" s="127"/>
      <c r="AD396" s="127"/>
      <c r="AE396" s="127"/>
      <c r="AF396" s="127"/>
      <c r="AG396" s="127"/>
      <c r="AH396" s="127"/>
      <c r="AI396" s="127"/>
      <c r="AJ396" s="260"/>
      <c r="AK396" s="260"/>
      <c r="AL396" s="309"/>
      <c r="AM396" s="309"/>
      <c r="AN396" s="309"/>
      <c r="AO396" s="127"/>
      <c r="AP396" s="127"/>
      <c r="AQ396" s="127"/>
      <c r="AR396" s="127"/>
      <c r="AS396" s="261"/>
      <c r="AT396" s="261"/>
      <c r="AU396" s="261"/>
      <c r="AV396" s="261"/>
      <c r="AW396" s="261"/>
      <c r="AX396" s="127"/>
      <c r="AY396" s="127"/>
      <c r="AZ396" s="127"/>
      <c r="BA396" s="164">
        <v>20000000</v>
      </c>
      <c r="BB396" s="164">
        <v>11540000</v>
      </c>
      <c r="BC396" s="164">
        <v>2885000</v>
      </c>
      <c r="BD396" s="127"/>
      <c r="BE396" s="127"/>
      <c r="BF396" s="127"/>
      <c r="BG396" s="127"/>
      <c r="BH396" s="127"/>
      <c r="BI396" s="127"/>
      <c r="BJ396" s="222">
        <f>+W396+Z396+AC396+AF396+AI396+AL396+AO396+AR396+AU396+AX396+BA396+BD396+BG396</f>
        <v>20000000</v>
      </c>
      <c r="BK396" s="222">
        <f t="shared" si="439"/>
        <v>11540000</v>
      </c>
      <c r="BL396" s="222">
        <f t="shared" si="440"/>
        <v>2885000</v>
      </c>
      <c r="BM396" s="151" t="s">
        <v>1022</v>
      </c>
      <c r="BN396" s="72" t="s">
        <v>1528</v>
      </c>
    </row>
    <row r="397" spans="1:66" ht="119.25" customHeight="1" x14ac:dyDescent="0.2">
      <c r="A397" s="145"/>
      <c r="B397" s="91"/>
      <c r="C397" s="91"/>
      <c r="D397" s="91"/>
      <c r="E397" s="91"/>
      <c r="F397" s="567"/>
      <c r="G397" s="569"/>
      <c r="H397" s="562" t="s">
        <v>1225</v>
      </c>
      <c r="I397" s="82">
        <v>1906005</v>
      </c>
      <c r="J397" s="850" t="s">
        <v>1226</v>
      </c>
      <c r="K397" s="82">
        <v>1906005</v>
      </c>
      <c r="L397" s="850" t="s">
        <v>1226</v>
      </c>
      <c r="M397" s="415">
        <v>190600500</v>
      </c>
      <c r="N397" s="93" t="s">
        <v>1226</v>
      </c>
      <c r="O397" s="415">
        <v>190600500</v>
      </c>
      <c r="P397" s="93" t="s">
        <v>1226</v>
      </c>
      <c r="Q397" s="195" t="s">
        <v>68</v>
      </c>
      <c r="R397" s="125">
        <v>2</v>
      </c>
      <c r="S397" s="125">
        <v>0</v>
      </c>
      <c r="T397" s="862"/>
      <c r="U397" s="873"/>
      <c r="V397" s="873"/>
      <c r="W397" s="150"/>
      <c r="X397" s="150"/>
      <c r="Y397" s="150"/>
      <c r="Z397" s="150"/>
      <c r="AA397" s="150"/>
      <c r="AB397" s="150"/>
      <c r="AC397" s="150"/>
      <c r="AD397" s="150"/>
      <c r="AE397" s="150"/>
      <c r="AF397" s="150"/>
      <c r="AG397" s="150"/>
      <c r="AH397" s="150"/>
      <c r="AI397" s="150"/>
      <c r="AJ397" s="262"/>
      <c r="AK397" s="262"/>
      <c r="AL397" s="297"/>
      <c r="AM397" s="297"/>
      <c r="AN397" s="297"/>
      <c r="AO397" s="150"/>
      <c r="AP397" s="150"/>
      <c r="AQ397" s="150"/>
      <c r="AR397" s="150"/>
      <c r="AS397" s="263"/>
      <c r="AT397" s="263"/>
      <c r="AU397" s="263"/>
      <c r="AV397" s="263"/>
      <c r="AW397" s="263"/>
      <c r="AX397" s="150"/>
      <c r="AY397" s="150"/>
      <c r="AZ397" s="150"/>
      <c r="BA397" s="161">
        <v>20000000</v>
      </c>
      <c r="BB397" s="161"/>
      <c r="BC397" s="161"/>
      <c r="BD397" s="150"/>
      <c r="BE397" s="150"/>
      <c r="BF397" s="150"/>
      <c r="BG397" s="150"/>
      <c r="BH397" s="150"/>
      <c r="BI397" s="150"/>
      <c r="BJ397" s="222">
        <f>+W397+Z397+AC397+AF397+AI397+AL397+AO397+AR397+AU397+AX397+BA397+BD397+BG397</f>
        <v>20000000</v>
      </c>
      <c r="BK397" s="222">
        <f t="shared" si="439"/>
        <v>0</v>
      </c>
      <c r="BL397" s="222">
        <f t="shared" si="440"/>
        <v>0</v>
      </c>
      <c r="BM397" s="151" t="s">
        <v>1022</v>
      </c>
      <c r="BN397" s="72" t="s">
        <v>1528</v>
      </c>
    </row>
    <row r="398" spans="1:66" ht="96.75" customHeight="1" x14ac:dyDescent="0.2">
      <c r="A398" s="145"/>
      <c r="B398" s="91"/>
      <c r="C398" s="91"/>
      <c r="D398" s="91"/>
      <c r="E398" s="91"/>
      <c r="F398" s="567"/>
      <c r="G398" s="569"/>
      <c r="H398" s="562" t="s">
        <v>1023</v>
      </c>
      <c r="I398" s="82">
        <v>1906022</v>
      </c>
      <c r="J398" s="850" t="s">
        <v>1227</v>
      </c>
      <c r="K398" s="82">
        <v>1906022</v>
      </c>
      <c r="L398" s="850" t="s">
        <v>1227</v>
      </c>
      <c r="M398" s="415">
        <v>190602200</v>
      </c>
      <c r="N398" s="93" t="s">
        <v>1228</v>
      </c>
      <c r="O398" s="415">
        <v>190602200</v>
      </c>
      <c r="P398" s="93" t="s">
        <v>1228</v>
      </c>
      <c r="Q398" s="195" t="s">
        <v>68</v>
      </c>
      <c r="R398" s="125">
        <v>1</v>
      </c>
      <c r="S398" s="125">
        <v>0</v>
      </c>
      <c r="T398" s="862"/>
      <c r="U398" s="873"/>
      <c r="V398" s="873"/>
      <c r="W398" s="150"/>
      <c r="X398" s="150"/>
      <c r="Y398" s="150"/>
      <c r="Z398" s="150"/>
      <c r="AA398" s="150"/>
      <c r="AB398" s="150"/>
      <c r="AC398" s="150"/>
      <c r="AD398" s="150"/>
      <c r="AE398" s="150"/>
      <c r="AF398" s="150"/>
      <c r="AG398" s="150"/>
      <c r="AH398" s="150"/>
      <c r="AI398" s="150"/>
      <c r="AJ398" s="262"/>
      <c r="AK398" s="262"/>
      <c r="AL398" s="297"/>
      <c r="AM398" s="297"/>
      <c r="AN398" s="297"/>
      <c r="AO398" s="150"/>
      <c r="AP398" s="150"/>
      <c r="AQ398" s="150"/>
      <c r="AR398" s="150"/>
      <c r="AS398" s="263"/>
      <c r="AT398" s="263"/>
      <c r="AU398" s="263"/>
      <c r="AV398" s="263"/>
      <c r="AW398" s="263"/>
      <c r="AX398" s="150"/>
      <c r="AY398" s="150"/>
      <c r="AZ398" s="150"/>
      <c r="BA398" s="161">
        <v>20000000</v>
      </c>
      <c r="BB398" s="161"/>
      <c r="BC398" s="161"/>
      <c r="BD398" s="150"/>
      <c r="BE398" s="150"/>
      <c r="BF398" s="150"/>
      <c r="BG398" s="150"/>
      <c r="BH398" s="150"/>
      <c r="BI398" s="150"/>
      <c r="BJ398" s="222">
        <f>+W398+Z398+AC398+AF398+AI398+AL398+AO398+AR398+AU398+AX398+BA398+BD398+BG398</f>
        <v>20000000</v>
      </c>
      <c r="BK398" s="222">
        <f t="shared" si="439"/>
        <v>0</v>
      </c>
      <c r="BL398" s="222">
        <f t="shared" si="440"/>
        <v>0</v>
      </c>
      <c r="BM398" s="151" t="s">
        <v>1022</v>
      </c>
      <c r="BN398" s="72" t="s">
        <v>1528</v>
      </c>
    </row>
    <row r="399" spans="1:66" ht="94.5" customHeight="1" x14ac:dyDescent="0.2">
      <c r="A399" s="145"/>
      <c r="B399" s="91"/>
      <c r="C399" s="91"/>
      <c r="D399" s="91"/>
      <c r="E399" s="91"/>
      <c r="F399" s="567"/>
      <c r="G399" s="569"/>
      <c r="H399" s="562" t="s">
        <v>1202</v>
      </c>
      <c r="I399" s="82" t="s">
        <v>47</v>
      </c>
      <c r="J399" s="850" t="s">
        <v>1207</v>
      </c>
      <c r="K399" s="430">
        <v>1906023</v>
      </c>
      <c r="L399" s="850" t="s">
        <v>1229</v>
      </c>
      <c r="M399" s="82" t="s">
        <v>47</v>
      </c>
      <c r="N399" s="93" t="s">
        <v>1230</v>
      </c>
      <c r="O399" s="415">
        <v>190602301</v>
      </c>
      <c r="P399" s="93" t="s">
        <v>1209</v>
      </c>
      <c r="Q399" s="195" t="s">
        <v>52</v>
      </c>
      <c r="R399" s="125">
        <v>40</v>
      </c>
      <c r="S399" s="125">
        <v>0</v>
      </c>
      <c r="T399" s="862"/>
      <c r="U399" s="873"/>
      <c r="V399" s="873"/>
      <c r="W399" s="150"/>
      <c r="X399" s="150"/>
      <c r="Y399" s="150"/>
      <c r="Z399" s="150"/>
      <c r="AA399" s="150"/>
      <c r="AB399" s="150"/>
      <c r="AC399" s="150"/>
      <c r="AD399" s="150"/>
      <c r="AE399" s="150"/>
      <c r="AF399" s="150"/>
      <c r="AG399" s="150"/>
      <c r="AH399" s="150"/>
      <c r="AI399" s="150"/>
      <c r="AJ399" s="262"/>
      <c r="AK399" s="262"/>
      <c r="AL399" s="297"/>
      <c r="AM399" s="297"/>
      <c r="AN399" s="297"/>
      <c r="AO399" s="150"/>
      <c r="AP399" s="150"/>
      <c r="AQ399" s="150"/>
      <c r="AR399" s="150"/>
      <c r="AS399" s="263"/>
      <c r="AT399" s="263"/>
      <c r="AU399" s="263"/>
      <c r="AV399" s="263"/>
      <c r="AW399" s="263"/>
      <c r="AX399" s="150"/>
      <c r="AY399" s="150"/>
      <c r="AZ399" s="150"/>
      <c r="BA399" s="161">
        <v>20000000</v>
      </c>
      <c r="BB399" s="161"/>
      <c r="BC399" s="161"/>
      <c r="BD399" s="150"/>
      <c r="BE399" s="150"/>
      <c r="BF399" s="150"/>
      <c r="BG399" s="150"/>
      <c r="BH399" s="150"/>
      <c r="BI399" s="150"/>
      <c r="BJ399" s="222">
        <f>+W399+Z399+AC399+AF399+AI399+AL399+AO399+AR399+AU399+AX399+BA399+BD399+BG399</f>
        <v>20000000</v>
      </c>
      <c r="BK399" s="222">
        <f t="shared" si="439"/>
        <v>0</v>
      </c>
      <c r="BL399" s="222">
        <f t="shared" si="440"/>
        <v>0</v>
      </c>
      <c r="BM399" s="151" t="s">
        <v>1022</v>
      </c>
      <c r="BN399" s="72" t="s">
        <v>1528</v>
      </c>
    </row>
    <row r="400" spans="1:66" s="467" customFormat="1" ht="16.5" customHeight="1" x14ac:dyDescent="0.25">
      <c r="A400" s="463"/>
      <c r="B400" s="463"/>
      <c r="C400" s="463"/>
      <c r="D400" s="463"/>
      <c r="E400" s="463"/>
      <c r="F400" s="463"/>
      <c r="G400" s="463"/>
      <c r="H400" s="464"/>
      <c r="I400" s="463"/>
      <c r="J400" s="463"/>
      <c r="K400" s="463"/>
      <c r="L400" s="463"/>
      <c r="M400" s="463"/>
      <c r="N400" s="463"/>
      <c r="O400" s="463"/>
      <c r="P400" s="463"/>
      <c r="Q400" s="465"/>
      <c r="R400" s="463"/>
      <c r="S400" s="463"/>
      <c r="T400" s="465"/>
      <c r="U400" s="465"/>
      <c r="V400" s="465"/>
      <c r="W400" s="466"/>
      <c r="X400" s="466"/>
      <c r="Y400" s="466"/>
      <c r="Z400" s="466"/>
      <c r="AA400" s="466"/>
      <c r="AB400" s="466"/>
      <c r="AC400" s="466"/>
      <c r="AD400" s="466"/>
      <c r="AE400" s="466"/>
      <c r="AF400" s="466"/>
      <c r="AG400" s="466"/>
      <c r="AH400" s="466"/>
      <c r="AI400" s="466"/>
      <c r="AJ400" s="466"/>
      <c r="AK400" s="466"/>
      <c r="AL400" s="466"/>
      <c r="AM400" s="466"/>
      <c r="AN400" s="466"/>
      <c r="AO400" s="466"/>
      <c r="AP400" s="466"/>
      <c r="AQ400" s="466"/>
      <c r="AR400" s="466"/>
      <c r="AS400" s="466"/>
      <c r="AT400" s="466"/>
      <c r="AU400" s="466"/>
      <c r="AV400" s="466"/>
      <c r="AW400" s="466"/>
      <c r="AX400" s="466"/>
      <c r="AY400" s="466"/>
      <c r="AZ400" s="466"/>
      <c r="BA400" s="466"/>
      <c r="BB400" s="466"/>
      <c r="BC400" s="466"/>
      <c r="BD400" s="466"/>
      <c r="BE400" s="466"/>
      <c r="BF400" s="466"/>
      <c r="BG400" s="466"/>
      <c r="BH400" s="466"/>
      <c r="BI400" s="466"/>
      <c r="BJ400" s="466"/>
      <c r="BK400" s="466"/>
      <c r="BL400" s="466"/>
      <c r="BM400" s="466"/>
      <c r="BN400" s="466"/>
    </row>
    <row r="401" spans="1:106" s="406" customFormat="1" ht="24" customHeight="1" x14ac:dyDescent="0.25">
      <c r="A401" s="41" t="s">
        <v>1231</v>
      </c>
      <c r="B401" s="41"/>
      <c r="C401" s="41"/>
      <c r="D401" s="41"/>
      <c r="E401" s="41"/>
      <c r="F401" s="42"/>
      <c r="G401" s="657"/>
      <c r="H401" s="700"/>
      <c r="I401" s="700"/>
      <c r="J401" s="700"/>
      <c r="K401" s="701"/>
      <c r="L401" s="700"/>
      <c r="M401" s="700"/>
      <c r="N401" s="702"/>
      <c r="O401" s="703"/>
      <c r="P401" s="702"/>
      <c r="Q401" s="704"/>
      <c r="R401" s="703"/>
      <c r="S401" s="703"/>
      <c r="T401" s="658"/>
      <c r="U401" s="391"/>
      <c r="V401" s="391"/>
      <c r="W401" s="387">
        <f t="shared" ref="W401:BJ401" si="441">+W402+W420+W428</f>
        <v>0</v>
      </c>
      <c r="X401" s="387"/>
      <c r="Y401" s="387"/>
      <c r="Z401" s="387">
        <f t="shared" si="441"/>
        <v>0</v>
      </c>
      <c r="AA401" s="387"/>
      <c r="AB401" s="387"/>
      <c r="AC401" s="387">
        <f t="shared" si="441"/>
        <v>0</v>
      </c>
      <c r="AD401" s="387"/>
      <c r="AE401" s="387"/>
      <c r="AF401" s="387">
        <f t="shared" si="441"/>
        <v>0</v>
      </c>
      <c r="AG401" s="387"/>
      <c r="AH401" s="387"/>
      <c r="AI401" s="387">
        <f t="shared" si="441"/>
        <v>0</v>
      </c>
      <c r="AJ401" s="387"/>
      <c r="AK401" s="387"/>
      <c r="AL401" s="387">
        <f t="shared" si="441"/>
        <v>0</v>
      </c>
      <c r="AM401" s="387"/>
      <c r="AN401" s="387"/>
      <c r="AO401" s="387">
        <f t="shared" si="441"/>
        <v>0</v>
      </c>
      <c r="AP401" s="387"/>
      <c r="AQ401" s="387"/>
      <c r="AR401" s="387">
        <f t="shared" si="441"/>
        <v>0</v>
      </c>
      <c r="AS401" s="387"/>
      <c r="AT401" s="387"/>
      <c r="AU401" s="387">
        <f t="shared" si="441"/>
        <v>0</v>
      </c>
      <c r="AV401" s="387"/>
      <c r="AW401" s="387"/>
      <c r="AX401" s="387">
        <f t="shared" si="441"/>
        <v>0</v>
      </c>
      <c r="AY401" s="387"/>
      <c r="AZ401" s="387"/>
      <c r="BA401" s="387">
        <f t="shared" si="441"/>
        <v>896000000</v>
      </c>
      <c r="BB401" s="387">
        <f t="shared" ref="BB401:BC401" si="442">+BB402+BB420+BB428</f>
        <v>256750334</v>
      </c>
      <c r="BC401" s="387">
        <f t="shared" si="442"/>
        <v>18140000</v>
      </c>
      <c r="BD401" s="387">
        <f t="shared" si="441"/>
        <v>0</v>
      </c>
      <c r="BE401" s="387"/>
      <c r="BF401" s="387"/>
      <c r="BG401" s="387">
        <f t="shared" si="441"/>
        <v>0</v>
      </c>
      <c r="BH401" s="387"/>
      <c r="BI401" s="387"/>
      <c r="BJ401" s="387">
        <f t="shared" si="441"/>
        <v>896000000</v>
      </c>
      <c r="BK401" s="387">
        <f t="shared" ref="BK401:BL401" si="443">+BK402+BK420+BK428</f>
        <v>256750334</v>
      </c>
      <c r="BL401" s="387">
        <f t="shared" si="443"/>
        <v>18140000</v>
      </c>
      <c r="BM401" s="387"/>
      <c r="BN401" s="388"/>
      <c r="BO401" s="405"/>
      <c r="BP401" s="405"/>
      <c r="BQ401" s="405"/>
      <c r="BR401" s="405"/>
      <c r="BS401" s="405"/>
      <c r="BT401" s="405"/>
      <c r="BU401" s="405"/>
      <c r="BV401" s="405"/>
      <c r="BW401" s="405"/>
      <c r="BX401" s="405"/>
      <c r="BY401" s="405"/>
      <c r="BZ401" s="405"/>
      <c r="CA401" s="405"/>
      <c r="CB401" s="405"/>
      <c r="CC401" s="405"/>
      <c r="CD401" s="405"/>
      <c r="CE401" s="405"/>
      <c r="CF401" s="405"/>
      <c r="CG401" s="405"/>
      <c r="CH401" s="405"/>
      <c r="CI401" s="405"/>
      <c r="CJ401" s="405"/>
      <c r="CK401" s="405"/>
      <c r="CL401" s="405"/>
      <c r="CM401" s="405"/>
      <c r="CN401" s="405"/>
      <c r="CO401" s="405"/>
      <c r="CP401" s="405"/>
      <c r="CQ401" s="405"/>
      <c r="CR401" s="405"/>
      <c r="CS401" s="405"/>
      <c r="CT401" s="405"/>
      <c r="CU401" s="405"/>
      <c r="CV401" s="405"/>
      <c r="CW401" s="405"/>
      <c r="CX401" s="405"/>
      <c r="CY401" s="405"/>
      <c r="CZ401" s="405"/>
      <c r="DA401" s="405"/>
      <c r="DB401" s="405"/>
    </row>
    <row r="402" spans="1:106" s="9" customFormat="1" ht="24" customHeight="1" x14ac:dyDescent="0.25">
      <c r="A402" s="130"/>
      <c r="B402" s="131">
        <v>1</v>
      </c>
      <c r="C402" s="131"/>
      <c r="D402" s="74" t="s">
        <v>149</v>
      </c>
      <c r="E402" s="173"/>
      <c r="F402" s="74"/>
      <c r="G402" s="180"/>
      <c r="H402" s="395"/>
      <c r="I402" s="395"/>
      <c r="J402" s="182"/>
      <c r="K402" s="181"/>
      <c r="L402" s="182"/>
      <c r="M402" s="182"/>
      <c r="N402" s="184"/>
      <c r="O402" s="183"/>
      <c r="P402" s="184"/>
      <c r="Q402" s="185"/>
      <c r="R402" s="183"/>
      <c r="S402" s="183"/>
      <c r="T402" s="729"/>
      <c r="U402" s="133"/>
      <c r="V402" s="133"/>
      <c r="W402" s="311">
        <f>W403</f>
        <v>0</v>
      </c>
      <c r="X402" s="311"/>
      <c r="Y402" s="311"/>
      <c r="Z402" s="311">
        <f t="shared" ref="Z402:BG402" si="444">Z403</f>
        <v>0</v>
      </c>
      <c r="AA402" s="311"/>
      <c r="AB402" s="311"/>
      <c r="AC402" s="311">
        <f t="shared" si="444"/>
        <v>0</v>
      </c>
      <c r="AD402" s="311"/>
      <c r="AE402" s="311"/>
      <c r="AF402" s="311">
        <f t="shared" si="444"/>
        <v>0</v>
      </c>
      <c r="AG402" s="311"/>
      <c r="AH402" s="311"/>
      <c r="AI402" s="311">
        <f t="shared" si="444"/>
        <v>0</v>
      </c>
      <c r="AJ402" s="311"/>
      <c r="AK402" s="311"/>
      <c r="AL402" s="311">
        <f t="shared" si="444"/>
        <v>0</v>
      </c>
      <c r="AM402" s="311"/>
      <c r="AN402" s="311"/>
      <c r="AO402" s="311">
        <f t="shared" si="444"/>
        <v>0</v>
      </c>
      <c r="AP402" s="311"/>
      <c r="AQ402" s="311"/>
      <c r="AR402" s="311">
        <f t="shared" si="444"/>
        <v>0</v>
      </c>
      <c r="AS402" s="311"/>
      <c r="AT402" s="311"/>
      <c r="AU402" s="311">
        <f t="shared" si="444"/>
        <v>0</v>
      </c>
      <c r="AV402" s="311"/>
      <c r="AW402" s="311"/>
      <c r="AX402" s="311">
        <f t="shared" si="444"/>
        <v>0</v>
      </c>
      <c r="AY402" s="311"/>
      <c r="AZ402" s="311"/>
      <c r="BA402" s="311">
        <f t="shared" si="444"/>
        <v>520000000</v>
      </c>
      <c r="BB402" s="311">
        <f t="shared" si="444"/>
        <v>142970334</v>
      </c>
      <c r="BC402" s="311">
        <f t="shared" si="444"/>
        <v>8655000</v>
      </c>
      <c r="BD402" s="311">
        <f t="shared" si="444"/>
        <v>0</v>
      </c>
      <c r="BE402" s="311"/>
      <c r="BF402" s="311"/>
      <c r="BG402" s="311">
        <f t="shared" si="444"/>
        <v>0</v>
      </c>
      <c r="BH402" s="311"/>
      <c r="BI402" s="311"/>
      <c r="BJ402" s="311">
        <f>BJ403</f>
        <v>520000000</v>
      </c>
      <c r="BK402" s="311">
        <f t="shared" ref="BK402:BL402" si="445">BK403</f>
        <v>142970334</v>
      </c>
      <c r="BL402" s="311">
        <f t="shared" si="445"/>
        <v>8655000</v>
      </c>
      <c r="BM402" s="311"/>
      <c r="BN402" s="312"/>
      <c r="BO402" s="8"/>
      <c r="BP402" s="8"/>
      <c r="BQ402" s="8"/>
      <c r="BR402" s="8"/>
      <c r="BS402" s="8"/>
      <c r="BT402" s="8"/>
      <c r="BU402" s="8"/>
      <c r="BV402" s="8"/>
      <c r="BW402" s="8"/>
      <c r="BX402" s="8"/>
      <c r="BY402" s="8"/>
      <c r="BZ402" s="8"/>
      <c r="CA402" s="8"/>
      <c r="CB402" s="8"/>
      <c r="CC402" s="8"/>
      <c r="CD402" s="8"/>
      <c r="CE402" s="8"/>
      <c r="CF402" s="8"/>
      <c r="CG402" s="8"/>
      <c r="CH402" s="8"/>
      <c r="CI402" s="8"/>
      <c r="CJ402" s="8"/>
      <c r="CK402" s="8"/>
      <c r="CL402" s="8"/>
      <c r="CM402" s="8"/>
      <c r="CN402" s="8"/>
      <c r="CO402" s="8"/>
      <c r="CP402" s="8"/>
      <c r="CQ402" s="8"/>
      <c r="CR402" s="8"/>
      <c r="CS402" s="8"/>
      <c r="CT402" s="8"/>
      <c r="CU402" s="8"/>
      <c r="CV402" s="8"/>
      <c r="CW402" s="8"/>
      <c r="CX402" s="8"/>
      <c r="CY402" s="8"/>
      <c r="CZ402" s="8"/>
      <c r="DA402" s="8"/>
      <c r="DB402" s="8"/>
    </row>
    <row r="403" spans="1:106" s="9" customFormat="1" ht="24" customHeight="1" x14ac:dyDescent="0.25">
      <c r="A403" s="130"/>
      <c r="B403" s="83"/>
      <c r="C403" s="83"/>
      <c r="D403" s="77">
        <v>23</v>
      </c>
      <c r="E403" s="75" t="s">
        <v>1232</v>
      </c>
      <c r="F403" s="75"/>
      <c r="G403" s="135"/>
      <c r="H403" s="136"/>
      <c r="I403" s="136"/>
      <c r="J403" s="138"/>
      <c r="K403" s="137"/>
      <c r="L403" s="138"/>
      <c r="M403" s="138"/>
      <c r="N403" s="140"/>
      <c r="O403" s="139"/>
      <c r="P403" s="140"/>
      <c r="Q403" s="141"/>
      <c r="R403" s="139"/>
      <c r="S403" s="139"/>
      <c r="T403" s="204"/>
      <c r="U403" s="143"/>
      <c r="V403" s="143"/>
      <c r="W403" s="144">
        <f>W404+W414</f>
        <v>0</v>
      </c>
      <c r="X403" s="144"/>
      <c r="Y403" s="144"/>
      <c r="Z403" s="144">
        <f t="shared" ref="Z403:BJ403" si="446">Z404+Z414</f>
        <v>0</v>
      </c>
      <c r="AA403" s="144"/>
      <c r="AB403" s="144"/>
      <c r="AC403" s="144">
        <f t="shared" si="446"/>
        <v>0</v>
      </c>
      <c r="AD403" s="144"/>
      <c r="AE403" s="144"/>
      <c r="AF403" s="144">
        <f t="shared" si="446"/>
        <v>0</v>
      </c>
      <c r="AG403" s="144"/>
      <c r="AH403" s="144"/>
      <c r="AI403" s="144">
        <f t="shared" si="446"/>
        <v>0</v>
      </c>
      <c r="AJ403" s="144"/>
      <c r="AK403" s="144"/>
      <c r="AL403" s="144">
        <f t="shared" si="446"/>
        <v>0</v>
      </c>
      <c r="AM403" s="144"/>
      <c r="AN403" s="144"/>
      <c r="AO403" s="144">
        <f t="shared" si="446"/>
        <v>0</v>
      </c>
      <c r="AP403" s="144"/>
      <c r="AQ403" s="144"/>
      <c r="AR403" s="144">
        <f t="shared" si="446"/>
        <v>0</v>
      </c>
      <c r="AS403" s="144"/>
      <c r="AT403" s="144"/>
      <c r="AU403" s="144">
        <f t="shared" si="446"/>
        <v>0</v>
      </c>
      <c r="AV403" s="144"/>
      <c r="AW403" s="144"/>
      <c r="AX403" s="144">
        <f t="shared" si="446"/>
        <v>0</v>
      </c>
      <c r="AY403" s="144"/>
      <c r="AZ403" s="144"/>
      <c r="BA403" s="144">
        <f t="shared" si="446"/>
        <v>520000000</v>
      </c>
      <c r="BB403" s="144">
        <f t="shared" ref="BB403:BC403" si="447">BB404+BB414</f>
        <v>142970334</v>
      </c>
      <c r="BC403" s="144">
        <f t="shared" si="447"/>
        <v>8655000</v>
      </c>
      <c r="BD403" s="144">
        <f t="shared" si="446"/>
        <v>0</v>
      </c>
      <c r="BE403" s="144"/>
      <c r="BF403" s="144"/>
      <c r="BG403" s="144">
        <f t="shared" si="446"/>
        <v>0</v>
      </c>
      <c r="BH403" s="144"/>
      <c r="BI403" s="144"/>
      <c r="BJ403" s="144">
        <f t="shared" si="446"/>
        <v>520000000</v>
      </c>
      <c r="BK403" s="144">
        <f t="shared" ref="BK403:BL403" si="448">BK404+BK414</f>
        <v>142970334</v>
      </c>
      <c r="BL403" s="144">
        <f t="shared" si="448"/>
        <v>8655000</v>
      </c>
      <c r="BM403" s="144"/>
      <c r="BN403" s="169"/>
      <c r="BO403" s="8"/>
      <c r="BP403" s="8"/>
      <c r="BQ403" s="8"/>
      <c r="BR403" s="8"/>
      <c r="BS403" s="8"/>
      <c r="BT403" s="8"/>
      <c r="BU403" s="8"/>
      <c r="BV403" s="8"/>
      <c r="BW403" s="8"/>
      <c r="BX403" s="8"/>
      <c r="BY403" s="8"/>
      <c r="BZ403" s="8"/>
      <c r="CA403" s="8"/>
      <c r="CB403" s="8"/>
      <c r="CC403" s="8"/>
      <c r="CD403" s="8"/>
      <c r="CE403" s="8"/>
      <c r="CF403" s="8"/>
      <c r="CG403" s="8"/>
      <c r="CH403" s="8"/>
      <c r="CI403" s="8"/>
      <c r="CJ403" s="8"/>
      <c r="CK403" s="8"/>
      <c r="CL403" s="8"/>
      <c r="CM403" s="8"/>
      <c r="CN403" s="8"/>
      <c r="CO403" s="8"/>
      <c r="CP403" s="8"/>
      <c r="CQ403" s="8"/>
      <c r="CR403" s="8"/>
      <c r="CS403" s="8"/>
      <c r="CT403" s="8"/>
      <c r="CU403" s="8"/>
      <c r="CV403" s="8"/>
      <c r="CW403" s="8"/>
      <c r="CX403" s="8"/>
      <c r="CY403" s="8"/>
      <c r="CZ403" s="8"/>
      <c r="DA403" s="8"/>
      <c r="DB403" s="8"/>
    </row>
    <row r="404" spans="1:106" s="9" customFormat="1" ht="24" customHeight="1" x14ac:dyDescent="0.25">
      <c r="A404" s="130"/>
      <c r="B404" s="91"/>
      <c r="C404" s="91"/>
      <c r="D404" s="91"/>
      <c r="E404" s="91"/>
      <c r="F404" s="146">
        <v>2301</v>
      </c>
      <c r="G404" s="81" t="s">
        <v>1233</v>
      </c>
      <c r="H404" s="194"/>
      <c r="I404" s="194"/>
      <c r="J404" s="194"/>
      <c r="K404" s="194"/>
      <c r="L404" s="194"/>
      <c r="M404" s="194"/>
      <c r="N404" s="734"/>
      <c r="O404" s="735"/>
      <c r="P404" s="734"/>
      <c r="Q404" s="727"/>
      <c r="R404" s="735"/>
      <c r="S404" s="735"/>
      <c r="T404" s="728"/>
      <c r="U404" s="313"/>
      <c r="V404" s="313"/>
      <c r="W404" s="148">
        <f>SUM(W405:W413)</f>
        <v>0</v>
      </c>
      <c r="X404" s="148"/>
      <c r="Y404" s="148"/>
      <c r="Z404" s="148">
        <f t="shared" ref="Z404:BJ404" si="449">SUM(Z405:Z413)</f>
        <v>0</v>
      </c>
      <c r="AA404" s="148"/>
      <c r="AB404" s="148"/>
      <c r="AC404" s="148">
        <f t="shared" si="449"/>
        <v>0</v>
      </c>
      <c r="AD404" s="148"/>
      <c r="AE404" s="148"/>
      <c r="AF404" s="148">
        <f t="shared" si="449"/>
        <v>0</v>
      </c>
      <c r="AG404" s="148"/>
      <c r="AH404" s="148"/>
      <c r="AI404" s="148">
        <f t="shared" si="449"/>
        <v>0</v>
      </c>
      <c r="AJ404" s="148"/>
      <c r="AK404" s="148"/>
      <c r="AL404" s="148">
        <f t="shared" si="449"/>
        <v>0</v>
      </c>
      <c r="AM404" s="148"/>
      <c r="AN404" s="148"/>
      <c r="AO404" s="148">
        <f t="shared" si="449"/>
        <v>0</v>
      </c>
      <c r="AP404" s="148"/>
      <c r="AQ404" s="148"/>
      <c r="AR404" s="148">
        <f t="shared" si="449"/>
        <v>0</v>
      </c>
      <c r="AS404" s="148"/>
      <c r="AT404" s="148"/>
      <c r="AU404" s="148">
        <f t="shared" si="449"/>
        <v>0</v>
      </c>
      <c r="AV404" s="148"/>
      <c r="AW404" s="148"/>
      <c r="AX404" s="148">
        <f t="shared" si="449"/>
        <v>0</v>
      </c>
      <c r="AY404" s="148"/>
      <c r="AZ404" s="148"/>
      <c r="BA404" s="148">
        <f t="shared" si="449"/>
        <v>374000000</v>
      </c>
      <c r="BB404" s="148">
        <f t="shared" ref="BB404:BC404" si="450">SUM(BB405:BB413)</f>
        <v>76080000</v>
      </c>
      <c r="BC404" s="148">
        <f t="shared" si="450"/>
        <v>8655000</v>
      </c>
      <c r="BD404" s="148">
        <f t="shared" si="449"/>
        <v>0</v>
      </c>
      <c r="BE404" s="148"/>
      <c r="BF404" s="148"/>
      <c r="BG404" s="148">
        <f t="shared" si="449"/>
        <v>0</v>
      </c>
      <c r="BH404" s="148"/>
      <c r="BI404" s="148"/>
      <c r="BJ404" s="588">
        <f t="shared" si="449"/>
        <v>374000000</v>
      </c>
      <c r="BK404" s="588">
        <f t="shared" ref="BK404:BL404" si="451">SUM(BK405:BK413)</f>
        <v>76080000</v>
      </c>
      <c r="BL404" s="588">
        <f t="shared" si="451"/>
        <v>8655000</v>
      </c>
      <c r="BM404" s="588">
        <f>SUM(BM405:BM413)</f>
        <v>0</v>
      </c>
      <c r="BN404" s="156">
        <f>SUM(BN405:BN413)</f>
        <v>0</v>
      </c>
      <c r="BO404" s="8"/>
      <c r="BP404" s="8"/>
      <c r="BQ404" s="8"/>
      <c r="BR404" s="8"/>
      <c r="BS404" s="8"/>
      <c r="BT404" s="8"/>
      <c r="BU404" s="8"/>
      <c r="BV404" s="8"/>
      <c r="BW404" s="8"/>
      <c r="BX404" s="8"/>
      <c r="BY404" s="8"/>
      <c r="BZ404" s="8"/>
      <c r="CA404" s="8"/>
      <c r="CB404" s="8"/>
      <c r="CC404" s="8"/>
      <c r="CD404" s="8"/>
      <c r="CE404" s="8"/>
      <c r="CF404" s="8"/>
      <c r="CG404" s="8"/>
      <c r="CH404" s="8"/>
      <c r="CI404" s="8"/>
      <c r="CJ404" s="8"/>
      <c r="CK404" s="8"/>
      <c r="CL404" s="8"/>
      <c r="CM404" s="8"/>
      <c r="CN404" s="8"/>
      <c r="CO404" s="8"/>
      <c r="CP404" s="8"/>
      <c r="CQ404" s="8"/>
      <c r="CR404" s="8"/>
      <c r="CS404" s="8"/>
      <c r="CT404" s="8"/>
      <c r="CU404" s="8"/>
      <c r="CV404" s="8"/>
      <c r="CW404" s="8"/>
      <c r="CX404" s="8"/>
      <c r="CY404" s="8"/>
      <c r="CZ404" s="8"/>
      <c r="DA404" s="8"/>
      <c r="DB404" s="8"/>
    </row>
    <row r="405" spans="1:106" ht="75" customHeight="1" x14ac:dyDescent="0.2">
      <c r="A405" s="145"/>
      <c r="B405" s="91"/>
      <c r="C405" s="91"/>
      <c r="D405" s="91"/>
      <c r="E405" s="91"/>
      <c r="F405" s="87"/>
      <c r="G405" s="569"/>
      <c r="H405" s="884" t="s">
        <v>1234</v>
      </c>
      <c r="I405" s="909">
        <v>2301024</v>
      </c>
      <c r="J405" s="875" t="s">
        <v>1235</v>
      </c>
      <c r="K405" s="909">
        <v>2301024</v>
      </c>
      <c r="L405" s="875" t="s">
        <v>1235</v>
      </c>
      <c r="M405" s="105">
        <v>230102401</v>
      </c>
      <c r="N405" s="561" t="s">
        <v>1236</v>
      </c>
      <c r="O405" s="105">
        <v>230102401</v>
      </c>
      <c r="P405" s="561" t="s">
        <v>1236</v>
      </c>
      <c r="Q405" s="569" t="s">
        <v>52</v>
      </c>
      <c r="R405" s="125">
        <v>15</v>
      </c>
      <c r="S405" s="125">
        <v>0</v>
      </c>
      <c r="T405" s="876" t="s">
        <v>1237</v>
      </c>
      <c r="U405" s="872" t="s">
        <v>1238</v>
      </c>
      <c r="V405" s="872" t="s">
        <v>1239</v>
      </c>
      <c r="W405" s="150"/>
      <c r="X405" s="150"/>
      <c r="Y405" s="150"/>
      <c r="Z405" s="150"/>
      <c r="AA405" s="150"/>
      <c r="AB405" s="150"/>
      <c r="AC405" s="150"/>
      <c r="AD405" s="150"/>
      <c r="AE405" s="150"/>
      <c r="AF405" s="151"/>
      <c r="AG405" s="151"/>
      <c r="AH405" s="151"/>
      <c r="AI405" s="151"/>
      <c r="AJ405" s="314"/>
      <c r="AK405" s="314"/>
      <c r="AL405" s="314"/>
      <c r="AM405" s="314"/>
      <c r="AN405" s="314"/>
      <c r="AO405" s="151"/>
      <c r="AP405" s="151"/>
      <c r="AQ405" s="151"/>
      <c r="AR405" s="151"/>
      <c r="AS405" s="315"/>
      <c r="AT405" s="315"/>
      <c r="AU405" s="315"/>
      <c r="AV405" s="315"/>
      <c r="AW405" s="315"/>
      <c r="AX405" s="151"/>
      <c r="AY405" s="151"/>
      <c r="AZ405" s="151"/>
      <c r="BA405" s="151">
        <v>18000000</v>
      </c>
      <c r="BB405" s="151"/>
      <c r="BC405" s="151"/>
      <c r="BD405" s="151"/>
      <c r="BE405" s="151"/>
      <c r="BF405" s="151"/>
      <c r="BG405" s="151"/>
      <c r="BH405" s="314"/>
      <c r="BI405" s="314"/>
      <c r="BJ405" s="622">
        <f>+W405+Z405+AC405+AF405+AI405+AL405+AO405+AR405+AU405+AX405+BA405+BD405+BG405</f>
        <v>18000000</v>
      </c>
      <c r="BK405" s="622">
        <f t="shared" ref="BK405:BL413" si="452">+X405+AA405+AD405+AG405+AJ405+AM405+AP405+AS405+AV405+AY405+BB405+BE405+BH405</f>
        <v>0</v>
      </c>
      <c r="BL405" s="622">
        <f t="shared" si="452"/>
        <v>0</v>
      </c>
      <c r="BM405" s="617" t="s">
        <v>1533</v>
      </c>
      <c r="BN405" s="587" t="s">
        <v>1240</v>
      </c>
    </row>
    <row r="406" spans="1:106" ht="75" customHeight="1" x14ac:dyDescent="0.2">
      <c r="A406" s="145"/>
      <c r="B406" s="91"/>
      <c r="C406" s="91"/>
      <c r="D406" s="91"/>
      <c r="E406" s="91"/>
      <c r="F406" s="87"/>
      <c r="G406" s="569"/>
      <c r="H406" s="885"/>
      <c r="I406" s="909"/>
      <c r="J406" s="875"/>
      <c r="K406" s="909"/>
      <c r="L406" s="875"/>
      <c r="M406" s="105">
        <v>230102404</v>
      </c>
      <c r="N406" s="561" t="s">
        <v>1241</v>
      </c>
      <c r="O406" s="105">
        <v>230102404</v>
      </c>
      <c r="P406" s="561" t="s">
        <v>1241</v>
      </c>
      <c r="Q406" s="108" t="s">
        <v>68</v>
      </c>
      <c r="R406" s="125">
        <v>3</v>
      </c>
      <c r="S406" s="125">
        <v>0</v>
      </c>
      <c r="T406" s="876"/>
      <c r="U406" s="872"/>
      <c r="V406" s="872"/>
      <c r="W406" s="150"/>
      <c r="X406" s="150"/>
      <c r="Y406" s="150"/>
      <c r="Z406" s="150"/>
      <c r="AA406" s="150"/>
      <c r="AB406" s="150"/>
      <c r="AC406" s="150"/>
      <c r="AD406" s="150"/>
      <c r="AE406" s="150"/>
      <c r="AF406" s="151"/>
      <c r="AG406" s="151"/>
      <c r="AH406" s="151"/>
      <c r="AI406" s="151"/>
      <c r="AJ406" s="314"/>
      <c r="AK406" s="314"/>
      <c r="AL406" s="314"/>
      <c r="AM406" s="314"/>
      <c r="AN406" s="314"/>
      <c r="AO406" s="151"/>
      <c r="AP406" s="151"/>
      <c r="AQ406" s="151"/>
      <c r="AR406" s="151"/>
      <c r="AS406" s="315"/>
      <c r="AT406" s="315"/>
      <c r="AU406" s="315"/>
      <c r="AV406" s="315"/>
      <c r="AW406" s="315"/>
      <c r="AX406" s="151"/>
      <c r="AY406" s="151"/>
      <c r="AZ406" s="151"/>
      <c r="BA406" s="151">
        <v>100000000</v>
      </c>
      <c r="BB406" s="339">
        <v>29920000</v>
      </c>
      <c r="BC406" s="339"/>
      <c r="BD406" s="151"/>
      <c r="BE406" s="151"/>
      <c r="BF406" s="151"/>
      <c r="BG406" s="151"/>
      <c r="BH406" s="314"/>
      <c r="BI406" s="314"/>
      <c r="BJ406" s="622">
        <f t="shared" ref="BJ406:BJ413" si="453">+W406+Z406+AC406+AF406+AI406+AL406+AO406+AR406+AU406+AX406+BA406+BD406+BG406</f>
        <v>100000000</v>
      </c>
      <c r="BK406" s="622">
        <f t="shared" si="452"/>
        <v>29920000</v>
      </c>
      <c r="BL406" s="622">
        <f t="shared" si="452"/>
        <v>0</v>
      </c>
      <c r="BM406" s="617" t="s">
        <v>1533</v>
      </c>
      <c r="BN406" s="587" t="s">
        <v>1240</v>
      </c>
    </row>
    <row r="407" spans="1:106" ht="103.5" customHeight="1" x14ac:dyDescent="0.2">
      <c r="A407" s="145"/>
      <c r="B407" s="91"/>
      <c r="C407" s="91"/>
      <c r="D407" s="91"/>
      <c r="E407" s="91"/>
      <c r="F407" s="87"/>
      <c r="G407" s="569"/>
      <c r="H407" s="562" t="s">
        <v>1234</v>
      </c>
      <c r="I407" s="461">
        <v>2301012</v>
      </c>
      <c r="J407" s="562" t="s">
        <v>1242</v>
      </c>
      <c r="K407" s="567">
        <v>2301079</v>
      </c>
      <c r="L407" s="562" t="s">
        <v>1243</v>
      </c>
      <c r="M407" s="461">
        <v>230101204</v>
      </c>
      <c r="N407" s="561" t="s">
        <v>1244</v>
      </c>
      <c r="O407" s="105">
        <v>230107902</v>
      </c>
      <c r="P407" s="561" t="s">
        <v>1245</v>
      </c>
      <c r="Q407" s="569" t="s">
        <v>68</v>
      </c>
      <c r="R407" s="125">
        <v>13</v>
      </c>
      <c r="S407" s="125">
        <v>0</v>
      </c>
      <c r="T407" s="876"/>
      <c r="U407" s="872"/>
      <c r="V407" s="872"/>
      <c r="W407" s="150"/>
      <c r="X407" s="150"/>
      <c r="Y407" s="150"/>
      <c r="Z407" s="150"/>
      <c r="AA407" s="150"/>
      <c r="AB407" s="150"/>
      <c r="AC407" s="150"/>
      <c r="AD407" s="150"/>
      <c r="AE407" s="150"/>
      <c r="AF407" s="151"/>
      <c r="AG407" s="151"/>
      <c r="AH407" s="151"/>
      <c r="AI407" s="151"/>
      <c r="AJ407" s="314"/>
      <c r="AK407" s="314"/>
      <c r="AL407" s="314"/>
      <c r="AM407" s="314"/>
      <c r="AN407" s="314"/>
      <c r="AO407" s="151"/>
      <c r="AP407" s="151"/>
      <c r="AQ407" s="151"/>
      <c r="AR407" s="151"/>
      <c r="AS407" s="315"/>
      <c r="AT407" s="315"/>
      <c r="AU407" s="315"/>
      <c r="AV407" s="315"/>
      <c r="AW407" s="315"/>
      <c r="AX407" s="151"/>
      <c r="AY407" s="151"/>
      <c r="AZ407" s="151"/>
      <c r="BA407" s="151">
        <v>80000000</v>
      </c>
      <c r="BB407" s="339"/>
      <c r="BC407" s="339"/>
      <c r="BD407" s="151"/>
      <c r="BE407" s="151"/>
      <c r="BF407" s="151"/>
      <c r="BG407" s="151"/>
      <c r="BH407" s="314"/>
      <c r="BI407" s="314"/>
      <c r="BJ407" s="622">
        <f t="shared" si="453"/>
        <v>80000000</v>
      </c>
      <c r="BK407" s="622">
        <f t="shared" si="452"/>
        <v>0</v>
      </c>
      <c r="BL407" s="622">
        <f t="shared" si="452"/>
        <v>0</v>
      </c>
      <c r="BM407" s="617" t="s">
        <v>1533</v>
      </c>
      <c r="BN407" s="587" t="s">
        <v>1240</v>
      </c>
    </row>
    <row r="408" spans="1:106" ht="96.75" customHeight="1" x14ac:dyDescent="0.2">
      <c r="A408" s="145"/>
      <c r="B408" s="91"/>
      <c r="C408" s="91"/>
      <c r="D408" s="91"/>
      <c r="E408" s="91"/>
      <c r="F408" s="87"/>
      <c r="G408" s="569"/>
      <c r="H408" s="562" t="s">
        <v>1234</v>
      </c>
      <c r="I408" s="567">
        <v>2301062</v>
      </c>
      <c r="J408" s="562" t="s">
        <v>1246</v>
      </c>
      <c r="K408" s="567">
        <v>2301062</v>
      </c>
      <c r="L408" s="562" t="s">
        <v>1246</v>
      </c>
      <c r="M408" s="105">
        <v>230106201</v>
      </c>
      <c r="N408" s="561" t="s">
        <v>1247</v>
      </c>
      <c r="O408" s="105">
        <v>230106201</v>
      </c>
      <c r="P408" s="561" t="s">
        <v>1247</v>
      </c>
      <c r="Q408" s="570" t="s">
        <v>1248</v>
      </c>
      <c r="R408" s="252">
        <v>9</v>
      </c>
      <c r="S408" s="252">
        <v>0</v>
      </c>
      <c r="T408" s="876"/>
      <c r="U408" s="872"/>
      <c r="V408" s="872"/>
      <c r="W408" s="150"/>
      <c r="X408" s="150"/>
      <c r="Y408" s="150"/>
      <c r="Z408" s="150"/>
      <c r="AA408" s="150"/>
      <c r="AB408" s="150"/>
      <c r="AC408" s="150"/>
      <c r="AD408" s="150"/>
      <c r="AE408" s="150"/>
      <c r="AF408" s="151"/>
      <c r="AG408" s="151"/>
      <c r="AH408" s="151"/>
      <c r="AI408" s="151"/>
      <c r="AJ408" s="314"/>
      <c r="AK408" s="314"/>
      <c r="AL408" s="314"/>
      <c r="AM408" s="314"/>
      <c r="AN408" s="314"/>
      <c r="AO408" s="151"/>
      <c r="AP408" s="151"/>
      <c r="AQ408" s="151"/>
      <c r="AR408" s="151"/>
      <c r="AS408" s="315"/>
      <c r="AT408" s="315"/>
      <c r="AU408" s="315"/>
      <c r="AV408" s="315"/>
      <c r="AW408" s="315"/>
      <c r="AX408" s="151"/>
      <c r="AY408" s="151"/>
      <c r="AZ408" s="151"/>
      <c r="BA408" s="151">
        <v>50000000</v>
      </c>
      <c r="BB408" s="339"/>
      <c r="BC408" s="339"/>
      <c r="BD408" s="151"/>
      <c r="BE408" s="151"/>
      <c r="BF408" s="151"/>
      <c r="BG408" s="151"/>
      <c r="BH408" s="314"/>
      <c r="BI408" s="314"/>
      <c r="BJ408" s="622">
        <f t="shared" si="453"/>
        <v>50000000</v>
      </c>
      <c r="BK408" s="622">
        <f t="shared" si="452"/>
        <v>0</v>
      </c>
      <c r="BL408" s="622">
        <f t="shared" si="452"/>
        <v>0</v>
      </c>
      <c r="BM408" s="617" t="s">
        <v>1533</v>
      </c>
      <c r="BN408" s="587" t="s">
        <v>1240</v>
      </c>
    </row>
    <row r="409" spans="1:106" ht="102" customHeight="1" x14ac:dyDescent="0.2">
      <c r="A409" s="145"/>
      <c r="B409" s="91"/>
      <c r="C409" s="91"/>
      <c r="D409" s="91"/>
      <c r="E409" s="91"/>
      <c r="F409" s="87"/>
      <c r="G409" s="569"/>
      <c r="H409" s="562" t="s">
        <v>1249</v>
      </c>
      <c r="I409" s="567">
        <v>2301030</v>
      </c>
      <c r="J409" s="562" t="s">
        <v>1250</v>
      </c>
      <c r="K409" s="567">
        <v>2301030</v>
      </c>
      <c r="L409" s="562" t="s">
        <v>1250</v>
      </c>
      <c r="M409" s="105">
        <v>230103000</v>
      </c>
      <c r="N409" s="561" t="s">
        <v>1251</v>
      </c>
      <c r="O409" s="105">
        <v>230103000</v>
      </c>
      <c r="P409" s="561" t="s">
        <v>1251</v>
      </c>
      <c r="Q409" s="569" t="s">
        <v>68</v>
      </c>
      <c r="R409" s="125">
        <v>2500</v>
      </c>
      <c r="S409" s="125">
        <v>0</v>
      </c>
      <c r="T409" s="866" t="s">
        <v>1252</v>
      </c>
      <c r="U409" s="867" t="s">
        <v>1253</v>
      </c>
      <c r="V409" s="880" t="s">
        <v>1254</v>
      </c>
      <c r="W409" s="150"/>
      <c r="X409" s="150"/>
      <c r="Y409" s="150"/>
      <c r="Z409" s="150"/>
      <c r="AA409" s="150"/>
      <c r="AB409" s="150"/>
      <c r="AC409" s="150"/>
      <c r="AD409" s="150"/>
      <c r="AE409" s="150"/>
      <c r="AF409" s="151"/>
      <c r="AG409" s="151"/>
      <c r="AH409" s="151"/>
      <c r="AI409" s="151"/>
      <c r="AJ409" s="314"/>
      <c r="AK409" s="314"/>
      <c r="AL409" s="314"/>
      <c r="AM409" s="314"/>
      <c r="AN409" s="314"/>
      <c r="AO409" s="151"/>
      <c r="AP409" s="151"/>
      <c r="AQ409" s="151"/>
      <c r="AR409" s="151"/>
      <c r="AS409" s="315"/>
      <c r="AT409" s="315"/>
      <c r="AU409" s="315"/>
      <c r="AV409" s="315"/>
      <c r="AW409" s="315"/>
      <c r="AX409" s="151"/>
      <c r="AY409" s="151"/>
      <c r="AZ409" s="151"/>
      <c r="BA409" s="151">
        <v>36000000</v>
      </c>
      <c r="BB409" s="339">
        <v>29542400</v>
      </c>
      <c r="BC409" s="339"/>
      <c r="BD409" s="151"/>
      <c r="BE409" s="151"/>
      <c r="BF409" s="151"/>
      <c r="BG409" s="151"/>
      <c r="BH409" s="314"/>
      <c r="BI409" s="314"/>
      <c r="BJ409" s="622">
        <f t="shared" si="453"/>
        <v>36000000</v>
      </c>
      <c r="BK409" s="622">
        <f t="shared" si="452"/>
        <v>29542400</v>
      </c>
      <c r="BL409" s="622">
        <f t="shared" si="452"/>
        <v>0</v>
      </c>
      <c r="BM409" s="617" t="s">
        <v>1533</v>
      </c>
      <c r="BN409" s="587" t="s">
        <v>1240</v>
      </c>
    </row>
    <row r="410" spans="1:106" ht="91.5" customHeight="1" x14ac:dyDescent="0.2">
      <c r="A410" s="145"/>
      <c r="B410" s="91"/>
      <c r="C410" s="91"/>
      <c r="D410" s="91"/>
      <c r="E410" s="91"/>
      <c r="F410" s="87"/>
      <c r="G410" s="569"/>
      <c r="H410" s="562" t="s">
        <v>1249</v>
      </c>
      <c r="I410" s="567">
        <v>2301015</v>
      </c>
      <c r="J410" s="562" t="s">
        <v>1255</v>
      </c>
      <c r="K410" s="567">
        <v>2301015</v>
      </c>
      <c r="L410" s="562" t="s">
        <v>1255</v>
      </c>
      <c r="M410" s="105">
        <v>230101500</v>
      </c>
      <c r="N410" s="561" t="s">
        <v>1256</v>
      </c>
      <c r="O410" s="105">
        <v>230101500</v>
      </c>
      <c r="P410" s="561" t="s">
        <v>1256</v>
      </c>
      <c r="Q410" s="569" t="s">
        <v>52</v>
      </c>
      <c r="R410" s="125">
        <v>3</v>
      </c>
      <c r="S410" s="125">
        <v>0</v>
      </c>
      <c r="T410" s="866"/>
      <c r="U410" s="867"/>
      <c r="V410" s="880"/>
      <c r="W410" s="150"/>
      <c r="X410" s="150"/>
      <c r="Y410" s="150"/>
      <c r="Z410" s="150"/>
      <c r="AA410" s="150"/>
      <c r="AB410" s="150"/>
      <c r="AC410" s="150"/>
      <c r="AD410" s="150"/>
      <c r="AE410" s="150"/>
      <c r="AF410" s="151"/>
      <c r="AG410" s="151"/>
      <c r="AH410" s="151"/>
      <c r="AI410" s="151"/>
      <c r="AJ410" s="314"/>
      <c r="AK410" s="314"/>
      <c r="AL410" s="314"/>
      <c r="AM410" s="314"/>
      <c r="AN410" s="314"/>
      <c r="AO410" s="151"/>
      <c r="AP410" s="151"/>
      <c r="AQ410" s="151"/>
      <c r="AR410" s="151"/>
      <c r="AS410" s="315"/>
      <c r="AT410" s="315"/>
      <c r="AU410" s="315"/>
      <c r="AV410" s="315"/>
      <c r="AW410" s="315"/>
      <c r="AX410" s="151"/>
      <c r="AY410" s="151"/>
      <c r="AZ410" s="151"/>
      <c r="BA410" s="151">
        <v>18000000</v>
      </c>
      <c r="BB410" s="339"/>
      <c r="BC410" s="339"/>
      <c r="BD410" s="151"/>
      <c r="BE410" s="151"/>
      <c r="BF410" s="151"/>
      <c r="BG410" s="151"/>
      <c r="BH410" s="314"/>
      <c r="BI410" s="314"/>
      <c r="BJ410" s="622">
        <f t="shared" si="453"/>
        <v>18000000</v>
      </c>
      <c r="BK410" s="622">
        <f t="shared" si="452"/>
        <v>0</v>
      </c>
      <c r="BL410" s="622">
        <f t="shared" si="452"/>
        <v>0</v>
      </c>
      <c r="BM410" s="617" t="s">
        <v>1533</v>
      </c>
      <c r="BN410" s="587" t="s">
        <v>1240</v>
      </c>
    </row>
    <row r="411" spans="1:106" ht="99.75" customHeight="1" x14ac:dyDescent="0.2">
      <c r="A411" s="145"/>
      <c r="B411" s="91"/>
      <c r="C411" s="91"/>
      <c r="D411" s="91"/>
      <c r="E411" s="91"/>
      <c r="F411" s="87"/>
      <c r="G411" s="569"/>
      <c r="H411" s="562" t="s">
        <v>1249</v>
      </c>
      <c r="I411" s="567">
        <v>2301004</v>
      </c>
      <c r="J411" s="562" t="s">
        <v>249</v>
      </c>
      <c r="K411" s="567">
        <v>2301004</v>
      </c>
      <c r="L411" s="562" t="s">
        <v>249</v>
      </c>
      <c r="M411" s="461">
        <v>230200400</v>
      </c>
      <c r="N411" s="561" t="s">
        <v>251</v>
      </c>
      <c r="O411" s="105">
        <v>230100400</v>
      </c>
      <c r="P411" s="561" t="s">
        <v>251</v>
      </c>
      <c r="Q411" s="569" t="s">
        <v>52</v>
      </c>
      <c r="R411" s="125">
        <v>1</v>
      </c>
      <c r="S411" s="125">
        <v>0</v>
      </c>
      <c r="T411" s="866"/>
      <c r="U411" s="867"/>
      <c r="V411" s="880"/>
      <c r="W411" s="150"/>
      <c r="X411" s="150"/>
      <c r="Y411" s="150"/>
      <c r="Z411" s="150"/>
      <c r="AA411" s="150"/>
      <c r="AB411" s="150"/>
      <c r="AC411" s="150"/>
      <c r="AD411" s="150"/>
      <c r="AE411" s="150"/>
      <c r="AF411" s="151"/>
      <c r="AG411" s="151"/>
      <c r="AH411" s="151"/>
      <c r="AI411" s="151"/>
      <c r="AJ411" s="314"/>
      <c r="AK411" s="314"/>
      <c r="AL411" s="314"/>
      <c r="AM411" s="314"/>
      <c r="AN411" s="314"/>
      <c r="AO411" s="151"/>
      <c r="AP411" s="151"/>
      <c r="AQ411" s="151"/>
      <c r="AR411" s="151"/>
      <c r="AS411" s="315"/>
      <c r="AT411" s="315"/>
      <c r="AU411" s="315"/>
      <c r="AV411" s="315"/>
      <c r="AW411" s="315"/>
      <c r="AX411" s="151"/>
      <c r="AY411" s="151"/>
      <c r="AZ411" s="151"/>
      <c r="BA411" s="151">
        <v>18000000</v>
      </c>
      <c r="BB411" s="339">
        <v>16617600</v>
      </c>
      <c r="BC411" s="339">
        <v>8655000</v>
      </c>
      <c r="BD411" s="151"/>
      <c r="BE411" s="151"/>
      <c r="BF411" s="151"/>
      <c r="BG411" s="151"/>
      <c r="BH411" s="314"/>
      <c r="BI411" s="314"/>
      <c r="BJ411" s="622">
        <f t="shared" si="453"/>
        <v>18000000</v>
      </c>
      <c r="BK411" s="622">
        <f t="shared" si="452"/>
        <v>16617600</v>
      </c>
      <c r="BL411" s="622">
        <f t="shared" si="452"/>
        <v>8655000</v>
      </c>
      <c r="BM411" s="617" t="s">
        <v>1533</v>
      </c>
      <c r="BN411" s="587" t="s">
        <v>1240</v>
      </c>
    </row>
    <row r="412" spans="1:106" ht="103.5" customHeight="1" x14ac:dyDescent="0.2">
      <c r="A412" s="145"/>
      <c r="B412" s="91"/>
      <c r="C412" s="91"/>
      <c r="D412" s="91"/>
      <c r="E412" s="91"/>
      <c r="F412" s="87"/>
      <c r="G412" s="569"/>
      <c r="H412" s="562" t="s">
        <v>1249</v>
      </c>
      <c r="I412" s="567">
        <v>2301035</v>
      </c>
      <c r="J412" s="562" t="s">
        <v>1257</v>
      </c>
      <c r="K412" s="567">
        <v>2301035</v>
      </c>
      <c r="L412" s="562" t="s">
        <v>1257</v>
      </c>
      <c r="M412" s="105">
        <v>230103500</v>
      </c>
      <c r="N412" s="561" t="s">
        <v>1258</v>
      </c>
      <c r="O412" s="105">
        <v>230103500</v>
      </c>
      <c r="P412" s="561" t="s">
        <v>1258</v>
      </c>
      <c r="Q412" s="569" t="s">
        <v>68</v>
      </c>
      <c r="R412" s="125">
        <v>20</v>
      </c>
      <c r="S412" s="125">
        <v>0</v>
      </c>
      <c r="T412" s="866"/>
      <c r="U412" s="867"/>
      <c r="V412" s="880"/>
      <c r="W412" s="150"/>
      <c r="X412" s="150"/>
      <c r="Y412" s="150"/>
      <c r="Z412" s="150"/>
      <c r="AA412" s="150"/>
      <c r="AB412" s="150"/>
      <c r="AC412" s="150"/>
      <c r="AD412" s="150"/>
      <c r="AE412" s="150"/>
      <c r="AF412" s="151"/>
      <c r="AG412" s="151"/>
      <c r="AH412" s="151"/>
      <c r="AI412" s="151"/>
      <c r="AJ412" s="314"/>
      <c r="AK412" s="314"/>
      <c r="AL412" s="314"/>
      <c r="AM412" s="314"/>
      <c r="AN412" s="314"/>
      <c r="AO412" s="151"/>
      <c r="AP412" s="151"/>
      <c r="AQ412" s="151"/>
      <c r="AR412" s="151"/>
      <c r="AS412" s="315"/>
      <c r="AT412" s="315"/>
      <c r="AU412" s="315"/>
      <c r="AV412" s="315"/>
      <c r="AW412" s="315"/>
      <c r="AX412" s="151"/>
      <c r="AY412" s="151"/>
      <c r="AZ412" s="151"/>
      <c r="BA412" s="151">
        <v>36000000</v>
      </c>
      <c r="BB412" s="339"/>
      <c r="BC412" s="339"/>
      <c r="BD412" s="151"/>
      <c r="BE412" s="151"/>
      <c r="BF412" s="151"/>
      <c r="BG412" s="151"/>
      <c r="BH412" s="314"/>
      <c r="BI412" s="314"/>
      <c r="BJ412" s="622">
        <f t="shared" si="453"/>
        <v>36000000</v>
      </c>
      <c r="BK412" s="622">
        <f t="shared" si="452"/>
        <v>0</v>
      </c>
      <c r="BL412" s="622">
        <f t="shared" si="452"/>
        <v>0</v>
      </c>
      <c r="BM412" s="617" t="s">
        <v>1533</v>
      </c>
      <c r="BN412" s="587" t="s">
        <v>1240</v>
      </c>
    </row>
    <row r="413" spans="1:106" ht="103.5" customHeight="1" x14ac:dyDescent="0.2">
      <c r="A413" s="145"/>
      <c r="B413" s="91"/>
      <c r="C413" s="91"/>
      <c r="D413" s="91"/>
      <c r="E413" s="91"/>
      <c r="F413" s="87"/>
      <c r="G413" s="569"/>
      <c r="H413" s="562" t="s">
        <v>1249</v>
      </c>
      <c r="I413" s="567">
        <v>2301042</v>
      </c>
      <c r="J413" s="562" t="s">
        <v>1259</v>
      </c>
      <c r="K413" s="567">
        <v>2301042</v>
      </c>
      <c r="L413" s="562" t="s">
        <v>1259</v>
      </c>
      <c r="M413" s="105">
        <v>230104201</v>
      </c>
      <c r="N413" s="561" t="s">
        <v>1260</v>
      </c>
      <c r="O413" s="105">
        <v>230104201</v>
      </c>
      <c r="P413" s="561" t="s">
        <v>1260</v>
      </c>
      <c r="Q413" s="569" t="s">
        <v>52</v>
      </c>
      <c r="R413" s="125">
        <v>1</v>
      </c>
      <c r="S413" s="125">
        <v>0</v>
      </c>
      <c r="T413" s="866"/>
      <c r="U413" s="867"/>
      <c r="V413" s="880"/>
      <c r="W413" s="150"/>
      <c r="X413" s="150"/>
      <c r="Y413" s="150"/>
      <c r="Z413" s="150"/>
      <c r="AA413" s="150"/>
      <c r="AB413" s="150"/>
      <c r="AC413" s="150"/>
      <c r="AD413" s="150"/>
      <c r="AE413" s="150"/>
      <c r="AF413" s="151"/>
      <c r="AG413" s="151"/>
      <c r="AH413" s="151"/>
      <c r="AI413" s="151"/>
      <c r="AJ413" s="314"/>
      <c r="AK413" s="314"/>
      <c r="AL413" s="314"/>
      <c r="AM413" s="314"/>
      <c r="AN413" s="314"/>
      <c r="AO413" s="151"/>
      <c r="AP413" s="151"/>
      <c r="AQ413" s="151"/>
      <c r="AR413" s="151"/>
      <c r="AS413" s="315"/>
      <c r="AT413" s="315"/>
      <c r="AU413" s="315"/>
      <c r="AV413" s="315"/>
      <c r="AW413" s="315"/>
      <c r="AX413" s="151"/>
      <c r="AY413" s="151"/>
      <c r="AZ413" s="151"/>
      <c r="BA413" s="151">
        <v>18000000</v>
      </c>
      <c r="BB413" s="151"/>
      <c r="BC413" s="151"/>
      <c r="BD413" s="151"/>
      <c r="BE413" s="151"/>
      <c r="BF413" s="151"/>
      <c r="BG413" s="151"/>
      <c r="BH413" s="314"/>
      <c r="BI413" s="314"/>
      <c r="BJ413" s="622">
        <f t="shared" si="453"/>
        <v>18000000</v>
      </c>
      <c r="BK413" s="622">
        <f t="shared" si="452"/>
        <v>0</v>
      </c>
      <c r="BL413" s="622">
        <f t="shared" si="452"/>
        <v>0</v>
      </c>
      <c r="BM413" s="617" t="s">
        <v>1533</v>
      </c>
      <c r="BN413" s="587" t="s">
        <v>1240</v>
      </c>
    </row>
    <row r="414" spans="1:106" s="9" customFormat="1" ht="24" customHeight="1" x14ac:dyDescent="0.25">
      <c r="A414" s="130"/>
      <c r="B414" s="91"/>
      <c r="C414" s="91"/>
      <c r="D414" s="91"/>
      <c r="E414" s="91"/>
      <c r="F414" s="146">
        <v>2302</v>
      </c>
      <c r="G414" s="81" t="s">
        <v>1529</v>
      </c>
      <c r="H414" s="194"/>
      <c r="I414" s="194"/>
      <c r="J414" s="194"/>
      <c r="K414" s="194"/>
      <c r="L414" s="194"/>
      <c r="M414" s="194"/>
      <c r="N414" s="688"/>
      <c r="O414" s="689"/>
      <c r="P414" s="688"/>
      <c r="Q414" s="727"/>
      <c r="R414" s="689"/>
      <c r="S414" s="689"/>
      <c r="T414" s="728"/>
      <c r="U414" s="147"/>
      <c r="V414" s="147"/>
      <c r="W414" s="148">
        <f>SUM(W415:W419)</f>
        <v>0</v>
      </c>
      <c r="X414" s="148"/>
      <c r="Y414" s="148"/>
      <c r="Z414" s="148">
        <f t="shared" ref="Z414:BL414" si="454">SUM(Z415:Z419)</f>
        <v>0</v>
      </c>
      <c r="AA414" s="148"/>
      <c r="AB414" s="148"/>
      <c r="AC414" s="148">
        <f t="shared" si="454"/>
        <v>0</v>
      </c>
      <c r="AD414" s="148"/>
      <c r="AE414" s="148"/>
      <c r="AF414" s="148">
        <f t="shared" si="454"/>
        <v>0</v>
      </c>
      <c r="AG414" s="148"/>
      <c r="AH414" s="148"/>
      <c r="AI414" s="148">
        <f t="shared" si="454"/>
        <v>0</v>
      </c>
      <c r="AJ414" s="148"/>
      <c r="AK414" s="148"/>
      <c r="AL414" s="148">
        <f t="shared" si="454"/>
        <v>0</v>
      </c>
      <c r="AM414" s="148"/>
      <c r="AN414" s="148"/>
      <c r="AO414" s="148">
        <f t="shared" si="454"/>
        <v>0</v>
      </c>
      <c r="AP414" s="148"/>
      <c r="AQ414" s="148"/>
      <c r="AR414" s="148">
        <f t="shared" si="454"/>
        <v>0</v>
      </c>
      <c r="AS414" s="148"/>
      <c r="AT414" s="148"/>
      <c r="AU414" s="148">
        <f t="shared" si="454"/>
        <v>0</v>
      </c>
      <c r="AV414" s="148"/>
      <c r="AW414" s="148"/>
      <c r="AX414" s="148">
        <f t="shared" si="454"/>
        <v>0</v>
      </c>
      <c r="AY414" s="148"/>
      <c r="AZ414" s="148"/>
      <c r="BA414" s="148">
        <f t="shared" si="454"/>
        <v>146000000</v>
      </c>
      <c r="BB414" s="148">
        <f t="shared" si="454"/>
        <v>66890334</v>
      </c>
      <c r="BC414" s="148">
        <f t="shared" si="454"/>
        <v>0</v>
      </c>
      <c r="BD414" s="148">
        <f t="shared" si="454"/>
        <v>0</v>
      </c>
      <c r="BE414" s="148"/>
      <c r="BF414" s="148"/>
      <c r="BG414" s="148">
        <f t="shared" si="454"/>
        <v>0</v>
      </c>
      <c r="BH414" s="148"/>
      <c r="BI414" s="307"/>
      <c r="BJ414" s="623">
        <f t="shared" si="454"/>
        <v>146000000</v>
      </c>
      <c r="BK414" s="623">
        <f t="shared" si="454"/>
        <v>66890334</v>
      </c>
      <c r="BL414" s="623">
        <f t="shared" si="454"/>
        <v>0</v>
      </c>
      <c r="BM414" s="618">
        <f>SUM(BM415:BM419)</f>
        <v>0</v>
      </c>
      <c r="BN414" s="156">
        <f>SUM(BN415:BN419)</f>
        <v>0</v>
      </c>
      <c r="BO414" s="8"/>
      <c r="BP414" s="8"/>
      <c r="BQ414" s="8"/>
      <c r="BR414" s="8"/>
      <c r="BS414" s="8"/>
      <c r="BT414" s="8"/>
      <c r="BU414" s="8"/>
      <c r="BV414" s="8"/>
      <c r="BW414" s="8"/>
      <c r="BX414" s="8"/>
      <c r="BY414" s="8"/>
      <c r="BZ414" s="8"/>
      <c r="CA414" s="8"/>
      <c r="CB414" s="8"/>
      <c r="CC414" s="8"/>
      <c r="CD414" s="8"/>
      <c r="CE414" s="8"/>
      <c r="CF414" s="8"/>
      <c r="CG414" s="8"/>
      <c r="CH414" s="8"/>
      <c r="CI414" s="8"/>
      <c r="CJ414" s="8"/>
      <c r="CK414" s="8"/>
      <c r="CL414" s="8"/>
      <c r="CM414" s="8"/>
      <c r="CN414" s="8"/>
      <c r="CO414" s="8"/>
      <c r="CP414" s="8"/>
      <c r="CQ414" s="8"/>
      <c r="CR414" s="8"/>
      <c r="CS414" s="8"/>
      <c r="CT414" s="8"/>
      <c r="CU414" s="8"/>
      <c r="CV414" s="8"/>
      <c r="CW414" s="8"/>
      <c r="CX414" s="8"/>
      <c r="CY414" s="8"/>
      <c r="CZ414" s="8"/>
      <c r="DA414" s="8"/>
      <c r="DB414" s="8"/>
    </row>
    <row r="415" spans="1:106" ht="104.25" customHeight="1" x14ac:dyDescent="0.2">
      <c r="A415" s="145"/>
      <c r="B415" s="91"/>
      <c r="C415" s="91"/>
      <c r="D415" s="91"/>
      <c r="E415" s="91"/>
      <c r="F415" s="87"/>
      <c r="G415" s="569"/>
      <c r="H415" s="562" t="s">
        <v>1234</v>
      </c>
      <c r="I415" s="567">
        <v>2302042</v>
      </c>
      <c r="J415" s="562" t="s">
        <v>1261</v>
      </c>
      <c r="K415" s="567">
        <v>2302042</v>
      </c>
      <c r="L415" s="562" t="s">
        <v>1261</v>
      </c>
      <c r="M415" s="105">
        <v>230204200</v>
      </c>
      <c r="N415" s="561" t="s">
        <v>1262</v>
      </c>
      <c r="O415" s="105">
        <v>230204200</v>
      </c>
      <c r="P415" s="561" t="s">
        <v>1262</v>
      </c>
      <c r="Q415" s="569" t="s">
        <v>68</v>
      </c>
      <c r="R415" s="125">
        <v>1</v>
      </c>
      <c r="S415" s="125">
        <v>0</v>
      </c>
      <c r="T415" s="864" t="s">
        <v>1263</v>
      </c>
      <c r="U415" s="875" t="s">
        <v>1264</v>
      </c>
      <c r="V415" s="875" t="s">
        <v>1265</v>
      </c>
      <c r="W415" s="150"/>
      <c r="X415" s="150"/>
      <c r="Y415" s="150"/>
      <c r="Z415" s="150"/>
      <c r="AA415" s="150"/>
      <c r="AB415" s="150"/>
      <c r="AC415" s="150"/>
      <c r="AD415" s="150"/>
      <c r="AE415" s="150"/>
      <c r="AF415" s="151"/>
      <c r="AG415" s="151"/>
      <c r="AH415" s="151"/>
      <c r="AI415" s="151"/>
      <c r="AJ415" s="314"/>
      <c r="AK415" s="314"/>
      <c r="AL415" s="314"/>
      <c r="AM415" s="314"/>
      <c r="AN415" s="314"/>
      <c r="AO415" s="151"/>
      <c r="AP415" s="151"/>
      <c r="AQ415" s="151"/>
      <c r="AR415" s="151"/>
      <c r="AS415" s="315"/>
      <c r="AT415" s="315"/>
      <c r="AU415" s="315"/>
      <c r="AV415" s="315"/>
      <c r="AW415" s="315"/>
      <c r="AX415" s="151"/>
      <c r="AY415" s="151"/>
      <c r="AZ415" s="151"/>
      <c r="BA415" s="151">
        <v>20000000</v>
      </c>
      <c r="BB415" s="151"/>
      <c r="BC415" s="151"/>
      <c r="BD415" s="151"/>
      <c r="BE415" s="151"/>
      <c r="BF415" s="151"/>
      <c r="BG415" s="151"/>
      <c r="BH415" s="314"/>
      <c r="BI415" s="314"/>
      <c r="BJ415" s="622">
        <f>+W415+Z415+AC415+AF415+AI415+AL415+AO415+AR415+AU415+AX415+BA415+BD415+BG415</f>
        <v>20000000</v>
      </c>
      <c r="BK415" s="622">
        <f t="shared" ref="BK415:BL419" si="455">+X415+AA415+AD415+AG415+AJ415+AM415+AP415+AS415+AV415+AY415+BB415+BE415+BH415</f>
        <v>0</v>
      </c>
      <c r="BL415" s="622">
        <f t="shared" si="455"/>
        <v>0</v>
      </c>
      <c r="BM415" s="617" t="s">
        <v>1533</v>
      </c>
      <c r="BN415" s="587" t="s">
        <v>1240</v>
      </c>
    </row>
    <row r="416" spans="1:106" ht="103.5" customHeight="1" x14ac:dyDescent="0.2">
      <c r="A416" s="145"/>
      <c r="B416" s="91"/>
      <c r="C416" s="91"/>
      <c r="D416" s="91"/>
      <c r="E416" s="91"/>
      <c r="F416" s="87"/>
      <c r="G416" s="569"/>
      <c r="H416" s="562" t="s">
        <v>1234</v>
      </c>
      <c r="I416" s="567">
        <v>2302022</v>
      </c>
      <c r="J416" s="562" t="s">
        <v>1266</v>
      </c>
      <c r="K416" s="567">
        <v>2302022</v>
      </c>
      <c r="L416" s="562" t="s">
        <v>1266</v>
      </c>
      <c r="M416" s="105">
        <v>230202200</v>
      </c>
      <c r="N416" s="561" t="s">
        <v>1267</v>
      </c>
      <c r="O416" s="105">
        <v>230202200</v>
      </c>
      <c r="P416" s="561" t="s">
        <v>1267</v>
      </c>
      <c r="Q416" s="569" t="s">
        <v>68</v>
      </c>
      <c r="R416" s="125">
        <v>20</v>
      </c>
      <c r="S416" s="125">
        <v>0</v>
      </c>
      <c r="T416" s="864"/>
      <c r="U416" s="875"/>
      <c r="V416" s="875"/>
      <c r="W416" s="150"/>
      <c r="X416" s="150"/>
      <c r="Y416" s="150"/>
      <c r="Z416" s="150"/>
      <c r="AA416" s="150"/>
      <c r="AB416" s="150"/>
      <c r="AC416" s="150"/>
      <c r="AD416" s="150"/>
      <c r="AE416" s="150"/>
      <c r="AF416" s="151"/>
      <c r="AG416" s="151"/>
      <c r="AH416" s="151"/>
      <c r="AI416" s="151"/>
      <c r="AJ416" s="314"/>
      <c r="AK416" s="314"/>
      <c r="AL416" s="314"/>
      <c r="AM416" s="314"/>
      <c r="AN416" s="314"/>
      <c r="AO416" s="151"/>
      <c r="AP416" s="151"/>
      <c r="AQ416" s="151"/>
      <c r="AR416" s="151"/>
      <c r="AS416" s="315"/>
      <c r="AT416" s="315"/>
      <c r="AU416" s="315"/>
      <c r="AV416" s="315"/>
      <c r="AW416" s="315"/>
      <c r="AX416" s="151"/>
      <c r="AY416" s="151"/>
      <c r="AZ416" s="151"/>
      <c r="BA416" s="151">
        <v>36000000</v>
      </c>
      <c r="BB416" s="151"/>
      <c r="BC416" s="151"/>
      <c r="BD416" s="151"/>
      <c r="BE416" s="151"/>
      <c r="BF416" s="151"/>
      <c r="BG416" s="151"/>
      <c r="BH416" s="314"/>
      <c r="BI416" s="314"/>
      <c r="BJ416" s="622">
        <f>+W416+Z416+AC416+AF416+AI416+AL416+AO416+AR416+AU416+AX416+BA416+BD416+BG416</f>
        <v>36000000</v>
      </c>
      <c r="BK416" s="622">
        <f t="shared" si="455"/>
        <v>0</v>
      </c>
      <c r="BL416" s="622">
        <f t="shared" si="455"/>
        <v>0</v>
      </c>
      <c r="BM416" s="617" t="s">
        <v>1533</v>
      </c>
      <c r="BN416" s="587" t="s">
        <v>1240</v>
      </c>
    </row>
    <row r="417" spans="1:106" s="4" customFormat="1" ht="84" customHeight="1" x14ac:dyDescent="0.2">
      <c r="A417" s="68"/>
      <c r="B417" s="109"/>
      <c r="C417" s="109"/>
      <c r="D417" s="109"/>
      <c r="E417" s="109"/>
      <c r="F417" s="112"/>
      <c r="G417" s="108"/>
      <c r="H417" s="571" t="s">
        <v>1249</v>
      </c>
      <c r="I417" s="84">
        <v>2302021</v>
      </c>
      <c r="J417" s="571" t="s">
        <v>1268</v>
      </c>
      <c r="K417" s="84">
        <v>2302021</v>
      </c>
      <c r="L417" s="571" t="s">
        <v>1268</v>
      </c>
      <c r="M417" s="113">
        <v>230202100</v>
      </c>
      <c r="N417" s="568" t="s">
        <v>1269</v>
      </c>
      <c r="O417" s="113">
        <v>230202100</v>
      </c>
      <c r="P417" s="568" t="s">
        <v>1269</v>
      </c>
      <c r="Q417" s="108" t="s">
        <v>68</v>
      </c>
      <c r="R417" s="125">
        <v>8</v>
      </c>
      <c r="S417" s="125">
        <v>0</v>
      </c>
      <c r="T417" s="864"/>
      <c r="U417" s="875"/>
      <c r="V417" s="875"/>
      <c r="W417" s="127"/>
      <c r="X417" s="127"/>
      <c r="Y417" s="127"/>
      <c r="Z417" s="127"/>
      <c r="AA417" s="127"/>
      <c r="AB417" s="127"/>
      <c r="AC417" s="127"/>
      <c r="AD417" s="127"/>
      <c r="AE417" s="127"/>
      <c r="AF417" s="222"/>
      <c r="AG417" s="222"/>
      <c r="AH417" s="222"/>
      <c r="AI417" s="222"/>
      <c r="AJ417" s="316"/>
      <c r="AK417" s="316"/>
      <c r="AL417" s="316"/>
      <c r="AM417" s="316"/>
      <c r="AN417" s="316"/>
      <c r="AO417" s="222"/>
      <c r="AP417" s="222"/>
      <c r="AQ417" s="222"/>
      <c r="AR417" s="222"/>
      <c r="AS417" s="317"/>
      <c r="AT417" s="317"/>
      <c r="AU417" s="317"/>
      <c r="AV417" s="317"/>
      <c r="AW417" s="317"/>
      <c r="AX417" s="222"/>
      <c r="AY417" s="222"/>
      <c r="AZ417" s="222"/>
      <c r="BA417" s="222">
        <v>50000000</v>
      </c>
      <c r="BB417" s="222">
        <v>35540000</v>
      </c>
      <c r="BC417" s="222"/>
      <c r="BD417" s="222"/>
      <c r="BE417" s="222"/>
      <c r="BF417" s="222"/>
      <c r="BG417" s="222"/>
      <c r="BH417" s="316"/>
      <c r="BI417" s="316"/>
      <c r="BJ417" s="624">
        <f>+W417+Z417+AC417+AF417+AI417+AL417+AO417+AR417+AU417+AX417+BA417+BD417+BG417</f>
        <v>50000000</v>
      </c>
      <c r="BK417" s="624">
        <f t="shared" si="455"/>
        <v>35540000</v>
      </c>
      <c r="BL417" s="624">
        <f t="shared" si="455"/>
        <v>0</v>
      </c>
      <c r="BM417" s="617" t="s">
        <v>1533</v>
      </c>
      <c r="BN417" s="587" t="s">
        <v>1240</v>
      </c>
    </row>
    <row r="418" spans="1:106" ht="114" customHeight="1" x14ac:dyDescent="0.2">
      <c r="A418" s="145"/>
      <c r="B418" s="91"/>
      <c r="C418" s="91"/>
      <c r="D418" s="91"/>
      <c r="E418" s="91"/>
      <c r="F418" s="87"/>
      <c r="G418" s="569"/>
      <c r="H418" s="562" t="s">
        <v>1270</v>
      </c>
      <c r="I418" s="567">
        <v>2302058</v>
      </c>
      <c r="J418" s="562" t="s">
        <v>1271</v>
      </c>
      <c r="K418" s="567">
        <v>2302058</v>
      </c>
      <c r="L418" s="562" t="s">
        <v>1271</v>
      </c>
      <c r="M418" s="105">
        <v>230205800</v>
      </c>
      <c r="N418" s="561" t="s">
        <v>1272</v>
      </c>
      <c r="O418" s="105">
        <v>230205800</v>
      </c>
      <c r="P418" s="561" t="s">
        <v>1272</v>
      </c>
      <c r="Q418" s="569" t="s">
        <v>68</v>
      </c>
      <c r="R418" s="125">
        <v>300</v>
      </c>
      <c r="S418" s="125">
        <v>0</v>
      </c>
      <c r="T418" s="864"/>
      <c r="U418" s="875"/>
      <c r="V418" s="875"/>
      <c r="W418" s="150"/>
      <c r="X418" s="150"/>
      <c r="Y418" s="150"/>
      <c r="Z418" s="150"/>
      <c r="AA418" s="150"/>
      <c r="AB418" s="150"/>
      <c r="AC418" s="150"/>
      <c r="AD418" s="150"/>
      <c r="AE418" s="150"/>
      <c r="AF418" s="151"/>
      <c r="AG418" s="151"/>
      <c r="AH418" s="151"/>
      <c r="AI418" s="151"/>
      <c r="AJ418" s="314"/>
      <c r="AK418" s="314"/>
      <c r="AL418" s="314"/>
      <c r="AM418" s="314"/>
      <c r="AN418" s="314"/>
      <c r="AO418" s="151"/>
      <c r="AP418" s="151"/>
      <c r="AQ418" s="151"/>
      <c r="AR418" s="151"/>
      <c r="AS418" s="315"/>
      <c r="AT418" s="315"/>
      <c r="AU418" s="315"/>
      <c r="AV418" s="315"/>
      <c r="AW418" s="315"/>
      <c r="AX418" s="151"/>
      <c r="AY418" s="151"/>
      <c r="AZ418" s="151"/>
      <c r="BA418" s="151">
        <v>20000000</v>
      </c>
      <c r="BB418" s="339">
        <v>11540000</v>
      </c>
      <c r="BC418" s="151"/>
      <c r="BD418" s="151"/>
      <c r="BE418" s="151"/>
      <c r="BF418" s="151"/>
      <c r="BG418" s="151"/>
      <c r="BH418" s="314"/>
      <c r="BI418" s="314"/>
      <c r="BJ418" s="622">
        <f>+W418+Z418+AC418+AF418+AI418+AL418+AO418+AR418+AU418+AX418+BA418+BD418+BG418</f>
        <v>20000000</v>
      </c>
      <c r="BK418" s="622">
        <f t="shared" si="455"/>
        <v>11540000</v>
      </c>
      <c r="BL418" s="622">
        <f t="shared" si="455"/>
        <v>0</v>
      </c>
      <c r="BM418" s="617" t="s">
        <v>1533</v>
      </c>
      <c r="BN418" s="587" t="s">
        <v>1240</v>
      </c>
    </row>
    <row r="419" spans="1:106" ht="112.5" customHeight="1" x14ac:dyDescent="0.2">
      <c r="A419" s="145"/>
      <c r="B419" s="91"/>
      <c r="C419" s="91"/>
      <c r="D419" s="91"/>
      <c r="E419" s="91"/>
      <c r="F419" s="87"/>
      <c r="G419" s="569"/>
      <c r="H419" s="562" t="s">
        <v>1270</v>
      </c>
      <c r="I419" s="567">
        <v>2302068</v>
      </c>
      <c r="J419" s="562" t="s">
        <v>1273</v>
      </c>
      <c r="K419" s="567">
        <v>2302068</v>
      </c>
      <c r="L419" s="562" t="s">
        <v>1273</v>
      </c>
      <c r="M419" s="105">
        <v>230206800</v>
      </c>
      <c r="N419" s="561" t="s">
        <v>1274</v>
      </c>
      <c r="O419" s="105">
        <v>230206800</v>
      </c>
      <c r="P419" s="561" t="s">
        <v>1274</v>
      </c>
      <c r="Q419" s="569" t="s">
        <v>68</v>
      </c>
      <c r="R419" s="125">
        <v>60</v>
      </c>
      <c r="S419" s="125">
        <v>0</v>
      </c>
      <c r="T419" s="864"/>
      <c r="U419" s="875"/>
      <c r="V419" s="875"/>
      <c r="W419" s="150"/>
      <c r="X419" s="150"/>
      <c r="Y419" s="150"/>
      <c r="Z419" s="150"/>
      <c r="AA419" s="150"/>
      <c r="AB419" s="150"/>
      <c r="AC419" s="150"/>
      <c r="AD419" s="150"/>
      <c r="AE419" s="150"/>
      <c r="AF419" s="151"/>
      <c r="AG419" s="151"/>
      <c r="AH419" s="151"/>
      <c r="AI419" s="151"/>
      <c r="AJ419" s="314"/>
      <c r="AK419" s="314"/>
      <c r="AL419" s="314"/>
      <c r="AM419" s="314"/>
      <c r="AN419" s="314"/>
      <c r="AO419" s="151"/>
      <c r="AP419" s="151"/>
      <c r="AQ419" s="151"/>
      <c r="AR419" s="151"/>
      <c r="AS419" s="315"/>
      <c r="AT419" s="315"/>
      <c r="AU419" s="315"/>
      <c r="AV419" s="315"/>
      <c r="AW419" s="315"/>
      <c r="AX419" s="151"/>
      <c r="AY419" s="151"/>
      <c r="AZ419" s="151"/>
      <c r="BA419" s="151">
        <v>20000000</v>
      </c>
      <c r="BB419" s="339">
        <v>19810334</v>
      </c>
      <c r="BC419" s="151"/>
      <c r="BD419" s="151"/>
      <c r="BE419" s="151"/>
      <c r="BF419" s="151"/>
      <c r="BG419" s="151"/>
      <c r="BH419" s="314"/>
      <c r="BI419" s="314"/>
      <c r="BJ419" s="622">
        <f>+W419+Z419+AC419+AF419+AI419+AL419+AO419+AR419+AU419+AX419+BA419+BD419+BG419</f>
        <v>20000000</v>
      </c>
      <c r="BK419" s="622">
        <f t="shared" si="455"/>
        <v>19810334</v>
      </c>
      <c r="BL419" s="622">
        <f t="shared" si="455"/>
        <v>0</v>
      </c>
      <c r="BM419" s="617" t="s">
        <v>1533</v>
      </c>
      <c r="BN419" s="587" t="s">
        <v>1240</v>
      </c>
    </row>
    <row r="420" spans="1:106" s="9" customFormat="1" ht="24" customHeight="1" x14ac:dyDescent="0.25">
      <c r="A420" s="130"/>
      <c r="B420" s="479">
        <v>2</v>
      </c>
      <c r="C420" s="131"/>
      <c r="D420" s="74" t="s">
        <v>418</v>
      </c>
      <c r="E420" s="173"/>
      <c r="F420" s="74"/>
      <c r="G420" s="180"/>
      <c r="H420" s="180"/>
      <c r="I420" s="395"/>
      <c r="J420" s="182"/>
      <c r="K420" s="181"/>
      <c r="L420" s="182"/>
      <c r="M420" s="182"/>
      <c r="N420" s="184"/>
      <c r="O420" s="183"/>
      <c r="P420" s="184"/>
      <c r="Q420" s="185"/>
      <c r="R420" s="183"/>
      <c r="S420" s="183"/>
      <c r="T420" s="729"/>
      <c r="U420" s="133"/>
      <c r="V420" s="133"/>
      <c r="W420" s="311">
        <f>W421</f>
        <v>0</v>
      </c>
      <c r="X420" s="311"/>
      <c r="Y420" s="311"/>
      <c r="Z420" s="311">
        <f t="shared" ref="Z420:BG420" si="456">Z421</f>
        <v>0</v>
      </c>
      <c r="AA420" s="311"/>
      <c r="AB420" s="311"/>
      <c r="AC420" s="311">
        <f t="shared" si="456"/>
        <v>0</v>
      </c>
      <c r="AD420" s="311"/>
      <c r="AE420" s="311"/>
      <c r="AF420" s="311">
        <f t="shared" si="456"/>
        <v>0</v>
      </c>
      <c r="AG420" s="311"/>
      <c r="AH420" s="311"/>
      <c r="AI420" s="311">
        <f t="shared" si="456"/>
        <v>0</v>
      </c>
      <c r="AJ420" s="311"/>
      <c r="AK420" s="311"/>
      <c r="AL420" s="311">
        <f t="shared" si="456"/>
        <v>0</v>
      </c>
      <c r="AM420" s="311"/>
      <c r="AN420" s="311"/>
      <c r="AO420" s="311">
        <f t="shared" si="456"/>
        <v>0</v>
      </c>
      <c r="AP420" s="311"/>
      <c r="AQ420" s="311"/>
      <c r="AR420" s="311">
        <f t="shared" si="456"/>
        <v>0</v>
      </c>
      <c r="AS420" s="311"/>
      <c r="AT420" s="311"/>
      <c r="AU420" s="311">
        <f t="shared" si="456"/>
        <v>0</v>
      </c>
      <c r="AV420" s="311"/>
      <c r="AW420" s="311"/>
      <c r="AX420" s="311">
        <f t="shared" si="456"/>
        <v>0</v>
      </c>
      <c r="AY420" s="311"/>
      <c r="AZ420" s="311"/>
      <c r="BA420" s="311">
        <f t="shared" si="456"/>
        <v>78000000</v>
      </c>
      <c r="BB420" s="311">
        <f t="shared" si="456"/>
        <v>23080000</v>
      </c>
      <c r="BC420" s="311">
        <f t="shared" si="456"/>
        <v>0</v>
      </c>
      <c r="BD420" s="311">
        <f t="shared" si="456"/>
        <v>0</v>
      </c>
      <c r="BE420" s="311"/>
      <c r="BF420" s="311"/>
      <c r="BG420" s="311">
        <f t="shared" si="456"/>
        <v>0</v>
      </c>
      <c r="BH420" s="311"/>
      <c r="BI420" s="614"/>
      <c r="BJ420" s="625">
        <f>BJ421</f>
        <v>78000000</v>
      </c>
      <c r="BK420" s="625">
        <f t="shared" ref="BK420:BL420" si="457">BK421</f>
        <v>23080000</v>
      </c>
      <c r="BL420" s="625">
        <f t="shared" si="457"/>
        <v>0</v>
      </c>
      <c r="BM420" s="619"/>
      <c r="BN420" s="312"/>
      <c r="BO420" s="8"/>
      <c r="BP420" s="8"/>
      <c r="BQ420" s="8"/>
      <c r="BR420" s="8"/>
      <c r="BS420" s="8"/>
      <c r="BT420" s="8"/>
      <c r="BU420" s="8"/>
      <c r="BV420" s="8"/>
      <c r="BW420" s="8"/>
      <c r="BX420" s="8"/>
      <c r="BY420" s="8"/>
      <c r="BZ420" s="8"/>
      <c r="CA420" s="8"/>
      <c r="CB420" s="8"/>
      <c r="CC420" s="8"/>
      <c r="CD420" s="8"/>
      <c r="CE420" s="8"/>
      <c r="CF420" s="8"/>
      <c r="CG420" s="8"/>
      <c r="CH420" s="8"/>
      <c r="CI420" s="8"/>
      <c r="CJ420" s="8"/>
      <c r="CK420" s="8"/>
      <c r="CL420" s="8"/>
      <c r="CM420" s="8"/>
      <c r="CN420" s="8"/>
      <c r="CO420" s="8"/>
      <c r="CP420" s="8"/>
      <c r="CQ420" s="8"/>
      <c r="CR420" s="8"/>
      <c r="CS420" s="8"/>
      <c r="CT420" s="8"/>
      <c r="CU420" s="8"/>
      <c r="CV420" s="8"/>
      <c r="CW420" s="8"/>
      <c r="CX420" s="8"/>
      <c r="CY420" s="8"/>
      <c r="CZ420" s="8"/>
      <c r="DA420" s="8"/>
      <c r="DB420" s="8"/>
    </row>
    <row r="421" spans="1:106" s="9" customFormat="1" ht="24" customHeight="1" x14ac:dyDescent="0.25">
      <c r="A421" s="472"/>
      <c r="B421" s="480"/>
      <c r="C421" s="473"/>
      <c r="D421" s="77">
        <v>39</v>
      </c>
      <c r="E421" s="75" t="s">
        <v>1524</v>
      </c>
      <c r="F421" s="75"/>
      <c r="G421" s="135"/>
      <c r="H421" s="135"/>
      <c r="I421" s="136"/>
      <c r="J421" s="138"/>
      <c r="K421" s="137"/>
      <c r="L421" s="138"/>
      <c r="M421" s="138"/>
      <c r="N421" s="140"/>
      <c r="O421" s="139"/>
      <c r="P421" s="140"/>
      <c r="Q421" s="141"/>
      <c r="R421" s="139"/>
      <c r="S421" s="139"/>
      <c r="T421" s="204"/>
      <c r="U421" s="143"/>
      <c r="V421" s="143"/>
      <c r="W421" s="144">
        <f>W422+W426</f>
        <v>0</v>
      </c>
      <c r="X421" s="144"/>
      <c r="Y421" s="144"/>
      <c r="Z421" s="144">
        <f t="shared" ref="Z421:BG421" si="458">Z422+Z426</f>
        <v>0</v>
      </c>
      <c r="AA421" s="144"/>
      <c r="AB421" s="144"/>
      <c r="AC421" s="144">
        <f t="shared" si="458"/>
        <v>0</v>
      </c>
      <c r="AD421" s="144"/>
      <c r="AE421" s="144"/>
      <c r="AF421" s="144">
        <f t="shared" si="458"/>
        <v>0</v>
      </c>
      <c r="AG421" s="144"/>
      <c r="AH421" s="144"/>
      <c r="AI421" s="144">
        <f t="shared" si="458"/>
        <v>0</v>
      </c>
      <c r="AJ421" s="144"/>
      <c r="AK421" s="144"/>
      <c r="AL421" s="144">
        <f t="shared" si="458"/>
        <v>0</v>
      </c>
      <c r="AM421" s="144"/>
      <c r="AN421" s="144"/>
      <c r="AO421" s="144">
        <f t="shared" si="458"/>
        <v>0</v>
      </c>
      <c r="AP421" s="144"/>
      <c r="AQ421" s="144"/>
      <c r="AR421" s="144">
        <f t="shared" si="458"/>
        <v>0</v>
      </c>
      <c r="AS421" s="144"/>
      <c r="AT421" s="144"/>
      <c r="AU421" s="144">
        <f t="shared" si="458"/>
        <v>0</v>
      </c>
      <c r="AV421" s="144"/>
      <c r="AW421" s="144"/>
      <c r="AX421" s="144">
        <f t="shared" si="458"/>
        <v>0</v>
      </c>
      <c r="AY421" s="144"/>
      <c r="AZ421" s="144"/>
      <c r="BA421" s="144">
        <f t="shared" si="458"/>
        <v>78000000</v>
      </c>
      <c r="BB421" s="144">
        <f t="shared" ref="BB421:BC421" si="459">BB422+BB426</f>
        <v>23080000</v>
      </c>
      <c r="BC421" s="144">
        <f t="shared" si="459"/>
        <v>0</v>
      </c>
      <c r="BD421" s="144">
        <f t="shared" si="458"/>
        <v>0</v>
      </c>
      <c r="BE421" s="144"/>
      <c r="BF421" s="144"/>
      <c r="BG421" s="144">
        <f t="shared" si="458"/>
        <v>0</v>
      </c>
      <c r="BH421" s="144"/>
      <c r="BI421" s="615"/>
      <c r="BJ421" s="626">
        <f>BJ422+BJ426</f>
        <v>78000000</v>
      </c>
      <c r="BK421" s="626">
        <f t="shared" ref="BK421:BL421" si="460">BK422+BK426</f>
        <v>23080000</v>
      </c>
      <c r="BL421" s="626">
        <f t="shared" si="460"/>
        <v>0</v>
      </c>
      <c r="BM421" s="187"/>
      <c r="BN421" s="169"/>
      <c r="BO421" s="8"/>
      <c r="BP421" s="8"/>
      <c r="BQ421" s="8"/>
      <c r="BR421" s="8"/>
      <c r="BS421" s="8"/>
      <c r="BT421" s="8"/>
      <c r="BU421" s="8"/>
      <c r="BV421" s="8"/>
      <c r="BW421" s="8"/>
      <c r="BX421" s="8"/>
      <c r="BY421" s="8"/>
      <c r="BZ421" s="8"/>
      <c r="CA421" s="8"/>
      <c r="CB421" s="8"/>
      <c r="CC421" s="8"/>
      <c r="CD421" s="8"/>
      <c r="CE421" s="8"/>
      <c r="CF421" s="8"/>
      <c r="CG421" s="8"/>
      <c r="CH421" s="8"/>
      <c r="CI421" s="8"/>
      <c r="CJ421" s="8"/>
      <c r="CK421" s="8"/>
      <c r="CL421" s="8"/>
      <c r="CM421" s="8"/>
      <c r="CN421" s="8"/>
      <c r="CO421" s="8"/>
      <c r="CP421" s="8"/>
      <c r="CQ421" s="8"/>
      <c r="CR421" s="8"/>
      <c r="CS421" s="8"/>
      <c r="CT421" s="8"/>
      <c r="CU421" s="8"/>
      <c r="CV421" s="8"/>
      <c r="CW421" s="8"/>
      <c r="CX421" s="8"/>
      <c r="CY421" s="8"/>
      <c r="CZ421" s="8"/>
      <c r="DA421" s="8"/>
      <c r="DB421" s="8"/>
    </row>
    <row r="422" spans="1:106" s="9" customFormat="1" ht="24" customHeight="1" x14ac:dyDescent="0.25">
      <c r="A422" s="474"/>
      <c r="B422" s="481"/>
      <c r="C422" s="475"/>
      <c r="D422" s="272"/>
      <c r="E422" s="272"/>
      <c r="F422" s="146" t="s">
        <v>1275</v>
      </c>
      <c r="G422" s="81" t="s">
        <v>1276</v>
      </c>
      <c r="H422" s="81"/>
      <c r="I422" s="194"/>
      <c r="J422" s="693"/>
      <c r="K422" s="726"/>
      <c r="L422" s="693"/>
      <c r="M422" s="693"/>
      <c r="N422" s="688"/>
      <c r="O422" s="689"/>
      <c r="P422" s="688"/>
      <c r="Q422" s="727"/>
      <c r="R422" s="689"/>
      <c r="S422" s="689"/>
      <c r="T422" s="728"/>
      <c r="U422" s="147"/>
      <c r="V422" s="147"/>
      <c r="W422" s="148">
        <f>SUM(W423:W425)</f>
        <v>0</v>
      </c>
      <c r="X422" s="148"/>
      <c r="Y422" s="148"/>
      <c r="Z422" s="148">
        <f t="shared" ref="Z422:BJ422" si="461">SUM(Z423:Z425)</f>
        <v>0</v>
      </c>
      <c r="AA422" s="148"/>
      <c r="AB422" s="148"/>
      <c r="AC422" s="148">
        <f t="shared" si="461"/>
        <v>0</v>
      </c>
      <c r="AD422" s="148"/>
      <c r="AE422" s="148"/>
      <c r="AF422" s="148">
        <f t="shared" si="461"/>
        <v>0</v>
      </c>
      <c r="AG422" s="148"/>
      <c r="AH422" s="148"/>
      <c r="AI422" s="148">
        <f t="shared" si="461"/>
        <v>0</v>
      </c>
      <c r="AJ422" s="148"/>
      <c r="AK422" s="148"/>
      <c r="AL422" s="148">
        <f t="shared" si="461"/>
        <v>0</v>
      </c>
      <c r="AM422" s="148"/>
      <c r="AN422" s="148"/>
      <c r="AO422" s="148">
        <f t="shared" si="461"/>
        <v>0</v>
      </c>
      <c r="AP422" s="148"/>
      <c r="AQ422" s="148"/>
      <c r="AR422" s="148">
        <f t="shared" si="461"/>
        <v>0</v>
      </c>
      <c r="AS422" s="148"/>
      <c r="AT422" s="148"/>
      <c r="AU422" s="148">
        <f t="shared" si="461"/>
        <v>0</v>
      </c>
      <c r="AV422" s="148"/>
      <c r="AW422" s="148"/>
      <c r="AX422" s="148">
        <f t="shared" si="461"/>
        <v>0</v>
      </c>
      <c r="AY422" s="148"/>
      <c r="AZ422" s="148"/>
      <c r="BA422" s="148">
        <f t="shared" si="461"/>
        <v>60000000</v>
      </c>
      <c r="BB422" s="148">
        <f t="shared" ref="BB422:BC422" si="462">SUM(BB423:BB425)</f>
        <v>23080000</v>
      </c>
      <c r="BC422" s="148">
        <f t="shared" si="462"/>
        <v>0</v>
      </c>
      <c r="BD422" s="148">
        <f t="shared" si="461"/>
        <v>0</v>
      </c>
      <c r="BE422" s="148"/>
      <c r="BF422" s="148"/>
      <c r="BG422" s="148">
        <f t="shared" si="461"/>
        <v>0</v>
      </c>
      <c r="BH422" s="148"/>
      <c r="BI422" s="307"/>
      <c r="BJ422" s="623">
        <f t="shared" si="461"/>
        <v>60000000</v>
      </c>
      <c r="BK422" s="623">
        <f t="shared" ref="BK422:BL422" si="463">SUM(BK423:BK425)</f>
        <v>23080000</v>
      </c>
      <c r="BL422" s="623">
        <f t="shared" si="463"/>
        <v>0</v>
      </c>
      <c r="BM422" s="308"/>
      <c r="BN422" s="156"/>
      <c r="BO422" s="8"/>
      <c r="BP422" s="8"/>
      <c r="BQ422" s="8"/>
      <c r="BR422" s="8"/>
      <c r="BS422" s="8"/>
      <c r="BT422" s="8"/>
      <c r="BU422" s="8"/>
      <c r="BV422" s="8"/>
      <c r="BW422" s="8"/>
      <c r="BX422" s="8"/>
      <c r="BY422" s="8"/>
      <c r="BZ422" s="8"/>
      <c r="CA422" s="8"/>
      <c r="CB422" s="8"/>
      <c r="CC422" s="8"/>
      <c r="CD422" s="8"/>
      <c r="CE422" s="8"/>
      <c r="CF422" s="8"/>
      <c r="CG422" s="8"/>
      <c r="CH422" s="8"/>
      <c r="CI422" s="8"/>
      <c r="CJ422" s="8"/>
      <c r="CK422" s="8"/>
      <c r="CL422" s="8"/>
      <c r="CM422" s="8"/>
      <c r="CN422" s="8"/>
      <c r="CO422" s="8"/>
      <c r="CP422" s="8"/>
      <c r="CQ422" s="8"/>
      <c r="CR422" s="8"/>
      <c r="CS422" s="8"/>
      <c r="CT422" s="8"/>
      <c r="CU422" s="8"/>
      <c r="CV422" s="8"/>
      <c r="CW422" s="8"/>
      <c r="CX422" s="8"/>
      <c r="CY422" s="8"/>
      <c r="CZ422" s="8"/>
      <c r="DA422" s="8"/>
      <c r="DB422" s="8"/>
    </row>
    <row r="423" spans="1:106" ht="60" customHeight="1" x14ac:dyDescent="0.2">
      <c r="A423" s="476"/>
      <c r="B423" s="481"/>
      <c r="C423" s="475"/>
      <c r="D423" s="471"/>
      <c r="E423" s="471"/>
      <c r="F423" s="468"/>
      <c r="G423" s="468"/>
      <c r="H423" s="884" t="s">
        <v>1277</v>
      </c>
      <c r="I423" s="909">
        <v>3903005</v>
      </c>
      <c r="J423" s="875" t="s">
        <v>1278</v>
      </c>
      <c r="K423" s="909">
        <v>3903005</v>
      </c>
      <c r="L423" s="875" t="s">
        <v>1278</v>
      </c>
      <c r="M423" s="198" t="s">
        <v>1279</v>
      </c>
      <c r="N423" s="577" t="s">
        <v>1280</v>
      </c>
      <c r="O423" s="198" t="s">
        <v>1279</v>
      </c>
      <c r="P423" s="577" t="s">
        <v>1280</v>
      </c>
      <c r="Q423" s="569" t="s">
        <v>52</v>
      </c>
      <c r="R423" s="125">
        <v>1</v>
      </c>
      <c r="S423" s="125">
        <v>0</v>
      </c>
      <c r="T423" s="864" t="s">
        <v>1281</v>
      </c>
      <c r="U423" s="873" t="s">
        <v>1282</v>
      </c>
      <c r="V423" s="873" t="s">
        <v>1283</v>
      </c>
      <c r="W423" s="150"/>
      <c r="X423" s="150"/>
      <c r="Y423" s="150"/>
      <c r="Z423" s="150"/>
      <c r="AA423" s="150"/>
      <c r="AB423" s="150"/>
      <c r="AC423" s="150"/>
      <c r="AD423" s="150"/>
      <c r="AE423" s="150"/>
      <c r="AF423" s="151"/>
      <c r="AG423" s="151"/>
      <c r="AH423" s="151"/>
      <c r="AI423" s="151"/>
      <c r="AJ423" s="314"/>
      <c r="AK423" s="314"/>
      <c r="AL423" s="314"/>
      <c r="AM423" s="314"/>
      <c r="AN423" s="314"/>
      <c r="AO423" s="151"/>
      <c r="AP423" s="151"/>
      <c r="AQ423" s="151"/>
      <c r="AR423" s="151"/>
      <c r="AS423" s="315"/>
      <c r="AT423" s="315"/>
      <c r="AU423" s="315"/>
      <c r="AV423" s="315"/>
      <c r="AW423" s="315"/>
      <c r="AX423" s="151"/>
      <c r="AY423" s="151"/>
      <c r="AZ423" s="151"/>
      <c r="BA423" s="151">
        <v>10000000</v>
      </c>
      <c r="BB423" s="151"/>
      <c r="BC423" s="151"/>
      <c r="BD423" s="151"/>
      <c r="BE423" s="151"/>
      <c r="BF423" s="151"/>
      <c r="BG423" s="151"/>
      <c r="BH423" s="151"/>
      <c r="BI423" s="314"/>
      <c r="BJ423" s="622">
        <f>+W423+Z423+AC423+AF423+AI423+AL423+AO423+AR423+AU423+AX423+BA423+BD423+BG423</f>
        <v>10000000</v>
      </c>
      <c r="BK423" s="622">
        <f t="shared" ref="BK423:BL425" si="464">+X423+AA423+AD423+AG423+AJ423+AM423+AP423+AS423+AV423+AY423+BB423+BE423+BH423</f>
        <v>0</v>
      </c>
      <c r="BL423" s="622">
        <f t="shared" si="464"/>
        <v>0</v>
      </c>
      <c r="BM423" s="617" t="s">
        <v>1533</v>
      </c>
      <c r="BN423" s="72" t="s">
        <v>1240</v>
      </c>
    </row>
    <row r="424" spans="1:106" ht="60" customHeight="1" x14ac:dyDescent="0.2">
      <c r="A424" s="476"/>
      <c r="B424" s="481"/>
      <c r="C424" s="475"/>
      <c r="D424" s="471"/>
      <c r="E424" s="471"/>
      <c r="F424" s="469"/>
      <c r="G424" s="469"/>
      <c r="H424" s="910"/>
      <c r="I424" s="909"/>
      <c r="J424" s="875"/>
      <c r="K424" s="909"/>
      <c r="L424" s="875"/>
      <c r="M424" s="198" t="s">
        <v>1284</v>
      </c>
      <c r="N424" s="577" t="s">
        <v>1285</v>
      </c>
      <c r="O424" s="198" t="s">
        <v>1284</v>
      </c>
      <c r="P424" s="577" t="s">
        <v>1285</v>
      </c>
      <c r="Q424" s="569" t="s">
        <v>68</v>
      </c>
      <c r="R424" s="125">
        <v>50</v>
      </c>
      <c r="S424" s="125">
        <v>0</v>
      </c>
      <c r="T424" s="864"/>
      <c r="U424" s="873"/>
      <c r="V424" s="873"/>
      <c r="W424" s="150"/>
      <c r="X424" s="150"/>
      <c r="Y424" s="150"/>
      <c r="Z424" s="150"/>
      <c r="AA424" s="150"/>
      <c r="AB424" s="150"/>
      <c r="AC424" s="150"/>
      <c r="AD424" s="150"/>
      <c r="AE424" s="150"/>
      <c r="AF424" s="151"/>
      <c r="AG424" s="151"/>
      <c r="AH424" s="151"/>
      <c r="AI424" s="151"/>
      <c r="AJ424" s="314"/>
      <c r="AK424" s="314"/>
      <c r="AL424" s="314"/>
      <c r="AM424" s="314"/>
      <c r="AN424" s="314"/>
      <c r="AO424" s="151"/>
      <c r="AP424" s="151"/>
      <c r="AQ424" s="151"/>
      <c r="AR424" s="151"/>
      <c r="AS424" s="315"/>
      <c r="AT424" s="315"/>
      <c r="AU424" s="315"/>
      <c r="AV424" s="315"/>
      <c r="AW424" s="315"/>
      <c r="AX424" s="151"/>
      <c r="AY424" s="151"/>
      <c r="AZ424" s="151"/>
      <c r="BA424" s="151">
        <v>30000000</v>
      </c>
      <c r="BB424" s="339">
        <v>11540000</v>
      </c>
      <c r="BC424" s="151"/>
      <c r="BD424" s="151"/>
      <c r="BE424" s="151"/>
      <c r="BF424" s="151"/>
      <c r="BG424" s="151"/>
      <c r="BH424" s="151"/>
      <c r="BI424" s="314"/>
      <c r="BJ424" s="622">
        <f>+W424+Z424+AC424+AF424+AI424+AL424+AO424+AR424+AU424+AX424+BA424+BD424+BG424</f>
        <v>30000000</v>
      </c>
      <c r="BK424" s="622">
        <f t="shared" si="464"/>
        <v>11540000</v>
      </c>
      <c r="BL424" s="622">
        <f t="shared" si="464"/>
        <v>0</v>
      </c>
      <c r="BM424" s="617" t="s">
        <v>1533</v>
      </c>
      <c r="BN424" s="72" t="s">
        <v>1240</v>
      </c>
    </row>
    <row r="425" spans="1:106" ht="69.75" customHeight="1" x14ac:dyDescent="0.2">
      <c r="A425" s="477"/>
      <c r="B425" s="482"/>
      <c r="C425" s="478"/>
      <c r="D425" s="281"/>
      <c r="E425" s="281"/>
      <c r="F425" s="470"/>
      <c r="G425" s="470"/>
      <c r="H425" s="885"/>
      <c r="I425" s="909"/>
      <c r="J425" s="875"/>
      <c r="K425" s="909"/>
      <c r="L425" s="875"/>
      <c r="M425" s="198" t="s">
        <v>1286</v>
      </c>
      <c r="N425" s="577" t="s">
        <v>1287</v>
      </c>
      <c r="O425" s="198" t="s">
        <v>1286</v>
      </c>
      <c r="P425" s="577" t="s">
        <v>1287</v>
      </c>
      <c r="Q425" s="569" t="s">
        <v>68</v>
      </c>
      <c r="R425" s="125">
        <v>50</v>
      </c>
      <c r="S425" s="125">
        <v>0</v>
      </c>
      <c r="T425" s="864"/>
      <c r="U425" s="873"/>
      <c r="V425" s="873"/>
      <c r="W425" s="150"/>
      <c r="X425" s="150"/>
      <c r="Y425" s="150"/>
      <c r="Z425" s="150"/>
      <c r="AA425" s="150"/>
      <c r="AB425" s="150"/>
      <c r="AC425" s="150"/>
      <c r="AD425" s="150"/>
      <c r="AE425" s="150"/>
      <c r="AF425" s="151"/>
      <c r="AG425" s="151"/>
      <c r="AH425" s="151"/>
      <c r="AI425" s="151"/>
      <c r="AJ425" s="314"/>
      <c r="AK425" s="314"/>
      <c r="AL425" s="314"/>
      <c r="AM425" s="314"/>
      <c r="AN425" s="314"/>
      <c r="AO425" s="151"/>
      <c r="AP425" s="151"/>
      <c r="AQ425" s="151"/>
      <c r="AR425" s="151"/>
      <c r="AS425" s="315"/>
      <c r="AT425" s="315"/>
      <c r="AU425" s="315"/>
      <c r="AV425" s="315"/>
      <c r="AW425" s="315"/>
      <c r="AX425" s="151"/>
      <c r="AY425" s="151"/>
      <c r="AZ425" s="151"/>
      <c r="BA425" s="151">
        <v>20000000</v>
      </c>
      <c r="BB425" s="339">
        <v>11540000</v>
      </c>
      <c r="BC425" s="151"/>
      <c r="BD425" s="151"/>
      <c r="BE425" s="151"/>
      <c r="BF425" s="151"/>
      <c r="BG425" s="151"/>
      <c r="BH425" s="151"/>
      <c r="BI425" s="314"/>
      <c r="BJ425" s="622">
        <f>+W425+Z425+AC425+AF425+AI425+AL425+AO425+AR425+AU425+AX425+BA425+BD425+BG425</f>
        <v>20000000</v>
      </c>
      <c r="BK425" s="622">
        <f t="shared" si="464"/>
        <v>11540000</v>
      </c>
      <c r="BL425" s="622">
        <f t="shared" si="464"/>
        <v>0</v>
      </c>
      <c r="BM425" s="617" t="s">
        <v>1533</v>
      </c>
      <c r="BN425" s="72" t="s">
        <v>1240</v>
      </c>
    </row>
    <row r="426" spans="1:106" s="9" customFormat="1" ht="24" customHeight="1" x14ac:dyDescent="0.25">
      <c r="A426" s="130"/>
      <c r="B426" s="281"/>
      <c r="C426" s="91"/>
      <c r="D426" s="91"/>
      <c r="E426" s="91"/>
      <c r="F426" s="146">
        <v>3904</v>
      </c>
      <c r="G426" s="81" t="s">
        <v>784</v>
      </c>
      <c r="H426" s="81"/>
      <c r="I426" s="194"/>
      <c r="J426" s="693"/>
      <c r="K426" s="726"/>
      <c r="L426" s="693"/>
      <c r="M426" s="693"/>
      <c r="N426" s="688"/>
      <c r="O426" s="689"/>
      <c r="P426" s="688"/>
      <c r="Q426" s="727"/>
      <c r="R426" s="689"/>
      <c r="S426" s="689"/>
      <c r="T426" s="728"/>
      <c r="U426" s="147"/>
      <c r="V426" s="147"/>
      <c r="W426" s="148">
        <f>+W427</f>
        <v>0</v>
      </c>
      <c r="X426" s="148"/>
      <c r="Y426" s="148"/>
      <c r="Z426" s="148">
        <f t="shared" ref="Z426:BL426" si="465">+Z427</f>
        <v>0</v>
      </c>
      <c r="AA426" s="148"/>
      <c r="AB426" s="148"/>
      <c r="AC426" s="148">
        <f t="shared" si="465"/>
        <v>0</v>
      </c>
      <c r="AD426" s="148"/>
      <c r="AE426" s="148"/>
      <c r="AF426" s="148">
        <f t="shared" si="465"/>
        <v>0</v>
      </c>
      <c r="AG426" s="148"/>
      <c r="AH426" s="148"/>
      <c r="AI426" s="148">
        <f t="shared" si="465"/>
        <v>0</v>
      </c>
      <c r="AJ426" s="148"/>
      <c r="AK426" s="148"/>
      <c r="AL426" s="148">
        <f t="shared" si="465"/>
        <v>0</v>
      </c>
      <c r="AM426" s="148"/>
      <c r="AN426" s="148"/>
      <c r="AO426" s="148">
        <f t="shared" si="465"/>
        <v>0</v>
      </c>
      <c r="AP426" s="148"/>
      <c r="AQ426" s="148"/>
      <c r="AR426" s="148">
        <f t="shared" si="465"/>
        <v>0</v>
      </c>
      <c r="AS426" s="148"/>
      <c r="AT426" s="148"/>
      <c r="AU426" s="148">
        <f t="shared" si="465"/>
        <v>0</v>
      </c>
      <c r="AV426" s="148"/>
      <c r="AW426" s="148"/>
      <c r="AX426" s="148">
        <f t="shared" si="465"/>
        <v>0</v>
      </c>
      <c r="AY426" s="148"/>
      <c r="AZ426" s="148"/>
      <c r="BA426" s="148">
        <f t="shared" si="465"/>
        <v>18000000</v>
      </c>
      <c r="BB426" s="148">
        <f t="shared" si="465"/>
        <v>0</v>
      </c>
      <c r="BC426" s="148">
        <f t="shared" si="465"/>
        <v>0</v>
      </c>
      <c r="BD426" s="148">
        <f t="shared" si="465"/>
        <v>0</v>
      </c>
      <c r="BE426" s="148"/>
      <c r="BF426" s="148"/>
      <c r="BG426" s="148">
        <f t="shared" si="465"/>
        <v>0</v>
      </c>
      <c r="BH426" s="148"/>
      <c r="BI426" s="307"/>
      <c r="BJ426" s="623">
        <f t="shared" si="465"/>
        <v>18000000</v>
      </c>
      <c r="BK426" s="623">
        <f t="shared" si="465"/>
        <v>0</v>
      </c>
      <c r="BL426" s="623">
        <f t="shared" si="465"/>
        <v>0</v>
      </c>
      <c r="BM426" s="308"/>
      <c r="BN426" s="156"/>
      <c r="BO426" s="8"/>
      <c r="BP426" s="8"/>
      <c r="BQ426" s="8"/>
      <c r="BR426" s="8"/>
      <c r="BS426" s="8"/>
      <c r="BT426" s="8"/>
      <c r="BU426" s="8"/>
      <c r="BV426" s="8"/>
      <c r="BW426" s="8"/>
      <c r="BX426" s="8"/>
      <c r="BY426" s="8"/>
      <c r="BZ426" s="8"/>
      <c r="CA426" s="8"/>
      <c r="CB426" s="8"/>
      <c r="CC426" s="8"/>
      <c r="CD426" s="8"/>
      <c r="CE426" s="8"/>
      <c r="CF426" s="8"/>
      <c r="CG426" s="8"/>
      <c r="CH426" s="8"/>
      <c r="CI426" s="8"/>
      <c r="CJ426" s="8"/>
      <c r="CK426" s="8"/>
      <c r="CL426" s="8"/>
      <c r="CM426" s="8"/>
      <c r="CN426" s="8"/>
      <c r="CO426" s="8"/>
      <c r="CP426" s="8"/>
      <c r="CQ426" s="8"/>
      <c r="CR426" s="8"/>
      <c r="CS426" s="8"/>
      <c r="CT426" s="8"/>
      <c r="CU426" s="8"/>
      <c r="CV426" s="8"/>
      <c r="CW426" s="8"/>
      <c r="CX426" s="8"/>
      <c r="CY426" s="8"/>
      <c r="CZ426" s="8"/>
      <c r="DA426" s="8"/>
      <c r="DB426" s="8"/>
    </row>
    <row r="427" spans="1:106" ht="94.5" customHeight="1" x14ac:dyDescent="0.2">
      <c r="A427" s="145"/>
      <c r="B427" s="91"/>
      <c r="C427" s="91"/>
      <c r="D427" s="91"/>
      <c r="E427" s="91"/>
      <c r="F427" s="87"/>
      <c r="G427" s="569"/>
      <c r="H427" s="562" t="s">
        <v>1288</v>
      </c>
      <c r="I427" s="567">
        <v>3904018</v>
      </c>
      <c r="J427" s="562" t="s">
        <v>1289</v>
      </c>
      <c r="K427" s="567">
        <v>3904018</v>
      </c>
      <c r="L427" s="562" t="s">
        <v>1289</v>
      </c>
      <c r="M427" s="198">
        <v>390401809</v>
      </c>
      <c r="N427" s="561" t="s">
        <v>1290</v>
      </c>
      <c r="O427" s="198">
        <v>390401809</v>
      </c>
      <c r="P427" s="561" t="s">
        <v>1290</v>
      </c>
      <c r="Q427" s="569" t="s">
        <v>68</v>
      </c>
      <c r="R427" s="125">
        <v>6</v>
      </c>
      <c r="S427" s="125">
        <v>0</v>
      </c>
      <c r="T427" s="563" t="s">
        <v>1291</v>
      </c>
      <c r="U427" s="561" t="s">
        <v>1292</v>
      </c>
      <c r="V427" s="561" t="s">
        <v>1293</v>
      </c>
      <c r="W427" s="150"/>
      <c r="X427" s="150"/>
      <c r="Y427" s="150"/>
      <c r="Z427" s="150"/>
      <c r="AA427" s="150"/>
      <c r="AB427" s="150"/>
      <c r="AC427" s="150"/>
      <c r="AD427" s="150"/>
      <c r="AE427" s="150"/>
      <c r="AF427" s="151"/>
      <c r="AG427" s="151"/>
      <c r="AH427" s="151"/>
      <c r="AI427" s="151"/>
      <c r="AJ427" s="314"/>
      <c r="AK427" s="314"/>
      <c r="AL427" s="314"/>
      <c r="AM427" s="314"/>
      <c r="AN427" s="314"/>
      <c r="AO427" s="151"/>
      <c r="AP427" s="151"/>
      <c r="AQ427" s="151"/>
      <c r="AR427" s="151"/>
      <c r="AS427" s="315"/>
      <c r="AT427" s="315"/>
      <c r="AU427" s="315"/>
      <c r="AV427" s="315"/>
      <c r="AW427" s="315"/>
      <c r="AX427" s="151"/>
      <c r="AY427" s="151"/>
      <c r="AZ427" s="151"/>
      <c r="BA427" s="151">
        <v>18000000</v>
      </c>
      <c r="BB427" s="151"/>
      <c r="BC427" s="151"/>
      <c r="BD427" s="151"/>
      <c r="BE427" s="151"/>
      <c r="BF427" s="151"/>
      <c r="BG427" s="151"/>
      <c r="BH427" s="151"/>
      <c r="BI427" s="314"/>
      <c r="BJ427" s="622">
        <f>+W427+Z427+AC427+AF427+AI427+AL427+AO427+AR427+AU427+AX427+BA427+BD427+BG427</f>
        <v>18000000</v>
      </c>
      <c r="BK427" s="622">
        <f t="shared" ref="BK427:BL427" si="466">+X427+AA427+AD427+AG427+AJ427+AM427+AP427+AS427+AV427+AY427+BB427+BE427+BH427</f>
        <v>0</v>
      </c>
      <c r="BL427" s="622">
        <f t="shared" si="466"/>
        <v>0</v>
      </c>
      <c r="BM427" s="617" t="s">
        <v>1533</v>
      </c>
      <c r="BN427" s="72" t="s">
        <v>1240</v>
      </c>
    </row>
    <row r="428" spans="1:106" s="9" customFormat="1" ht="24" customHeight="1" x14ac:dyDescent="0.25">
      <c r="A428" s="130"/>
      <c r="B428" s="131">
        <v>4</v>
      </c>
      <c r="C428" s="131"/>
      <c r="D428" s="74" t="s">
        <v>43</v>
      </c>
      <c r="E428" s="173"/>
      <c r="F428" s="74"/>
      <c r="G428" s="180"/>
      <c r="H428" s="180"/>
      <c r="I428" s="395"/>
      <c r="J428" s="182"/>
      <c r="K428" s="181"/>
      <c r="L428" s="182"/>
      <c r="M428" s="182"/>
      <c r="N428" s="184"/>
      <c r="O428" s="183"/>
      <c r="P428" s="184"/>
      <c r="Q428" s="185"/>
      <c r="R428" s="183"/>
      <c r="S428" s="183"/>
      <c r="T428" s="729"/>
      <c r="U428" s="133"/>
      <c r="V428" s="133"/>
      <c r="W428" s="134">
        <f>W429</f>
        <v>0</v>
      </c>
      <c r="X428" s="134"/>
      <c r="Y428" s="134"/>
      <c r="Z428" s="134">
        <f t="shared" ref="Z428:BK429" si="467">Z429</f>
        <v>0</v>
      </c>
      <c r="AA428" s="134"/>
      <c r="AB428" s="134"/>
      <c r="AC428" s="134">
        <f t="shared" si="467"/>
        <v>0</v>
      </c>
      <c r="AD428" s="134"/>
      <c r="AE428" s="134"/>
      <c r="AF428" s="134">
        <f t="shared" si="467"/>
        <v>0</v>
      </c>
      <c r="AG428" s="134"/>
      <c r="AH428" s="134"/>
      <c r="AI428" s="134">
        <f t="shared" si="467"/>
        <v>0</v>
      </c>
      <c r="AJ428" s="134"/>
      <c r="AK428" s="134"/>
      <c r="AL428" s="134">
        <f t="shared" si="467"/>
        <v>0</v>
      </c>
      <c r="AM428" s="134"/>
      <c r="AN428" s="134"/>
      <c r="AO428" s="134">
        <f t="shared" si="467"/>
        <v>0</v>
      </c>
      <c r="AP428" s="134"/>
      <c r="AQ428" s="134"/>
      <c r="AR428" s="134">
        <f t="shared" si="467"/>
        <v>0</v>
      </c>
      <c r="AS428" s="134"/>
      <c r="AT428" s="134"/>
      <c r="AU428" s="134">
        <f t="shared" si="467"/>
        <v>0</v>
      </c>
      <c r="AV428" s="134"/>
      <c r="AW428" s="134"/>
      <c r="AX428" s="134">
        <f t="shared" si="467"/>
        <v>0</v>
      </c>
      <c r="AY428" s="134"/>
      <c r="AZ428" s="134"/>
      <c r="BA428" s="134">
        <f t="shared" si="467"/>
        <v>298000000</v>
      </c>
      <c r="BB428" s="134">
        <f t="shared" si="467"/>
        <v>90700000</v>
      </c>
      <c r="BC428" s="134">
        <f t="shared" si="467"/>
        <v>9485000</v>
      </c>
      <c r="BD428" s="134">
        <f t="shared" si="467"/>
        <v>0</v>
      </c>
      <c r="BE428" s="134"/>
      <c r="BF428" s="134"/>
      <c r="BG428" s="134">
        <f t="shared" si="467"/>
        <v>0</v>
      </c>
      <c r="BH428" s="134"/>
      <c r="BI428" s="616"/>
      <c r="BJ428" s="627">
        <f>BJ429</f>
        <v>298000000</v>
      </c>
      <c r="BK428" s="627">
        <f t="shared" ref="BK428:BL429" si="468">BK429</f>
        <v>90700000</v>
      </c>
      <c r="BL428" s="627">
        <f t="shared" si="468"/>
        <v>9485000</v>
      </c>
      <c r="BM428" s="620"/>
      <c r="BN428" s="168"/>
      <c r="BO428" s="8"/>
      <c r="BP428" s="8"/>
      <c r="BQ428" s="8"/>
      <c r="BR428" s="8"/>
      <c r="BS428" s="8"/>
      <c r="BT428" s="8"/>
      <c r="BU428" s="8"/>
      <c r="BV428" s="8"/>
      <c r="BW428" s="8"/>
      <c r="BX428" s="8"/>
      <c r="BY428" s="8"/>
      <c r="BZ428" s="8"/>
      <c r="CA428" s="8"/>
      <c r="CB428" s="8"/>
      <c r="CC428" s="8"/>
      <c r="CD428" s="8"/>
      <c r="CE428" s="8"/>
      <c r="CF428" s="8"/>
      <c r="CG428" s="8"/>
      <c r="CH428" s="8"/>
      <c r="CI428" s="8"/>
      <c r="CJ428" s="8"/>
      <c r="CK428" s="8"/>
      <c r="CL428" s="8"/>
      <c r="CM428" s="8"/>
      <c r="CN428" s="8"/>
      <c r="CO428" s="8"/>
      <c r="CP428" s="8"/>
      <c r="CQ428" s="8"/>
      <c r="CR428" s="8"/>
      <c r="CS428" s="8"/>
      <c r="CT428" s="8"/>
      <c r="CU428" s="8"/>
      <c r="CV428" s="8"/>
      <c r="CW428" s="8"/>
      <c r="CX428" s="8"/>
      <c r="CY428" s="8"/>
      <c r="CZ428" s="8"/>
      <c r="DA428" s="8"/>
      <c r="DB428" s="8"/>
    </row>
    <row r="429" spans="1:106" s="9" customFormat="1" ht="24" customHeight="1" x14ac:dyDescent="0.25">
      <c r="A429" s="130"/>
      <c r="B429" s="83"/>
      <c r="C429" s="83"/>
      <c r="D429" s="77">
        <v>23</v>
      </c>
      <c r="E429" s="75" t="s">
        <v>1232</v>
      </c>
      <c r="F429" s="75"/>
      <c r="G429" s="135"/>
      <c r="H429" s="135"/>
      <c r="I429" s="136"/>
      <c r="J429" s="138"/>
      <c r="K429" s="137"/>
      <c r="L429" s="138"/>
      <c r="M429" s="138"/>
      <c r="N429" s="140"/>
      <c r="O429" s="139"/>
      <c r="P429" s="140"/>
      <c r="Q429" s="141"/>
      <c r="R429" s="139"/>
      <c r="S429" s="139"/>
      <c r="T429" s="204"/>
      <c r="U429" s="143"/>
      <c r="V429" s="143"/>
      <c r="W429" s="144">
        <f>W430</f>
        <v>0</v>
      </c>
      <c r="X429" s="144"/>
      <c r="Y429" s="144"/>
      <c r="Z429" s="144">
        <f t="shared" si="467"/>
        <v>0</v>
      </c>
      <c r="AA429" s="144"/>
      <c r="AB429" s="144"/>
      <c r="AC429" s="144">
        <f t="shared" si="467"/>
        <v>0</v>
      </c>
      <c r="AD429" s="144"/>
      <c r="AE429" s="144"/>
      <c r="AF429" s="144">
        <f t="shared" si="467"/>
        <v>0</v>
      </c>
      <c r="AG429" s="144"/>
      <c r="AH429" s="144"/>
      <c r="AI429" s="144">
        <f t="shared" si="467"/>
        <v>0</v>
      </c>
      <c r="AJ429" s="144"/>
      <c r="AK429" s="144"/>
      <c r="AL429" s="144">
        <f t="shared" si="467"/>
        <v>0</v>
      </c>
      <c r="AM429" s="144"/>
      <c r="AN429" s="144"/>
      <c r="AO429" s="144">
        <f t="shared" si="467"/>
        <v>0</v>
      </c>
      <c r="AP429" s="144"/>
      <c r="AQ429" s="144"/>
      <c r="AR429" s="144">
        <f t="shared" si="467"/>
        <v>0</v>
      </c>
      <c r="AS429" s="144"/>
      <c r="AT429" s="144"/>
      <c r="AU429" s="144">
        <f t="shared" si="467"/>
        <v>0</v>
      </c>
      <c r="AV429" s="144"/>
      <c r="AW429" s="144"/>
      <c r="AX429" s="144">
        <f t="shared" si="467"/>
        <v>0</v>
      </c>
      <c r="AY429" s="144"/>
      <c r="AZ429" s="144"/>
      <c r="BA429" s="144">
        <f t="shared" si="467"/>
        <v>298000000</v>
      </c>
      <c r="BB429" s="144">
        <f t="shared" si="467"/>
        <v>90700000</v>
      </c>
      <c r="BC429" s="144">
        <f t="shared" si="467"/>
        <v>9485000</v>
      </c>
      <c r="BD429" s="144">
        <f t="shared" si="467"/>
        <v>0</v>
      </c>
      <c r="BE429" s="144"/>
      <c r="BF429" s="144"/>
      <c r="BG429" s="144">
        <f t="shared" si="467"/>
        <v>0</v>
      </c>
      <c r="BH429" s="144"/>
      <c r="BI429" s="615"/>
      <c r="BJ429" s="626">
        <f t="shared" si="467"/>
        <v>298000000</v>
      </c>
      <c r="BK429" s="626">
        <f t="shared" si="467"/>
        <v>90700000</v>
      </c>
      <c r="BL429" s="626">
        <f t="shared" si="468"/>
        <v>9485000</v>
      </c>
      <c r="BM429" s="187"/>
      <c r="BN429" s="169"/>
      <c r="BO429" s="8"/>
      <c r="BP429" s="8"/>
      <c r="BQ429" s="8"/>
      <c r="BR429" s="8"/>
      <c r="BS429" s="8"/>
      <c r="BT429" s="8"/>
      <c r="BU429" s="8"/>
      <c r="BV429" s="8"/>
      <c r="BW429" s="8"/>
      <c r="BX429" s="8"/>
      <c r="BY429" s="8"/>
      <c r="BZ429" s="8"/>
      <c r="CA429" s="8"/>
      <c r="CB429" s="8"/>
      <c r="CC429" s="8"/>
      <c r="CD429" s="8"/>
      <c r="CE429" s="8"/>
      <c r="CF429" s="8"/>
      <c r="CG429" s="8"/>
      <c r="CH429" s="8"/>
      <c r="CI429" s="8"/>
      <c r="CJ429" s="8"/>
      <c r="CK429" s="8"/>
      <c r="CL429" s="8"/>
      <c r="CM429" s="8"/>
      <c r="CN429" s="8"/>
      <c r="CO429" s="8"/>
      <c r="CP429" s="8"/>
      <c r="CQ429" s="8"/>
      <c r="CR429" s="8"/>
      <c r="CS429" s="8"/>
      <c r="CT429" s="8"/>
      <c r="CU429" s="8"/>
      <c r="CV429" s="8"/>
      <c r="CW429" s="8"/>
      <c r="CX429" s="8"/>
      <c r="CY429" s="8"/>
      <c r="CZ429" s="8"/>
      <c r="DA429" s="8"/>
      <c r="DB429" s="8"/>
    </row>
    <row r="430" spans="1:106" s="9" customFormat="1" ht="24" customHeight="1" x14ac:dyDescent="0.25">
      <c r="A430" s="130"/>
      <c r="B430" s="91"/>
      <c r="C430" s="91"/>
      <c r="D430" s="91"/>
      <c r="E430" s="91"/>
      <c r="F430" s="146">
        <v>2302</v>
      </c>
      <c r="G430" s="81" t="s">
        <v>1529</v>
      </c>
      <c r="H430" s="81"/>
      <c r="I430" s="194"/>
      <c r="J430" s="194"/>
      <c r="K430" s="194"/>
      <c r="L430" s="194"/>
      <c r="M430" s="194"/>
      <c r="N430" s="688"/>
      <c r="O430" s="689"/>
      <c r="P430" s="688"/>
      <c r="Q430" s="727"/>
      <c r="R430" s="689"/>
      <c r="S430" s="689"/>
      <c r="T430" s="728"/>
      <c r="U430" s="147"/>
      <c r="V430" s="147"/>
      <c r="W430" s="148">
        <f>SUM(W431:W436)</f>
        <v>0</v>
      </c>
      <c r="X430" s="148"/>
      <c r="Y430" s="148"/>
      <c r="Z430" s="148">
        <f t="shared" ref="Z430:BJ430" si="469">SUM(Z431:Z436)</f>
        <v>0</v>
      </c>
      <c r="AA430" s="148"/>
      <c r="AB430" s="148"/>
      <c r="AC430" s="148">
        <f t="shared" si="469"/>
        <v>0</v>
      </c>
      <c r="AD430" s="148"/>
      <c r="AE430" s="148"/>
      <c r="AF430" s="148">
        <f t="shared" si="469"/>
        <v>0</v>
      </c>
      <c r="AG430" s="148"/>
      <c r="AH430" s="148"/>
      <c r="AI430" s="148">
        <f t="shared" si="469"/>
        <v>0</v>
      </c>
      <c r="AJ430" s="148"/>
      <c r="AK430" s="148"/>
      <c r="AL430" s="148">
        <f t="shared" si="469"/>
        <v>0</v>
      </c>
      <c r="AM430" s="148"/>
      <c r="AN430" s="148"/>
      <c r="AO430" s="148">
        <f t="shared" si="469"/>
        <v>0</v>
      </c>
      <c r="AP430" s="148"/>
      <c r="AQ430" s="148"/>
      <c r="AR430" s="148">
        <f t="shared" si="469"/>
        <v>0</v>
      </c>
      <c r="AS430" s="148"/>
      <c r="AT430" s="148"/>
      <c r="AU430" s="148">
        <f t="shared" si="469"/>
        <v>0</v>
      </c>
      <c r="AV430" s="148"/>
      <c r="AW430" s="148"/>
      <c r="AX430" s="148">
        <f t="shared" si="469"/>
        <v>0</v>
      </c>
      <c r="AY430" s="148"/>
      <c r="AZ430" s="148"/>
      <c r="BA430" s="148">
        <f t="shared" si="469"/>
        <v>298000000</v>
      </c>
      <c r="BB430" s="148">
        <f t="shared" ref="BB430:BC430" si="470">SUM(BB431:BB436)</f>
        <v>90700000</v>
      </c>
      <c r="BC430" s="148">
        <f t="shared" si="470"/>
        <v>9485000</v>
      </c>
      <c r="BD430" s="148">
        <f t="shared" si="469"/>
        <v>0</v>
      </c>
      <c r="BE430" s="148"/>
      <c r="BF430" s="148"/>
      <c r="BG430" s="148">
        <f t="shared" si="469"/>
        <v>0</v>
      </c>
      <c r="BH430" s="148"/>
      <c r="BI430" s="307"/>
      <c r="BJ430" s="623">
        <f t="shared" si="469"/>
        <v>298000000</v>
      </c>
      <c r="BK430" s="623">
        <f t="shared" ref="BK430:BL430" si="471">SUM(BK431:BK436)</f>
        <v>90700000</v>
      </c>
      <c r="BL430" s="623">
        <f t="shared" si="471"/>
        <v>9485000</v>
      </c>
      <c r="BM430" s="308">
        <f>SUM(BM431:BM436)</f>
        <v>0</v>
      </c>
      <c r="BN430" s="156">
        <f>SUM(BN431:BN436)</f>
        <v>0</v>
      </c>
      <c r="BO430" s="8"/>
      <c r="BP430" s="8"/>
      <c r="BQ430" s="8"/>
      <c r="BR430" s="8"/>
      <c r="BS430" s="8"/>
      <c r="BT430" s="8"/>
      <c r="BU430" s="8"/>
      <c r="BV430" s="8"/>
      <c r="BW430" s="8"/>
      <c r="BX430" s="8"/>
      <c r="BY430" s="8"/>
      <c r="BZ430" s="8"/>
      <c r="CA430" s="8"/>
      <c r="CB430" s="8"/>
      <c r="CC430" s="8"/>
      <c r="CD430" s="8"/>
      <c r="CE430" s="8"/>
      <c r="CF430" s="8"/>
      <c r="CG430" s="8"/>
      <c r="CH430" s="8"/>
      <c r="CI430" s="8"/>
      <c r="CJ430" s="8"/>
      <c r="CK430" s="8"/>
      <c r="CL430" s="8"/>
      <c r="CM430" s="8"/>
      <c r="CN430" s="8"/>
      <c r="CO430" s="8"/>
      <c r="CP430" s="8"/>
      <c r="CQ430" s="8"/>
      <c r="CR430" s="8"/>
      <c r="CS430" s="8"/>
      <c r="CT430" s="8"/>
      <c r="CU430" s="8"/>
      <c r="CV430" s="8"/>
      <c r="CW430" s="8"/>
      <c r="CX430" s="8"/>
      <c r="CY430" s="8"/>
      <c r="CZ430" s="8"/>
      <c r="DA430" s="8"/>
      <c r="DB430" s="8"/>
    </row>
    <row r="431" spans="1:106" ht="54.75" customHeight="1" x14ac:dyDescent="0.2">
      <c r="A431" s="145"/>
      <c r="B431" s="91"/>
      <c r="C431" s="91"/>
      <c r="D431" s="91"/>
      <c r="E431" s="91"/>
      <c r="F431" s="87"/>
      <c r="G431" s="569"/>
      <c r="H431" s="562" t="s">
        <v>1294</v>
      </c>
      <c r="I431" s="567">
        <v>2302003</v>
      </c>
      <c r="J431" s="562" t="s">
        <v>1295</v>
      </c>
      <c r="K431" s="567">
        <v>2302003</v>
      </c>
      <c r="L431" s="562" t="s">
        <v>1295</v>
      </c>
      <c r="M431" s="198">
        <v>230200300</v>
      </c>
      <c r="N431" s="561" t="s">
        <v>1296</v>
      </c>
      <c r="O431" s="198">
        <v>230200300</v>
      </c>
      <c r="P431" s="561" t="s">
        <v>1296</v>
      </c>
      <c r="Q431" s="569" t="s">
        <v>68</v>
      </c>
      <c r="R431" s="125">
        <v>2</v>
      </c>
      <c r="S431" s="125">
        <v>0</v>
      </c>
      <c r="T431" s="864" t="s">
        <v>1297</v>
      </c>
      <c r="U431" s="873" t="s">
        <v>1298</v>
      </c>
      <c r="V431" s="873" t="s">
        <v>1299</v>
      </c>
      <c r="W431" s="150"/>
      <c r="X431" s="150"/>
      <c r="Y431" s="150"/>
      <c r="Z431" s="150"/>
      <c r="AA431" s="150"/>
      <c r="AB431" s="150"/>
      <c r="AC431" s="150"/>
      <c r="AD431" s="150"/>
      <c r="AE431" s="150"/>
      <c r="AF431" s="151"/>
      <c r="AG431" s="151"/>
      <c r="AH431" s="151"/>
      <c r="AI431" s="151"/>
      <c r="AJ431" s="314"/>
      <c r="AK431" s="314"/>
      <c r="AL431" s="314"/>
      <c r="AM431" s="314"/>
      <c r="AN431" s="314"/>
      <c r="AO431" s="151"/>
      <c r="AP431" s="151"/>
      <c r="AQ431" s="151"/>
      <c r="AR431" s="151"/>
      <c r="AS431" s="315"/>
      <c r="AT431" s="315"/>
      <c r="AU431" s="315"/>
      <c r="AV431" s="315"/>
      <c r="AW431" s="315"/>
      <c r="AX431" s="151"/>
      <c r="AY431" s="151"/>
      <c r="AZ431" s="151"/>
      <c r="BA431" s="151">
        <v>120000000</v>
      </c>
      <c r="BB431" s="339">
        <v>11133000</v>
      </c>
      <c r="BC431" s="339"/>
      <c r="BD431" s="151"/>
      <c r="BE431" s="151"/>
      <c r="BF431" s="151"/>
      <c r="BG431" s="151"/>
      <c r="BH431" s="151"/>
      <c r="BI431" s="314"/>
      <c r="BJ431" s="622">
        <f t="shared" ref="BJ431:BJ436" si="472">+W431+Z431+AC431+AF431+AI431+AL431+AO431+AR431+AU431+AX431+BA431+BD431+BG431</f>
        <v>120000000</v>
      </c>
      <c r="BK431" s="622">
        <f t="shared" ref="BK431:BK436" si="473">+X431+AA431+AD431+AG431+AJ431+AM431+AP431+AS431+AV431+AY431+BB431+BE431+BH431</f>
        <v>11133000</v>
      </c>
      <c r="BL431" s="622">
        <f t="shared" ref="BL431:BL436" si="474">+Y431+AB431+AE431+AH431+AK431+AN431+AQ431+AT431+AW431+AZ431+BC431+BF431+BI431</f>
        <v>0</v>
      </c>
      <c r="BM431" s="617" t="s">
        <v>1533</v>
      </c>
      <c r="BN431" s="72" t="s">
        <v>1240</v>
      </c>
    </row>
    <row r="432" spans="1:106" ht="93" customHeight="1" x14ac:dyDescent="0.2">
      <c r="A432" s="145"/>
      <c r="B432" s="91"/>
      <c r="C432" s="91"/>
      <c r="D432" s="91"/>
      <c r="E432" s="91"/>
      <c r="F432" s="87"/>
      <c r="G432" s="569"/>
      <c r="H432" s="562" t="s">
        <v>1294</v>
      </c>
      <c r="I432" s="567">
        <v>2302033</v>
      </c>
      <c r="J432" s="562" t="s">
        <v>1300</v>
      </c>
      <c r="K432" s="567">
        <v>2302033</v>
      </c>
      <c r="L432" s="562" t="s">
        <v>1300</v>
      </c>
      <c r="M432" s="198">
        <v>230203300</v>
      </c>
      <c r="N432" s="561" t="s">
        <v>1301</v>
      </c>
      <c r="O432" s="198">
        <v>230203300</v>
      </c>
      <c r="P432" s="561" t="s">
        <v>1301</v>
      </c>
      <c r="Q432" s="569" t="s">
        <v>52</v>
      </c>
      <c r="R432" s="125">
        <v>100</v>
      </c>
      <c r="S432" s="125">
        <v>0</v>
      </c>
      <c r="T432" s="864"/>
      <c r="U432" s="873"/>
      <c r="V432" s="873"/>
      <c r="W432" s="150"/>
      <c r="X432" s="150"/>
      <c r="Y432" s="150"/>
      <c r="Z432" s="150"/>
      <c r="AA432" s="150"/>
      <c r="AB432" s="150"/>
      <c r="AC432" s="150"/>
      <c r="AD432" s="150"/>
      <c r="AE432" s="150"/>
      <c r="AF432" s="151"/>
      <c r="AG432" s="151"/>
      <c r="AH432" s="151"/>
      <c r="AI432" s="151"/>
      <c r="AJ432" s="314"/>
      <c r="AK432" s="314"/>
      <c r="AL432" s="314"/>
      <c r="AM432" s="314"/>
      <c r="AN432" s="314"/>
      <c r="AO432" s="151"/>
      <c r="AP432" s="151"/>
      <c r="AQ432" s="151"/>
      <c r="AR432" s="151"/>
      <c r="AS432" s="315"/>
      <c r="AT432" s="315"/>
      <c r="AU432" s="315"/>
      <c r="AV432" s="315"/>
      <c r="AW432" s="315"/>
      <c r="AX432" s="151"/>
      <c r="AY432" s="151"/>
      <c r="AZ432" s="151"/>
      <c r="BA432" s="151">
        <v>50000000</v>
      </c>
      <c r="BB432" s="339">
        <v>16575000</v>
      </c>
      <c r="BC432" s="339">
        <v>6185000</v>
      </c>
      <c r="BD432" s="151"/>
      <c r="BE432" s="151"/>
      <c r="BF432" s="151"/>
      <c r="BG432" s="151"/>
      <c r="BH432" s="151"/>
      <c r="BI432" s="314"/>
      <c r="BJ432" s="622">
        <f t="shared" si="472"/>
        <v>50000000</v>
      </c>
      <c r="BK432" s="622">
        <f t="shared" si="473"/>
        <v>16575000</v>
      </c>
      <c r="BL432" s="622">
        <f t="shared" si="474"/>
        <v>6185000</v>
      </c>
      <c r="BM432" s="617" t="s">
        <v>1533</v>
      </c>
      <c r="BN432" s="72" t="s">
        <v>1240</v>
      </c>
    </row>
    <row r="433" spans="1:106" ht="132" customHeight="1" x14ac:dyDescent="0.2">
      <c r="A433" s="145"/>
      <c r="B433" s="91"/>
      <c r="C433" s="91"/>
      <c r="D433" s="91"/>
      <c r="E433" s="91"/>
      <c r="F433" s="87"/>
      <c r="G433" s="569"/>
      <c r="H433" s="562" t="s">
        <v>1294</v>
      </c>
      <c r="I433" s="567">
        <v>2302066</v>
      </c>
      <c r="J433" s="562" t="s">
        <v>1302</v>
      </c>
      <c r="K433" s="567">
        <v>2302066</v>
      </c>
      <c r="L433" s="562" t="s">
        <v>1302</v>
      </c>
      <c r="M433" s="198">
        <v>230206600</v>
      </c>
      <c r="N433" s="561" t="s">
        <v>1303</v>
      </c>
      <c r="O433" s="198">
        <v>230206600</v>
      </c>
      <c r="P433" s="561" t="s">
        <v>1303</v>
      </c>
      <c r="Q433" s="108" t="s">
        <v>68</v>
      </c>
      <c r="R433" s="125">
        <v>50</v>
      </c>
      <c r="S433" s="125">
        <v>0</v>
      </c>
      <c r="T433" s="864"/>
      <c r="U433" s="873"/>
      <c r="V433" s="873"/>
      <c r="W433" s="150"/>
      <c r="X433" s="150"/>
      <c r="Y433" s="150"/>
      <c r="Z433" s="150"/>
      <c r="AA433" s="150"/>
      <c r="AB433" s="150"/>
      <c r="AC433" s="150"/>
      <c r="AD433" s="150"/>
      <c r="AE433" s="150"/>
      <c r="AF433" s="151"/>
      <c r="AG433" s="151"/>
      <c r="AH433" s="151"/>
      <c r="AI433" s="151"/>
      <c r="AJ433" s="314"/>
      <c r="AK433" s="314"/>
      <c r="AL433" s="314"/>
      <c r="AM433" s="314"/>
      <c r="AN433" s="314"/>
      <c r="AO433" s="151"/>
      <c r="AP433" s="151"/>
      <c r="AQ433" s="151"/>
      <c r="AR433" s="151"/>
      <c r="AS433" s="315"/>
      <c r="AT433" s="315"/>
      <c r="AU433" s="315"/>
      <c r="AV433" s="315"/>
      <c r="AW433" s="315"/>
      <c r="AX433" s="151"/>
      <c r="AY433" s="151"/>
      <c r="AZ433" s="151"/>
      <c r="BA433" s="151">
        <v>60000000</v>
      </c>
      <c r="BB433" s="339">
        <v>45962500</v>
      </c>
      <c r="BC433" s="339"/>
      <c r="BD433" s="151"/>
      <c r="BE433" s="151"/>
      <c r="BF433" s="151"/>
      <c r="BG433" s="151"/>
      <c r="BH433" s="151"/>
      <c r="BI433" s="314"/>
      <c r="BJ433" s="622">
        <f t="shared" si="472"/>
        <v>60000000</v>
      </c>
      <c r="BK433" s="622">
        <f t="shared" si="473"/>
        <v>45962500</v>
      </c>
      <c r="BL433" s="622">
        <f t="shared" si="474"/>
        <v>0</v>
      </c>
      <c r="BM433" s="617" t="s">
        <v>1533</v>
      </c>
      <c r="BN433" s="72" t="s">
        <v>1240</v>
      </c>
    </row>
    <row r="434" spans="1:106" ht="108" customHeight="1" x14ac:dyDescent="0.2">
      <c r="A434" s="145"/>
      <c r="B434" s="91"/>
      <c r="C434" s="91"/>
      <c r="D434" s="91"/>
      <c r="E434" s="91"/>
      <c r="F434" s="87"/>
      <c r="G434" s="569"/>
      <c r="H434" s="562" t="s">
        <v>1294</v>
      </c>
      <c r="I434" s="567">
        <v>2302004</v>
      </c>
      <c r="J434" s="562" t="s">
        <v>1304</v>
      </c>
      <c r="K434" s="567">
        <v>2302004</v>
      </c>
      <c r="L434" s="562" t="s">
        <v>1304</v>
      </c>
      <c r="M434" s="198">
        <v>230200403</v>
      </c>
      <c r="N434" s="561" t="s">
        <v>1305</v>
      </c>
      <c r="O434" s="198">
        <v>230200403</v>
      </c>
      <c r="P434" s="561" t="s">
        <v>1305</v>
      </c>
      <c r="Q434" s="569" t="s">
        <v>52</v>
      </c>
      <c r="R434" s="125">
        <v>1</v>
      </c>
      <c r="S434" s="125">
        <v>0</v>
      </c>
      <c r="T434" s="864"/>
      <c r="U434" s="873"/>
      <c r="V434" s="873"/>
      <c r="W434" s="150"/>
      <c r="X434" s="150"/>
      <c r="Y434" s="150"/>
      <c r="Z434" s="150"/>
      <c r="AA434" s="150"/>
      <c r="AB434" s="150"/>
      <c r="AC434" s="150"/>
      <c r="AD434" s="150"/>
      <c r="AE434" s="150"/>
      <c r="AF434" s="151"/>
      <c r="AG434" s="151"/>
      <c r="AH434" s="151"/>
      <c r="AI434" s="151"/>
      <c r="AJ434" s="314"/>
      <c r="AK434" s="314"/>
      <c r="AL434" s="314"/>
      <c r="AM434" s="314"/>
      <c r="AN434" s="314"/>
      <c r="AO434" s="151"/>
      <c r="AP434" s="151"/>
      <c r="AQ434" s="151"/>
      <c r="AR434" s="151"/>
      <c r="AS434" s="315"/>
      <c r="AT434" s="315"/>
      <c r="AU434" s="315"/>
      <c r="AV434" s="315"/>
      <c r="AW434" s="315"/>
      <c r="AX434" s="151"/>
      <c r="AY434" s="151"/>
      <c r="AZ434" s="151"/>
      <c r="BA434" s="151">
        <v>25000000</v>
      </c>
      <c r="BB434" s="339">
        <v>7789500</v>
      </c>
      <c r="BC434" s="339"/>
      <c r="BD434" s="151"/>
      <c r="BE434" s="151"/>
      <c r="BF434" s="151"/>
      <c r="BG434" s="151"/>
      <c r="BH434" s="151"/>
      <c r="BI434" s="314"/>
      <c r="BJ434" s="622">
        <f t="shared" si="472"/>
        <v>25000000</v>
      </c>
      <c r="BK434" s="622">
        <f t="shared" si="473"/>
        <v>7789500</v>
      </c>
      <c r="BL434" s="622">
        <f t="shared" si="474"/>
        <v>0</v>
      </c>
      <c r="BM434" s="617" t="s">
        <v>1533</v>
      </c>
      <c r="BN434" s="72" t="s">
        <v>1240</v>
      </c>
    </row>
    <row r="435" spans="1:106" ht="149.25" customHeight="1" x14ac:dyDescent="0.2">
      <c r="A435" s="145"/>
      <c r="B435" s="91"/>
      <c r="C435" s="91"/>
      <c r="D435" s="91"/>
      <c r="E435" s="91"/>
      <c r="F435" s="87"/>
      <c r="G435" s="569"/>
      <c r="H435" s="562" t="s">
        <v>1294</v>
      </c>
      <c r="I435" s="198">
        <v>2302007</v>
      </c>
      <c r="J435" s="562" t="s">
        <v>1306</v>
      </c>
      <c r="K435" s="567">
        <v>2302007</v>
      </c>
      <c r="L435" s="562" t="s">
        <v>1306</v>
      </c>
      <c r="M435" s="198">
        <v>230200701</v>
      </c>
      <c r="N435" s="561" t="s">
        <v>1307</v>
      </c>
      <c r="O435" s="198">
        <v>230200701</v>
      </c>
      <c r="P435" s="561" t="s">
        <v>1307</v>
      </c>
      <c r="Q435" s="569" t="s">
        <v>52</v>
      </c>
      <c r="R435" s="125">
        <v>1</v>
      </c>
      <c r="S435" s="125">
        <v>0</v>
      </c>
      <c r="T435" s="864"/>
      <c r="U435" s="873"/>
      <c r="V435" s="873"/>
      <c r="W435" s="150"/>
      <c r="X435" s="150"/>
      <c r="Y435" s="150"/>
      <c r="Z435" s="150"/>
      <c r="AA435" s="150"/>
      <c r="AB435" s="150"/>
      <c r="AC435" s="150"/>
      <c r="AD435" s="150"/>
      <c r="AE435" s="150"/>
      <c r="AF435" s="151"/>
      <c r="AG435" s="151"/>
      <c r="AH435" s="151"/>
      <c r="AI435" s="151"/>
      <c r="AJ435" s="314"/>
      <c r="AK435" s="314"/>
      <c r="AL435" s="314"/>
      <c r="AM435" s="314"/>
      <c r="AN435" s="314"/>
      <c r="AO435" s="151"/>
      <c r="AP435" s="151"/>
      <c r="AQ435" s="151"/>
      <c r="AR435" s="151"/>
      <c r="AS435" s="315"/>
      <c r="AT435" s="315"/>
      <c r="AU435" s="315"/>
      <c r="AV435" s="315"/>
      <c r="AW435" s="315"/>
      <c r="AX435" s="151"/>
      <c r="AY435" s="151"/>
      <c r="AZ435" s="151"/>
      <c r="BA435" s="151">
        <v>25000000</v>
      </c>
      <c r="BB435" s="339"/>
      <c r="BC435" s="339"/>
      <c r="BD435" s="151"/>
      <c r="BE435" s="151"/>
      <c r="BF435" s="151"/>
      <c r="BG435" s="151"/>
      <c r="BH435" s="151"/>
      <c r="BI435" s="314"/>
      <c r="BJ435" s="622">
        <f t="shared" si="472"/>
        <v>25000000</v>
      </c>
      <c r="BK435" s="622">
        <f t="shared" si="473"/>
        <v>0</v>
      </c>
      <c r="BL435" s="622">
        <f t="shared" si="474"/>
        <v>0</v>
      </c>
      <c r="BM435" s="617" t="s">
        <v>1533</v>
      </c>
      <c r="BN435" s="72" t="s">
        <v>1240</v>
      </c>
    </row>
    <row r="436" spans="1:106" ht="72" customHeight="1" x14ac:dyDescent="0.2">
      <c r="A436" s="145"/>
      <c r="B436" s="91"/>
      <c r="C436" s="91"/>
      <c r="D436" s="91"/>
      <c r="E436" s="91"/>
      <c r="F436" s="87"/>
      <c r="G436" s="569"/>
      <c r="H436" s="562" t="s">
        <v>1294</v>
      </c>
      <c r="I436" s="567">
        <v>2302083</v>
      </c>
      <c r="J436" s="562" t="s">
        <v>96</v>
      </c>
      <c r="K436" s="567">
        <v>2302083</v>
      </c>
      <c r="L436" s="562" t="s">
        <v>96</v>
      </c>
      <c r="M436" s="198">
        <v>230208300</v>
      </c>
      <c r="N436" s="561" t="s">
        <v>553</v>
      </c>
      <c r="O436" s="198">
        <v>230208300</v>
      </c>
      <c r="P436" s="561" t="s">
        <v>553</v>
      </c>
      <c r="Q436" s="569" t="s">
        <v>52</v>
      </c>
      <c r="R436" s="125">
        <v>1</v>
      </c>
      <c r="S436" s="125">
        <v>0</v>
      </c>
      <c r="T436" s="864"/>
      <c r="U436" s="873"/>
      <c r="V436" s="873"/>
      <c r="W436" s="150"/>
      <c r="X436" s="150"/>
      <c r="Y436" s="150"/>
      <c r="Z436" s="150"/>
      <c r="AA436" s="150"/>
      <c r="AB436" s="150"/>
      <c r="AC436" s="150"/>
      <c r="AD436" s="150"/>
      <c r="AE436" s="150"/>
      <c r="AF436" s="151"/>
      <c r="AG436" s="151"/>
      <c r="AH436" s="151"/>
      <c r="AI436" s="151"/>
      <c r="AJ436" s="314"/>
      <c r="AK436" s="314"/>
      <c r="AL436" s="314"/>
      <c r="AM436" s="314"/>
      <c r="AN436" s="314"/>
      <c r="AO436" s="151"/>
      <c r="AP436" s="151"/>
      <c r="AQ436" s="151"/>
      <c r="AR436" s="151"/>
      <c r="AS436" s="315"/>
      <c r="AT436" s="315"/>
      <c r="AU436" s="315"/>
      <c r="AV436" s="315"/>
      <c r="AW436" s="315"/>
      <c r="AX436" s="151"/>
      <c r="AY436" s="151"/>
      <c r="AZ436" s="151"/>
      <c r="BA436" s="151">
        <v>18000000</v>
      </c>
      <c r="BB436" s="339">
        <v>9240000</v>
      </c>
      <c r="BC436" s="339">
        <v>3300000</v>
      </c>
      <c r="BD436" s="151"/>
      <c r="BE436" s="151"/>
      <c r="BF436" s="151"/>
      <c r="BG436" s="151"/>
      <c r="BH436" s="151"/>
      <c r="BI436" s="314"/>
      <c r="BJ436" s="622">
        <f t="shared" si="472"/>
        <v>18000000</v>
      </c>
      <c r="BK436" s="622">
        <f t="shared" si="473"/>
        <v>9240000</v>
      </c>
      <c r="BL436" s="622">
        <f t="shared" si="474"/>
        <v>3300000</v>
      </c>
      <c r="BM436" s="617" t="s">
        <v>1533</v>
      </c>
      <c r="BN436" s="72" t="s">
        <v>1240</v>
      </c>
    </row>
    <row r="437" spans="1:106" s="28" customFormat="1" ht="30" customHeight="1" x14ac:dyDescent="0.25">
      <c r="A437" s="911" t="s">
        <v>1308</v>
      </c>
      <c r="B437" s="912"/>
      <c r="C437" s="912"/>
      <c r="D437" s="912"/>
      <c r="E437" s="912"/>
      <c r="F437" s="912"/>
      <c r="G437" s="913"/>
      <c r="H437" s="365"/>
      <c r="I437" s="365"/>
      <c r="J437" s="367"/>
      <c r="K437" s="366"/>
      <c r="L437" s="367"/>
      <c r="M437" s="367"/>
      <c r="N437" s="368"/>
      <c r="O437" s="366"/>
      <c r="P437" s="368"/>
      <c r="Q437" s="369"/>
      <c r="R437" s="366"/>
      <c r="S437" s="366"/>
      <c r="T437" s="370"/>
      <c r="U437" s="367"/>
      <c r="V437" s="367"/>
      <c r="W437" s="628">
        <f t="shared" ref="W437:BL437" si="475">+W401+W333+W278+W233+W224+W166+W147+W131+W88+W44+W37+W19+W9</f>
        <v>10976189252.119999</v>
      </c>
      <c r="X437" s="628">
        <f t="shared" si="475"/>
        <v>373959000</v>
      </c>
      <c r="Y437" s="628">
        <f t="shared" si="475"/>
        <v>44266000</v>
      </c>
      <c r="Z437" s="628">
        <f t="shared" si="475"/>
        <v>1837447380.3299999</v>
      </c>
      <c r="AA437" s="628">
        <f t="shared" si="475"/>
        <v>121957010.33</v>
      </c>
      <c r="AB437" s="628">
        <f t="shared" si="475"/>
        <v>2885000</v>
      </c>
      <c r="AC437" s="628">
        <f t="shared" si="475"/>
        <v>56108067</v>
      </c>
      <c r="AD437" s="628">
        <f t="shared" si="475"/>
        <v>56108067</v>
      </c>
      <c r="AE437" s="628">
        <f t="shared" si="475"/>
        <v>13280787</v>
      </c>
      <c r="AF437" s="628">
        <f t="shared" si="475"/>
        <v>1785755472.78</v>
      </c>
      <c r="AG437" s="628">
        <f t="shared" si="475"/>
        <v>1385755472.7799997</v>
      </c>
      <c r="AH437" s="628">
        <f t="shared" si="475"/>
        <v>80777982.780000001</v>
      </c>
      <c r="AI437" s="628">
        <f t="shared" si="475"/>
        <v>6893527853.4899998</v>
      </c>
      <c r="AJ437" s="628">
        <f t="shared" si="475"/>
        <v>1923180036</v>
      </c>
      <c r="AK437" s="628">
        <f t="shared" si="475"/>
        <v>183157000</v>
      </c>
      <c r="AL437" s="628">
        <f t="shared" si="475"/>
        <v>35242837560</v>
      </c>
      <c r="AM437" s="628">
        <f t="shared" si="475"/>
        <v>31380939122</v>
      </c>
      <c r="AN437" s="628">
        <f t="shared" si="475"/>
        <v>9093990335.3199997</v>
      </c>
      <c r="AO437" s="628">
        <f t="shared" si="475"/>
        <v>143579499577.42001</v>
      </c>
      <c r="AP437" s="628">
        <f t="shared" si="475"/>
        <v>29230912713.150002</v>
      </c>
      <c r="AQ437" s="628">
        <f t="shared" si="475"/>
        <v>28081867883</v>
      </c>
      <c r="AR437" s="628">
        <f t="shared" si="475"/>
        <v>25145000000</v>
      </c>
      <c r="AS437" s="628">
        <f t="shared" si="475"/>
        <v>8556078404</v>
      </c>
      <c r="AT437" s="628">
        <f t="shared" si="475"/>
        <v>8556078404</v>
      </c>
      <c r="AU437" s="628">
        <f t="shared" si="475"/>
        <v>11590214233.049999</v>
      </c>
      <c r="AV437" s="628">
        <f t="shared" si="475"/>
        <v>9750591050</v>
      </c>
      <c r="AW437" s="628">
        <f t="shared" si="475"/>
        <v>37560000</v>
      </c>
      <c r="AX437" s="628">
        <f t="shared" si="475"/>
        <v>2753011221</v>
      </c>
      <c r="AY437" s="628">
        <f t="shared" si="475"/>
        <v>0</v>
      </c>
      <c r="AZ437" s="628">
        <f t="shared" si="475"/>
        <v>0</v>
      </c>
      <c r="BA437" s="628">
        <f t="shared" si="475"/>
        <v>21409692287.220001</v>
      </c>
      <c r="BB437" s="628">
        <f t="shared" si="475"/>
        <v>8487105540.2200003</v>
      </c>
      <c r="BC437" s="628">
        <f t="shared" si="475"/>
        <v>1315122062.22</v>
      </c>
      <c r="BD437" s="628">
        <f t="shared" si="475"/>
        <v>927910445.75999999</v>
      </c>
      <c r="BE437" s="628">
        <f t="shared" si="475"/>
        <v>74820000</v>
      </c>
      <c r="BF437" s="628">
        <f t="shared" si="475"/>
        <v>6185000</v>
      </c>
      <c r="BG437" s="628">
        <f t="shared" si="475"/>
        <v>4674277761.8500004</v>
      </c>
      <c r="BH437" s="628">
        <f t="shared" si="475"/>
        <v>706935414.43000007</v>
      </c>
      <c r="BI437" s="628">
        <f t="shared" si="475"/>
        <v>119481497.33</v>
      </c>
      <c r="BJ437" s="628">
        <f t="shared" si="475"/>
        <v>266871471112.02005</v>
      </c>
      <c r="BK437" s="628">
        <f t="shared" si="475"/>
        <v>92048341829.910004</v>
      </c>
      <c r="BL437" s="628">
        <f t="shared" si="475"/>
        <v>47534651951.650002</v>
      </c>
      <c r="BM437" s="621"/>
      <c r="BN437" s="371">
        <f>+BN401+BN333+BN278+BN233+BN224+BN166+BN147+BN131+BN88+BN44+BN37+BN19+BN9</f>
        <v>0</v>
      </c>
      <c r="BO437" s="27"/>
      <c r="BP437" s="27"/>
      <c r="BQ437" s="27"/>
      <c r="BR437" s="27"/>
      <c r="BS437" s="27"/>
      <c r="BT437" s="27"/>
      <c r="BU437" s="27"/>
      <c r="BV437" s="27"/>
      <c r="BW437" s="27"/>
      <c r="BX437" s="27"/>
      <c r="BY437" s="27"/>
      <c r="BZ437" s="27"/>
      <c r="CA437" s="27"/>
      <c r="CB437" s="27"/>
      <c r="CC437" s="27"/>
      <c r="CD437" s="27"/>
      <c r="CE437" s="27"/>
      <c r="CF437" s="27"/>
      <c r="CG437" s="27"/>
      <c r="CH437" s="27"/>
      <c r="CI437" s="27"/>
      <c r="CJ437" s="27"/>
      <c r="CK437" s="27"/>
      <c r="CL437" s="27"/>
      <c r="CM437" s="27"/>
      <c r="CN437" s="27"/>
      <c r="CO437" s="27"/>
      <c r="CP437" s="27"/>
      <c r="CQ437" s="27"/>
      <c r="CR437" s="27"/>
      <c r="CS437" s="27"/>
      <c r="CT437" s="27"/>
      <c r="CU437" s="27"/>
      <c r="CV437" s="27"/>
      <c r="CW437" s="27"/>
      <c r="CX437" s="27"/>
      <c r="CY437" s="27"/>
      <c r="CZ437" s="27"/>
      <c r="DA437" s="27"/>
      <c r="DB437" s="27"/>
    </row>
    <row r="438" spans="1:106" s="467" customFormat="1" ht="16.5" customHeight="1" x14ac:dyDescent="0.25">
      <c r="A438" s="463"/>
      <c r="B438" s="463"/>
      <c r="C438" s="463"/>
      <c r="D438" s="463"/>
      <c r="E438" s="463"/>
      <c r="F438" s="463"/>
      <c r="G438" s="463"/>
      <c r="H438" s="464"/>
      <c r="I438" s="463"/>
      <c r="J438" s="463"/>
      <c r="K438" s="463"/>
      <c r="L438" s="463"/>
      <c r="M438" s="463"/>
      <c r="N438" s="463"/>
      <c r="O438" s="463"/>
      <c r="P438" s="463"/>
      <c r="Q438" s="465"/>
      <c r="R438" s="463"/>
      <c r="S438" s="463"/>
      <c r="T438" s="465"/>
      <c r="U438" s="465"/>
      <c r="V438" s="465"/>
      <c r="W438" s="466"/>
      <c r="X438" s="466"/>
      <c r="Y438" s="466"/>
      <c r="Z438" s="466"/>
      <c r="AA438" s="466"/>
      <c r="AB438" s="466"/>
      <c r="AC438" s="466"/>
      <c r="AD438" s="466"/>
      <c r="AE438" s="466"/>
      <c r="AF438" s="466"/>
      <c r="AG438" s="466"/>
      <c r="AH438" s="466"/>
      <c r="AI438" s="466"/>
      <c r="AJ438" s="466"/>
      <c r="AK438" s="466"/>
      <c r="AL438" s="466"/>
      <c r="AM438" s="466"/>
      <c r="AN438" s="466"/>
      <c r="AO438" s="466"/>
      <c r="AP438" s="466"/>
      <c r="AQ438" s="466"/>
      <c r="AR438" s="466"/>
      <c r="AS438" s="466"/>
      <c r="AT438" s="466"/>
      <c r="AU438" s="466"/>
      <c r="AV438" s="466"/>
      <c r="AW438" s="466"/>
      <c r="AX438" s="466"/>
      <c r="AY438" s="466"/>
      <c r="AZ438" s="466"/>
      <c r="BA438" s="466"/>
      <c r="BB438" s="466"/>
      <c r="BC438" s="466"/>
      <c r="BD438" s="466"/>
      <c r="BE438" s="466"/>
      <c r="BF438" s="466"/>
      <c r="BG438" s="466"/>
      <c r="BH438" s="466"/>
      <c r="BI438" s="466"/>
      <c r="BJ438" s="466"/>
      <c r="BK438" s="466"/>
      <c r="BL438" s="466"/>
      <c r="BM438" s="466"/>
      <c r="BN438" s="466"/>
    </row>
    <row r="439" spans="1:106" s="394" customFormat="1" ht="24" customHeight="1" x14ac:dyDescent="0.2">
      <c r="A439" s="385" t="s">
        <v>1309</v>
      </c>
      <c r="B439" s="385"/>
      <c r="C439" s="385"/>
      <c r="D439" s="385"/>
      <c r="E439" s="385"/>
      <c r="F439" s="384"/>
      <c r="G439" s="397"/>
      <c r="H439" s="398"/>
      <c r="I439" s="398"/>
      <c r="J439" s="398"/>
      <c r="K439" s="399"/>
      <c r="L439" s="398"/>
      <c r="M439" s="398"/>
      <c r="N439" s="401"/>
      <c r="O439" s="400"/>
      <c r="P439" s="401"/>
      <c r="Q439" s="402"/>
      <c r="R439" s="400"/>
      <c r="S439" s="400"/>
      <c r="T439" s="397"/>
      <c r="U439" s="401"/>
      <c r="V439" s="401"/>
      <c r="W439" s="403">
        <f t="shared" ref="W439:BL439" si="476">+W440</f>
        <v>0</v>
      </c>
      <c r="X439" s="403"/>
      <c r="Y439" s="403"/>
      <c r="Z439" s="403">
        <f t="shared" si="476"/>
        <v>0</v>
      </c>
      <c r="AA439" s="403"/>
      <c r="AB439" s="403"/>
      <c r="AC439" s="403">
        <f t="shared" si="476"/>
        <v>0</v>
      </c>
      <c r="AD439" s="403"/>
      <c r="AE439" s="403"/>
      <c r="AF439" s="403">
        <f t="shared" si="476"/>
        <v>0</v>
      </c>
      <c r="AG439" s="403"/>
      <c r="AH439" s="403"/>
      <c r="AI439" s="403">
        <f t="shared" si="476"/>
        <v>0</v>
      </c>
      <c r="AJ439" s="403"/>
      <c r="AK439" s="403"/>
      <c r="AL439" s="403">
        <f t="shared" si="476"/>
        <v>0</v>
      </c>
      <c r="AM439" s="403"/>
      <c r="AN439" s="403"/>
      <c r="AO439" s="403">
        <f t="shared" si="476"/>
        <v>0</v>
      </c>
      <c r="AP439" s="403"/>
      <c r="AQ439" s="403"/>
      <c r="AR439" s="403">
        <f t="shared" si="476"/>
        <v>0</v>
      </c>
      <c r="AS439" s="403"/>
      <c r="AT439" s="403"/>
      <c r="AU439" s="403">
        <f t="shared" si="476"/>
        <v>0</v>
      </c>
      <c r="AV439" s="403"/>
      <c r="AW439" s="403"/>
      <c r="AX439" s="403">
        <f t="shared" si="476"/>
        <v>0</v>
      </c>
      <c r="AY439" s="403"/>
      <c r="AZ439" s="403"/>
      <c r="BA439" s="403">
        <f t="shared" si="476"/>
        <v>855248186</v>
      </c>
      <c r="BB439" s="403">
        <f t="shared" si="476"/>
        <v>74240000</v>
      </c>
      <c r="BC439" s="403">
        <f t="shared" si="476"/>
        <v>15210000</v>
      </c>
      <c r="BD439" s="403">
        <f t="shared" si="476"/>
        <v>4312107593.5499992</v>
      </c>
      <c r="BE439" s="403">
        <f t="shared" si="476"/>
        <v>804989500</v>
      </c>
      <c r="BF439" s="403">
        <f t="shared" si="476"/>
        <v>166059500</v>
      </c>
      <c r="BG439" s="403">
        <f t="shared" si="476"/>
        <v>1000000000</v>
      </c>
      <c r="BH439" s="403">
        <f t="shared" si="476"/>
        <v>0</v>
      </c>
      <c r="BI439" s="403">
        <f t="shared" si="476"/>
        <v>0</v>
      </c>
      <c r="BJ439" s="403">
        <f t="shared" si="476"/>
        <v>6167355779.5499992</v>
      </c>
      <c r="BK439" s="403">
        <f t="shared" si="476"/>
        <v>879229500</v>
      </c>
      <c r="BL439" s="403">
        <f t="shared" si="476"/>
        <v>181269500</v>
      </c>
      <c r="BM439" s="403"/>
      <c r="BN439" s="404"/>
      <c r="BO439" s="393"/>
      <c r="BP439" s="393"/>
      <c r="BQ439" s="393"/>
      <c r="BR439" s="393"/>
      <c r="BS439" s="393"/>
      <c r="BT439" s="393"/>
      <c r="BU439" s="393"/>
      <c r="BV439" s="393"/>
      <c r="BW439" s="393"/>
      <c r="BX439" s="393"/>
      <c r="BY439" s="393"/>
      <c r="BZ439" s="393"/>
      <c r="CA439" s="393"/>
      <c r="CB439" s="393"/>
      <c r="CC439" s="393"/>
      <c r="CD439" s="393"/>
      <c r="CE439" s="393"/>
      <c r="CF439" s="393"/>
      <c r="CG439" s="393"/>
      <c r="CH439" s="393"/>
      <c r="CI439" s="393"/>
      <c r="CJ439" s="393"/>
      <c r="CK439" s="393"/>
      <c r="CL439" s="393"/>
      <c r="CM439" s="393"/>
      <c r="CN439" s="393"/>
      <c r="CO439" s="393"/>
      <c r="CP439" s="393"/>
      <c r="CQ439" s="393"/>
      <c r="CR439" s="393"/>
      <c r="CS439" s="393"/>
      <c r="CT439" s="393"/>
      <c r="CU439" s="393"/>
      <c r="CV439" s="393"/>
      <c r="CW439" s="393"/>
      <c r="CX439" s="393"/>
      <c r="CY439" s="393"/>
      <c r="CZ439" s="393"/>
      <c r="DA439" s="393"/>
      <c r="DB439" s="393"/>
    </row>
    <row r="440" spans="1:106" ht="24" customHeight="1" x14ac:dyDescent="0.2">
      <c r="A440" s="145"/>
      <c r="B440" s="131">
        <v>1</v>
      </c>
      <c r="C440" s="131"/>
      <c r="D440" s="74" t="s">
        <v>149</v>
      </c>
      <c r="E440" s="173"/>
      <c r="F440" s="74"/>
      <c r="G440" s="180"/>
      <c r="H440" s="180"/>
      <c r="I440" s="395"/>
      <c r="J440" s="182"/>
      <c r="K440" s="181"/>
      <c r="L440" s="182"/>
      <c r="M440" s="182"/>
      <c r="N440" s="184"/>
      <c r="O440" s="183"/>
      <c r="P440" s="184"/>
      <c r="Q440" s="185"/>
      <c r="R440" s="183"/>
      <c r="S440" s="183"/>
      <c r="T440" s="729"/>
      <c r="U440" s="133"/>
      <c r="V440" s="133"/>
      <c r="W440" s="134">
        <f>W441</f>
        <v>0</v>
      </c>
      <c r="X440" s="134"/>
      <c r="Y440" s="134"/>
      <c r="Z440" s="134">
        <f t="shared" ref="Z440:BI440" si="477">Z441</f>
        <v>0</v>
      </c>
      <c r="AA440" s="134"/>
      <c r="AB440" s="134"/>
      <c r="AC440" s="134">
        <f t="shared" si="477"/>
        <v>0</v>
      </c>
      <c r="AD440" s="134"/>
      <c r="AE440" s="134"/>
      <c r="AF440" s="134">
        <f t="shared" si="477"/>
        <v>0</v>
      </c>
      <c r="AG440" s="134"/>
      <c r="AH440" s="134"/>
      <c r="AI440" s="134">
        <f t="shared" si="477"/>
        <v>0</v>
      </c>
      <c r="AJ440" s="134"/>
      <c r="AK440" s="134"/>
      <c r="AL440" s="134">
        <f t="shared" si="477"/>
        <v>0</v>
      </c>
      <c r="AM440" s="134"/>
      <c r="AN440" s="134"/>
      <c r="AO440" s="134">
        <f t="shared" si="477"/>
        <v>0</v>
      </c>
      <c r="AP440" s="134"/>
      <c r="AQ440" s="134"/>
      <c r="AR440" s="134">
        <f t="shared" si="477"/>
        <v>0</v>
      </c>
      <c r="AS440" s="134"/>
      <c r="AT440" s="134"/>
      <c r="AU440" s="134">
        <f t="shared" si="477"/>
        <v>0</v>
      </c>
      <c r="AV440" s="134"/>
      <c r="AW440" s="134"/>
      <c r="AX440" s="134">
        <f t="shared" si="477"/>
        <v>0</v>
      </c>
      <c r="AY440" s="134"/>
      <c r="AZ440" s="134"/>
      <c r="BA440" s="134">
        <f t="shared" si="477"/>
        <v>855248186</v>
      </c>
      <c r="BB440" s="134">
        <f t="shared" si="477"/>
        <v>74240000</v>
      </c>
      <c r="BC440" s="134">
        <f t="shared" si="477"/>
        <v>15210000</v>
      </c>
      <c r="BD440" s="134">
        <f t="shared" si="477"/>
        <v>4312107593.5499992</v>
      </c>
      <c r="BE440" s="134">
        <f t="shared" si="477"/>
        <v>804989500</v>
      </c>
      <c r="BF440" s="134">
        <f t="shared" si="477"/>
        <v>166059500</v>
      </c>
      <c r="BG440" s="134">
        <f t="shared" si="477"/>
        <v>1000000000</v>
      </c>
      <c r="BH440" s="134">
        <f t="shared" si="477"/>
        <v>0</v>
      </c>
      <c r="BI440" s="134">
        <f t="shared" si="477"/>
        <v>0</v>
      </c>
      <c r="BJ440" s="134">
        <f>BJ441</f>
        <v>6167355779.5499992</v>
      </c>
      <c r="BK440" s="134">
        <f t="shared" ref="BK440:BL440" si="478">BK441</f>
        <v>879229500</v>
      </c>
      <c r="BL440" s="134">
        <f t="shared" si="478"/>
        <v>181269500</v>
      </c>
      <c r="BM440" s="134"/>
      <c r="BN440" s="168"/>
    </row>
    <row r="441" spans="1:106" s="9" customFormat="1" ht="24" customHeight="1" x14ac:dyDescent="0.25">
      <c r="A441" s="130"/>
      <c r="B441" s="83"/>
      <c r="C441" s="83"/>
      <c r="D441" s="77">
        <v>43</v>
      </c>
      <c r="E441" s="75" t="s">
        <v>190</v>
      </c>
      <c r="F441" s="75"/>
      <c r="G441" s="135"/>
      <c r="H441" s="135"/>
      <c r="I441" s="136"/>
      <c r="J441" s="138"/>
      <c r="K441" s="137"/>
      <c r="L441" s="138"/>
      <c r="M441" s="138"/>
      <c r="N441" s="140"/>
      <c r="O441" s="139"/>
      <c r="P441" s="140"/>
      <c r="Q441" s="141"/>
      <c r="R441" s="139"/>
      <c r="S441" s="139"/>
      <c r="T441" s="204"/>
      <c r="U441" s="143"/>
      <c r="V441" s="143"/>
      <c r="W441" s="144">
        <f>W442+W447</f>
        <v>0</v>
      </c>
      <c r="X441" s="144"/>
      <c r="Y441" s="144"/>
      <c r="Z441" s="144">
        <f t="shared" ref="Z441:BG441" si="479">Z442+Z447</f>
        <v>0</v>
      </c>
      <c r="AA441" s="144"/>
      <c r="AB441" s="144"/>
      <c r="AC441" s="144">
        <f t="shared" si="479"/>
        <v>0</v>
      </c>
      <c r="AD441" s="144"/>
      <c r="AE441" s="144"/>
      <c r="AF441" s="144">
        <f t="shared" si="479"/>
        <v>0</v>
      </c>
      <c r="AG441" s="144"/>
      <c r="AH441" s="144"/>
      <c r="AI441" s="144">
        <f t="shared" si="479"/>
        <v>0</v>
      </c>
      <c r="AJ441" s="144"/>
      <c r="AK441" s="144"/>
      <c r="AL441" s="144">
        <f t="shared" si="479"/>
        <v>0</v>
      </c>
      <c r="AM441" s="144"/>
      <c r="AN441" s="144"/>
      <c r="AO441" s="144">
        <f t="shared" si="479"/>
        <v>0</v>
      </c>
      <c r="AP441" s="144"/>
      <c r="AQ441" s="144"/>
      <c r="AR441" s="144">
        <f t="shared" si="479"/>
        <v>0</v>
      </c>
      <c r="AS441" s="144"/>
      <c r="AT441" s="144"/>
      <c r="AU441" s="144">
        <f t="shared" si="479"/>
        <v>0</v>
      </c>
      <c r="AV441" s="144"/>
      <c r="AW441" s="144"/>
      <c r="AX441" s="144">
        <f t="shared" si="479"/>
        <v>0</v>
      </c>
      <c r="AY441" s="144"/>
      <c r="AZ441" s="144"/>
      <c r="BA441" s="144">
        <f t="shared" si="479"/>
        <v>855248186</v>
      </c>
      <c r="BB441" s="144">
        <f t="shared" ref="BB441:BC441" si="480">BB442+BB447</f>
        <v>74240000</v>
      </c>
      <c r="BC441" s="144">
        <f t="shared" si="480"/>
        <v>15210000</v>
      </c>
      <c r="BD441" s="144">
        <f t="shared" si="479"/>
        <v>4312107593.5499992</v>
      </c>
      <c r="BE441" s="144">
        <f t="shared" ref="BE441:BF441" si="481">BE442+BE447</f>
        <v>804989500</v>
      </c>
      <c r="BF441" s="144">
        <f t="shared" si="481"/>
        <v>166059500</v>
      </c>
      <c r="BG441" s="144">
        <f t="shared" si="479"/>
        <v>1000000000</v>
      </c>
      <c r="BH441" s="144">
        <f t="shared" ref="BH441:BI441" si="482">BH442+BH447</f>
        <v>0</v>
      </c>
      <c r="BI441" s="144">
        <f t="shared" si="482"/>
        <v>0</v>
      </c>
      <c r="BJ441" s="144">
        <f>BJ442+BJ447</f>
        <v>6167355779.5499992</v>
      </c>
      <c r="BK441" s="144">
        <f t="shared" ref="BK441:BL441" si="483">BK442+BK447</f>
        <v>879229500</v>
      </c>
      <c r="BL441" s="144">
        <f t="shared" si="483"/>
        <v>181269500</v>
      </c>
      <c r="BM441" s="144"/>
      <c r="BN441" s="169"/>
      <c r="BO441" s="8"/>
      <c r="BP441" s="8"/>
      <c r="BQ441" s="8"/>
      <c r="BR441" s="8"/>
      <c r="BS441" s="8"/>
      <c r="BT441" s="8"/>
      <c r="BU441" s="8"/>
      <c r="BV441" s="8"/>
      <c r="BW441" s="8"/>
      <c r="BX441" s="8"/>
      <c r="BY441" s="8"/>
      <c r="BZ441" s="8"/>
      <c r="CA441" s="8"/>
      <c r="CB441" s="8"/>
      <c r="CC441" s="8"/>
      <c r="CD441" s="8"/>
      <c r="CE441" s="8"/>
      <c r="CF441" s="8"/>
      <c r="CG441" s="8"/>
      <c r="CH441" s="8"/>
      <c r="CI441" s="8"/>
      <c r="CJ441" s="8"/>
      <c r="CK441" s="8"/>
      <c r="CL441" s="8"/>
      <c r="CM441" s="8"/>
      <c r="CN441" s="8"/>
      <c r="CO441" s="8"/>
      <c r="CP441" s="8"/>
      <c r="CQ441" s="8"/>
      <c r="CR441" s="8"/>
      <c r="CS441" s="8"/>
      <c r="CT441" s="8"/>
      <c r="CU441" s="8"/>
      <c r="CV441" s="8"/>
      <c r="CW441" s="8"/>
      <c r="CX441" s="8"/>
      <c r="CY441" s="8"/>
      <c r="CZ441" s="8"/>
      <c r="DA441" s="8"/>
      <c r="DB441" s="8"/>
    </row>
    <row r="442" spans="1:106" ht="24" customHeight="1" x14ac:dyDescent="0.2">
      <c r="A442" s="145"/>
      <c r="B442" s="91"/>
      <c r="C442" s="91"/>
      <c r="D442" s="91"/>
      <c r="E442" s="91"/>
      <c r="F442" s="154">
        <v>4301</v>
      </c>
      <c r="G442" s="81" t="s">
        <v>191</v>
      </c>
      <c r="H442" s="81"/>
      <c r="I442" s="194"/>
      <c r="J442" s="730"/>
      <c r="K442" s="694"/>
      <c r="L442" s="730"/>
      <c r="M442" s="730"/>
      <c r="N442" s="731"/>
      <c r="O442" s="694"/>
      <c r="P442" s="731"/>
      <c r="Q442" s="732"/>
      <c r="R442" s="694"/>
      <c r="S442" s="694"/>
      <c r="T442" s="733"/>
      <c r="U442" s="245"/>
      <c r="V442" s="245"/>
      <c r="W442" s="160">
        <f>SUM(W443:W446)</f>
        <v>0</v>
      </c>
      <c r="X442" s="160"/>
      <c r="Y442" s="160"/>
      <c r="Z442" s="160">
        <f t="shared" ref="Z442:BJ442" si="484">SUM(Z443:Z446)</f>
        <v>0</v>
      </c>
      <c r="AA442" s="160"/>
      <c r="AB442" s="160"/>
      <c r="AC442" s="160">
        <f t="shared" si="484"/>
        <v>0</v>
      </c>
      <c r="AD442" s="160"/>
      <c r="AE442" s="160"/>
      <c r="AF442" s="160">
        <f t="shared" si="484"/>
        <v>0</v>
      </c>
      <c r="AG442" s="160"/>
      <c r="AH442" s="160"/>
      <c r="AI442" s="160">
        <f t="shared" si="484"/>
        <v>0</v>
      </c>
      <c r="AJ442" s="160"/>
      <c r="AK442" s="160"/>
      <c r="AL442" s="160">
        <f t="shared" si="484"/>
        <v>0</v>
      </c>
      <c r="AM442" s="160"/>
      <c r="AN442" s="160"/>
      <c r="AO442" s="160">
        <f t="shared" si="484"/>
        <v>0</v>
      </c>
      <c r="AP442" s="160"/>
      <c r="AQ442" s="160"/>
      <c r="AR442" s="160">
        <f t="shared" si="484"/>
        <v>0</v>
      </c>
      <c r="AS442" s="160"/>
      <c r="AT442" s="160"/>
      <c r="AU442" s="160">
        <f t="shared" si="484"/>
        <v>0</v>
      </c>
      <c r="AV442" s="160"/>
      <c r="AW442" s="160"/>
      <c r="AX442" s="160">
        <f t="shared" si="484"/>
        <v>0</v>
      </c>
      <c r="AY442" s="160"/>
      <c r="AZ442" s="160"/>
      <c r="BA442" s="160">
        <f t="shared" si="484"/>
        <v>136127636</v>
      </c>
      <c r="BB442" s="160">
        <f t="shared" ref="BB442:BC442" si="485">SUM(BB443:BB446)</f>
        <v>9800000</v>
      </c>
      <c r="BC442" s="160">
        <f t="shared" si="485"/>
        <v>4100000</v>
      </c>
      <c r="BD442" s="160">
        <f t="shared" si="484"/>
        <v>1978796087.1399999</v>
      </c>
      <c r="BE442" s="160">
        <f t="shared" ref="BE442:BF442" si="486">SUM(BE443:BE446)</f>
        <v>123000000</v>
      </c>
      <c r="BF442" s="160">
        <f t="shared" si="486"/>
        <v>200000</v>
      </c>
      <c r="BG442" s="160">
        <f t="shared" si="484"/>
        <v>1000000000</v>
      </c>
      <c r="BH442" s="160">
        <f t="shared" ref="BH442:BI442" si="487">SUM(BH443:BH446)</f>
        <v>0</v>
      </c>
      <c r="BI442" s="160">
        <f t="shared" si="487"/>
        <v>0</v>
      </c>
      <c r="BJ442" s="160">
        <f t="shared" si="484"/>
        <v>3114923723.1399999</v>
      </c>
      <c r="BK442" s="160">
        <f t="shared" ref="BK442:BL442" si="488">SUM(BK443:BK446)</f>
        <v>132800000</v>
      </c>
      <c r="BL442" s="160">
        <f t="shared" si="488"/>
        <v>4300000</v>
      </c>
      <c r="BM442" s="160"/>
      <c r="BN442" s="372"/>
    </row>
    <row r="443" spans="1:106" ht="140.25" customHeight="1" x14ac:dyDescent="0.2">
      <c r="A443" s="145"/>
      <c r="B443" s="91"/>
      <c r="C443" s="91"/>
      <c r="D443" s="91"/>
      <c r="E443" s="91"/>
      <c r="F443" s="91"/>
      <c r="G443" s="569"/>
      <c r="H443" s="577" t="s">
        <v>1310</v>
      </c>
      <c r="I443" s="567">
        <v>4301007</v>
      </c>
      <c r="J443" s="562" t="s">
        <v>1311</v>
      </c>
      <c r="K443" s="567">
        <v>4301007</v>
      </c>
      <c r="L443" s="562" t="s">
        <v>1311</v>
      </c>
      <c r="M443" s="567">
        <v>430100701</v>
      </c>
      <c r="N443" s="561" t="s">
        <v>1312</v>
      </c>
      <c r="O443" s="567">
        <v>430100701</v>
      </c>
      <c r="P443" s="561" t="s">
        <v>1312</v>
      </c>
      <c r="Q443" s="216" t="s">
        <v>52</v>
      </c>
      <c r="R443" s="125">
        <v>12</v>
      </c>
      <c r="S443" s="125">
        <v>0</v>
      </c>
      <c r="T443" s="874">
        <v>2020003630009</v>
      </c>
      <c r="U443" s="873" t="s">
        <v>1313</v>
      </c>
      <c r="V443" s="875" t="s">
        <v>1314</v>
      </c>
      <c r="W443" s="150"/>
      <c r="X443" s="150"/>
      <c r="Y443" s="150"/>
      <c r="Z443" s="150"/>
      <c r="AA443" s="150"/>
      <c r="AB443" s="150"/>
      <c r="AC443" s="150"/>
      <c r="AD443" s="150"/>
      <c r="AE443" s="150"/>
      <c r="AF443" s="150"/>
      <c r="AG443" s="150"/>
      <c r="AH443" s="150"/>
      <c r="AI443" s="150"/>
      <c r="AJ443" s="262"/>
      <c r="AK443" s="262"/>
      <c r="AL443" s="318"/>
      <c r="AM443" s="318"/>
      <c r="AN443" s="318"/>
      <c r="AO443" s="150"/>
      <c r="AP443" s="150"/>
      <c r="AQ443" s="150"/>
      <c r="AR443" s="150"/>
      <c r="AS443" s="263"/>
      <c r="AT443" s="263"/>
      <c r="AU443" s="263"/>
      <c r="AV443" s="263"/>
      <c r="AW443" s="263"/>
      <c r="AX443" s="150"/>
      <c r="AY443" s="150"/>
      <c r="AZ443" s="150"/>
      <c r="BA443" s="319"/>
      <c r="BB443" s="319"/>
      <c r="BC443" s="319"/>
      <c r="BD443" s="319">
        <f>843746501.24+460056673.81</f>
        <v>1303803175.05</v>
      </c>
      <c r="BE443" s="319"/>
      <c r="BF443" s="319"/>
      <c r="BG443" s="150">
        <v>240000000</v>
      </c>
      <c r="BH443" s="150"/>
      <c r="BI443" s="150"/>
      <c r="BJ443" s="339">
        <f>+W443+Z443+AC443+AF443+AI443+AL443+AO443+AR443+AU443+AX443+BA443+BD443+BG443</f>
        <v>1543803175.05</v>
      </c>
      <c r="BK443" s="339">
        <f t="shared" ref="BK443:BL446" si="489">+X443+AA443+AD443+AG443+AJ443+AM443+AP443+AS443+AV443+AY443+BB443+BE443+BH443</f>
        <v>0</v>
      </c>
      <c r="BL443" s="339">
        <f t="shared" si="489"/>
        <v>0</v>
      </c>
      <c r="BM443" s="126" t="s">
        <v>1534</v>
      </c>
      <c r="BN443" s="128" t="s">
        <v>1315</v>
      </c>
    </row>
    <row r="444" spans="1:106" ht="140.25" customHeight="1" x14ac:dyDescent="0.2">
      <c r="A444" s="145"/>
      <c r="B444" s="91"/>
      <c r="C444" s="91"/>
      <c r="D444" s="91"/>
      <c r="E444" s="91"/>
      <c r="F444" s="91"/>
      <c r="G444" s="569"/>
      <c r="H444" s="577" t="s">
        <v>1310</v>
      </c>
      <c r="I444" s="567">
        <v>4301037</v>
      </c>
      <c r="J444" s="562" t="s">
        <v>1316</v>
      </c>
      <c r="K444" s="567">
        <v>4301037</v>
      </c>
      <c r="L444" s="562" t="s">
        <v>1316</v>
      </c>
      <c r="M444" s="567">
        <v>430103701</v>
      </c>
      <c r="N444" s="561" t="s">
        <v>1317</v>
      </c>
      <c r="O444" s="567">
        <v>430103701</v>
      </c>
      <c r="P444" s="561" t="s">
        <v>1317</v>
      </c>
      <c r="Q444" s="195" t="s">
        <v>52</v>
      </c>
      <c r="R444" s="125">
        <v>12</v>
      </c>
      <c r="S444" s="125">
        <v>0</v>
      </c>
      <c r="T444" s="874"/>
      <c r="U444" s="873"/>
      <c r="V444" s="875"/>
      <c r="W444" s="150"/>
      <c r="X444" s="150"/>
      <c r="Y444" s="150"/>
      <c r="Z444" s="150"/>
      <c r="AA444" s="150"/>
      <c r="AB444" s="150"/>
      <c r="AC444" s="150"/>
      <c r="AD444" s="150"/>
      <c r="AE444" s="150"/>
      <c r="AF444" s="150"/>
      <c r="AG444" s="150"/>
      <c r="AH444" s="150"/>
      <c r="AI444" s="150"/>
      <c r="AJ444" s="262"/>
      <c r="AK444" s="262"/>
      <c r="AL444" s="262"/>
      <c r="AM444" s="262"/>
      <c r="AN444" s="262"/>
      <c r="AO444" s="150"/>
      <c r="AP444" s="150"/>
      <c r="AQ444" s="150"/>
      <c r="AR444" s="150"/>
      <c r="AS444" s="263"/>
      <c r="AT444" s="263"/>
      <c r="AU444" s="263"/>
      <c r="AV444" s="263"/>
      <c r="AW444" s="263"/>
      <c r="AX444" s="150"/>
      <c r="AY444" s="150"/>
      <c r="AZ444" s="150"/>
      <c r="BA444" s="319"/>
      <c r="BB444" s="319"/>
      <c r="BC444" s="319"/>
      <c r="BD444" s="319">
        <f>176820060+40000000</f>
        <v>216820060</v>
      </c>
      <c r="BE444" s="319">
        <v>44000000</v>
      </c>
      <c r="BF444" s="319"/>
      <c r="BG444" s="319">
        <v>165000000</v>
      </c>
      <c r="BH444" s="319"/>
      <c r="BI444" s="319"/>
      <c r="BJ444" s="339">
        <f>+W444+Z444+AC444+AF444+AI444+AL444+AO444+AR444+AU444+AX444+BA444+BD444+BG444</f>
        <v>381820060</v>
      </c>
      <c r="BK444" s="339">
        <f t="shared" si="489"/>
        <v>44000000</v>
      </c>
      <c r="BL444" s="339">
        <f t="shared" si="489"/>
        <v>0</v>
      </c>
      <c r="BM444" s="126" t="s">
        <v>1534</v>
      </c>
      <c r="BN444" s="128" t="s">
        <v>1315</v>
      </c>
    </row>
    <row r="445" spans="1:106" ht="129" customHeight="1" x14ac:dyDescent="0.2">
      <c r="A445" s="145"/>
      <c r="B445" s="91"/>
      <c r="C445" s="91"/>
      <c r="D445" s="91"/>
      <c r="E445" s="91"/>
      <c r="F445" s="91"/>
      <c r="G445" s="569"/>
      <c r="H445" s="577" t="s">
        <v>1310</v>
      </c>
      <c r="I445" s="567">
        <v>4301037</v>
      </c>
      <c r="J445" s="562" t="s">
        <v>1316</v>
      </c>
      <c r="K445" s="567">
        <v>4301037</v>
      </c>
      <c r="L445" s="562" t="s">
        <v>1316</v>
      </c>
      <c r="M445" s="567" t="s">
        <v>1318</v>
      </c>
      <c r="N445" s="561" t="s">
        <v>1319</v>
      </c>
      <c r="O445" s="567" t="s">
        <v>1318</v>
      </c>
      <c r="P445" s="561" t="s">
        <v>1319</v>
      </c>
      <c r="Q445" s="195" t="s">
        <v>52</v>
      </c>
      <c r="R445" s="125">
        <v>12</v>
      </c>
      <c r="S445" s="125">
        <v>6</v>
      </c>
      <c r="T445" s="874"/>
      <c r="U445" s="873"/>
      <c r="V445" s="875"/>
      <c r="W445" s="150"/>
      <c r="X445" s="150"/>
      <c r="Y445" s="150"/>
      <c r="Z445" s="150"/>
      <c r="AA445" s="150"/>
      <c r="AB445" s="150"/>
      <c r="AC445" s="150"/>
      <c r="AD445" s="150"/>
      <c r="AE445" s="150"/>
      <c r="AF445" s="150"/>
      <c r="AG445" s="150"/>
      <c r="AH445" s="150"/>
      <c r="AI445" s="150"/>
      <c r="AJ445" s="262"/>
      <c r="AK445" s="262"/>
      <c r="AL445" s="262"/>
      <c r="AM445" s="262"/>
      <c r="AN445" s="262"/>
      <c r="AO445" s="150"/>
      <c r="AP445" s="150"/>
      <c r="AQ445" s="150"/>
      <c r="AR445" s="150"/>
      <c r="AS445" s="263"/>
      <c r="AT445" s="263"/>
      <c r="AU445" s="263"/>
      <c r="AV445" s="263"/>
      <c r="AW445" s="263"/>
      <c r="AX445" s="150"/>
      <c r="AY445" s="150"/>
      <c r="AZ445" s="150"/>
      <c r="BA445" s="319">
        <f>63455402+72672234</f>
        <v>136127636</v>
      </c>
      <c r="BB445" s="319">
        <v>9800000</v>
      </c>
      <c r="BC445" s="319">
        <v>4100000</v>
      </c>
      <c r="BD445" s="319">
        <f>253377194+128617531.11</f>
        <v>381994725.11000001</v>
      </c>
      <c r="BE445" s="319">
        <v>72400000</v>
      </c>
      <c r="BF445" s="319">
        <v>200000</v>
      </c>
      <c r="BG445" s="150">
        <v>595000000</v>
      </c>
      <c r="BH445" s="150"/>
      <c r="BI445" s="150"/>
      <c r="BJ445" s="339">
        <f>+W445+Z445+AC445+AF445+AI445+AL445+AO445+AR445+AU445+AX445+BA445+BD445+BG445</f>
        <v>1113122361.1100001</v>
      </c>
      <c r="BK445" s="339">
        <f t="shared" si="489"/>
        <v>82200000</v>
      </c>
      <c r="BL445" s="339">
        <f t="shared" si="489"/>
        <v>4300000</v>
      </c>
      <c r="BM445" s="126" t="s">
        <v>1534</v>
      </c>
      <c r="BN445" s="128" t="s">
        <v>1315</v>
      </c>
    </row>
    <row r="446" spans="1:106" ht="166.5" customHeight="1" x14ac:dyDescent="0.2">
      <c r="A446" s="145"/>
      <c r="B446" s="91"/>
      <c r="C446" s="91"/>
      <c r="D446" s="91"/>
      <c r="E446" s="91"/>
      <c r="F446" s="91"/>
      <c r="G446" s="569"/>
      <c r="H446" s="577" t="s">
        <v>1310</v>
      </c>
      <c r="I446" s="252" t="s">
        <v>47</v>
      </c>
      <c r="J446" s="565" t="s">
        <v>1320</v>
      </c>
      <c r="K446" s="82">
        <v>4301006</v>
      </c>
      <c r="L446" s="565" t="s">
        <v>1321</v>
      </c>
      <c r="M446" s="252" t="s">
        <v>47</v>
      </c>
      <c r="N446" s="561" t="s">
        <v>1322</v>
      </c>
      <c r="O446" s="82">
        <v>430100600</v>
      </c>
      <c r="P446" s="561" t="s">
        <v>1323</v>
      </c>
      <c r="Q446" s="216" t="s">
        <v>52</v>
      </c>
      <c r="R446" s="125">
        <v>1</v>
      </c>
      <c r="S446" s="125">
        <v>0</v>
      </c>
      <c r="T446" s="874"/>
      <c r="U446" s="873"/>
      <c r="V446" s="875"/>
      <c r="W446" s="150"/>
      <c r="X446" s="150"/>
      <c r="Y446" s="150"/>
      <c r="Z446" s="150"/>
      <c r="AA446" s="150"/>
      <c r="AB446" s="150"/>
      <c r="AC446" s="150"/>
      <c r="AD446" s="150"/>
      <c r="AE446" s="150"/>
      <c r="AF446" s="150"/>
      <c r="AG446" s="150"/>
      <c r="AH446" s="150"/>
      <c r="AI446" s="150"/>
      <c r="AJ446" s="262"/>
      <c r="AK446" s="262"/>
      <c r="AL446" s="262"/>
      <c r="AM446" s="262"/>
      <c r="AN446" s="262"/>
      <c r="AO446" s="150"/>
      <c r="AP446" s="150"/>
      <c r="AQ446" s="150"/>
      <c r="AR446" s="150"/>
      <c r="AS446" s="263"/>
      <c r="AT446" s="263"/>
      <c r="AU446" s="263"/>
      <c r="AV446" s="263"/>
      <c r="AW446" s="263"/>
      <c r="AX446" s="150"/>
      <c r="AY446" s="150"/>
      <c r="AZ446" s="150"/>
      <c r="BA446" s="320"/>
      <c r="BB446" s="320"/>
      <c r="BC446" s="320"/>
      <c r="BD446" s="321">
        <v>76178126.980000004</v>
      </c>
      <c r="BE446" s="321">
        <v>6600000</v>
      </c>
      <c r="BF446" s="321"/>
      <c r="BG446" s="341"/>
      <c r="BH446" s="341"/>
      <c r="BI446" s="341"/>
      <c r="BJ446" s="339">
        <f>+W446+Z446+AC446+AF446+AI446+AL446+AO446+AR446+AU446+AX446+BA446+BD446+BG446</f>
        <v>76178126.980000004</v>
      </c>
      <c r="BK446" s="339">
        <f t="shared" si="489"/>
        <v>6600000</v>
      </c>
      <c r="BL446" s="339">
        <f t="shared" si="489"/>
        <v>0</v>
      </c>
      <c r="BM446" s="126" t="s">
        <v>1534</v>
      </c>
      <c r="BN446" s="128" t="s">
        <v>1315</v>
      </c>
    </row>
    <row r="447" spans="1:106" ht="24" customHeight="1" x14ac:dyDescent="0.2">
      <c r="A447" s="145"/>
      <c r="B447" s="91"/>
      <c r="C447" s="91"/>
      <c r="D447" s="91"/>
      <c r="E447" s="91"/>
      <c r="F447" s="322">
        <v>4302</v>
      </c>
      <c r="G447" s="81" t="s">
        <v>1324</v>
      </c>
      <c r="H447" s="81"/>
      <c r="I447" s="194"/>
      <c r="J447" s="693"/>
      <c r="K447" s="726"/>
      <c r="L447" s="693"/>
      <c r="M447" s="693"/>
      <c r="N447" s="688"/>
      <c r="O447" s="689"/>
      <c r="P447" s="688"/>
      <c r="Q447" s="727"/>
      <c r="R447" s="689"/>
      <c r="S447" s="689"/>
      <c r="T447" s="728"/>
      <c r="U447" s="147"/>
      <c r="V447" s="147"/>
      <c r="W447" s="148">
        <f>SUM(W448:W449)</f>
        <v>0</v>
      </c>
      <c r="X447" s="148"/>
      <c r="Y447" s="148"/>
      <c r="Z447" s="148">
        <f t="shared" ref="Z447:BL447" si="490">SUM(Z448:Z449)</f>
        <v>0</v>
      </c>
      <c r="AA447" s="148"/>
      <c r="AB447" s="148"/>
      <c r="AC447" s="148">
        <f t="shared" si="490"/>
        <v>0</v>
      </c>
      <c r="AD447" s="148"/>
      <c r="AE447" s="148"/>
      <c r="AF447" s="148">
        <f t="shared" si="490"/>
        <v>0</v>
      </c>
      <c r="AG447" s="148"/>
      <c r="AH447" s="148"/>
      <c r="AI447" s="148">
        <f t="shared" si="490"/>
        <v>0</v>
      </c>
      <c r="AJ447" s="148"/>
      <c r="AK447" s="148"/>
      <c r="AL447" s="148">
        <f t="shared" si="490"/>
        <v>0</v>
      </c>
      <c r="AM447" s="148"/>
      <c r="AN447" s="148"/>
      <c r="AO447" s="148">
        <f t="shared" si="490"/>
        <v>0</v>
      </c>
      <c r="AP447" s="148"/>
      <c r="AQ447" s="148"/>
      <c r="AR447" s="148">
        <f t="shared" si="490"/>
        <v>0</v>
      </c>
      <c r="AS447" s="148"/>
      <c r="AT447" s="148"/>
      <c r="AU447" s="148">
        <f t="shared" si="490"/>
        <v>0</v>
      </c>
      <c r="AV447" s="148"/>
      <c r="AW447" s="148"/>
      <c r="AX447" s="148">
        <f t="shared" si="490"/>
        <v>0</v>
      </c>
      <c r="AY447" s="148"/>
      <c r="AZ447" s="148"/>
      <c r="BA447" s="148">
        <f t="shared" si="490"/>
        <v>719120550</v>
      </c>
      <c r="BB447" s="148">
        <f t="shared" si="490"/>
        <v>64440000</v>
      </c>
      <c r="BC447" s="148">
        <f t="shared" si="490"/>
        <v>11110000</v>
      </c>
      <c r="BD447" s="148">
        <f t="shared" si="490"/>
        <v>2333311506.4099998</v>
      </c>
      <c r="BE447" s="148">
        <f t="shared" si="490"/>
        <v>681989500</v>
      </c>
      <c r="BF447" s="148">
        <f t="shared" si="490"/>
        <v>165859500</v>
      </c>
      <c r="BG447" s="148">
        <f t="shared" si="490"/>
        <v>0</v>
      </c>
      <c r="BH447" s="148">
        <f t="shared" si="490"/>
        <v>0</v>
      </c>
      <c r="BI447" s="148">
        <f t="shared" si="490"/>
        <v>0</v>
      </c>
      <c r="BJ447" s="148">
        <f t="shared" si="490"/>
        <v>3052432056.4099998</v>
      </c>
      <c r="BK447" s="148">
        <f t="shared" si="490"/>
        <v>746429500</v>
      </c>
      <c r="BL447" s="148">
        <f t="shared" si="490"/>
        <v>176969500</v>
      </c>
      <c r="BM447" s="307"/>
      <c r="BN447" s="323"/>
    </row>
    <row r="448" spans="1:106" ht="151.5" customHeight="1" x14ac:dyDescent="0.2">
      <c r="A448" s="145"/>
      <c r="B448" s="91"/>
      <c r="C448" s="91"/>
      <c r="D448" s="91"/>
      <c r="E448" s="91"/>
      <c r="F448" s="91"/>
      <c r="G448" s="145"/>
      <c r="H448" s="577" t="s">
        <v>1325</v>
      </c>
      <c r="I448" s="324">
        <v>4302075</v>
      </c>
      <c r="J448" s="562" t="s">
        <v>1326</v>
      </c>
      <c r="K448" s="324">
        <v>4302075</v>
      </c>
      <c r="L448" s="562" t="s">
        <v>1326</v>
      </c>
      <c r="M448" s="105">
        <v>430207500</v>
      </c>
      <c r="N448" s="577" t="s">
        <v>1327</v>
      </c>
      <c r="O448" s="105">
        <v>430207500</v>
      </c>
      <c r="P448" s="577" t="s">
        <v>1327</v>
      </c>
      <c r="Q448" s="216" t="s">
        <v>52</v>
      </c>
      <c r="R448" s="195">
        <v>25</v>
      </c>
      <c r="S448" s="195">
        <v>7</v>
      </c>
      <c r="T448" s="560">
        <v>2020003630010</v>
      </c>
      <c r="U448" s="325" t="s">
        <v>1328</v>
      </c>
      <c r="V448" s="325" t="s">
        <v>1329</v>
      </c>
      <c r="W448" s="150"/>
      <c r="X448" s="150"/>
      <c r="Y448" s="150"/>
      <c r="Z448" s="150"/>
      <c r="AA448" s="150"/>
      <c r="AB448" s="150"/>
      <c r="AC448" s="150"/>
      <c r="AD448" s="150"/>
      <c r="AE448" s="150"/>
      <c r="AF448" s="150"/>
      <c r="AG448" s="150"/>
      <c r="AH448" s="150"/>
      <c r="AI448" s="150"/>
      <c r="AJ448" s="262"/>
      <c r="AK448" s="262"/>
      <c r="AL448" s="262"/>
      <c r="AM448" s="262"/>
      <c r="AN448" s="262"/>
      <c r="AO448" s="150"/>
      <c r="AP448" s="150"/>
      <c r="AQ448" s="150"/>
      <c r="AR448" s="150"/>
      <c r="AS448" s="263"/>
      <c r="AT448" s="263"/>
      <c r="AU448" s="263"/>
      <c r="AV448" s="263"/>
      <c r="AW448" s="263"/>
      <c r="AX448" s="150"/>
      <c r="AY448" s="150"/>
      <c r="AZ448" s="150"/>
      <c r="BA448" s="584">
        <v>684120550</v>
      </c>
      <c r="BB448" s="584">
        <v>64440000</v>
      </c>
      <c r="BC448" s="584">
        <v>11110000</v>
      </c>
      <c r="BD448" s="584">
        <f>288360186+2044951320.41</f>
        <v>2333311506.4099998</v>
      </c>
      <c r="BE448" s="584">
        <v>681989500</v>
      </c>
      <c r="BF448" s="584">
        <v>165859500</v>
      </c>
      <c r="BG448" s="150"/>
      <c r="BH448" s="150"/>
      <c r="BI448" s="150"/>
      <c r="BJ448" s="151">
        <f>+W448+Z448+AC448+AF448+AI448+AL448+AO448+AR448+AU448+AX448+BA448+BD448+BG448</f>
        <v>3017432056.4099998</v>
      </c>
      <c r="BK448" s="151">
        <f t="shared" ref="BK448:BL448" si="491">+X448+AA448+AD448+AG448+AJ448+AM448+AP448+AS448+AV448+AY448+BB448+BE448+BH448</f>
        <v>746429500</v>
      </c>
      <c r="BL448" s="151">
        <f t="shared" si="491"/>
        <v>176969500</v>
      </c>
      <c r="BM448" s="126" t="s">
        <v>1534</v>
      </c>
      <c r="BN448" s="128" t="s">
        <v>1315</v>
      </c>
    </row>
    <row r="449" spans="1:106" ht="147" customHeight="1" x14ac:dyDescent="0.2">
      <c r="A449" s="145"/>
      <c r="B449" s="91"/>
      <c r="C449" s="91"/>
      <c r="D449" s="91"/>
      <c r="E449" s="91"/>
      <c r="F449" s="91"/>
      <c r="G449" s="145"/>
      <c r="H449" s="577" t="s">
        <v>1330</v>
      </c>
      <c r="I449" s="324">
        <v>4302075</v>
      </c>
      <c r="J449" s="571" t="s">
        <v>1326</v>
      </c>
      <c r="K449" s="326">
        <v>4302004</v>
      </c>
      <c r="L449" s="571" t="s">
        <v>1331</v>
      </c>
      <c r="M449" s="252" t="s">
        <v>47</v>
      </c>
      <c r="N449" s="577" t="s">
        <v>1332</v>
      </c>
      <c r="O449" s="114">
        <v>430200401</v>
      </c>
      <c r="P449" s="577" t="s">
        <v>1333</v>
      </c>
      <c r="Q449" s="216" t="s">
        <v>52</v>
      </c>
      <c r="R449" s="195">
        <v>1</v>
      </c>
      <c r="S449" s="195">
        <v>0</v>
      </c>
      <c r="T449" s="560">
        <v>2020003630013</v>
      </c>
      <c r="U449" s="561" t="s">
        <v>1334</v>
      </c>
      <c r="V449" s="562" t="s">
        <v>1335</v>
      </c>
      <c r="W449" s="150"/>
      <c r="X449" s="150"/>
      <c r="Y449" s="150"/>
      <c r="Z449" s="150"/>
      <c r="AA449" s="150"/>
      <c r="AB449" s="150"/>
      <c r="AC449" s="150"/>
      <c r="AD449" s="150"/>
      <c r="AE449" s="150"/>
      <c r="AF449" s="150"/>
      <c r="AG449" s="150"/>
      <c r="AH449" s="150"/>
      <c r="AI449" s="150"/>
      <c r="AJ449" s="262"/>
      <c r="AK449" s="262"/>
      <c r="AL449" s="262"/>
      <c r="AM449" s="262"/>
      <c r="AN449" s="262"/>
      <c r="AO449" s="150"/>
      <c r="AP449" s="150"/>
      <c r="AQ449" s="150"/>
      <c r="AR449" s="150"/>
      <c r="AS449" s="263"/>
      <c r="AT449" s="263"/>
      <c r="AU449" s="263"/>
      <c r="AV449" s="263"/>
      <c r="AW449" s="263"/>
      <c r="AX449" s="150"/>
      <c r="AY449" s="150"/>
      <c r="AZ449" s="150"/>
      <c r="BA449" s="339">
        <v>35000000</v>
      </c>
      <c r="BB449" s="339"/>
      <c r="BC449" s="339"/>
      <c r="BD449" s="585"/>
      <c r="BE449" s="585"/>
      <c r="BF449" s="585"/>
      <c r="BG449" s="150"/>
      <c r="BH449" s="150"/>
      <c r="BI449" s="150"/>
      <c r="BJ449" s="151">
        <f>+W449+Z449+AC449+AF449+AI449+AL449+AO449+AR449+AU449+AX449+BA449+BD449+BG449</f>
        <v>35000000</v>
      </c>
      <c r="BK449" s="314"/>
      <c r="BL449" s="314"/>
      <c r="BM449" s="126" t="s">
        <v>1534</v>
      </c>
      <c r="BN449" s="128" t="s">
        <v>1315</v>
      </c>
    </row>
    <row r="450" spans="1:106" s="467" customFormat="1" ht="16.5" customHeight="1" x14ac:dyDescent="0.25">
      <c r="A450" s="463"/>
      <c r="B450" s="463"/>
      <c r="C450" s="463"/>
      <c r="D450" s="463"/>
      <c r="E450" s="463"/>
      <c r="F450" s="463"/>
      <c r="G450" s="463"/>
      <c r="H450" s="464"/>
      <c r="I450" s="463"/>
      <c r="J450" s="463"/>
      <c r="K450" s="463"/>
      <c r="L450" s="463"/>
      <c r="M450" s="463"/>
      <c r="N450" s="463"/>
      <c r="O450" s="463"/>
      <c r="P450" s="463"/>
      <c r="Q450" s="465"/>
      <c r="R450" s="463"/>
      <c r="S450" s="463"/>
      <c r="T450" s="465"/>
      <c r="U450" s="465"/>
      <c r="V450" s="465"/>
      <c r="W450" s="466"/>
      <c r="X450" s="466"/>
      <c r="Y450" s="466"/>
      <c r="Z450" s="466"/>
      <c r="AA450" s="466"/>
      <c r="AB450" s="466"/>
      <c r="AC450" s="466"/>
      <c r="AD450" s="466"/>
      <c r="AE450" s="466"/>
      <c r="AF450" s="466"/>
      <c r="AG450" s="466"/>
      <c r="AH450" s="466"/>
      <c r="AI450" s="466"/>
      <c r="AJ450" s="466"/>
      <c r="AK450" s="466"/>
      <c r="AL450" s="466"/>
      <c r="AM450" s="466"/>
      <c r="AN450" s="466"/>
      <c r="AO450" s="466"/>
      <c r="AP450" s="466"/>
      <c r="AQ450" s="466"/>
      <c r="AR450" s="466"/>
      <c r="AS450" s="466"/>
      <c r="AT450" s="466"/>
      <c r="AU450" s="466"/>
      <c r="AV450" s="466"/>
      <c r="AW450" s="466"/>
      <c r="AX450" s="466"/>
      <c r="AY450" s="466"/>
      <c r="AZ450" s="466"/>
      <c r="BA450" s="466"/>
      <c r="BB450" s="466"/>
      <c r="BC450" s="466"/>
      <c r="BD450" s="466"/>
      <c r="BE450" s="466"/>
      <c r="BF450" s="466"/>
      <c r="BG450" s="466"/>
      <c r="BH450" s="466"/>
      <c r="BI450" s="466"/>
      <c r="BJ450" s="466"/>
      <c r="BK450" s="466"/>
      <c r="BL450" s="466"/>
      <c r="BM450" s="466"/>
      <c r="BN450" s="466"/>
    </row>
    <row r="451" spans="1:106" s="394" customFormat="1" ht="24" customHeight="1" x14ac:dyDescent="0.2">
      <c r="A451" s="41" t="s">
        <v>1336</v>
      </c>
      <c r="B451" s="41"/>
      <c r="C451" s="41"/>
      <c r="D451" s="41"/>
      <c r="E451" s="41"/>
      <c r="F451" s="42"/>
      <c r="G451" s="43"/>
      <c r="H451" s="386"/>
      <c r="I451" s="386"/>
      <c r="J451" s="386"/>
      <c r="K451" s="389"/>
      <c r="L451" s="386"/>
      <c r="M451" s="386"/>
      <c r="N451" s="391"/>
      <c r="O451" s="390"/>
      <c r="P451" s="391"/>
      <c r="Q451" s="392"/>
      <c r="R451" s="390"/>
      <c r="S451" s="390"/>
      <c r="T451" s="43"/>
      <c r="U451" s="391"/>
      <c r="V451" s="391"/>
      <c r="W451" s="387">
        <f>W452+W459</f>
        <v>1027674743</v>
      </c>
      <c r="X451" s="387">
        <f t="shared" ref="X451:Y451" si="492">X452+X459</f>
        <v>0</v>
      </c>
      <c r="Y451" s="387">
        <f t="shared" si="492"/>
        <v>0</v>
      </c>
      <c r="Z451" s="387">
        <f t="shared" ref="Z451:BJ451" si="493">Z452+Z459</f>
        <v>0</v>
      </c>
      <c r="AA451" s="387"/>
      <c r="AB451" s="387"/>
      <c r="AC451" s="387">
        <f t="shared" si="493"/>
        <v>0</v>
      </c>
      <c r="AD451" s="387"/>
      <c r="AE451" s="387"/>
      <c r="AF451" s="387">
        <f t="shared" si="493"/>
        <v>0</v>
      </c>
      <c r="AG451" s="387"/>
      <c r="AH451" s="387"/>
      <c r="AI451" s="387">
        <f t="shared" si="493"/>
        <v>0</v>
      </c>
      <c r="AJ451" s="387"/>
      <c r="AK451" s="387"/>
      <c r="AL451" s="387">
        <f t="shared" si="493"/>
        <v>0</v>
      </c>
      <c r="AM451" s="387"/>
      <c r="AN451" s="387"/>
      <c r="AO451" s="387">
        <f t="shared" si="493"/>
        <v>0</v>
      </c>
      <c r="AP451" s="387"/>
      <c r="AQ451" s="387"/>
      <c r="AR451" s="387">
        <f t="shared" si="493"/>
        <v>0</v>
      </c>
      <c r="AS451" s="387"/>
      <c r="AT451" s="387"/>
      <c r="AU451" s="387">
        <f t="shared" si="493"/>
        <v>0</v>
      </c>
      <c r="AV451" s="387"/>
      <c r="AW451" s="387"/>
      <c r="AX451" s="387">
        <f t="shared" si="493"/>
        <v>0</v>
      </c>
      <c r="AY451" s="387"/>
      <c r="AZ451" s="387"/>
      <c r="BA451" s="387">
        <f t="shared" si="493"/>
        <v>0</v>
      </c>
      <c r="BB451" s="387"/>
      <c r="BC451" s="387"/>
      <c r="BD451" s="387">
        <f t="shared" si="493"/>
        <v>997308456</v>
      </c>
      <c r="BE451" s="387">
        <f t="shared" ref="BE451:BF451" si="494">BE452+BE459</f>
        <v>0</v>
      </c>
      <c r="BF451" s="387">
        <f t="shared" si="494"/>
        <v>0</v>
      </c>
      <c r="BG451" s="387">
        <f t="shared" si="493"/>
        <v>0</v>
      </c>
      <c r="BH451" s="387"/>
      <c r="BI451" s="387"/>
      <c r="BJ451" s="387">
        <f t="shared" si="493"/>
        <v>2024983199</v>
      </c>
      <c r="BK451" s="387">
        <f t="shared" ref="BK451:BL451" si="495">BK452+BK459</f>
        <v>0</v>
      </c>
      <c r="BL451" s="387">
        <f t="shared" si="495"/>
        <v>0</v>
      </c>
      <c r="BM451" s="387"/>
      <c r="BN451" s="388"/>
      <c r="BO451" s="393"/>
      <c r="BP451" s="393"/>
      <c r="BQ451" s="393"/>
      <c r="BR451" s="393"/>
      <c r="BS451" s="393"/>
      <c r="BT451" s="393"/>
      <c r="BU451" s="393"/>
      <c r="BV451" s="393"/>
      <c r="BW451" s="393"/>
      <c r="BX451" s="393"/>
      <c r="BY451" s="393"/>
      <c r="BZ451" s="393"/>
      <c r="CA451" s="393"/>
      <c r="CB451" s="393"/>
      <c r="CC451" s="393"/>
      <c r="CD451" s="393"/>
      <c r="CE451" s="393"/>
      <c r="CF451" s="393"/>
      <c r="CG451" s="393"/>
      <c r="CH451" s="393"/>
      <c r="CI451" s="393"/>
      <c r="CJ451" s="393"/>
      <c r="CK451" s="393"/>
      <c r="CL451" s="393"/>
      <c r="CM451" s="393"/>
      <c r="CN451" s="393"/>
      <c r="CO451" s="393"/>
      <c r="CP451" s="393"/>
      <c r="CQ451" s="393"/>
      <c r="CR451" s="393"/>
      <c r="CS451" s="393"/>
      <c r="CT451" s="393"/>
      <c r="CU451" s="393"/>
      <c r="CV451" s="393"/>
      <c r="CW451" s="393"/>
      <c r="CX451" s="393"/>
      <c r="CY451" s="393"/>
      <c r="CZ451" s="393"/>
      <c r="DA451" s="393"/>
      <c r="DB451" s="393"/>
    </row>
    <row r="452" spans="1:106" ht="24" customHeight="1" x14ac:dyDescent="0.2">
      <c r="A452" s="145"/>
      <c r="B452" s="131">
        <v>1</v>
      </c>
      <c r="C452" s="131"/>
      <c r="D452" s="74" t="s">
        <v>149</v>
      </c>
      <c r="E452" s="173"/>
      <c r="F452" s="74"/>
      <c r="G452" s="180"/>
      <c r="H452" s="395"/>
      <c r="I452" s="395"/>
      <c r="J452" s="182"/>
      <c r="K452" s="686"/>
      <c r="L452" s="182"/>
      <c r="M452" s="182"/>
      <c r="N452" s="184"/>
      <c r="O452" s="183"/>
      <c r="P452" s="184"/>
      <c r="Q452" s="698"/>
      <c r="R452" s="183"/>
      <c r="S452" s="183"/>
      <c r="T452" s="697"/>
      <c r="U452" s="133"/>
      <c r="V452" s="133"/>
      <c r="W452" s="327">
        <f>W453+W456</f>
        <v>616604845.79999995</v>
      </c>
      <c r="X452" s="327">
        <f t="shared" ref="X452:Y452" si="496">X453+X456</f>
        <v>0</v>
      </c>
      <c r="Y452" s="327">
        <f t="shared" si="496"/>
        <v>0</v>
      </c>
      <c r="Z452" s="327">
        <f t="shared" ref="Z452:BG452" si="497">Z453+Z456</f>
        <v>0</v>
      </c>
      <c r="AA452" s="327"/>
      <c r="AB452" s="327"/>
      <c r="AC452" s="327">
        <f t="shared" si="497"/>
        <v>0</v>
      </c>
      <c r="AD452" s="327"/>
      <c r="AE452" s="327"/>
      <c r="AF452" s="327">
        <f t="shared" si="497"/>
        <v>0</v>
      </c>
      <c r="AG452" s="327"/>
      <c r="AH452" s="327"/>
      <c r="AI452" s="327">
        <f t="shared" si="497"/>
        <v>0</v>
      </c>
      <c r="AJ452" s="327"/>
      <c r="AK452" s="327"/>
      <c r="AL452" s="327">
        <f t="shared" si="497"/>
        <v>0</v>
      </c>
      <c r="AM452" s="327"/>
      <c r="AN452" s="327"/>
      <c r="AO452" s="327">
        <f t="shared" si="497"/>
        <v>0</v>
      </c>
      <c r="AP452" s="327"/>
      <c r="AQ452" s="327"/>
      <c r="AR452" s="327">
        <f t="shared" si="497"/>
        <v>0</v>
      </c>
      <c r="AS452" s="327"/>
      <c r="AT452" s="327"/>
      <c r="AU452" s="327">
        <f t="shared" si="497"/>
        <v>0</v>
      </c>
      <c r="AV452" s="327"/>
      <c r="AW452" s="327"/>
      <c r="AX452" s="327">
        <f t="shared" si="497"/>
        <v>0</v>
      </c>
      <c r="AY452" s="327"/>
      <c r="AZ452" s="327"/>
      <c r="BA452" s="327">
        <f t="shared" si="497"/>
        <v>0</v>
      </c>
      <c r="BB452" s="327"/>
      <c r="BC452" s="327"/>
      <c r="BD452" s="327">
        <f t="shared" si="497"/>
        <v>0</v>
      </c>
      <c r="BE452" s="327">
        <f t="shared" ref="BE452:BF452" si="498">BE453+BE456</f>
        <v>0</v>
      </c>
      <c r="BF452" s="327">
        <f t="shared" si="498"/>
        <v>0</v>
      </c>
      <c r="BG452" s="327">
        <f t="shared" si="497"/>
        <v>0</v>
      </c>
      <c r="BH452" s="327"/>
      <c r="BI452" s="327"/>
      <c r="BJ452" s="327">
        <f>BJ453+BJ456</f>
        <v>616604845.79999995</v>
      </c>
      <c r="BK452" s="327">
        <f t="shared" ref="BK452:BL452" si="499">BK453+BK456</f>
        <v>0</v>
      </c>
      <c r="BL452" s="327">
        <f t="shared" si="499"/>
        <v>0</v>
      </c>
      <c r="BM452" s="327"/>
      <c r="BN452" s="328"/>
    </row>
    <row r="453" spans="1:106" s="9" customFormat="1" ht="24" customHeight="1" x14ac:dyDescent="0.25">
      <c r="A453" s="130"/>
      <c r="B453" s="83"/>
      <c r="C453" s="83"/>
      <c r="D453" s="77">
        <v>43</v>
      </c>
      <c r="E453" s="75" t="s">
        <v>190</v>
      </c>
      <c r="F453" s="75"/>
      <c r="G453" s="135"/>
      <c r="H453" s="136"/>
      <c r="I453" s="136"/>
      <c r="J453" s="138"/>
      <c r="K453" s="137"/>
      <c r="L453" s="138"/>
      <c r="M453" s="138"/>
      <c r="N453" s="140"/>
      <c r="O453" s="139"/>
      <c r="P453" s="140"/>
      <c r="Q453" s="141"/>
      <c r="R453" s="139"/>
      <c r="S453" s="139"/>
      <c r="T453" s="204"/>
      <c r="U453" s="143"/>
      <c r="V453" s="143"/>
      <c r="W453" s="144">
        <f>W454</f>
        <v>308302422.89999998</v>
      </c>
      <c r="X453" s="144">
        <f t="shared" ref="X453:Y454" si="500">X454</f>
        <v>0</v>
      </c>
      <c r="Y453" s="144">
        <f t="shared" si="500"/>
        <v>0</v>
      </c>
      <c r="Z453" s="144">
        <f t="shared" ref="Z453:BK454" si="501">Z454</f>
        <v>0</v>
      </c>
      <c r="AA453" s="144"/>
      <c r="AB453" s="144"/>
      <c r="AC453" s="144">
        <f t="shared" si="501"/>
        <v>0</v>
      </c>
      <c r="AD453" s="144"/>
      <c r="AE453" s="144"/>
      <c r="AF453" s="144">
        <f t="shared" si="501"/>
        <v>0</v>
      </c>
      <c r="AG453" s="144"/>
      <c r="AH453" s="144"/>
      <c r="AI453" s="144">
        <f t="shared" si="501"/>
        <v>0</v>
      </c>
      <c r="AJ453" s="144"/>
      <c r="AK453" s="144"/>
      <c r="AL453" s="144">
        <f t="shared" si="501"/>
        <v>0</v>
      </c>
      <c r="AM453" s="144"/>
      <c r="AN453" s="144"/>
      <c r="AO453" s="144">
        <f t="shared" si="501"/>
        <v>0</v>
      </c>
      <c r="AP453" s="144"/>
      <c r="AQ453" s="144"/>
      <c r="AR453" s="144">
        <f t="shared" si="501"/>
        <v>0</v>
      </c>
      <c r="AS453" s="144"/>
      <c r="AT453" s="144"/>
      <c r="AU453" s="144">
        <f t="shared" si="501"/>
        <v>0</v>
      </c>
      <c r="AV453" s="144"/>
      <c r="AW453" s="144"/>
      <c r="AX453" s="144">
        <f t="shared" si="501"/>
        <v>0</v>
      </c>
      <c r="AY453" s="144"/>
      <c r="AZ453" s="144"/>
      <c r="BA453" s="144">
        <f t="shared" si="501"/>
        <v>0</v>
      </c>
      <c r="BB453" s="144"/>
      <c r="BC453" s="144"/>
      <c r="BD453" s="144">
        <f t="shared" si="501"/>
        <v>0</v>
      </c>
      <c r="BE453" s="144">
        <f t="shared" si="501"/>
        <v>0</v>
      </c>
      <c r="BF453" s="144">
        <f t="shared" si="501"/>
        <v>0</v>
      </c>
      <c r="BG453" s="144">
        <f t="shared" si="501"/>
        <v>0</v>
      </c>
      <c r="BH453" s="144"/>
      <c r="BI453" s="144"/>
      <c r="BJ453" s="144">
        <f t="shared" si="501"/>
        <v>308302422.89999998</v>
      </c>
      <c r="BK453" s="144">
        <f t="shared" si="501"/>
        <v>0</v>
      </c>
      <c r="BL453" s="144">
        <f t="shared" ref="BK453:BL454" si="502">BL454</f>
        <v>0</v>
      </c>
      <c r="BM453" s="144"/>
      <c r="BN453" s="169"/>
      <c r="BO453" s="8"/>
      <c r="BP453" s="8"/>
      <c r="BQ453" s="8"/>
      <c r="BR453" s="8"/>
      <c r="BS453" s="8"/>
      <c r="BT453" s="8"/>
      <c r="BU453" s="8"/>
      <c r="BV453" s="8"/>
      <c r="BW453" s="8"/>
      <c r="BX453" s="8"/>
      <c r="BY453" s="8"/>
      <c r="BZ453" s="8"/>
      <c r="CA453" s="8"/>
      <c r="CB453" s="8"/>
      <c r="CC453" s="8"/>
      <c r="CD453" s="8"/>
      <c r="CE453" s="8"/>
      <c r="CF453" s="8"/>
      <c r="CG453" s="8"/>
      <c r="CH453" s="8"/>
      <c r="CI453" s="8"/>
      <c r="CJ453" s="8"/>
      <c r="CK453" s="8"/>
      <c r="CL453" s="8"/>
      <c r="CM453" s="8"/>
      <c r="CN453" s="8"/>
      <c r="CO453" s="8"/>
      <c r="CP453" s="8"/>
      <c r="CQ453" s="8"/>
      <c r="CR453" s="8"/>
      <c r="CS453" s="8"/>
      <c r="CT453" s="8"/>
      <c r="CU453" s="8"/>
      <c r="CV453" s="8"/>
      <c r="CW453" s="8"/>
      <c r="CX453" s="8"/>
      <c r="CY453" s="8"/>
      <c r="CZ453" s="8"/>
      <c r="DA453" s="8"/>
      <c r="DB453" s="8"/>
    </row>
    <row r="454" spans="1:106" ht="24" customHeight="1" x14ac:dyDescent="0.2">
      <c r="A454" s="145"/>
      <c r="B454" s="329"/>
      <c r="C454" s="329"/>
      <c r="D454" s="329"/>
      <c r="E454" s="329"/>
      <c r="F454" s="154">
        <v>4301</v>
      </c>
      <c r="G454" s="81" t="s">
        <v>191</v>
      </c>
      <c r="H454" s="194"/>
      <c r="I454" s="194"/>
      <c r="J454" s="693"/>
      <c r="K454" s="694"/>
      <c r="L454" s="693"/>
      <c r="M454" s="693"/>
      <c r="N454" s="723"/>
      <c r="O454" s="689"/>
      <c r="P454" s="723"/>
      <c r="Q454" s="724"/>
      <c r="R454" s="689"/>
      <c r="S454" s="689"/>
      <c r="T454" s="725"/>
      <c r="U454" s="214"/>
      <c r="V454" s="214"/>
      <c r="W454" s="330">
        <f>W455</f>
        <v>308302422.89999998</v>
      </c>
      <c r="X454" s="330">
        <f t="shared" si="500"/>
        <v>0</v>
      </c>
      <c r="Y454" s="330">
        <f t="shared" si="500"/>
        <v>0</v>
      </c>
      <c r="Z454" s="330">
        <f t="shared" si="501"/>
        <v>0</v>
      </c>
      <c r="AA454" s="330"/>
      <c r="AB454" s="330"/>
      <c r="AC454" s="330">
        <f t="shared" si="501"/>
        <v>0</v>
      </c>
      <c r="AD454" s="330"/>
      <c r="AE454" s="330"/>
      <c r="AF454" s="330">
        <f t="shared" si="501"/>
        <v>0</v>
      </c>
      <c r="AG454" s="330"/>
      <c r="AH454" s="330"/>
      <c r="AI454" s="330">
        <f t="shared" si="501"/>
        <v>0</v>
      </c>
      <c r="AJ454" s="330"/>
      <c r="AK454" s="330"/>
      <c r="AL454" s="330">
        <f t="shared" si="501"/>
        <v>0</v>
      </c>
      <c r="AM454" s="330"/>
      <c r="AN454" s="330"/>
      <c r="AO454" s="330">
        <f t="shared" si="501"/>
        <v>0</v>
      </c>
      <c r="AP454" s="330"/>
      <c r="AQ454" s="330"/>
      <c r="AR454" s="330">
        <f t="shared" si="501"/>
        <v>0</v>
      </c>
      <c r="AS454" s="330"/>
      <c r="AT454" s="330"/>
      <c r="AU454" s="330">
        <f t="shared" si="501"/>
        <v>0</v>
      </c>
      <c r="AV454" s="330"/>
      <c r="AW454" s="330"/>
      <c r="AX454" s="330">
        <f t="shared" si="501"/>
        <v>0</v>
      </c>
      <c r="AY454" s="330"/>
      <c r="AZ454" s="330"/>
      <c r="BA454" s="330">
        <f t="shared" si="501"/>
        <v>0</v>
      </c>
      <c r="BB454" s="330"/>
      <c r="BC454" s="330"/>
      <c r="BD454" s="330">
        <f t="shared" si="501"/>
        <v>0</v>
      </c>
      <c r="BE454" s="330">
        <f t="shared" si="501"/>
        <v>0</v>
      </c>
      <c r="BF454" s="330">
        <f t="shared" si="501"/>
        <v>0</v>
      </c>
      <c r="BG454" s="330">
        <f t="shared" si="501"/>
        <v>0</v>
      </c>
      <c r="BH454" s="330"/>
      <c r="BI454" s="330"/>
      <c r="BJ454" s="330">
        <f t="shared" si="501"/>
        <v>308302422.89999998</v>
      </c>
      <c r="BK454" s="330">
        <f t="shared" si="502"/>
        <v>0</v>
      </c>
      <c r="BL454" s="330">
        <f t="shared" si="502"/>
        <v>0</v>
      </c>
      <c r="BM454" s="330"/>
      <c r="BN454" s="215"/>
    </row>
    <row r="455" spans="1:106" s="44" customFormat="1" ht="175.5" customHeight="1" x14ac:dyDescent="0.2">
      <c r="A455" s="337"/>
      <c r="B455" s="351"/>
      <c r="C455" s="351"/>
      <c r="D455" s="351"/>
      <c r="E455" s="351"/>
      <c r="F455" s="338"/>
      <c r="G455" s="558"/>
      <c r="H455" s="565" t="s">
        <v>192</v>
      </c>
      <c r="I455" s="252" t="s">
        <v>47</v>
      </c>
      <c r="J455" s="574" t="s">
        <v>1337</v>
      </c>
      <c r="K455" s="82">
        <v>4301004</v>
      </c>
      <c r="L455" s="574" t="s">
        <v>194</v>
      </c>
      <c r="M455" s="252" t="s">
        <v>47</v>
      </c>
      <c r="N455" s="574" t="s">
        <v>1338</v>
      </c>
      <c r="O455" s="85">
        <v>430100401</v>
      </c>
      <c r="P455" s="574" t="s">
        <v>196</v>
      </c>
      <c r="Q455" s="570" t="s">
        <v>68</v>
      </c>
      <c r="R455" s="252">
        <v>3</v>
      </c>
      <c r="S455" s="252">
        <v>0</v>
      </c>
      <c r="T455" s="558" t="s">
        <v>1339</v>
      </c>
      <c r="U455" s="574" t="s">
        <v>1340</v>
      </c>
      <c r="V455" s="574" t="s">
        <v>1341</v>
      </c>
      <c r="W455" s="352">
        <v>308302422.89999998</v>
      </c>
      <c r="X455" s="352"/>
      <c r="Y455" s="352"/>
      <c r="Z455" s="150"/>
      <c r="AA455" s="150"/>
      <c r="AB455" s="150"/>
      <c r="AC455" s="150"/>
      <c r="AD455" s="150"/>
      <c r="AE455" s="150"/>
      <c r="AF455" s="150"/>
      <c r="AG455" s="150"/>
      <c r="AH455" s="150"/>
      <c r="AI455" s="150"/>
      <c r="AJ455" s="262"/>
      <c r="AK455" s="262"/>
      <c r="AL455" s="262"/>
      <c r="AM455" s="262"/>
      <c r="AN455" s="262"/>
      <c r="AO455" s="150"/>
      <c r="AP455" s="150"/>
      <c r="AQ455" s="150"/>
      <c r="AR455" s="150"/>
      <c r="AS455" s="263"/>
      <c r="AT455" s="263"/>
      <c r="AU455" s="263"/>
      <c r="AV455" s="263"/>
      <c r="AW455" s="263"/>
      <c r="AX455" s="150"/>
      <c r="AY455" s="150"/>
      <c r="AZ455" s="150"/>
      <c r="BA455" s="207"/>
      <c r="BB455" s="207"/>
      <c r="BC455" s="207"/>
      <c r="BD455" s="192"/>
      <c r="BE455" s="192"/>
      <c r="BF455" s="192"/>
      <c r="BG455" s="150"/>
      <c r="BH455" s="150"/>
      <c r="BI455" s="150"/>
      <c r="BJ455" s="339">
        <f>+W455+Z455+AC455+AF455+AI455+AL455+AO455+AR455+AU455+AX455+BA455+BD455+BG455</f>
        <v>308302422.89999998</v>
      </c>
      <c r="BK455" s="339">
        <f t="shared" ref="BK455:BL455" si="503">+X455+AA455+AD455+AG455+AJ455+AM455+AP455+AS455+AV455+AY455+BB455+BE455+BH455</f>
        <v>0</v>
      </c>
      <c r="BL455" s="339">
        <f t="shared" si="503"/>
        <v>0</v>
      </c>
      <c r="BM455" s="341" t="s">
        <v>1535</v>
      </c>
      <c r="BN455" s="341" t="s">
        <v>1342</v>
      </c>
    </row>
    <row r="456" spans="1:106" s="9" customFormat="1" ht="24" customHeight="1" x14ac:dyDescent="0.25">
      <c r="A456" s="130"/>
      <c r="B456" s="83"/>
      <c r="C456" s="83"/>
      <c r="D456" s="77">
        <v>22</v>
      </c>
      <c r="E456" s="75" t="s">
        <v>170</v>
      </c>
      <c r="F456" s="75"/>
      <c r="G456" s="135"/>
      <c r="H456" s="136"/>
      <c r="I456" s="136"/>
      <c r="J456" s="138"/>
      <c r="K456" s="137"/>
      <c r="L456" s="138"/>
      <c r="M456" s="138"/>
      <c r="N456" s="140"/>
      <c r="O456" s="139"/>
      <c r="P456" s="140"/>
      <c r="Q456" s="141"/>
      <c r="R456" s="139"/>
      <c r="S456" s="139"/>
      <c r="T456" s="204"/>
      <c r="U456" s="143"/>
      <c r="V456" s="143"/>
      <c r="W456" s="144">
        <f>W457</f>
        <v>308302422.89999998</v>
      </c>
      <c r="X456" s="144">
        <f t="shared" ref="X456:Y457" si="504">X457</f>
        <v>0</v>
      </c>
      <c r="Y456" s="144">
        <f t="shared" si="504"/>
        <v>0</v>
      </c>
      <c r="Z456" s="144">
        <f t="shared" ref="Z456:BJ457" si="505">Z457</f>
        <v>0</v>
      </c>
      <c r="AA456" s="144"/>
      <c r="AB456" s="144"/>
      <c r="AC456" s="144">
        <f t="shared" si="505"/>
        <v>0</v>
      </c>
      <c r="AD456" s="144"/>
      <c r="AE456" s="144"/>
      <c r="AF456" s="144">
        <f t="shared" si="505"/>
        <v>0</v>
      </c>
      <c r="AG456" s="144"/>
      <c r="AH456" s="144"/>
      <c r="AI456" s="144">
        <f t="shared" si="505"/>
        <v>0</v>
      </c>
      <c r="AJ456" s="144"/>
      <c r="AK456" s="144"/>
      <c r="AL456" s="144">
        <f t="shared" si="505"/>
        <v>0</v>
      </c>
      <c r="AM456" s="144"/>
      <c r="AN456" s="144"/>
      <c r="AO456" s="144">
        <f t="shared" si="505"/>
        <v>0</v>
      </c>
      <c r="AP456" s="144"/>
      <c r="AQ456" s="144"/>
      <c r="AR456" s="144">
        <f t="shared" si="505"/>
        <v>0</v>
      </c>
      <c r="AS456" s="144"/>
      <c r="AT456" s="144"/>
      <c r="AU456" s="144">
        <f t="shared" si="505"/>
        <v>0</v>
      </c>
      <c r="AV456" s="144"/>
      <c r="AW456" s="144"/>
      <c r="AX456" s="144">
        <f t="shared" si="505"/>
        <v>0</v>
      </c>
      <c r="AY456" s="144"/>
      <c r="AZ456" s="144"/>
      <c r="BA456" s="144">
        <f t="shared" si="505"/>
        <v>0</v>
      </c>
      <c r="BB456" s="144"/>
      <c r="BC456" s="144"/>
      <c r="BD456" s="144">
        <f t="shared" si="505"/>
        <v>0</v>
      </c>
      <c r="BE456" s="144"/>
      <c r="BF456" s="144"/>
      <c r="BG456" s="144">
        <f t="shared" si="505"/>
        <v>0</v>
      </c>
      <c r="BH456" s="144"/>
      <c r="BI456" s="144"/>
      <c r="BJ456" s="144">
        <f t="shared" si="505"/>
        <v>308302422.89999998</v>
      </c>
      <c r="BK456" s="144"/>
      <c r="BL456" s="144"/>
      <c r="BM456" s="144"/>
      <c r="BN456" s="169"/>
      <c r="BO456" s="8"/>
      <c r="BP456" s="8"/>
      <c r="BQ456" s="8"/>
      <c r="BR456" s="8"/>
      <c r="BS456" s="8"/>
      <c r="BT456" s="8"/>
      <c r="BU456" s="8"/>
      <c r="BV456" s="8"/>
      <c r="BW456" s="8"/>
      <c r="BX456" s="8"/>
      <c r="BY456" s="8"/>
      <c r="BZ456" s="8"/>
      <c r="CA456" s="8"/>
      <c r="CB456" s="8"/>
      <c r="CC456" s="8"/>
      <c r="CD456" s="8"/>
      <c r="CE456" s="8"/>
      <c r="CF456" s="8"/>
      <c r="CG456" s="8"/>
      <c r="CH456" s="8"/>
      <c r="CI456" s="8"/>
      <c r="CJ456" s="8"/>
      <c r="CK456" s="8"/>
      <c r="CL456" s="8"/>
      <c r="CM456" s="8"/>
      <c r="CN456" s="8"/>
      <c r="CO456" s="8"/>
      <c r="CP456" s="8"/>
      <c r="CQ456" s="8"/>
      <c r="CR456" s="8"/>
      <c r="CS456" s="8"/>
      <c r="CT456" s="8"/>
      <c r="CU456" s="8"/>
      <c r="CV456" s="8"/>
      <c r="CW456" s="8"/>
      <c r="CX456" s="8"/>
      <c r="CY456" s="8"/>
      <c r="CZ456" s="8"/>
      <c r="DA456" s="8"/>
      <c r="DB456" s="8"/>
    </row>
    <row r="457" spans="1:106" ht="24" customHeight="1" x14ac:dyDescent="0.2">
      <c r="A457" s="145"/>
      <c r="B457" s="329"/>
      <c r="C457" s="329"/>
      <c r="D457" s="329"/>
      <c r="E457" s="329"/>
      <c r="F457" s="154">
        <v>2201</v>
      </c>
      <c r="G457" s="331" t="s">
        <v>294</v>
      </c>
      <c r="H457" s="692"/>
      <c r="I457" s="692"/>
      <c r="J457" s="692"/>
      <c r="K457" s="692"/>
      <c r="L457" s="692"/>
      <c r="M457" s="692"/>
      <c r="N457" s="688"/>
      <c r="O457" s="689"/>
      <c r="P457" s="688"/>
      <c r="Q457" s="695"/>
      <c r="R457" s="689"/>
      <c r="S457" s="689"/>
      <c r="T457" s="691"/>
      <c r="U457" s="147"/>
      <c r="V457" s="147"/>
      <c r="W457" s="330">
        <f>W458</f>
        <v>308302422.89999998</v>
      </c>
      <c r="X457" s="330">
        <f t="shared" si="504"/>
        <v>0</v>
      </c>
      <c r="Y457" s="330">
        <f t="shared" si="504"/>
        <v>0</v>
      </c>
      <c r="Z457" s="330">
        <f t="shared" si="505"/>
        <v>0</v>
      </c>
      <c r="AA457" s="330"/>
      <c r="AB457" s="330"/>
      <c r="AC457" s="330">
        <f t="shared" si="505"/>
        <v>0</v>
      </c>
      <c r="AD457" s="330"/>
      <c r="AE457" s="330"/>
      <c r="AF457" s="330">
        <f t="shared" si="505"/>
        <v>0</v>
      </c>
      <c r="AG457" s="330"/>
      <c r="AH457" s="330"/>
      <c r="AI457" s="330">
        <f t="shared" si="505"/>
        <v>0</v>
      </c>
      <c r="AJ457" s="330"/>
      <c r="AK457" s="330"/>
      <c r="AL457" s="330">
        <f t="shared" si="505"/>
        <v>0</v>
      </c>
      <c r="AM457" s="330"/>
      <c r="AN457" s="330"/>
      <c r="AO457" s="330">
        <f t="shared" si="505"/>
        <v>0</v>
      </c>
      <c r="AP457" s="330"/>
      <c r="AQ457" s="330"/>
      <c r="AR457" s="330">
        <f t="shared" si="505"/>
        <v>0</v>
      </c>
      <c r="AS457" s="330"/>
      <c r="AT457" s="330"/>
      <c r="AU457" s="330">
        <f t="shared" si="505"/>
        <v>0</v>
      </c>
      <c r="AV457" s="330"/>
      <c r="AW457" s="330"/>
      <c r="AX457" s="330">
        <f t="shared" si="505"/>
        <v>0</v>
      </c>
      <c r="AY457" s="330"/>
      <c r="AZ457" s="330"/>
      <c r="BA457" s="330">
        <f t="shared" si="505"/>
        <v>0</v>
      </c>
      <c r="BB457" s="330"/>
      <c r="BC457" s="330"/>
      <c r="BD457" s="330">
        <f t="shared" si="505"/>
        <v>0</v>
      </c>
      <c r="BE457" s="330"/>
      <c r="BF457" s="330"/>
      <c r="BG457" s="330">
        <f t="shared" si="505"/>
        <v>0</v>
      </c>
      <c r="BH457" s="330"/>
      <c r="BI457" s="330"/>
      <c r="BJ457" s="330">
        <f t="shared" si="505"/>
        <v>308302422.89999998</v>
      </c>
      <c r="BK457" s="330"/>
      <c r="BL457" s="330"/>
      <c r="BM457" s="330"/>
      <c r="BN457" s="215"/>
    </row>
    <row r="458" spans="1:106" s="44" customFormat="1" ht="131.25" customHeight="1" x14ac:dyDescent="0.2">
      <c r="A458" s="337"/>
      <c r="B458" s="83"/>
      <c r="C458" s="83"/>
      <c r="D458" s="83"/>
      <c r="E458" s="83"/>
      <c r="F458" s="338"/>
      <c r="G458" s="558"/>
      <c r="H458" s="565" t="s">
        <v>172</v>
      </c>
      <c r="I458" s="252" t="s">
        <v>47</v>
      </c>
      <c r="J458" s="565" t="s">
        <v>698</v>
      </c>
      <c r="K458" s="85">
        <v>2201062</v>
      </c>
      <c r="L458" s="565" t="s">
        <v>174</v>
      </c>
      <c r="M458" s="252" t="s">
        <v>47</v>
      </c>
      <c r="N458" s="559" t="s">
        <v>175</v>
      </c>
      <c r="O458" s="82">
        <v>220106200</v>
      </c>
      <c r="P458" s="559" t="s">
        <v>176</v>
      </c>
      <c r="Q458" s="570" t="s">
        <v>68</v>
      </c>
      <c r="R458" s="252">
        <v>15</v>
      </c>
      <c r="S458" s="252">
        <v>0</v>
      </c>
      <c r="T458" s="558" t="s">
        <v>1343</v>
      </c>
      <c r="U458" s="574" t="s">
        <v>1344</v>
      </c>
      <c r="V458" s="574" t="s">
        <v>1345</v>
      </c>
      <c r="W458" s="352">
        <v>308302422.89999998</v>
      </c>
      <c r="X458" s="352"/>
      <c r="Y458" s="352"/>
      <c r="Z458" s="150"/>
      <c r="AA458" s="150"/>
      <c r="AB458" s="150"/>
      <c r="AC458" s="150"/>
      <c r="AD458" s="150"/>
      <c r="AE458" s="150"/>
      <c r="AF458" s="150"/>
      <c r="AG458" s="150"/>
      <c r="AH458" s="150"/>
      <c r="AI458" s="150"/>
      <c r="AJ458" s="262"/>
      <c r="AK458" s="262"/>
      <c r="AL458" s="262"/>
      <c r="AM458" s="262"/>
      <c r="AN458" s="262"/>
      <c r="AO458" s="150"/>
      <c r="AP458" s="150"/>
      <c r="AQ458" s="150"/>
      <c r="AR458" s="150"/>
      <c r="AS458" s="263"/>
      <c r="AT458" s="263"/>
      <c r="AU458" s="263"/>
      <c r="AV458" s="263"/>
      <c r="AW458" s="263"/>
      <c r="AX458" s="150"/>
      <c r="AY458" s="150"/>
      <c r="AZ458" s="150"/>
      <c r="BA458" s="207"/>
      <c r="BB458" s="207"/>
      <c r="BC458" s="207"/>
      <c r="BD458" s="150"/>
      <c r="BE458" s="150"/>
      <c r="BF458" s="150"/>
      <c r="BG458" s="175"/>
      <c r="BH458" s="175"/>
      <c r="BI458" s="175"/>
      <c r="BJ458" s="339">
        <f>+W458+Z458+AC458+AF458+AI458+AL458+AO458+AR458+AU458+AX458+BA458+BD458+BG458</f>
        <v>308302422.89999998</v>
      </c>
      <c r="BK458" s="339">
        <f t="shared" ref="BK458:BL458" si="506">+X458+AA458+AD458+AG458+AJ458+AM458+AP458+AS458+AV458+AY458+BB458+BE458+BH458</f>
        <v>0</v>
      </c>
      <c r="BL458" s="339">
        <f t="shared" si="506"/>
        <v>0</v>
      </c>
      <c r="BM458" s="341" t="s">
        <v>1535</v>
      </c>
      <c r="BN458" s="341" t="s">
        <v>1342</v>
      </c>
    </row>
    <row r="459" spans="1:106" ht="24" customHeight="1" x14ac:dyDescent="0.2">
      <c r="A459" s="145"/>
      <c r="B459" s="131">
        <v>3</v>
      </c>
      <c r="C459" s="131"/>
      <c r="D459" s="74" t="s">
        <v>200</v>
      </c>
      <c r="E459" s="173"/>
      <c r="F459" s="74"/>
      <c r="G459" s="180"/>
      <c r="H459" s="395"/>
      <c r="I459" s="395"/>
      <c r="J459" s="182"/>
      <c r="K459" s="686"/>
      <c r="L459" s="182"/>
      <c r="M459" s="182"/>
      <c r="N459" s="184"/>
      <c r="O459" s="183"/>
      <c r="P459" s="184"/>
      <c r="Q459" s="698"/>
      <c r="R459" s="183"/>
      <c r="S459" s="183"/>
      <c r="T459" s="697"/>
      <c r="U459" s="133"/>
      <c r="V459" s="133"/>
      <c r="W459" s="327">
        <f>W460+W463</f>
        <v>411069897.20000005</v>
      </c>
      <c r="X459" s="327">
        <f t="shared" ref="X459:Y459" si="507">X460+X463</f>
        <v>0</v>
      </c>
      <c r="Y459" s="327">
        <f t="shared" si="507"/>
        <v>0</v>
      </c>
      <c r="Z459" s="327">
        <f t="shared" ref="Z459:BG459" si="508">Z460+Z463</f>
        <v>0</v>
      </c>
      <c r="AA459" s="327"/>
      <c r="AB459" s="327"/>
      <c r="AC459" s="327">
        <f t="shared" si="508"/>
        <v>0</v>
      </c>
      <c r="AD459" s="327"/>
      <c r="AE459" s="327"/>
      <c r="AF459" s="327">
        <f t="shared" si="508"/>
        <v>0</v>
      </c>
      <c r="AG459" s="327"/>
      <c r="AH459" s="327"/>
      <c r="AI459" s="327">
        <f t="shared" si="508"/>
        <v>0</v>
      </c>
      <c r="AJ459" s="327"/>
      <c r="AK459" s="327"/>
      <c r="AL459" s="327">
        <f t="shared" si="508"/>
        <v>0</v>
      </c>
      <c r="AM459" s="327"/>
      <c r="AN459" s="327"/>
      <c r="AO459" s="327">
        <f t="shared" si="508"/>
        <v>0</v>
      </c>
      <c r="AP459" s="327"/>
      <c r="AQ459" s="327"/>
      <c r="AR459" s="327">
        <f t="shared" si="508"/>
        <v>0</v>
      </c>
      <c r="AS459" s="327"/>
      <c r="AT459" s="327"/>
      <c r="AU459" s="327">
        <f t="shared" si="508"/>
        <v>0</v>
      </c>
      <c r="AV459" s="327"/>
      <c r="AW459" s="327"/>
      <c r="AX459" s="327">
        <f t="shared" si="508"/>
        <v>0</v>
      </c>
      <c r="AY459" s="327"/>
      <c r="AZ459" s="327"/>
      <c r="BA459" s="327">
        <f t="shared" si="508"/>
        <v>0</v>
      </c>
      <c r="BB459" s="327"/>
      <c r="BC459" s="327"/>
      <c r="BD459" s="327">
        <f t="shared" si="508"/>
        <v>997308456</v>
      </c>
      <c r="BE459" s="327">
        <f t="shared" ref="BE459:BF459" si="509">BE460+BE463</f>
        <v>0</v>
      </c>
      <c r="BF459" s="327">
        <f t="shared" si="509"/>
        <v>0</v>
      </c>
      <c r="BG459" s="327">
        <f t="shared" si="508"/>
        <v>0</v>
      </c>
      <c r="BH459" s="327"/>
      <c r="BI459" s="327"/>
      <c r="BJ459" s="327">
        <f>BJ460+BJ463</f>
        <v>1408378353.2</v>
      </c>
      <c r="BK459" s="327">
        <f t="shared" ref="BK459:BL459" si="510">BK460+BK463</f>
        <v>0</v>
      </c>
      <c r="BL459" s="327">
        <f t="shared" si="510"/>
        <v>0</v>
      </c>
      <c r="BM459" s="327"/>
      <c r="BN459" s="328"/>
    </row>
    <row r="460" spans="1:106" s="9" customFormat="1" ht="24" customHeight="1" x14ac:dyDescent="0.25">
      <c r="A460" s="130"/>
      <c r="B460" s="83"/>
      <c r="C460" s="83"/>
      <c r="D460" s="77">
        <v>24</v>
      </c>
      <c r="E460" s="75" t="s">
        <v>201</v>
      </c>
      <c r="F460" s="75"/>
      <c r="G460" s="135"/>
      <c r="H460" s="136"/>
      <c r="I460" s="136"/>
      <c r="J460" s="138"/>
      <c r="K460" s="137"/>
      <c r="L460" s="138"/>
      <c r="M460" s="138"/>
      <c r="N460" s="140"/>
      <c r="O460" s="139"/>
      <c r="P460" s="140"/>
      <c r="Q460" s="141"/>
      <c r="R460" s="139"/>
      <c r="S460" s="139"/>
      <c r="T460" s="204"/>
      <c r="U460" s="143"/>
      <c r="V460" s="143"/>
      <c r="W460" s="144">
        <f>W461</f>
        <v>0</v>
      </c>
      <c r="X460" s="144">
        <f t="shared" ref="X460:Y461" si="511">X461</f>
        <v>0</v>
      </c>
      <c r="Y460" s="144">
        <f t="shared" si="511"/>
        <v>0</v>
      </c>
      <c r="Z460" s="144">
        <f t="shared" ref="Z460:BK461" si="512">Z461</f>
        <v>0</v>
      </c>
      <c r="AA460" s="144"/>
      <c r="AB460" s="144"/>
      <c r="AC460" s="144">
        <f t="shared" si="512"/>
        <v>0</v>
      </c>
      <c r="AD460" s="144"/>
      <c r="AE460" s="144"/>
      <c r="AF460" s="144">
        <f t="shared" si="512"/>
        <v>0</v>
      </c>
      <c r="AG460" s="144"/>
      <c r="AH460" s="144"/>
      <c r="AI460" s="144">
        <f t="shared" si="512"/>
        <v>0</v>
      </c>
      <c r="AJ460" s="144"/>
      <c r="AK460" s="144"/>
      <c r="AL460" s="144">
        <f t="shared" si="512"/>
        <v>0</v>
      </c>
      <c r="AM460" s="144"/>
      <c r="AN460" s="144"/>
      <c r="AO460" s="144">
        <f t="shared" si="512"/>
        <v>0</v>
      </c>
      <c r="AP460" s="144"/>
      <c r="AQ460" s="144"/>
      <c r="AR460" s="144">
        <f t="shared" si="512"/>
        <v>0</v>
      </c>
      <c r="AS460" s="144"/>
      <c r="AT460" s="144"/>
      <c r="AU460" s="144">
        <f t="shared" si="512"/>
        <v>0</v>
      </c>
      <c r="AV460" s="144"/>
      <c r="AW460" s="144"/>
      <c r="AX460" s="144">
        <f t="shared" si="512"/>
        <v>0</v>
      </c>
      <c r="AY460" s="144"/>
      <c r="AZ460" s="144"/>
      <c r="BA460" s="144">
        <f t="shared" si="512"/>
        <v>0</v>
      </c>
      <c r="BB460" s="144"/>
      <c r="BC460" s="144"/>
      <c r="BD460" s="144">
        <f t="shared" si="512"/>
        <v>199461691.20000002</v>
      </c>
      <c r="BE460" s="144">
        <f t="shared" si="512"/>
        <v>0</v>
      </c>
      <c r="BF460" s="144">
        <f t="shared" si="512"/>
        <v>0</v>
      </c>
      <c r="BG460" s="144">
        <f t="shared" si="512"/>
        <v>0</v>
      </c>
      <c r="BH460" s="144"/>
      <c r="BI460" s="144"/>
      <c r="BJ460" s="144">
        <f t="shared" si="512"/>
        <v>199461691.20000002</v>
      </c>
      <c r="BK460" s="144">
        <f t="shared" si="512"/>
        <v>0</v>
      </c>
      <c r="BL460" s="144">
        <f t="shared" ref="BK460:BL461" si="513">BL461</f>
        <v>0</v>
      </c>
      <c r="BM460" s="144"/>
      <c r="BN460" s="169"/>
      <c r="BO460" s="8"/>
      <c r="BP460" s="8"/>
      <c r="BQ460" s="8"/>
      <c r="BR460" s="8"/>
      <c r="BS460" s="8"/>
      <c r="BT460" s="8"/>
      <c r="BU460" s="8"/>
      <c r="BV460" s="8"/>
      <c r="BW460" s="8"/>
      <c r="BX460" s="8"/>
      <c r="BY460" s="8"/>
      <c r="BZ460" s="8"/>
      <c r="CA460" s="8"/>
      <c r="CB460" s="8"/>
      <c r="CC460" s="8"/>
      <c r="CD460" s="8"/>
      <c r="CE460" s="8"/>
      <c r="CF460" s="8"/>
      <c r="CG460" s="8"/>
      <c r="CH460" s="8"/>
      <c r="CI460" s="8"/>
      <c r="CJ460" s="8"/>
      <c r="CK460" s="8"/>
      <c r="CL460" s="8"/>
      <c r="CM460" s="8"/>
      <c r="CN460" s="8"/>
      <c r="CO460" s="8"/>
      <c r="CP460" s="8"/>
      <c r="CQ460" s="8"/>
      <c r="CR460" s="8"/>
      <c r="CS460" s="8"/>
      <c r="CT460" s="8"/>
      <c r="CU460" s="8"/>
      <c r="CV460" s="8"/>
      <c r="CW460" s="8"/>
      <c r="CX460" s="8"/>
      <c r="CY460" s="8"/>
      <c r="CZ460" s="8"/>
      <c r="DA460" s="8"/>
      <c r="DB460" s="8"/>
    </row>
    <row r="461" spans="1:106" ht="24" customHeight="1" x14ac:dyDescent="0.2">
      <c r="A461" s="145"/>
      <c r="B461" s="329"/>
      <c r="C461" s="329"/>
      <c r="D461" s="329"/>
      <c r="E461" s="329"/>
      <c r="F461" s="154">
        <v>2402</v>
      </c>
      <c r="G461" s="331" t="s">
        <v>202</v>
      </c>
      <c r="H461" s="692"/>
      <c r="I461" s="692"/>
      <c r="J461" s="693"/>
      <c r="K461" s="694"/>
      <c r="L461" s="693"/>
      <c r="M461" s="693"/>
      <c r="N461" s="688"/>
      <c r="O461" s="689"/>
      <c r="P461" s="688"/>
      <c r="Q461" s="695"/>
      <c r="R461" s="689"/>
      <c r="S461" s="689"/>
      <c r="T461" s="691"/>
      <c r="U461" s="147"/>
      <c r="V461" s="147"/>
      <c r="W461" s="330">
        <f>W462</f>
        <v>0</v>
      </c>
      <c r="X461" s="330">
        <f t="shared" si="511"/>
        <v>0</v>
      </c>
      <c r="Y461" s="330">
        <f t="shared" si="511"/>
        <v>0</v>
      </c>
      <c r="Z461" s="330">
        <f t="shared" si="512"/>
        <v>0</v>
      </c>
      <c r="AA461" s="330"/>
      <c r="AB461" s="330"/>
      <c r="AC461" s="330">
        <f t="shared" si="512"/>
        <v>0</v>
      </c>
      <c r="AD461" s="330"/>
      <c r="AE461" s="330"/>
      <c r="AF461" s="330">
        <f t="shared" si="512"/>
        <v>0</v>
      </c>
      <c r="AG461" s="330"/>
      <c r="AH461" s="330"/>
      <c r="AI461" s="330">
        <f t="shared" si="512"/>
        <v>0</v>
      </c>
      <c r="AJ461" s="330"/>
      <c r="AK461" s="330"/>
      <c r="AL461" s="330">
        <f t="shared" si="512"/>
        <v>0</v>
      </c>
      <c r="AM461" s="330"/>
      <c r="AN461" s="330"/>
      <c r="AO461" s="330">
        <f t="shared" si="512"/>
        <v>0</v>
      </c>
      <c r="AP461" s="330"/>
      <c r="AQ461" s="330"/>
      <c r="AR461" s="330">
        <f t="shared" si="512"/>
        <v>0</v>
      </c>
      <c r="AS461" s="330"/>
      <c r="AT461" s="330"/>
      <c r="AU461" s="330">
        <f t="shared" si="512"/>
        <v>0</v>
      </c>
      <c r="AV461" s="330"/>
      <c r="AW461" s="330"/>
      <c r="AX461" s="330">
        <f t="shared" si="512"/>
        <v>0</v>
      </c>
      <c r="AY461" s="330"/>
      <c r="AZ461" s="330"/>
      <c r="BA461" s="330">
        <f t="shared" si="512"/>
        <v>0</v>
      </c>
      <c r="BB461" s="330"/>
      <c r="BC461" s="330"/>
      <c r="BD461" s="330">
        <f t="shared" si="512"/>
        <v>199461691.20000002</v>
      </c>
      <c r="BE461" s="330">
        <f t="shared" si="512"/>
        <v>0</v>
      </c>
      <c r="BF461" s="330">
        <f t="shared" si="512"/>
        <v>0</v>
      </c>
      <c r="BG461" s="330">
        <f t="shared" si="512"/>
        <v>0</v>
      </c>
      <c r="BH461" s="330"/>
      <c r="BI461" s="330"/>
      <c r="BJ461" s="330">
        <f t="shared" si="512"/>
        <v>199461691.20000002</v>
      </c>
      <c r="BK461" s="330">
        <f t="shared" si="513"/>
        <v>0</v>
      </c>
      <c r="BL461" s="330">
        <f t="shared" si="513"/>
        <v>0</v>
      </c>
      <c r="BM461" s="330"/>
      <c r="BN461" s="215"/>
    </row>
    <row r="462" spans="1:106" s="44" customFormat="1" ht="132" customHeight="1" x14ac:dyDescent="0.2">
      <c r="A462" s="337"/>
      <c r="B462" s="351"/>
      <c r="C462" s="351"/>
      <c r="D462" s="351"/>
      <c r="E462" s="351"/>
      <c r="F462" s="338"/>
      <c r="G462" s="558"/>
      <c r="H462" s="574" t="s">
        <v>1346</v>
      </c>
      <c r="I462" s="252" t="s">
        <v>47</v>
      </c>
      <c r="J462" s="565" t="s">
        <v>211</v>
      </c>
      <c r="K462" s="85">
        <v>2402041</v>
      </c>
      <c r="L462" s="565" t="s">
        <v>212</v>
      </c>
      <c r="M462" s="252" t="s">
        <v>47</v>
      </c>
      <c r="N462" s="559" t="s">
        <v>213</v>
      </c>
      <c r="O462" s="85">
        <v>240204100</v>
      </c>
      <c r="P462" s="559" t="s">
        <v>214</v>
      </c>
      <c r="Q462" s="570" t="s">
        <v>52</v>
      </c>
      <c r="R462" s="200">
        <v>130</v>
      </c>
      <c r="S462" s="200"/>
      <c r="T462" s="558" t="s">
        <v>1347</v>
      </c>
      <c r="U462" s="564" t="s">
        <v>1348</v>
      </c>
      <c r="V462" s="565" t="s">
        <v>1349</v>
      </c>
      <c r="W462" s="150"/>
      <c r="X462" s="150"/>
      <c r="Y462" s="150"/>
      <c r="Z462" s="150"/>
      <c r="AA462" s="150"/>
      <c r="AB462" s="150"/>
      <c r="AC462" s="207"/>
      <c r="AD462" s="207"/>
      <c r="AE462" s="207"/>
      <c r="AF462" s="150"/>
      <c r="AG462" s="150"/>
      <c r="AH462" s="150"/>
      <c r="AI462" s="150"/>
      <c r="AJ462" s="262"/>
      <c r="AK462" s="262"/>
      <c r="AL462" s="262"/>
      <c r="AM462" s="262"/>
      <c r="AN462" s="262"/>
      <c r="AO462" s="150"/>
      <c r="AP462" s="150"/>
      <c r="AQ462" s="150"/>
      <c r="AR462" s="150"/>
      <c r="AS462" s="263"/>
      <c r="AT462" s="263"/>
      <c r="AU462" s="263"/>
      <c r="AV462" s="263"/>
      <c r="AW462" s="263"/>
      <c r="AX462" s="150"/>
      <c r="AY462" s="150"/>
      <c r="AZ462" s="150"/>
      <c r="BA462" s="207"/>
      <c r="BB462" s="207"/>
      <c r="BC462" s="207"/>
      <c r="BD462" s="192">
        <v>199461691.20000002</v>
      </c>
      <c r="BE462" s="192"/>
      <c r="BF462" s="192"/>
      <c r="BG462" s="150"/>
      <c r="BH462" s="150"/>
      <c r="BI462" s="150"/>
      <c r="BJ462" s="339">
        <f>+W462+Z462+AC462+AF462+AI462+AL462+AO462+AR462+AU462+AX462+BA462+BD462+BG462</f>
        <v>199461691.20000002</v>
      </c>
      <c r="BK462" s="339">
        <f t="shared" ref="BK462:BL462" si="514">+X462+AA462+AD462+AG462+AJ462+AM462+AP462+AS462+AV462+AY462+BB462+BE462+BH462</f>
        <v>0</v>
      </c>
      <c r="BL462" s="339">
        <f t="shared" si="514"/>
        <v>0</v>
      </c>
      <c r="BM462" s="341" t="s">
        <v>1535</v>
      </c>
      <c r="BN462" s="341" t="s">
        <v>1342</v>
      </c>
    </row>
    <row r="463" spans="1:106" s="9" customFormat="1" ht="24" customHeight="1" x14ac:dyDescent="0.25">
      <c r="A463" s="130"/>
      <c r="B463" s="83"/>
      <c r="C463" s="83"/>
      <c r="D463" s="408">
        <v>40</v>
      </c>
      <c r="E463" s="75" t="s">
        <v>237</v>
      </c>
      <c r="F463" s="75"/>
      <c r="G463" s="135"/>
      <c r="H463" s="135"/>
      <c r="I463" s="136"/>
      <c r="J463" s="138"/>
      <c r="K463" s="137"/>
      <c r="L463" s="138"/>
      <c r="M463" s="138"/>
      <c r="N463" s="140"/>
      <c r="O463" s="139"/>
      <c r="P463" s="140"/>
      <c r="Q463" s="141"/>
      <c r="R463" s="139"/>
      <c r="S463" s="537"/>
      <c r="T463" s="204"/>
      <c r="U463" s="143"/>
      <c r="V463" s="143"/>
      <c r="W463" s="144">
        <f>W464</f>
        <v>411069897.20000005</v>
      </c>
      <c r="X463" s="144">
        <f t="shared" ref="X463:Y463" si="515">X464</f>
        <v>0</v>
      </c>
      <c r="Y463" s="144">
        <f t="shared" si="515"/>
        <v>0</v>
      </c>
      <c r="Z463" s="144">
        <f t="shared" ref="Z463:BL463" si="516">Z464</f>
        <v>0</v>
      </c>
      <c r="AA463" s="144"/>
      <c r="AB463" s="144"/>
      <c r="AC463" s="144">
        <f t="shared" si="516"/>
        <v>0</v>
      </c>
      <c r="AD463" s="144"/>
      <c r="AE463" s="144"/>
      <c r="AF463" s="144">
        <f t="shared" si="516"/>
        <v>0</v>
      </c>
      <c r="AG463" s="144"/>
      <c r="AH463" s="144"/>
      <c r="AI463" s="144">
        <f t="shared" si="516"/>
        <v>0</v>
      </c>
      <c r="AJ463" s="144"/>
      <c r="AK463" s="144"/>
      <c r="AL463" s="144">
        <f t="shared" si="516"/>
        <v>0</v>
      </c>
      <c r="AM463" s="144"/>
      <c r="AN463" s="144"/>
      <c r="AO463" s="144">
        <f t="shared" si="516"/>
        <v>0</v>
      </c>
      <c r="AP463" s="144"/>
      <c r="AQ463" s="144"/>
      <c r="AR463" s="144">
        <f t="shared" si="516"/>
        <v>0</v>
      </c>
      <c r="AS463" s="144"/>
      <c r="AT463" s="144"/>
      <c r="AU463" s="144">
        <f t="shared" si="516"/>
        <v>0</v>
      </c>
      <c r="AV463" s="144"/>
      <c r="AW463" s="144"/>
      <c r="AX463" s="144">
        <f t="shared" si="516"/>
        <v>0</v>
      </c>
      <c r="AY463" s="144"/>
      <c r="AZ463" s="144"/>
      <c r="BA463" s="144">
        <f t="shared" si="516"/>
        <v>0</v>
      </c>
      <c r="BB463" s="144"/>
      <c r="BC463" s="144"/>
      <c r="BD463" s="144">
        <f t="shared" si="516"/>
        <v>797846764.79999995</v>
      </c>
      <c r="BE463" s="144">
        <f t="shared" si="516"/>
        <v>0</v>
      </c>
      <c r="BF463" s="144">
        <f t="shared" si="516"/>
        <v>0</v>
      </c>
      <c r="BG463" s="144">
        <f t="shared" si="516"/>
        <v>0</v>
      </c>
      <c r="BH463" s="144"/>
      <c r="BI463" s="144"/>
      <c r="BJ463" s="144">
        <f t="shared" si="516"/>
        <v>1208916662</v>
      </c>
      <c r="BK463" s="144">
        <f t="shared" si="516"/>
        <v>0</v>
      </c>
      <c r="BL463" s="144">
        <f t="shared" si="516"/>
        <v>0</v>
      </c>
      <c r="BM463" s="144"/>
      <c r="BN463" s="169"/>
      <c r="BO463" s="8"/>
      <c r="BP463" s="8"/>
      <c r="BQ463" s="8"/>
      <c r="BR463" s="8"/>
      <c r="BS463" s="8"/>
      <c r="BT463" s="8"/>
      <c r="BU463" s="8"/>
      <c r="BV463" s="8"/>
      <c r="BW463" s="8"/>
      <c r="BX463" s="8"/>
      <c r="BY463" s="8"/>
      <c r="BZ463" s="8"/>
      <c r="CA463" s="8"/>
      <c r="CB463" s="8"/>
      <c r="CC463" s="8"/>
      <c r="CD463" s="8"/>
      <c r="CE463" s="8"/>
      <c r="CF463" s="8"/>
      <c r="CG463" s="8"/>
      <c r="CH463" s="8"/>
      <c r="CI463" s="8"/>
      <c r="CJ463" s="8"/>
      <c r="CK463" s="8"/>
      <c r="CL463" s="8"/>
      <c r="CM463" s="8"/>
      <c r="CN463" s="8"/>
      <c r="CO463" s="8"/>
      <c r="CP463" s="8"/>
      <c r="CQ463" s="8"/>
      <c r="CR463" s="8"/>
      <c r="CS463" s="8"/>
      <c r="CT463" s="8"/>
      <c r="CU463" s="8"/>
      <c r="CV463" s="8"/>
      <c r="CW463" s="8"/>
      <c r="CX463" s="8"/>
      <c r="CY463" s="8"/>
      <c r="CZ463" s="8"/>
      <c r="DA463" s="8"/>
      <c r="DB463" s="8"/>
    </row>
    <row r="464" spans="1:106" ht="24" customHeight="1" x14ac:dyDescent="0.2">
      <c r="A464" s="145"/>
      <c r="B464" s="329"/>
      <c r="C464" s="329"/>
      <c r="D464" s="329"/>
      <c r="E464" s="329"/>
      <c r="F464" s="154">
        <v>4001</v>
      </c>
      <c r="G464" s="331" t="s">
        <v>238</v>
      </c>
      <c r="H464" s="331"/>
      <c r="I464" s="692"/>
      <c r="J464" s="693"/>
      <c r="K464" s="694"/>
      <c r="L464" s="693"/>
      <c r="M464" s="693"/>
      <c r="N464" s="688"/>
      <c r="O464" s="689"/>
      <c r="P464" s="688"/>
      <c r="Q464" s="695"/>
      <c r="R464" s="689"/>
      <c r="S464" s="696"/>
      <c r="T464" s="691"/>
      <c r="U464" s="147"/>
      <c r="V464" s="147"/>
      <c r="W464" s="330">
        <f>SUM(W465:W471)</f>
        <v>411069897.20000005</v>
      </c>
      <c r="X464" s="330">
        <f t="shared" ref="X464:Y464" si="517">SUM(X465:X471)</f>
        <v>0</v>
      </c>
      <c r="Y464" s="330">
        <f t="shared" si="517"/>
        <v>0</v>
      </c>
      <c r="Z464" s="330">
        <f t="shared" ref="Z464:BJ464" si="518">SUM(Z465:Z471)</f>
        <v>0</v>
      </c>
      <c r="AA464" s="330"/>
      <c r="AB464" s="330"/>
      <c r="AC464" s="330">
        <f t="shared" si="518"/>
        <v>0</v>
      </c>
      <c r="AD464" s="330"/>
      <c r="AE464" s="330"/>
      <c r="AF464" s="330">
        <f t="shared" si="518"/>
        <v>0</v>
      </c>
      <c r="AG464" s="330"/>
      <c r="AH464" s="330"/>
      <c r="AI464" s="330">
        <f t="shared" si="518"/>
        <v>0</v>
      </c>
      <c r="AJ464" s="330"/>
      <c r="AK464" s="330"/>
      <c r="AL464" s="330">
        <f t="shared" si="518"/>
        <v>0</v>
      </c>
      <c r="AM464" s="330"/>
      <c r="AN464" s="330"/>
      <c r="AO464" s="330">
        <f t="shared" si="518"/>
        <v>0</v>
      </c>
      <c r="AP464" s="330"/>
      <c r="AQ464" s="330"/>
      <c r="AR464" s="330">
        <f t="shared" si="518"/>
        <v>0</v>
      </c>
      <c r="AS464" s="330"/>
      <c r="AT464" s="330"/>
      <c r="AU464" s="330">
        <f t="shared" si="518"/>
        <v>0</v>
      </c>
      <c r="AV464" s="330"/>
      <c r="AW464" s="330"/>
      <c r="AX464" s="330">
        <f t="shared" si="518"/>
        <v>0</v>
      </c>
      <c r="AY464" s="330"/>
      <c r="AZ464" s="330"/>
      <c r="BA464" s="330">
        <f t="shared" si="518"/>
        <v>0</v>
      </c>
      <c r="BB464" s="330"/>
      <c r="BC464" s="330"/>
      <c r="BD464" s="330">
        <f t="shared" si="518"/>
        <v>797846764.79999995</v>
      </c>
      <c r="BE464" s="330">
        <f t="shared" ref="BE464:BF464" si="519">SUM(BE465:BE471)</f>
        <v>0</v>
      </c>
      <c r="BF464" s="330">
        <f t="shared" si="519"/>
        <v>0</v>
      </c>
      <c r="BG464" s="330">
        <f t="shared" si="518"/>
        <v>0</v>
      </c>
      <c r="BH464" s="330"/>
      <c r="BI464" s="330"/>
      <c r="BJ464" s="330">
        <f t="shared" si="518"/>
        <v>1208916662</v>
      </c>
      <c r="BK464" s="330">
        <f t="shared" ref="BK464:BL464" si="520">SUM(BK465:BK471)</f>
        <v>0</v>
      </c>
      <c r="BL464" s="330">
        <f t="shared" si="520"/>
        <v>0</v>
      </c>
      <c r="BM464" s="330"/>
      <c r="BN464" s="215"/>
    </row>
    <row r="465" spans="1:106" ht="90" customHeight="1" x14ac:dyDescent="0.2">
      <c r="A465" s="145"/>
      <c r="B465" s="91"/>
      <c r="C465" s="91"/>
      <c r="D465" s="91"/>
      <c r="E465" s="91"/>
      <c r="F465" s="87"/>
      <c r="G465" s="216"/>
      <c r="H465" s="562" t="s">
        <v>239</v>
      </c>
      <c r="I465" s="332">
        <v>4001001</v>
      </c>
      <c r="J465" s="562" t="s">
        <v>1350</v>
      </c>
      <c r="K465" s="332">
        <v>4001001</v>
      </c>
      <c r="L465" s="562" t="s">
        <v>1350</v>
      </c>
      <c r="M465" s="105" t="s">
        <v>1351</v>
      </c>
      <c r="N465" s="577" t="s">
        <v>1352</v>
      </c>
      <c r="O465" s="105" t="s">
        <v>1351</v>
      </c>
      <c r="P465" s="577" t="s">
        <v>1352</v>
      </c>
      <c r="Q465" s="108" t="s">
        <v>68</v>
      </c>
      <c r="R465" s="125">
        <v>3</v>
      </c>
      <c r="S465" s="125"/>
      <c r="T465" s="864" t="s">
        <v>1353</v>
      </c>
      <c r="U465" s="914" t="s">
        <v>1354</v>
      </c>
      <c r="V465" s="880" t="s">
        <v>1355</v>
      </c>
      <c r="W465" s="202">
        <v>0</v>
      </c>
      <c r="X465" s="202"/>
      <c r="Y465" s="202"/>
      <c r="Z465" s="150"/>
      <c r="AA465" s="150"/>
      <c r="AB465" s="150"/>
      <c r="AC465" s="150"/>
      <c r="AD465" s="150"/>
      <c r="AE465" s="150"/>
      <c r="AF465" s="150"/>
      <c r="AG465" s="150"/>
      <c r="AH465" s="150"/>
      <c r="AI465" s="150"/>
      <c r="AJ465" s="262"/>
      <c r="AK465" s="262"/>
      <c r="AL465" s="262"/>
      <c r="AM465" s="262"/>
      <c r="AN465" s="262"/>
      <c r="AO465" s="150"/>
      <c r="AP465" s="150"/>
      <c r="AQ465" s="150"/>
      <c r="AR465" s="150"/>
      <c r="AS465" s="263"/>
      <c r="AT465" s="263"/>
      <c r="AU465" s="263"/>
      <c r="AV465" s="263"/>
      <c r="AW465" s="263"/>
      <c r="AX465" s="150"/>
      <c r="AY465" s="150"/>
      <c r="AZ465" s="150"/>
      <c r="BA465" s="207"/>
      <c r="BB465" s="207"/>
      <c r="BC465" s="207"/>
      <c r="BD465" s="150">
        <v>9973084.5600000005</v>
      </c>
      <c r="BE465" s="150"/>
      <c r="BF465" s="150"/>
      <c r="BG465" s="175"/>
      <c r="BH465" s="175"/>
      <c r="BI465" s="175"/>
      <c r="BJ465" s="151">
        <f t="shared" ref="BJ465:BJ471" si="521">+W465+Z465+AC465+AF465+AI465+AL465+AO465+AR465+AU465+AX465+BA465+BD465+BG465</f>
        <v>9973084.5600000005</v>
      </c>
      <c r="BK465" s="151">
        <f t="shared" ref="BK465:BK471" si="522">+X465+AA465+AD465+AG465+AJ465+AM465+AP465+AS465+AV465+AY465+BB465+BE465+BH465</f>
        <v>0</v>
      </c>
      <c r="BL465" s="151">
        <f t="shared" ref="BL465:BL471" si="523">+Y465+AB465+AE465+AH465+AK465+AN465+AQ465+AT465+AW465+AZ465+BC465+BF465+BI465</f>
        <v>0</v>
      </c>
      <c r="BM465" s="894" t="s">
        <v>1535</v>
      </c>
      <c r="BN465" s="900" t="s">
        <v>1342</v>
      </c>
    </row>
    <row r="466" spans="1:106" ht="90" customHeight="1" x14ac:dyDescent="0.2">
      <c r="A466" s="145"/>
      <c r="B466" s="91"/>
      <c r="C466" s="91"/>
      <c r="D466" s="91"/>
      <c r="E466" s="91"/>
      <c r="F466" s="87"/>
      <c r="G466" s="216"/>
      <c r="H466" s="562" t="s">
        <v>1356</v>
      </c>
      <c r="I466" s="332">
        <v>4001017</v>
      </c>
      <c r="J466" s="562" t="s">
        <v>1357</v>
      </c>
      <c r="K466" s="332">
        <v>4001017</v>
      </c>
      <c r="L466" s="562" t="s">
        <v>1357</v>
      </c>
      <c r="M466" s="105" t="s">
        <v>1358</v>
      </c>
      <c r="N466" s="577" t="s">
        <v>1359</v>
      </c>
      <c r="O466" s="105" t="s">
        <v>1358</v>
      </c>
      <c r="P466" s="577" t="s">
        <v>1359</v>
      </c>
      <c r="Q466" s="125" t="s">
        <v>68</v>
      </c>
      <c r="R466" s="125">
        <v>25</v>
      </c>
      <c r="S466" s="125"/>
      <c r="T466" s="864"/>
      <c r="U466" s="914"/>
      <c r="V466" s="880"/>
      <c r="W466" s="202">
        <v>51383737.150000066</v>
      </c>
      <c r="X466" s="202"/>
      <c r="Y466" s="202"/>
      <c r="Z466" s="150"/>
      <c r="AA466" s="150"/>
      <c r="AB466" s="150"/>
      <c r="AC466" s="150"/>
      <c r="AD466" s="150"/>
      <c r="AE466" s="150"/>
      <c r="AF466" s="150"/>
      <c r="AG466" s="150"/>
      <c r="AH466" s="150"/>
      <c r="AI466" s="150"/>
      <c r="AJ466" s="262"/>
      <c r="AK466" s="262"/>
      <c r="AL466" s="262"/>
      <c r="AM466" s="262"/>
      <c r="AN466" s="262"/>
      <c r="AO466" s="150"/>
      <c r="AP466" s="150"/>
      <c r="AQ466" s="150"/>
      <c r="AR466" s="150"/>
      <c r="AS466" s="263"/>
      <c r="AT466" s="263"/>
      <c r="AU466" s="263"/>
      <c r="AV466" s="263"/>
      <c r="AW466" s="263"/>
      <c r="AX466" s="150"/>
      <c r="AY466" s="150"/>
      <c r="AZ466" s="150"/>
      <c r="BA466" s="207"/>
      <c r="BB466" s="207"/>
      <c r="BC466" s="207"/>
      <c r="BD466" s="150">
        <v>29919253.68</v>
      </c>
      <c r="BE466" s="150"/>
      <c r="BF466" s="150"/>
      <c r="BG466" s="175"/>
      <c r="BH466" s="175"/>
      <c r="BI466" s="175"/>
      <c r="BJ466" s="151">
        <f t="shared" si="521"/>
        <v>81302990.830000073</v>
      </c>
      <c r="BK466" s="151">
        <f t="shared" si="522"/>
        <v>0</v>
      </c>
      <c r="BL466" s="151">
        <f t="shared" si="523"/>
        <v>0</v>
      </c>
      <c r="BM466" s="895"/>
      <c r="BN466" s="901"/>
    </row>
    <row r="467" spans="1:106" ht="58.5" customHeight="1" x14ac:dyDescent="0.2">
      <c r="A467" s="145"/>
      <c r="B467" s="91"/>
      <c r="C467" s="91"/>
      <c r="D467" s="91"/>
      <c r="E467" s="91"/>
      <c r="F467" s="87"/>
      <c r="G467" s="216"/>
      <c r="H467" s="562" t="s">
        <v>239</v>
      </c>
      <c r="I467" s="332">
        <v>4001018</v>
      </c>
      <c r="J467" s="562" t="s">
        <v>1360</v>
      </c>
      <c r="K467" s="332">
        <v>4001018</v>
      </c>
      <c r="L467" s="562" t="s">
        <v>1360</v>
      </c>
      <c r="M467" s="105" t="s">
        <v>1361</v>
      </c>
      <c r="N467" s="577" t="s">
        <v>1362</v>
      </c>
      <c r="O467" s="105" t="s">
        <v>1361</v>
      </c>
      <c r="P467" s="577" t="s">
        <v>1362</v>
      </c>
      <c r="Q467" s="125" t="s">
        <v>68</v>
      </c>
      <c r="R467" s="125">
        <v>75</v>
      </c>
      <c r="S467" s="125"/>
      <c r="T467" s="864"/>
      <c r="U467" s="914"/>
      <c r="V467" s="880"/>
      <c r="W467" s="202">
        <v>143874464.02000001</v>
      </c>
      <c r="X467" s="202"/>
      <c r="Y467" s="202"/>
      <c r="Z467" s="150"/>
      <c r="AA467" s="150"/>
      <c r="AB467" s="150"/>
      <c r="AC467" s="150"/>
      <c r="AD467" s="150"/>
      <c r="AE467" s="150"/>
      <c r="AF467" s="150"/>
      <c r="AG467" s="150"/>
      <c r="AH467" s="150"/>
      <c r="AI467" s="150"/>
      <c r="AJ467" s="262"/>
      <c r="AK467" s="262"/>
      <c r="AL467" s="262"/>
      <c r="AM467" s="262"/>
      <c r="AN467" s="262"/>
      <c r="AO467" s="150"/>
      <c r="AP467" s="150"/>
      <c r="AQ467" s="150"/>
      <c r="AR467" s="150"/>
      <c r="AS467" s="263"/>
      <c r="AT467" s="263"/>
      <c r="AU467" s="263"/>
      <c r="AV467" s="263"/>
      <c r="AW467" s="263"/>
      <c r="AX467" s="150"/>
      <c r="AY467" s="150"/>
      <c r="AZ467" s="150"/>
      <c r="BA467" s="207"/>
      <c r="BB467" s="207"/>
      <c r="BC467" s="207"/>
      <c r="BD467" s="150">
        <v>59838507.359999999</v>
      </c>
      <c r="BE467" s="150"/>
      <c r="BF467" s="150"/>
      <c r="BG467" s="175"/>
      <c r="BH467" s="175"/>
      <c r="BI467" s="175"/>
      <c r="BJ467" s="151">
        <f t="shared" si="521"/>
        <v>203712971.38</v>
      </c>
      <c r="BK467" s="151">
        <f t="shared" si="522"/>
        <v>0</v>
      </c>
      <c r="BL467" s="151">
        <f t="shared" si="523"/>
        <v>0</v>
      </c>
      <c r="BM467" s="895"/>
      <c r="BN467" s="901"/>
    </row>
    <row r="468" spans="1:106" ht="43.5" customHeight="1" x14ac:dyDescent="0.2">
      <c r="A468" s="145"/>
      <c r="B468" s="91"/>
      <c r="C468" s="91"/>
      <c r="D468" s="91"/>
      <c r="E468" s="91"/>
      <c r="F468" s="87"/>
      <c r="G468" s="216"/>
      <c r="H468" s="562" t="s">
        <v>239</v>
      </c>
      <c r="I468" s="332">
        <v>4001030</v>
      </c>
      <c r="J468" s="562" t="s">
        <v>1363</v>
      </c>
      <c r="K468" s="332">
        <v>4001030</v>
      </c>
      <c r="L468" s="562" t="s">
        <v>1363</v>
      </c>
      <c r="M468" s="105" t="s">
        <v>1364</v>
      </c>
      <c r="N468" s="577" t="s">
        <v>263</v>
      </c>
      <c r="O468" s="105" t="s">
        <v>1364</v>
      </c>
      <c r="P468" s="577" t="s">
        <v>263</v>
      </c>
      <c r="Q468" s="108" t="s">
        <v>68</v>
      </c>
      <c r="R468" s="125">
        <v>3</v>
      </c>
      <c r="S468" s="125"/>
      <c r="T468" s="864"/>
      <c r="U468" s="914"/>
      <c r="V468" s="880"/>
      <c r="W468" s="202">
        <v>0</v>
      </c>
      <c r="X468" s="202"/>
      <c r="Y468" s="202"/>
      <c r="Z468" s="150"/>
      <c r="AA468" s="150"/>
      <c r="AB468" s="150"/>
      <c r="AC468" s="150"/>
      <c r="AD468" s="150"/>
      <c r="AE468" s="150"/>
      <c r="AF468" s="150"/>
      <c r="AG468" s="150"/>
      <c r="AH468" s="150"/>
      <c r="AI468" s="150"/>
      <c r="AJ468" s="262"/>
      <c r="AK468" s="262"/>
      <c r="AL468" s="262"/>
      <c r="AM468" s="262"/>
      <c r="AN468" s="262"/>
      <c r="AO468" s="150"/>
      <c r="AP468" s="150"/>
      <c r="AQ468" s="150"/>
      <c r="AR468" s="150"/>
      <c r="AS468" s="263"/>
      <c r="AT468" s="263"/>
      <c r="AU468" s="263"/>
      <c r="AV468" s="263"/>
      <c r="AW468" s="263"/>
      <c r="AX468" s="150"/>
      <c r="AY468" s="150"/>
      <c r="AZ468" s="150"/>
      <c r="BA468" s="192"/>
      <c r="BB468" s="192"/>
      <c r="BC468" s="192"/>
      <c r="BD468" s="150">
        <v>9973084.5600000005</v>
      </c>
      <c r="BE468" s="150"/>
      <c r="BF468" s="150"/>
      <c r="BG468" s="175"/>
      <c r="BH468" s="175"/>
      <c r="BI468" s="175"/>
      <c r="BJ468" s="151">
        <f t="shared" si="521"/>
        <v>9973084.5600000005</v>
      </c>
      <c r="BK468" s="151">
        <f t="shared" si="522"/>
        <v>0</v>
      </c>
      <c r="BL468" s="151">
        <f t="shared" si="523"/>
        <v>0</v>
      </c>
      <c r="BM468" s="895"/>
      <c r="BN468" s="901"/>
    </row>
    <row r="469" spans="1:106" ht="51.75" customHeight="1" x14ac:dyDescent="0.2">
      <c r="A469" s="145"/>
      <c r="B469" s="91"/>
      <c r="C469" s="91"/>
      <c r="D469" s="91"/>
      <c r="E469" s="91"/>
      <c r="F469" s="87"/>
      <c r="G469" s="216"/>
      <c r="H469" s="562" t="s">
        <v>239</v>
      </c>
      <c r="I469" s="332">
        <v>4001031</v>
      </c>
      <c r="J469" s="562" t="s">
        <v>1365</v>
      </c>
      <c r="K469" s="332">
        <v>4001031</v>
      </c>
      <c r="L469" s="562" t="s">
        <v>1365</v>
      </c>
      <c r="M469" s="105">
        <v>400103103</v>
      </c>
      <c r="N469" s="93" t="s">
        <v>1366</v>
      </c>
      <c r="O469" s="105">
        <v>400103103</v>
      </c>
      <c r="P469" s="93" t="s">
        <v>1366</v>
      </c>
      <c r="Q469" s="108" t="s">
        <v>68</v>
      </c>
      <c r="R469" s="125">
        <v>8</v>
      </c>
      <c r="S469" s="125"/>
      <c r="T469" s="864"/>
      <c r="U469" s="914"/>
      <c r="V469" s="880"/>
      <c r="W469" s="202">
        <v>0</v>
      </c>
      <c r="X469" s="202"/>
      <c r="Y469" s="202"/>
      <c r="Z469" s="150"/>
      <c r="AA469" s="150"/>
      <c r="AB469" s="150"/>
      <c r="AC469" s="150"/>
      <c r="AD469" s="150"/>
      <c r="AE469" s="150"/>
      <c r="AF469" s="150"/>
      <c r="AG469" s="150"/>
      <c r="AH469" s="150"/>
      <c r="AI469" s="150"/>
      <c r="AJ469" s="262"/>
      <c r="AK469" s="262"/>
      <c r="AL469" s="262"/>
      <c r="AM469" s="262"/>
      <c r="AN469" s="262"/>
      <c r="AO469" s="150"/>
      <c r="AP469" s="150"/>
      <c r="AQ469" s="150"/>
      <c r="AR469" s="150"/>
      <c r="AS469" s="263"/>
      <c r="AT469" s="263"/>
      <c r="AU469" s="263"/>
      <c r="AV469" s="263"/>
      <c r="AW469" s="263"/>
      <c r="AX469" s="150"/>
      <c r="AY469" s="150"/>
      <c r="AZ469" s="150"/>
      <c r="BA469" s="192"/>
      <c r="BB469" s="192"/>
      <c r="BC469" s="192"/>
      <c r="BD469" s="150">
        <v>598385073.60000002</v>
      </c>
      <c r="BE469" s="150"/>
      <c r="BF469" s="150"/>
      <c r="BG469" s="175"/>
      <c r="BH469" s="175"/>
      <c r="BI469" s="175"/>
      <c r="BJ469" s="151">
        <f t="shared" si="521"/>
        <v>598385073.60000002</v>
      </c>
      <c r="BK469" s="151">
        <f t="shared" si="522"/>
        <v>0</v>
      </c>
      <c r="BL469" s="151">
        <f t="shared" si="523"/>
        <v>0</v>
      </c>
      <c r="BM469" s="895"/>
      <c r="BN469" s="901"/>
    </row>
    <row r="470" spans="1:106" ht="60.75" customHeight="1" x14ac:dyDescent="0.2">
      <c r="A470" s="145"/>
      <c r="B470" s="91"/>
      <c r="C470" s="91"/>
      <c r="D470" s="91"/>
      <c r="E470" s="91"/>
      <c r="F470" s="87"/>
      <c r="G470" s="216"/>
      <c r="H470" s="562" t="s">
        <v>1356</v>
      </c>
      <c r="I470" s="332" t="s">
        <v>1367</v>
      </c>
      <c r="J470" s="562" t="s">
        <v>1368</v>
      </c>
      <c r="K470" s="332" t="s">
        <v>1367</v>
      </c>
      <c r="L470" s="562" t="s">
        <v>1368</v>
      </c>
      <c r="M470" s="105" t="s">
        <v>1369</v>
      </c>
      <c r="N470" s="577" t="s">
        <v>1368</v>
      </c>
      <c r="O470" s="105" t="s">
        <v>1369</v>
      </c>
      <c r="P470" s="577" t="s">
        <v>1368</v>
      </c>
      <c r="Q470" s="108" t="s">
        <v>68</v>
      </c>
      <c r="R470" s="125">
        <v>35</v>
      </c>
      <c r="S470" s="125"/>
      <c r="T470" s="864"/>
      <c r="U470" s="914"/>
      <c r="V470" s="880"/>
      <c r="W470" s="202">
        <v>71937232.010000005</v>
      </c>
      <c r="X470" s="202"/>
      <c r="Y470" s="202"/>
      <c r="Z470" s="150"/>
      <c r="AA470" s="150"/>
      <c r="AB470" s="150"/>
      <c r="AC470" s="150"/>
      <c r="AD470" s="150"/>
      <c r="AE470" s="150"/>
      <c r="AF470" s="150"/>
      <c r="AG470" s="150"/>
      <c r="AH470" s="150"/>
      <c r="AI470" s="150"/>
      <c r="AJ470" s="262"/>
      <c r="AK470" s="262"/>
      <c r="AL470" s="262"/>
      <c r="AM470" s="262"/>
      <c r="AN470" s="262"/>
      <c r="AO470" s="150"/>
      <c r="AP470" s="150"/>
      <c r="AQ470" s="150"/>
      <c r="AR470" s="150"/>
      <c r="AS470" s="263"/>
      <c r="AT470" s="263"/>
      <c r="AU470" s="263"/>
      <c r="AV470" s="263"/>
      <c r="AW470" s="263"/>
      <c r="AX470" s="150"/>
      <c r="AY470" s="150"/>
      <c r="AZ470" s="150"/>
      <c r="BA470" s="192"/>
      <c r="BB470" s="192"/>
      <c r="BC470" s="192"/>
      <c r="BD470" s="150">
        <v>29919253.68</v>
      </c>
      <c r="BE470" s="150"/>
      <c r="BF470" s="150"/>
      <c r="BG470" s="175"/>
      <c r="BH470" s="175"/>
      <c r="BI470" s="175"/>
      <c r="BJ470" s="151">
        <f t="shared" si="521"/>
        <v>101856485.69</v>
      </c>
      <c r="BK470" s="151">
        <f t="shared" si="522"/>
        <v>0</v>
      </c>
      <c r="BL470" s="151">
        <f t="shared" si="523"/>
        <v>0</v>
      </c>
      <c r="BM470" s="895"/>
      <c r="BN470" s="901"/>
    </row>
    <row r="471" spans="1:106" ht="52.5" customHeight="1" x14ac:dyDescent="0.2">
      <c r="A471" s="145"/>
      <c r="B471" s="91"/>
      <c r="C471" s="91"/>
      <c r="D471" s="91"/>
      <c r="E471" s="91"/>
      <c r="F471" s="87"/>
      <c r="G471" s="216"/>
      <c r="H471" s="562" t="s">
        <v>239</v>
      </c>
      <c r="I471" s="332" t="s">
        <v>1370</v>
      </c>
      <c r="J471" s="562" t="s">
        <v>242</v>
      </c>
      <c r="K471" s="332" t="s">
        <v>1370</v>
      </c>
      <c r="L471" s="562" t="s">
        <v>242</v>
      </c>
      <c r="M471" s="105">
        <v>400101500</v>
      </c>
      <c r="N471" s="577" t="s">
        <v>242</v>
      </c>
      <c r="O471" s="105">
        <v>400101500</v>
      </c>
      <c r="P471" s="577" t="s">
        <v>242</v>
      </c>
      <c r="Q471" s="108" t="s">
        <v>68</v>
      </c>
      <c r="R471" s="84">
        <v>50</v>
      </c>
      <c r="S471" s="84"/>
      <c r="T471" s="864"/>
      <c r="U471" s="914"/>
      <c r="V471" s="880"/>
      <c r="W471" s="202">
        <v>143874464.02000001</v>
      </c>
      <c r="X471" s="202"/>
      <c r="Y471" s="202"/>
      <c r="Z471" s="150"/>
      <c r="AA471" s="150"/>
      <c r="AB471" s="150"/>
      <c r="AC471" s="150"/>
      <c r="AD471" s="150"/>
      <c r="AE471" s="150"/>
      <c r="AF471" s="150"/>
      <c r="AG471" s="150"/>
      <c r="AH471" s="150"/>
      <c r="AI471" s="150"/>
      <c r="AJ471" s="262"/>
      <c r="AK471" s="262"/>
      <c r="AL471" s="262"/>
      <c r="AM471" s="262"/>
      <c r="AN471" s="262"/>
      <c r="AO471" s="150"/>
      <c r="AP471" s="150"/>
      <c r="AQ471" s="150"/>
      <c r="AR471" s="150"/>
      <c r="AS471" s="263"/>
      <c r="AT471" s="263"/>
      <c r="AU471" s="263"/>
      <c r="AV471" s="263"/>
      <c r="AW471" s="263"/>
      <c r="AX471" s="150"/>
      <c r="AY471" s="150"/>
      <c r="AZ471" s="150"/>
      <c r="BA471" s="192"/>
      <c r="BB471" s="192"/>
      <c r="BC471" s="192"/>
      <c r="BD471" s="150">
        <v>59838507.359999999</v>
      </c>
      <c r="BE471" s="150"/>
      <c r="BF471" s="150"/>
      <c r="BG471" s="175"/>
      <c r="BH471" s="175"/>
      <c r="BI471" s="175"/>
      <c r="BJ471" s="151">
        <f t="shared" si="521"/>
        <v>203712971.38</v>
      </c>
      <c r="BK471" s="151">
        <f t="shared" si="522"/>
        <v>0</v>
      </c>
      <c r="BL471" s="151">
        <f t="shared" si="523"/>
        <v>0</v>
      </c>
      <c r="BM471" s="896"/>
      <c r="BN471" s="902"/>
    </row>
    <row r="472" spans="1:106" s="467" customFormat="1" ht="16.5" customHeight="1" x14ac:dyDescent="0.25">
      <c r="A472" s="463"/>
      <c r="B472" s="463"/>
      <c r="C472" s="463"/>
      <c r="D472" s="463"/>
      <c r="E472" s="463"/>
      <c r="F472" s="463"/>
      <c r="G472" s="463"/>
      <c r="H472" s="464"/>
      <c r="I472" s="463"/>
      <c r="J472" s="463"/>
      <c r="K472" s="463"/>
      <c r="L472" s="463"/>
      <c r="M472" s="463"/>
      <c r="N472" s="463"/>
      <c r="O472" s="463"/>
      <c r="P472" s="463"/>
      <c r="Q472" s="465"/>
      <c r="R472" s="463"/>
      <c r="S472" s="463"/>
      <c r="T472" s="465"/>
      <c r="U472" s="465"/>
      <c r="V472" s="465"/>
      <c r="W472" s="466"/>
      <c r="X472" s="466"/>
      <c r="Y472" s="466"/>
      <c r="Z472" s="466"/>
      <c r="AA472" s="466"/>
      <c r="AB472" s="466"/>
      <c r="AC472" s="466"/>
      <c r="AD472" s="466"/>
      <c r="AE472" s="466"/>
      <c r="AF472" s="466"/>
      <c r="AG472" s="466"/>
      <c r="AH472" s="466"/>
      <c r="AI472" s="466"/>
      <c r="AJ472" s="466"/>
      <c r="AK472" s="466"/>
      <c r="AL472" s="466"/>
      <c r="AM472" s="466"/>
      <c r="AN472" s="466"/>
      <c r="AO472" s="466"/>
      <c r="AP472" s="466"/>
      <c r="AQ472" s="466"/>
      <c r="AR472" s="466"/>
      <c r="AS472" s="466"/>
      <c r="AT472" s="466"/>
      <c r="AU472" s="466"/>
      <c r="AV472" s="466"/>
      <c r="AW472" s="466"/>
      <c r="AX472" s="466"/>
      <c r="AY472" s="466"/>
      <c r="AZ472" s="466"/>
      <c r="BA472" s="466"/>
      <c r="BB472" s="466"/>
      <c r="BC472" s="466"/>
      <c r="BD472" s="466"/>
      <c r="BE472" s="466"/>
      <c r="BF472" s="466"/>
      <c r="BG472" s="466"/>
      <c r="BH472" s="466"/>
      <c r="BI472" s="466"/>
      <c r="BJ472" s="466"/>
      <c r="BK472" s="466"/>
      <c r="BL472" s="466"/>
      <c r="BM472" s="466"/>
      <c r="BN472" s="466"/>
    </row>
    <row r="473" spans="1:106" s="394" customFormat="1" ht="24" customHeight="1" x14ac:dyDescent="0.2">
      <c r="A473" s="41" t="s">
        <v>1371</v>
      </c>
      <c r="B473" s="41"/>
      <c r="C473" s="41"/>
      <c r="D473" s="41"/>
      <c r="E473" s="41"/>
      <c r="F473" s="42"/>
      <c r="G473" s="657"/>
      <c r="H473" s="700"/>
      <c r="I473" s="700"/>
      <c r="J473" s="700"/>
      <c r="K473" s="701"/>
      <c r="L473" s="700"/>
      <c r="M473" s="700"/>
      <c r="N473" s="702"/>
      <c r="O473" s="703"/>
      <c r="P473" s="702"/>
      <c r="Q473" s="704"/>
      <c r="R473" s="703"/>
      <c r="S473" s="705"/>
      <c r="T473" s="43"/>
      <c r="U473" s="391"/>
      <c r="V473" s="391"/>
      <c r="W473" s="387">
        <f t="shared" ref="W473:BG475" si="524">W474</f>
        <v>0</v>
      </c>
      <c r="X473" s="387"/>
      <c r="Y473" s="387"/>
      <c r="Z473" s="387">
        <f t="shared" si="524"/>
        <v>0</v>
      </c>
      <c r="AA473" s="387"/>
      <c r="AB473" s="387"/>
      <c r="AC473" s="387">
        <f t="shared" si="524"/>
        <v>0</v>
      </c>
      <c r="AD473" s="387"/>
      <c r="AE473" s="387"/>
      <c r="AF473" s="387">
        <f t="shared" si="524"/>
        <v>0</v>
      </c>
      <c r="AG473" s="387"/>
      <c r="AH473" s="387"/>
      <c r="AI473" s="387">
        <f t="shared" si="524"/>
        <v>0</v>
      </c>
      <c r="AJ473" s="387"/>
      <c r="AK473" s="387"/>
      <c r="AL473" s="387">
        <f t="shared" si="524"/>
        <v>0</v>
      </c>
      <c r="AM473" s="387"/>
      <c r="AN473" s="387"/>
      <c r="AO473" s="387">
        <f t="shared" si="524"/>
        <v>0</v>
      </c>
      <c r="AP473" s="387"/>
      <c r="AQ473" s="387"/>
      <c r="AR473" s="387">
        <f t="shared" si="524"/>
        <v>0</v>
      </c>
      <c r="AS473" s="387"/>
      <c r="AT473" s="387"/>
      <c r="AU473" s="387">
        <f t="shared" si="524"/>
        <v>0</v>
      </c>
      <c r="AV473" s="387"/>
      <c r="AW473" s="387"/>
      <c r="AX473" s="387">
        <f t="shared" si="524"/>
        <v>0</v>
      </c>
      <c r="AY473" s="387"/>
      <c r="AZ473" s="387"/>
      <c r="BA473" s="387">
        <f t="shared" si="524"/>
        <v>0</v>
      </c>
      <c r="BB473" s="387"/>
      <c r="BC473" s="387"/>
      <c r="BD473" s="387">
        <f t="shared" si="524"/>
        <v>110210000</v>
      </c>
      <c r="BE473" s="387">
        <f t="shared" si="524"/>
        <v>39360000</v>
      </c>
      <c r="BF473" s="387">
        <f t="shared" si="524"/>
        <v>5030000</v>
      </c>
      <c r="BG473" s="387">
        <f t="shared" si="524"/>
        <v>0</v>
      </c>
      <c r="BH473" s="387"/>
      <c r="BI473" s="387"/>
      <c r="BJ473" s="387">
        <f>BJ474</f>
        <v>110210000</v>
      </c>
      <c r="BK473" s="387">
        <f t="shared" ref="BK473:BL475" si="525">BK474</f>
        <v>39360000</v>
      </c>
      <c r="BL473" s="387">
        <f t="shared" si="525"/>
        <v>5030000</v>
      </c>
      <c r="BM473" s="387"/>
      <c r="BN473" s="388"/>
      <c r="BO473" s="393"/>
      <c r="BP473" s="393"/>
      <c r="BQ473" s="393"/>
      <c r="BR473" s="393"/>
      <c r="BS473" s="393"/>
      <c r="BT473" s="393"/>
      <c r="BU473" s="393"/>
      <c r="BV473" s="393"/>
      <c r="BW473" s="393"/>
      <c r="BX473" s="393"/>
      <c r="BY473" s="393"/>
      <c r="BZ473" s="393"/>
      <c r="CA473" s="393"/>
      <c r="CB473" s="393"/>
      <c r="CC473" s="393"/>
      <c r="CD473" s="393"/>
      <c r="CE473" s="393"/>
      <c r="CF473" s="393"/>
      <c r="CG473" s="393"/>
      <c r="CH473" s="393"/>
      <c r="CI473" s="393"/>
      <c r="CJ473" s="393"/>
      <c r="CK473" s="393"/>
      <c r="CL473" s="393"/>
      <c r="CM473" s="393"/>
      <c r="CN473" s="393"/>
      <c r="CO473" s="393"/>
      <c r="CP473" s="393"/>
      <c r="CQ473" s="393"/>
      <c r="CR473" s="393"/>
      <c r="CS473" s="393"/>
      <c r="CT473" s="393"/>
      <c r="CU473" s="393"/>
      <c r="CV473" s="393"/>
      <c r="CW473" s="393"/>
      <c r="CX473" s="393"/>
      <c r="CY473" s="393"/>
      <c r="CZ473" s="393"/>
      <c r="DA473" s="393"/>
      <c r="DB473" s="393"/>
    </row>
    <row r="474" spans="1:106" ht="24" customHeight="1" x14ac:dyDescent="0.2">
      <c r="A474" s="145"/>
      <c r="B474" s="131">
        <v>3</v>
      </c>
      <c r="C474" s="74" t="s">
        <v>200</v>
      </c>
      <c r="D474" s="74"/>
      <c r="E474" s="173"/>
      <c r="F474" s="74"/>
      <c r="G474" s="180"/>
      <c r="H474" s="395"/>
      <c r="I474" s="395"/>
      <c r="J474" s="182"/>
      <c r="K474" s="686"/>
      <c r="L474" s="182"/>
      <c r="M474" s="182"/>
      <c r="N474" s="184"/>
      <c r="O474" s="183"/>
      <c r="P474" s="184"/>
      <c r="Q474" s="698"/>
      <c r="R474" s="183"/>
      <c r="S474" s="699"/>
      <c r="T474" s="697"/>
      <c r="U474" s="133"/>
      <c r="V474" s="133"/>
      <c r="W474" s="327">
        <f t="shared" si="524"/>
        <v>0</v>
      </c>
      <c r="X474" s="327"/>
      <c r="Y474" s="327"/>
      <c r="Z474" s="327">
        <f t="shared" si="524"/>
        <v>0</v>
      </c>
      <c r="AA474" s="327"/>
      <c r="AB474" s="327"/>
      <c r="AC474" s="327">
        <f t="shared" si="524"/>
        <v>0</v>
      </c>
      <c r="AD474" s="327"/>
      <c r="AE474" s="327"/>
      <c r="AF474" s="327">
        <f t="shared" si="524"/>
        <v>0</v>
      </c>
      <c r="AG474" s="327"/>
      <c r="AH474" s="327"/>
      <c r="AI474" s="327">
        <f t="shared" si="524"/>
        <v>0</v>
      </c>
      <c r="AJ474" s="327"/>
      <c r="AK474" s="327"/>
      <c r="AL474" s="327">
        <f t="shared" si="524"/>
        <v>0</v>
      </c>
      <c r="AM474" s="327"/>
      <c r="AN474" s="327"/>
      <c r="AO474" s="327">
        <f t="shared" si="524"/>
        <v>0</v>
      </c>
      <c r="AP474" s="327"/>
      <c r="AQ474" s="327"/>
      <c r="AR474" s="327">
        <f t="shared" si="524"/>
        <v>0</v>
      </c>
      <c r="AS474" s="327"/>
      <c r="AT474" s="327"/>
      <c r="AU474" s="327">
        <f t="shared" si="524"/>
        <v>0</v>
      </c>
      <c r="AV474" s="327"/>
      <c r="AW474" s="327"/>
      <c r="AX474" s="327">
        <f t="shared" si="524"/>
        <v>0</v>
      </c>
      <c r="AY474" s="327"/>
      <c r="AZ474" s="327"/>
      <c r="BA474" s="327">
        <f t="shared" si="524"/>
        <v>0</v>
      </c>
      <c r="BB474" s="327"/>
      <c r="BC474" s="327"/>
      <c r="BD474" s="327">
        <f t="shared" si="524"/>
        <v>110210000</v>
      </c>
      <c r="BE474" s="327">
        <f t="shared" si="524"/>
        <v>39360000</v>
      </c>
      <c r="BF474" s="327">
        <f t="shared" si="524"/>
        <v>5030000</v>
      </c>
      <c r="BG474" s="327">
        <f t="shared" si="524"/>
        <v>0</v>
      </c>
      <c r="BH474" s="327"/>
      <c r="BI474" s="327"/>
      <c r="BJ474" s="327">
        <f>BJ475</f>
        <v>110210000</v>
      </c>
      <c r="BK474" s="327">
        <f t="shared" si="525"/>
        <v>39360000</v>
      </c>
      <c r="BL474" s="327">
        <f t="shared" si="525"/>
        <v>5030000</v>
      </c>
      <c r="BM474" s="327"/>
      <c r="BN474" s="328"/>
    </row>
    <row r="475" spans="1:106" s="9" customFormat="1" ht="24" customHeight="1" x14ac:dyDescent="0.25">
      <c r="A475" s="130"/>
      <c r="B475" s="83"/>
      <c r="C475" s="83"/>
      <c r="D475" s="77">
        <v>24</v>
      </c>
      <c r="E475" s="75" t="s">
        <v>201</v>
      </c>
      <c r="F475" s="75"/>
      <c r="G475" s="135"/>
      <c r="H475" s="136"/>
      <c r="I475" s="136"/>
      <c r="J475" s="138"/>
      <c r="K475" s="137"/>
      <c r="L475" s="138"/>
      <c r="M475" s="138"/>
      <c r="N475" s="140"/>
      <c r="O475" s="139"/>
      <c r="P475" s="140"/>
      <c r="Q475" s="141"/>
      <c r="R475" s="139"/>
      <c r="S475" s="537"/>
      <c r="T475" s="204"/>
      <c r="U475" s="143"/>
      <c r="V475" s="143"/>
      <c r="W475" s="144">
        <f t="shared" si="524"/>
        <v>0</v>
      </c>
      <c r="X475" s="144"/>
      <c r="Y475" s="144"/>
      <c r="Z475" s="144">
        <f t="shared" si="524"/>
        <v>0</v>
      </c>
      <c r="AA475" s="144"/>
      <c r="AB475" s="144"/>
      <c r="AC475" s="144">
        <f t="shared" si="524"/>
        <v>0</v>
      </c>
      <c r="AD475" s="144"/>
      <c r="AE475" s="144"/>
      <c r="AF475" s="144">
        <f t="shared" si="524"/>
        <v>0</v>
      </c>
      <c r="AG475" s="144"/>
      <c r="AH475" s="144"/>
      <c r="AI475" s="144">
        <f t="shared" si="524"/>
        <v>0</v>
      </c>
      <c r="AJ475" s="144"/>
      <c r="AK475" s="144"/>
      <c r="AL475" s="144">
        <f t="shared" si="524"/>
        <v>0</v>
      </c>
      <c r="AM475" s="144"/>
      <c r="AN475" s="144"/>
      <c r="AO475" s="144">
        <f t="shared" si="524"/>
        <v>0</v>
      </c>
      <c r="AP475" s="144"/>
      <c r="AQ475" s="144"/>
      <c r="AR475" s="144">
        <f t="shared" si="524"/>
        <v>0</v>
      </c>
      <c r="AS475" s="144"/>
      <c r="AT475" s="144"/>
      <c r="AU475" s="144">
        <f t="shared" si="524"/>
        <v>0</v>
      </c>
      <c r="AV475" s="144"/>
      <c r="AW475" s="144"/>
      <c r="AX475" s="144">
        <f t="shared" si="524"/>
        <v>0</v>
      </c>
      <c r="AY475" s="144"/>
      <c r="AZ475" s="144"/>
      <c r="BA475" s="144">
        <f t="shared" si="524"/>
        <v>0</v>
      </c>
      <c r="BB475" s="144"/>
      <c r="BC475" s="144"/>
      <c r="BD475" s="144">
        <f t="shared" si="524"/>
        <v>110210000</v>
      </c>
      <c r="BE475" s="144">
        <f t="shared" si="524"/>
        <v>39360000</v>
      </c>
      <c r="BF475" s="144">
        <f t="shared" si="524"/>
        <v>5030000</v>
      </c>
      <c r="BG475" s="144">
        <f t="shared" si="524"/>
        <v>0</v>
      </c>
      <c r="BH475" s="144"/>
      <c r="BI475" s="144"/>
      <c r="BJ475" s="144">
        <f>BJ476</f>
        <v>110210000</v>
      </c>
      <c r="BK475" s="144">
        <f t="shared" si="525"/>
        <v>39360000</v>
      </c>
      <c r="BL475" s="144">
        <f t="shared" si="525"/>
        <v>5030000</v>
      </c>
      <c r="BM475" s="144"/>
      <c r="BN475" s="169"/>
      <c r="BO475" s="8"/>
      <c r="BP475" s="8"/>
      <c r="BQ475" s="8"/>
      <c r="BR475" s="8"/>
      <c r="BS475" s="8"/>
      <c r="BT475" s="8"/>
      <c r="BU475" s="8"/>
      <c r="BV475" s="8"/>
      <c r="BW475" s="8"/>
      <c r="BX475" s="8"/>
      <c r="BY475" s="8"/>
      <c r="BZ475" s="8"/>
      <c r="CA475" s="8"/>
      <c r="CB475" s="8"/>
      <c r="CC475" s="8"/>
      <c r="CD475" s="8"/>
      <c r="CE475" s="8"/>
      <c r="CF475" s="8"/>
      <c r="CG475" s="8"/>
      <c r="CH475" s="8"/>
      <c r="CI475" s="8"/>
      <c r="CJ475" s="8"/>
      <c r="CK475" s="8"/>
      <c r="CL475" s="8"/>
      <c r="CM475" s="8"/>
      <c r="CN475" s="8"/>
      <c r="CO475" s="8"/>
      <c r="CP475" s="8"/>
      <c r="CQ475" s="8"/>
      <c r="CR475" s="8"/>
      <c r="CS475" s="8"/>
      <c r="CT475" s="8"/>
      <c r="CU475" s="8"/>
      <c r="CV475" s="8"/>
      <c r="CW475" s="8"/>
      <c r="CX475" s="8"/>
      <c r="CY475" s="8"/>
      <c r="CZ475" s="8"/>
      <c r="DA475" s="8"/>
      <c r="DB475" s="8"/>
    </row>
    <row r="476" spans="1:106" ht="24" customHeight="1" x14ac:dyDescent="0.2">
      <c r="A476" s="145"/>
      <c r="B476" s="91"/>
      <c r="C476" s="91"/>
      <c r="D476" s="91"/>
      <c r="E476" s="91"/>
      <c r="F476" s="154">
        <v>2409</v>
      </c>
      <c r="G476" s="907" t="s">
        <v>1372</v>
      </c>
      <c r="H476" s="908"/>
      <c r="I476" s="908"/>
      <c r="J476" s="908"/>
      <c r="K476" s="908"/>
      <c r="L476" s="908"/>
      <c r="M476" s="652"/>
      <c r="N476" s="688"/>
      <c r="O476" s="689"/>
      <c r="P476" s="688"/>
      <c r="Q476" s="695"/>
      <c r="R476" s="689"/>
      <c r="S476" s="696"/>
      <c r="T476" s="691"/>
      <c r="U476" s="147"/>
      <c r="V476" s="147"/>
      <c r="W476" s="330">
        <f t="shared" ref="W476:BG476" si="526">SUM(W477:W480)</f>
        <v>0</v>
      </c>
      <c r="X476" s="330"/>
      <c r="Y476" s="330"/>
      <c r="Z476" s="330">
        <f t="shared" si="526"/>
        <v>0</v>
      </c>
      <c r="AA476" s="330"/>
      <c r="AB476" s="330"/>
      <c r="AC476" s="330">
        <f t="shared" si="526"/>
        <v>0</v>
      </c>
      <c r="AD476" s="330"/>
      <c r="AE476" s="330"/>
      <c r="AF476" s="330">
        <f t="shared" si="526"/>
        <v>0</v>
      </c>
      <c r="AG476" s="330"/>
      <c r="AH476" s="330"/>
      <c r="AI476" s="330">
        <f t="shared" si="526"/>
        <v>0</v>
      </c>
      <c r="AJ476" s="330"/>
      <c r="AK476" s="330"/>
      <c r="AL476" s="330">
        <f t="shared" si="526"/>
        <v>0</v>
      </c>
      <c r="AM476" s="330"/>
      <c r="AN476" s="330"/>
      <c r="AO476" s="330">
        <f t="shared" si="526"/>
        <v>0</v>
      </c>
      <c r="AP476" s="330"/>
      <c r="AQ476" s="330"/>
      <c r="AR476" s="330">
        <f t="shared" si="526"/>
        <v>0</v>
      </c>
      <c r="AS476" s="330"/>
      <c r="AT476" s="330"/>
      <c r="AU476" s="330">
        <f t="shared" si="526"/>
        <v>0</v>
      </c>
      <c r="AV476" s="330"/>
      <c r="AW476" s="330"/>
      <c r="AX476" s="330">
        <f t="shared" si="526"/>
        <v>0</v>
      </c>
      <c r="AY476" s="330"/>
      <c r="AZ476" s="330"/>
      <c r="BA476" s="330">
        <f t="shared" si="526"/>
        <v>0</v>
      </c>
      <c r="BB476" s="330"/>
      <c r="BC476" s="330"/>
      <c r="BD476" s="330">
        <f t="shared" si="526"/>
        <v>110210000</v>
      </c>
      <c r="BE476" s="330">
        <f t="shared" ref="BE476:BF476" si="527">SUM(BE477:BE480)</f>
        <v>39360000</v>
      </c>
      <c r="BF476" s="330">
        <f t="shared" si="527"/>
        <v>5030000</v>
      </c>
      <c r="BG476" s="330">
        <f t="shared" si="526"/>
        <v>0</v>
      </c>
      <c r="BH476" s="330"/>
      <c r="BI476" s="330"/>
      <c r="BJ476" s="330">
        <f>SUM(BJ477:BJ480)</f>
        <v>110210000</v>
      </c>
      <c r="BK476" s="330">
        <f t="shared" ref="BK476:BL476" si="528">SUM(BK477:BK480)</f>
        <v>39360000</v>
      </c>
      <c r="BL476" s="330">
        <f t="shared" si="528"/>
        <v>5030000</v>
      </c>
      <c r="BM476" s="330"/>
      <c r="BN476" s="215"/>
    </row>
    <row r="477" spans="1:106" s="44" customFormat="1" ht="132.75" customHeight="1" x14ac:dyDescent="0.2">
      <c r="A477" s="337"/>
      <c r="B477" s="83"/>
      <c r="C477" s="83"/>
      <c r="D477" s="83"/>
      <c r="E477" s="83"/>
      <c r="F477" s="353"/>
      <c r="G477" s="570"/>
      <c r="H477" s="93" t="s">
        <v>1373</v>
      </c>
      <c r="I477" s="252" t="s">
        <v>47</v>
      </c>
      <c r="J477" s="565" t="s">
        <v>1374</v>
      </c>
      <c r="K477" s="82">
        <v>2409009</v>
      </c>
      <c r="L477" s="565" t="s">
        <v>1375</v>
      </c>
      <c r="M477" s="252" t="s">
        <v>47</v>
      </c>
      <c r="N477" s="93" t="s">
        <v>1376</v>
      </c>
      <c r="O477" s="82">
        <v>240900900</v>
      </c>
      <c r="P477" s="93" t="s">
        <v>1377</v>
      </c>
      <c r="Q477" s="252" t="s">
        <v>52</v>
      </c>
      <c r="R477" s="252">
        <v>1</v>
      </c>
      <c r="S477" s="252">
        <v>0.1</v>
      </c>
      <c r="T477" s="866" t="s">
        <v>1378</v>
      </c>
      <c r="U477" s="867" t="s">
        <v>1379</v>
      </c>
      <c r="V477" s="867" t="s">
        <v>1380</v>
      </c>
      <c r="W477" s="150"/>
      <c r="X477" s="150"/>
      <c r="Y477" s="150"/>
      <c r="Z477" s="150"/>
      <c r="AA477" s="150"/>
      <c r="AB477" s="150"/>
      <c r="AC477" s="150"/>
      <c r="AD477" s="150"/>
      <c r="AE477" s="150"/>
      <c r="AF477" s="150"/>
      <c r="AG477" s="150"/>
      <c r="AH477" s="150"/>
      <c r="AI477" s="150"/>
      <c r="AJ477" s="262"/>
      <c r="AK477" s="262"/>
      <c r="AL477" s="262"/>
      <c r="AM477" s="262"/>
      <c r="AN477" s="262"/>
      <c r="AO477" s="150"/>
      <c r="AP477" s="150"/>
      <c r="AQ477" s="150"/>
      <c r="AR477" s="150"/>
      <c r="AS477" s="263"/>
      <c r="AT477" s="263"/>
      <c r="AU477" s="263"/>
      <c r="AV477" s="263"/>
      <c r="AW477" s="263"/>
      <c r="AX477" s="150"/>
      <c r="AY477" s="150"/>
      <c r="AZ477" s="150"/>
      <c r="BA477" s="207"/>
      <c r="BB477" s="207"/>
      <c r="BC477" s="207"/>
      <c r="BD477" s="207">
        <v>27192000</v>
      </c>
      <c r="BE477" s="207">
        <v>18360000</v>
      </c>
      <c r="BF477" s="207">
        <v>1530000</v>
      </c>
      <c r="BG477" s="150"/>
      <c r="BH477" s="150"/>
      <c r="BI477" s="150"/>
      <c r="BJ477" s="339">
        <f t="shared" ref="BJ477:BL480" si="529">+W477+Z477+AC477+AF477+AI477+AL477+AO477+AR477+AU477+AX477+BA477+BD477+BG477</f>
        <v>27192000</v>
      </c>
      <c r="BK477" s="339">
        <f t="shared" si="529"/>
        <v>18360000</v>
      </c>
      <c r="BL477" s="339">
        <f t="shared" si="529"/>
        <v>1530000</v>
      </c>
      <c r="BM477" s="897" t="s">
        <v>1536</v>
      </c>
      <c r="BN477" s="897" t="s">
        <v>1537</v>
      </c>
    </row>
    <row r="478" spans="1:106" s="44" customFormat="1" ht="109.5" customHeight="1" x14ac:dyDescent="0.2">
      <c r="A478" s="337"/>
      <c r="B478" s="83"/>
      <c r="C478" s="83"/>
      <c r="D478" s="83"/>
      <c r="E478" s="83"/>
      <c r="F478" s="353"/>
      <c r="G478" s="570"/>
      <c r="H478" s="93" t="s">
        <v>1373</v>
      </c>
      <c r="I478" s="252" t="s">
        <v>47</v>
      </c>
      <c r="J478" s="565" t="s">
        <v>1381</v>
      </c>
      <c r="K478" s="82">
        <v>2409022</v>
      </c>
      <c r="L478" s="565" t="s">
        <v>1382</v>
      </c>
      <c r="M478" s="252" t="s">
        <v>47</v>
      </c>
      <c r="N478" s="93" t="s">
        <v>1383</v>
      </c>
      <c r="O478" s="82">
        <v>240902202</v>
      </c>
      <c r="P478" s="93" t="s">
        <v>1530</v>
      </c>
      <c r="Q478" s="252" t="s">
        <v>52</v>
      </c>
      <c r="R478" s="252">
        <v>1</v>
      </c>
      <c r="S478" s="252"/>
      <c r="T478" s="866"/>
      <c r="U478" s="867"/>
      <c r="V478" s="867"/>
      <c r="W478" s="150"/>
      <c r="X478" s="150"/>
      <c r="Y478" s="150"/>
      <c r="Z478" s="150"/>
      <c r="AA478" s="150"/>
      <c r="AB478" s="150"/>
      <c r="AC478" s="150"/>
      <c r="AD478" s="150"/>
      <c r="AE478" s="150"/>
      <c r="AF478" s="150"/>
      <c r="AG478" s="150"/>
      <c r="AH478" s="150"/>
      <c r="AI478" s="150"/>
      <c r="AJ478" s="262"/>
      <c r="AK478" s="262"/>
      <c r="AL478" s="262"/>
      <c r="AM478" s="262"/>
      <c r="AN478" s="262"/>
      <c r="AO478" s="150"/>
      <c r="AP478" s="150"/>
      <c r="AQ478" s="150"/>
      <c r="AR478" s="150"/>
      <c r="AS478" s="263"/>
      <c r="AT478" s="263"/>
      <c r="AU478" s="263"/>
      <c r="AV478" s="263"/>
      <c r="AW478" s="263"/>
      <c r="AX478" s="150"/>
      <c r="AY478" s="150"/>
      <c r="AZ478" s="150"/>
      <c r="BA478" s="207"/>
      <c r="BB478" s="207"/>
      <c r="BC478" s="207"/>
      <c r="BD478" s="207">
        <v>8652000</v>
      </c>
      <c r="BE478" s="207"/>
      <c r="BF478" s="207"/>
      <c r="BG478" s="150"/>
      <c r="BH478" s="150"/>
      <c r="BI478" s="150"/>
      <c r="BJ478" s="339">
        <f t="shared" si="529"/>
        <v>8652000</v>
      </c>
      <c r="BK478" s="339">
        <f t="shared" si="529"/>
        <v>0</v>
      </c>
      <c r="BL478" s="339">
        <f t="shared" si="529"/>
        <v>0</v>
      </c>
      <c r="BM478" s="898"/>
      <c r="BN478" s="898"/>
    </row>
    <row r="479" spans="1:106" s="44" customFormat="1" ht="108.75" customHeight="1" x14ac:dyDescent="0.2">
      <c r="A479" s="337"/>
      <c r="B479" s="83"/>
      <c r="C479" s="83"/>
      <c r="D479" s="83"/>
      <c r="E479" s="83"/>
      <c r="F479" s="353"/>
      <c r="G479" s="570"/>
      <c r="H479" s="93" t="s">
        <v>1373</v>
      </c>
      <c r="I479" s="252" t="s">
        <v>47</v>
      </c>
      <c r="J479" s="565" t="s">
        <v>1531</v>
      </c>
      <c r="K479" s="82">
        <v>2409014</v>
      </c>
      <c r="L479" s="565" t="s">
        <v>249</v>
      </c>
      <c r="M479" s="252" t="s">
        <v>47</v>
      </c>
      <c r="N479" s="93" t="s">
        <v>1384</v>
      </c>
      <c r="O479" s="82">
        <v>240901400</v>
      </c>
      <c r="P479" s="93" t="s">
        <v>1001</v>
      </c>
      <c r="Q479" s="252" t="s">
        <v>52</v>
      </c>
      <c r="R479" s="252">
        <v>1</v>
      </c>
      <c r="S479" s="252">
        <v>0.1</v>
      </c>
      <c r="T479" s="866"/>
      <c r="U479" s="867"/>
      <c r="V479" s="867"/>
      <c r="W479" s="150"/>
      <c r="X479" s="150"/>
      <c r="Y479" s="150"/>
      <c r="Z479" s="150"/>
      <c r="AA479" s="150"/>
      <c r="AB479" s="150"/>
      <c r="AC479" s="150"/>
      <c r="AD479" s="150"/>
      <c r="AE479" s="150"/>
      <c r="AF479" s="150"/>
      <c r="AG479" s="150"/>
      <c r="AH479" s="150"/>
      <c r="AI479" s="150"/>
      <c r="AJ479" s="262"/>
      <c r="AK479" s="262"/>
      <c r="AL479" s="262"/>
      <c r="AM479" s="262"/>
      <c r="AN479" s="262"/>
      <c r="AO479" s="150"/>
      <c r="AP479" s="150"/>
      <c r="AQ479" s="150"/>
      <c r="AR479" s="150"/>
      <c r="AS479" s="263"/>
      <c r="AT479" s="263"/>
      <c r="AU479" s="263"/>
      <c r="AV479" s="263"/>
      <c r="AW479" s="263"/>
      <c r="AX479" s="150"/>
      <c r="AY479" s="150"/>
      <c r="AZ479" s="150"/>
      <c r="BA479" s="207"/>
      <c r="BB479" s="207"/>
      <c r="BC479" s="207"/>
      <c r="BD479" s="207">
        <v>25956000</v>
      </c>
      <c r="BE479" s="207">
        <v>21000000</v>
      </c>
      <c r="BF479" s="207">
        <v>3500000</v>
      </c>
      <c r="BG479" s="150"/>
      <c r="BH479" s="150"/>
      <c r="BI479" s="150"/>
      <c r="BJ479" s="339">
        <f t="shared" si="529"/>
        <v>25956000</v>
      </c>
      <c r="BK479" s="339">
        <f t="shared" si="529"/>
        <v>21000000</v>
      </c>
      <c r="BL479" s="339">
        <f t="shared" si="529"/>
        <v>3500000</v>
      </c>
      <c r="BM479" s="898"/>
      <c r="BN479" s="898"/>
    </row>
    <row r="480" spans="1:106" s="44" customFormat="1" ht="132" customHeight="1" x14ac:dyDescent="0.2">
      <c r="A480" s="337"/>
      <c r="B480" s="83"/>
      <c r="C480" s="83"/>
      <c r="D480" s="83"/>
      <c r="E480" s="83"/>
      <c r="F480" s="353"/>
      <c r="G480" s="570"/>
      <c r="H480" s="93" t="s">
        <v>1373</v>
      </c>
      <c r="I480" s="252" t="s">
        <v>47</v>
      </c>
      <c r="J480" s="565" t="s">
        <v>1385</v>
      </c>
      <c r="K480" s="82">
        <v>2409039</v>
      </c>
      <c r="L480" s="565" t="s">
        <v>1386</v>
      </c>
      <c r="M480" s="252" t="s">
        <v>47</v>
      </c>
      <c r="N480" s="93" t="s">
        <v>1387</v>
      </c>
      <c r="O480" s="82">
        <v>240903905</v>
      </c>
      <c r="P480" s="93" t="s">
        <v>1388</v>
      </c>
      <c r="Q480" s="252" t="s">
        <v>52</v>
      </c>
      <c r="R480" s="252">
        <v>1</v>
      </c>
      <c r="S480" s="252">
        <v>0</v>
      </c>
      <c r="T480" s="866"/>
      <c r="U480" s="867"/>
      <c r="V480" s="867"/>
      <c r="W480" s="150"/>
      <c r="X480" s="150"/>
      <c r="Y480" s="150"/>
      <c r="Z480" s="150"/>
      <c r="AA480" s="150"/>
      <c r="AB480" s="150"/>
      <c r="AC480" s="150"/>
      <c r="AD480" s="150"/>
      <c r="AE480" s="150"/>
      <c r="AF480" s="150"/>
      <c r="AG480" s="150"/>
      <c r="AH480" s="150"/>
      <c r="AI480" s="150"/>
      <c r="AJ480" s="262"/>
      <c r="AK480" s="262"/>
      <c r="AL480" s="262"/>
      <c r="AM480" s="262"/>
      <c r="AN480" s="262"/>
      <c r="AO480" s="150"/>
      <c r="AP480" s="150"/>
      <c r="AQ480" s="150"/>
      <c r="AR480" s="150"/>
      <c r="AS480" s="263"/>
      <c r="AT480" s="263"/>
      <c r="AU480" s="263"/>
      <c r="AV480" s="263"/>
      <c r="AW480" s="263"/>
      <c r="AX480" s="150"/>
      <c r="AY480" s="150"/>
      <c r="AZ480" s="150"/>
      <c r="BA480" s="207"/>
      <c r="BB480" s="207"/>
      <c r="BC480" s="207"/>
      <c r="BD480" s="207">
        <v>48410000</v>
      </c>
      <c r="BE480" s="207"/>
      <c r="BF480" s="207"/>
      <c r="BG480" s="150"/>
      <c r="BH480" s="150"/>
      <c r="BI480" s="150"/>
      <c r="BJ480" s="339">
        <f t="shared" si="529"/>
        <v>48410000</v>
      </c>
      <c r="BK480" s="339">
        <f t="shared" si="529"/>
        <v>0</v>
      </c>
      <c r="BL480" s="339">
        <f t="shared" si="529"/>
        <v>0</v>
      </c>
      <c r="BM480" s="899"/>
      <c r="BN480" s="899"/>
    </row>
    <row r="481" spans="1:106" s="633" customFormat="1" ht="30" customHeight="1" x14ac:dyDescent="0.25">
      <c r="A481" s="333" t="s">
        <v>1389</v>
      </c>
      <c r="B481" s="333"/>
      <c r="C481" s="333"/>
      <c r="D481" s="333"/>
      <c r="E481" s="706"/>
      <c r="F481" s="707"/>
      <c r="G481" s="708"/>
      <c r="H481" s="709"/>
      <c r="I481" s="709"/>
      <c r="J481" s="709"/>
      <c r="K481" s="707"/>
      <c r="L481" s="709"/>
      <c r="M481" s="709"/>
      <c r="N481" s="710"/>
      <c r="O481" s="711"/>
      <c r="P481" s="710"/>
      <c r="Q481" s="708"/>
      <c r="R481" s="711"/>
      <c r="S481" s="712"/>
      <c r="T481" s="630"/>
      <c r="U481" s="334"/>
      <c r="V481" s="334"/>
      <c r="W481" s="631">
        <f t="shared" ref="W481:BL481" si="530">+W473+W451+W439</f>
        <v>1027674743</v>
      </c>
      <c r="X481" s="631">
        <f t="shared" si="530"/>
        <v>0</v>
      </c>
      <c r="Y481" s="631">
        <f t="shared" si="530"/>
        <v>0</v>
      </c>
      <c r="Z481" s="631">
        <f t="shared" si="530"/>
        <v>0</v>
      </c>
      <c r="AA481" s="631"/>
      <c r="AB481" s="631"/>
      <c r="AC481" s="631">
        <f t="shared" si="530"/>
        <v>0</v>
      </c>
      <c r="AD481" s="631"/>
      <c r="AE481" s="631"/>
      <c r="AF481" s="631">
        <f t="shared" si="530"/>
        <v>0</v>
      </c>
      <c r="AG481" s="631"/>
      <c r="AH481" s="631"/>
      <c r="AI481" s="631">
        <f t="shared" si="530"/>
        <v>0</v>
      </c>
      <c r="AJ481" s="631"/>
      <c r="AK481" s="631"/>
      <c r="AL481" s="631">
        <f t="shared" si="530"/>
        <v>0</v>
      </c>
      <c r="AM481" s="631"/>
      <c r="AN481" s="631"/>
      <c r="AO481" s="631">
        <f t="shared" si="530"/>
        <v>0</v>
      </c>
      <c r="AP481" s="631"/>
      <c r="AQ481" s="631"/>
      <c r="AR481" s="631">
        <f t="shared" si="530"/>
        <v>0</v>
      </c>
      <c r="AS481" s="631"/>
      <c r="AT481" s="631"/>
      <c r="AU481" s="631">
        <f t="shared" si="530"/>
        <v>0</v>
      </c>
      <c r="AV481" s="631"/>
      <c r="AW481" s="631"/>
      <c r="AX481" s="631">
        <f t="shared" si="530"/>
        <v>0</v>
      </c>
      <c r="AY481" s="631"/>
      <c r="AZ481" s="631"/>
      <c r="BA481" s="631">
        <f t="shared" si="530"/>
        <v>855248186</v>
      </c>
      <c r="BB481" s="631">
        <f t="shared" si="530"/>
        <v>74240000</v>
      </c>
      <c r="BC481" s="631">
        <f t="shared" si="530"/>
        <v>15210000</v>
      </c>
      <c r="BD481" s="631">
        <f t="shared" si="530"/>
        <v>5419626049.5499992</v>
      </c>
      <c r="BE481" s="631">
        <f t="shared" si="530"/>
        <v>844349500</v>
      </c>
      <c r="BF481" s="631">
        <f t="shared" si="530"/>
        <v>171089500</v>
      </c>
      <c r="BG481" s="631">
        <f t="shared" si="530"/>
        <v>1000000000</v>
      </c>
      <c r="BH481" s="631">
        <f t="shared" si="530"/>
        <v>0</v>
      </c>
      <c r="BI481" s="631">
        <f t="shared" si="530"/>
        <v>0</v>
      </c>
      <c r="BJ481" s="631">
        <f t="shared" si="530"/>
        <v>8302548978.5499992</v>
      </c>
      <c r="BK481" s="631">
        <f t="shared" si="530"/>
        <v>918589500</v>
      </c>
      <c r="BL481" s="631">
        <f t="shared" si="530"/>
        <v>186299500</v>
      </c>
      <c r="BM481" s="631"/>
      <c r="BN481" s="632"/>
      <c r="BO481" s="8"/>
      <c r="BP481" s="8"/>
      <c r="BQ481" s="8"/>
      <c r="BR481" s="8"/>
      <c r="BS481" s="8"/>
      <c r="BT481" s="8"/>
      <c r="BU481" s="8"/>
      <c r="BV481" s="8"/>
      <c r="BW481" s="8"/>
      <c r="BX481" s="8"/>
      <c r="BY481" s="8"/>
      <c r="BZ481" s="8"/>
      <c r="CA481" s="8"/>
      <c r="CB481" s="8"/>
      <c r="CC481" s="8"/>
      <c r="CD481" s="8"/>
      <c r="CE481" s="8"/>
      <c r="CF481" s="8"/>
      <c r="CG481" s="8"/>
      <c r="CH481" s="8"/>
      <c r="CI481" s="8"/>
      <c r="CJ481" s="8"/>
      <c r="CK481" s="8"/>
      <c r="CL481" s="8"/>
      <c r="CM481" s="8"/>
      <c r="CN481" s="8"/>
      <c r="CO481" s="8"/>
      <c r="CP481" s="8"/>
      <c r="CQ481" s="8"/>
      <c r="CR481" s="8"/>
      <c r="CS481" s="8"/>
      <c r="CT481" s="8"/>
      <c r="CU481" s="8"/>
      <c r="CV481" s="8"/>
      <c r="CW481" s="8"/>
      <c r="CX481" s="8"/>
      <c r="CY481" s="8"/>
      <c r="CZ481" s="8"/>
      <c r="DA481" s="8"/>
      <c r="DB481" s="8"/>
    </row>
    <row r="482" spans="1:106" s="467" customFormat="1" ht="16.5" customHeight="1" x14ac:dyDescent="0.25">
      <c r="A482" s="463"/>
      <c r="B482" s="463"/>
      <c r="C482" s="463"/>
      <c r="D482" s="463"/>
      <c r="E482" s="463"/>
      <c r="F482" s="463"/>
      <c r="G482" s="463"/>
      <c r="H482" s="464"/>
      <c r="I482" s="463"/>
      <c r="J482" s="463"/>
      <c r="K482" s="463"/>
      <c r="L482" s="463"/>
      <c r="M482" s="463"/>
      <c r="N482" s="463"/>
      <c r="O482" s="463"/>
      <c r="P482" s="463"/>
      <c r="Q482" s="465"/>
      <c r="R482" s="463"/>
      <c r="S482" s="463"/>
      <c r="T482" s="465"/>
      <c r="U482" s="465"/>
      <c r="V482" s="465"/>
      <c r="W482" s="466"/>
      <c r="X482" s="466"/>
      <c r="Y482" s="466"/>
      <c r="Z482" s="466"/>
      <c r="AA482" s="466"/>
      <c r="AB482" s="466"/>
      <c r="AC482" s="466"/>
      <c r="AD482" s="466"/>
      <c r="AE482" s="466"/>
      <c r="AF482" s="466"/>
      <c r="AG482" s="466"/>
      <c r="AH482" s="466"/>
      <c r="AI482" s="466"/>
      <c r="AJ482" s="466"/>
      <c r="AK482" s="466"/>
      <c r="AL482" s="466"/>
      <c r="AM482" s="466"/>
      <c r="AN482" s="466"/>
      <c r="AO482" s="466"/>
      <c r="AP482" s="466"/>
      <c r="AQ482" s="466"/>
      <c r="AR482" s="466"/>
      <c r="AS482" s="466"/>
      <c r="AT482" s="466"/>
      <c r="AU482" s="466"/>
      <c r="AV482" s="466"/>
      <c r="AW482" s="466"/>
      <c r="AX482" s="466"/>
      <c r="AY482" s="466"/>
      <c r="AZ482" s="466"/>
      <c r="BA482" s="466"/>
      <c r="BB482" s="466"/>
      <c r="BC482" s="466"/>
      <c r="BD482" s="466"/>
      <c r="BE482" s="466"/>
      <c r="BF482" s="466"/>
      <c r="BG482" s="466"/>
      <c r="BH482" s="466"/>
      <c r="BI482" s="466"/>
      <c r="BJ482" s="466"/>
      <c r="BK482" s="466"/>
      <c r="BL482" s="466"/>
      <c r="BM482" s="466"/>
      <c r="BN482" s="466"/>
    </row>
    <row r="483" spans="1:106" s="639" customFormat="1" ht="30" customHeight="1" x14ac:dyDescent="0.25">
      <c r="A483" s="713" t="s">
        <v>1390</v>
      </c>
      <c r="B483" s="715"/>
      <c r="C483" s="716"/>
      <c r="D483" s="716"/>
      <c r="E483" s="716"/>
      <c r="F483" s="717"/>
      <c r="G483" s="718"/>
      <c r="H483" s="719"/>
      <c r="I483" s="719"/>
      <c r="J483" s="719"/>
      <c r="K483" s="717"/>
      <c r="L483" s="719"/>
      <c r="M483" s="719"/>
      <c r="N483" s="720"/>
      <c r="O483" s="721"/>
      <c r="P483" s="720"/>
      <c r="Q483" s="718"/>
      <c r="R483" s="721"/>
      <c r="S483" s="722"/>
      <c r="T483" s="714"/>
      <c r="U483" s="357"/>
      <c r="V483" s="357"/>
      <c r="W483" s="634">
        <f t="shared" ref="W483:BL483" si="531">+W437+W481</f>
        <v>12003863995.119999</v>
      </c>
      <c r="X483" s="634">
        <f t="shared" si="531"/>
        <v>373959000</v>
      </c>
      <c r="Y483" s="634">
        <f t="shared" si="531"/>
        <v>44266000</v>
      </c>
      <c r="Z483" s="635">
        <f t="shared" si="531"/>
        <v>1837447380.3299999</v>
      </c>
      <c r="AA483" s="635">
        <f t="shared" si="531"/>
        <v>121957010.33</v>
      </c>
      <c r="AB483" s="635">
        <f t="shared" si="531"/>
        <v>2885000</v>
      </c>
      <c r="AC483" s="635">
        <f t="shared" si="531"/>
        <v>56108067</v>
      </c>
      <c r="AD483" s="635">
        <f t="shared" si="531"/>
        <v>56108067</v>
      </c>
      <c r="AE483" s="635">
        <f t="shared" si="531"/>
        <v>13280787</v>
      </c>
      <c r="AF483" s="635">
        <f t="shared" si="531"/>
        <v>1785755472.78</v>
      </c>
      <c r="AG483" s="635">
        <f t="shared" si="531"/>
        <v>1385755472.7799997</v>
      </c>
      <c r="AH483" s="635">
        <f t="shared" si="531"/>
        <v>80777982.780000001</v>
      </c>
      <c r="AI483" s="635">
        <f t="shared" si="531"/>
        <v>6893527853.4899998</v>
      </c>
      <c r="AJ483" s="635">
        <f t="shared" si="531"/>
        <v>1923180036</v>
      </c>
      <c r="AK483" s="635">
        <f t="shared" si="531"/>
        <v>183157000</v>
      </c>
      <c r="AL483" s="636">
        <f t="shared" si="531"/>
        <v>35242837560</v>
      </c>
      <c r="AM483" s="636">
        <f t="shared" si="531"/>
        <v>31380939122</v>
      </c>
      <c r="AN483" s="636">
        <f t="shared" si="531"/>
        <v>9093990335.3199997</v>
      </c>
      <c r="AO483" s="637">
        <f t="shared" si="531"/>
        <v>143579499577.42001</v>
      </c>
      <c r="AP483" s="637">
        <f t="shared" si="531"/>
        <v>29230912713.150002</v>
      </c>
      <c r="AQ483" s="637">
        <f t="shared" si="531"/>
        <v>28081867883</v>
      </c>
      <c r="AR483" s="637">
        <f t="shared" si="531"/>
        <v>25145000000</v>
      </c>
      <c r="AS483" s="637">
        <f t="shared" si="531"/>
        <v>8556078404</v>
      </c>
      <c r="AT483" s="637">
        <f t="shared" si="531"/>
        <v>8556078404</v>
      </c>
      <c r="AU483" s="634">
        <f t="shared" si="531"/>
        <v>11590214233.049999</v>
      </c>
      <c r="AV483" s="634">
        <f t="shared" si="531"/>
        <v>9750591050</v>
      </c>
      <c r="AW483" s="634">
        <f t="shared" si="531"/>
        <v>37560000</v>
      </c>
      <c r="AX483" s="635">
        <f t="shared" si="531"/>
        <v>2753011221</v>
      </c>
      <c r="AY483" s="635">
        <f t="shared" si="531"/>
        <v>0</v>
      </c>
      <c r="AZ483" s="635">
        <f t="shared" si="531"/>
        <v>0</v>
      </c>
      <c r="BA483" s="635">
        <f t="shared" si="531"/>
        <v>22264940473.220001</v>
      </c>
      <c r="BB483" s="635">
        <f t="shared" si="531"/>
        <v>8561345540.2200003</v>
      </c>
      <c r="BC483" s="635">
        <f t="shared" si="531"/>
        <v>1330332062.22</v>
      </c>
      <c r="BD483" s="635">
        <f t="shared" si="531"/>
        <v>6347536495.3099995</v>
      </c>
      <c r="BE483" s="635">
        <f t="shared" si="531"/>
        <v>919169500</v>
      </c>
      <c r="BF483" s="635">
        <f t="shared" si="531"/>
        <v>177274500</v>
      </c>
      <c r="BG483" s="635">
        <f t="shared" si="531"/>
        <v>5674277761.8500004</v>
      </c>
      <c r="BH483" s="635">
        <f t="shared" si="531"/>
        <v>706935414.43000007</v>
      </c>
      <c r="BI483" s="635">
        <f t="shared" si="531"/>
        <v>119481497.33</v>
      </c>
      <c r="BJ483" s="635">
        <f t="shared" si="531"/>
        <v>275174020090.57007</v>
      </c>
      <c r="BK483" s="635">
        <f t="shared" si="531"/>
        <v>92966931329.910004</v>
      </c>
      <c r="BL483" s="635">
        <f t="shared" si="531"/>
        <v>47720951451.650002</v>
      </c>
      <c r="BM483" s="635"/>
      <c r="BN483" s="638"/>
      <c r="BO483" s="20"/>
      <c r="BP483" s="20"/>
      <c r="BQ483" s="20"/>
      <c r="BR483" s="20"/>
      <c r="BS483" s="20"/>
      <c r="BT483" s="20"/>
      <c r="BU483" s="20"/>
      <c r="BV483" s="20"/>
      <c r="BW483" s="20"/>
      <c r="BX483" s="20"/>
      <c r="BY483" s="20"/>
      <c r="BZ483" s="20"/>
      <c r="CA483" s="20"/>
      <c r="CB483" s="20"/>
      <c r="CC483" s="20"/>
      <c r="CD483" s="20"/>
      <c r="CE483" s="20"/>
      <c r="CF483" s="20"/>
      <c r="CG483" s="20"/>
      <c r="CH483" s="20"/>
      <c r="CI483" s="20"/>
      <c r="CJ483" s="20"/>
      <c r="CK483" s="20"/>
      <c r="CL483" s="20"/>
      <c r="CM483" s="20"/>
      <c r="CN483" s="20"/>
      <c r="CO483" s="20"/>
      <c r="CP483" s="20"/>
      <c r="CQ483" s="20"/>
      <c r="CR483" s="20"/>
      <c r="CS483" s="20"/>
      <c r="CT483" s="20"/>
      <c r="CU483" s="20"/>
      <c r="CV483" s="20"/>
      <c r="CW483" s="20"/>
      <c r="CX483" s="20"/>
      <c r="CY483" s="20"/>
      <c r="CZ483" s="20"/>
      <c r="DA483" s="20"/>
      <c r="DB483" s="20"/>
    </row>
    <row r="486" spans="1:106" ht="22.5" customHeight="1" x14ac:dyDescent="0.25">
      <c r="BJ486" s="27"/>
      <c r="BK486" s="27"/>
      <c r="BL486" s="27"/>
    </row>
    <row r="487" spans="1:106" ht="36" customHeight="1" x14ac:dyDescent="0.25">
      <c r="BJ487" s="27"/>
      <c r="BK487" s="27"/>
      <c r="BL487" s="27"/>
    </row>
  </sheetData>
  <sheetProtection password="A60F" sheet="1" objects="1" scenarios="1"/>
  <mergeCells count="253">
    <mergeCell ref="BM5:BM7"/>
    <mergeCell ref="BN5:BN7"/>
    <mergeCell ref="C2:BL2"/>
    <mergeCell ref="C3:BL3"/>
    <mergeCell ref="A5:A7"/>
    <mergeCell ref="B6:B7"/>
    <mergeCell ref="C6:C7"/>
    <mergeCell ref="D6:D7"/>
    <mergeCell ref="E6:E7"/>
    <mergeCell ref="F6:F7"/>
    <mergeCell ref="G6:G7"/>
    <mergeCell ref="H5:H7"/>
    <mergeCell ref="I6:I7"/>
    <mergeCell ref="J6:J7"/>
    <mergeCell ref="K6:K7"/>
    <mergeCell ref="L6:L7"/>
    <mergeCell ref="M6:M7"/>
    <mergeCell ref="N6:N7"/>
    <mergeCell ref="O6:O7"/>
    <mergeCell ref="P6:P7"/>
    <mergeCell ref="Q5:Q7"/>
    <mergeCell ref="R6:R7"/>
    <mergeCell ref="S6:S7"/>
    <mergeCell ref="T6:T7"/>
    <mergeCell ref="R5:S5"/>
    <mergeCell ref="W6:Y6"/>
    <mergeCell ref="Z6:AB6"/>
    <mergeCell ref="AC6:AE6"/>
    <mergeCell ref="W5:BI5"/>
    <mergeCell ref="BJ5:BL6"/>
    <mergeCell ref="BG6:BI6"/>
    <mergeCell ref="BD6:BF6"/>
    <mergeCell ref="BA6:BC6"/>
    <mergeCell ref="AX6:AZ6"/>
    <mergeCell ref="AU6:AW6"/>
    <mergeCell ref="AR6:AT6"/>
    <mergeCell ref="AO6:AQ6"/>
    <mergeCell ref="AL6:AN6"/>
    <mergeCell ref="AI6:AK6"/>
    <mergeCell ref="AF6:AH6"/>
    <mergeCell ref="U6:U7"/>
    <mergeCell ref="V6:V7"/>
    <mergeCell ref="BM465:BM471"/>
    <mergeCell ref="BM477:BM480"/>
    <mergeCell ref="BN477:BN480"/>
    <mergeCell ref="BN465:BN471"/>
    <mergeCell ref="M5:P5"/>
    <mergeCell ref="T5:V5"/>
    <mergeCell ref="I5:L5"/>
    <mergeCell ref="B5:C5"/>
    <mergeCell ref="D5:E5"/>
    <mergeCell ref="F5:G5"/>
    <mergeCell ref="J405:J406"/>
    <mergeCell ref="J423:J425"/>
    <mergeCell ref="L405:L406"/>
    <mergeCell ref="L423:L425"/>
    <mergeCell ref="H405:H406"/>
    <mergeCell ref="G476:L476"/>
    <mergeCell ref="K423:K425"/>
    <mergeCell ref="H423:H425"/>
    <mergeCell ref="A437:G437"/>
    <mergeCell ref="K405:K406"/>
    <mergeCell ref="I405:I406"/>
    <mergeCell ref="I423:I425"/>
    <mergeCell ref="V465:V471"/>
    <mergeCell ref="U465:U471"/>
    <mergeCell ref="U191:U192"/>
    <mergeCell ref="U194:U196"/>
    <mergeCell ref="U337:U344"/>
    <mergeCell ref="U151:U152"/>
    <mergeCell ref="V151:V152"/>
    <mergeCell ref="U153:U154"/>
    <mergeCell ref="V153:V154"/>
    <mergeCell ref="V191:V192"/>
    <mergeCell ref="U161:U164"/>
    <mergeCell ref="V161:V164"/>
    <mergeCell ref="U155:U157"/>
    <mergeCell ref="U176:U177"/>
    <mergeCell ref="U178:U179"/>
    <mergeCell ref="V155:V157"/>
    <mergeCell ref="V176:V177"/>
    <mergeCell ref="V178:V179"/>
    <mergeCell ref="V173:V175"/>
    <mergeCell ref="V170:V172"/>
    <mergeCell ref="U173:U175"/>
    <mergeCell ref="U170:U172"/>
    <mergeCell ref="V247:V248"/>
    <mergeCell ref="V237:V246"/>
    <mergeCell ref="U237:U246"/>
    <mergeCell ref="U247:U248"/>
    <mergeCell ref="V249:V258"/>
    <mergeCell ref="U263:U265"/>
    <mergeCell ref="U269:U270"/>
    <mergeCell ref="V259:V262"/>
    <mergeCell ref="U249:U258"/>
    <mergeCell ref="U266:U268"/>
    <mergeCell ref="V263:V265"/>
    <mergeCell ref="V266:V268"/>
    <mergeCell ref="V269:V270"/>
    <mergeCell ref="V194:V196"/>
    <mergeCell ref="U184:U185"/>
    <mergeCell ref="V184:V185"/>
    <mergeCell ref="U29:U34"/>
    <mergeCell ref="V29:V34"/>
    <mergeCell ref="V144:V145"/>
    <mergeCell ref="T29:T34"/>
    <mergeCell ref="U102:U106"/>
    <mergeCell ref="U119:U121"/>
    <mergeCell ref="V102:V106"/>
    <mergeCell ref="V119:V121"/>
    <mergeCell ref="U126:U129"/>
    <mergeCell ref="V126:V129"/>
    <mergeCell ref="U75:U80"/>
    <mergeCell ref="T75:T80"/>
    <mergeCell ref="V75:V80"/>
    <mergeCell ref="U64:U65"/>
    <mergeCell ref="T119:T121"/>
    <mergeCell ref="T126:T129"/>
    <mergeCell ref="V64:V65"/>
    <mergeCell ref="T178:T179"/>
    <mergeCell ref="U140:U141"/>
    <mergeCell ref="V140:V141"/>
    <mergeCell ref="U135:U139"/>
    <mergeCell ref="V135:V139"/>
    <mergeCell ref="U144:U145"/>
    <mergeCell ref="V477:V480"/>
    <mergeCell ref="T199:T200"/>
    <mergeCell ref="U199:U200"/>
    <mergeCell ref="T216:T218"/>
    <mergeCell ref="U216:U218"/>
    <mergeCell ref="T220:T222"/>
    <mergeCell ref="U220:U222"/>
    <mergeCell ref="U204:U205"/>
    <mergeCell ref="V199:V200"/>
    <mergeCell ref="V207:V210"/>
    <mergeCell ref="T207:T210"/>
    <mergeCell ref="U207:U210"/>
    <mergeCell ref="V204:V205"/>
    <mergeCell ref="T423:T425"/>
    <mergeCell ref="T259:T262"/>
    <mergeCell ref="U259:U262"/>
    <mergeCell ref="V216:V218"/>
    <mergeCell ref="V220:V222"/>
    <mergeCell ref="U443:U446"/>
    <mergeCell ref="V308:V309"/>
    <mergeCell ref="V282:V283"/>
    <mergeCell ref="V443:V446"/>
    <mergeCell ref="V431:V436"/>
    <mergeCell ref="U395:U399"/>
    <mergeCell ref="U392:U394"/>
    <mergeCell ref="U379:U380"/>
    <mergeCell ref="U381:U382"/>
    <mergeCell ref="U374:U375"/>
    <mergeCell ref="U369:U370"/>
    <mergeCell ref="V415:V419"/>
    <mergeCell ref="V423:V425"/>
    <mergeCell ref="V405:V408"/>
    <mergeCell ref="U376:U378"/>
    <mergeCell ref="V395:V399"/>
    <mergeCell ref="V369:V370"/>
    <mergeCell ref="V371:V373"/>
    <mergeCell ref="V374:V375"/>
    <mergeCell ref="V376:V378"/>
    <mergeCell ref="V379:V380"/>
    <mergeCell ref="V381:V382"/>
    <mergeCell ref="V289:V290"/>
    <mergeCell ref="U311:U312"/>
    <mergeCell ref="V311:V312"/>
    <mergeCell ref="V296:V297"/>
    <mergeCell ref="V409:V413"/>
    <mergeCell ref="U371:U373"/>
    <mergeCell ref="V390:V391"/>
    <mergeCell ref="V392:V394"/>
    <mergeCell ref="T409:T413"/>
    <mergeCell ref="U390:U391"/>
    <mergeCell ref="V304:V305"/>
    <mergeCell ref="T296:T297"/>
    <mergeCell ref="V337:V344"/>
    <mergeCell ref="V351:V354"/>
    <mergeCell ref="V355:V358"/>
    <mergeCell ref="V360:V361"/>
    <mergeCell ref="V362:V368"/>
    <mergeCell ref="V345:V346"/>
    <mergeCell ref="V347:V349"/>
    <mergeCell ref="U292:U293"/>
    <mergeCell ref="V292:V293"/>
    <mergeCell ref="T362:T368"/>
    <mergeCell ref="T376:T378"/>
    <mergeCell ref="T371:T373"/>
    <mergeCell ref="T431:T436"/>
    <mergeCell ref="U431:U436"/>
    <mergeCell ref="T379:T380"/>
    <mergeCell ref="T369:T370"/>
    <mergeCell ref="U415:U419"/>
    <mergeCell ref="U405:U408"/>
    <mergeCell ref="T415:T419"/>
    <mergeCell ref="T405:T408"/>
    <mergeCell ref="U304:U305"/>
    <mergeCell ref="T360:T361"/>
    <mergeCell ref="U345:U346"/>
    <mergeCell ref="U347:U349"/>
    <mergeCell ref="U362:U368"/>
    <mergeCell ref="T345:T346"/>
    <mergeCell ref="T395:T399"/>
    <mergeCell ref="T392:T394"/>
    <mergeCell ref="T477:T480"/>
    <mergeCell ref="U477:U480"/>
    <mergeCell ref="T247:T248"/>
    <mergeCell ref="T249:T258"/>
    <mergeCell ref="T237:T246"/>
    <mergeCell ref="T269:T270"/>
    <mergeCell ref="T465:T471"/>
    <mergeCell ref="U296:U297"/>
    <mergeCell ref="T282:T283"/>
    <mergeCell ref="U282:U283"/>
    <mergeCell ref="T308:T309"/>
    <mergeCell ref="U308:U309"/>
    <mergeCell ref="U423:U425"/>
    <mergeCell ref="T266:T268"/>
    <mergeCell ref="T289:T290"/>
    <mergeCell ref="U289:U290"/>
    <mergeCell ref="U409:U413"/>
    <mergeCell ref="T347:T349"/>
    <mergeCell ref="T443:T446"/>
    <mergeCell ref="U360:U361"/>
    <mergeCell ref="U351:U354"/>
    <mergeCell ref="U355:U358"/>
    <mergeCell ref="T351:T354"/>
    <mergeCell ref="T355:T358"/>
    <mergeCell ref="T64:T65"/>
    <mergeCell ref="T102:T106"/>
    <mergeCell ref="T144:T145"/>
    <mergeCell ref="T151:T152"/>
    <mergeCell ref="T311:T312"/>
    <mergeCell ref="T263:T265"/>
    <mergeCell ref="T194:T196"/>
    <mergeCell ref="T176:T177"/>
    <mergeCell ref="T390:T391"/>
    <mergeCell ref="T191:T192"/>
    <mergeCell ref="T184:T185"/>
    <mergeCell ref="T153:T154"/>
    <mergeCell ref="T204:T205"/>
    <mergeCell ref="T337:T344"/>
    <mergeCell ref="T304:T305"/>
    <mergeCell ref="T381:T382"/>
    <mergeCell ref="T374:T375"/>
    <mergeCell ref="T292:T293"/>
    <mergeCell ref="T135:T139"/>
    <mergeCell ref="T161:T164"/>
    <mergeCell ref="T173:T175"/>
    <mergeCell ref="T170:T172"/>
    <mergeCell ref="T155:T157"/>
    <mergeCell ref="T140:T141"/>
  </mergeCells>
  <phoneticPr fontId="9" type="noConversion"/>
  <conditionalFormatting sqref="O337">
    <cfRule type="duplicateValues" dxfId="61" priority="74"/>
  </conditionalFormatting>
  <conditionalFormatting sqref="O345">
    <cfRule type="duplicateValues" dxfId="60" priority="72"/>
  </conditionalFormatting>
  <conditionalFormatting sqref="O345">
    <cfRule type="duplicateValues" dxfId="59" priority="73"/>
  </conditionalFormatting>
  <conditionalFormatting sqref="O352">
    <cfRule type="duplicateValues" dxfId="58" priority="70"/>
  </conditionalFormatting>
  <conditionalFormatting sqref="O352">
    <cfRule type="duplicateValues" dxfId="57" priority="71"/>
  </conditionalFormatting>
  <conditionalFormatting sqref="O141">
    <cfRule type="duplicateValues" dxfId="56" priority="68"/>
  </conditionalFormatting>
  <conditionalFormatting sqref="O171">
    <cfRule type="duplicateValues" dxfId="55" priority="67"/>
  </conditionalFormatting>
  <conditionalFormatting sqref="O172">
    <cfRule type="duplicateValues" dxfId="54" priority="66"/>
  </conditionalFormatting>
  <conditionalFormatting sqref="O316">
    <cfRule type="duplicateValues" dxfId="53" priority="64"/>
  </conditionalFormatting>
  <conditionalFormatting sqref="O316">
    <cfRule type="duplicateValues" dxfId="52" priority="65"/>
  </conditionalFormatting>
  <conditionalFormatting sqref="O174">
    <cfRule type="duplicateValues" dxfId="51" priority="63"/>
  </conditionalFormatting>
  <conditionalFormatting sqref="O175">
    <cfRule type="duplicateValues" dxfId="50" priority="59"/>
  </conditionalFormatting>
  <conditionalFormatting sqref="O175">
    <cfRule type="duplicateValues" dxfId="49" priority="60"/>
  </conditionalFormatting>
  <conditionalFormatting sqref="O175">
    <cfRule type="duplicateValues" dxfId="48" priority="61"/>
  </conditionalFormatting>
  <conditionalFormatting sqref="O179">
    <cfRule type="duplicateValues" dxfId="47" priority="57"/>
  </conditionalFormatting>
  <conditionalFormatting sqref="O179">
    <cfRule type="duplicateValues" dxfId="46" priority="58"/>
  </conditionalFormatting>
  <conditionalFormatting sqref="O180">
    <cfRule type="duplicateValues" dxfId="45" priority="55"/>
  </conditionalFormatting>
  <conditionalFormatting sqref="O180">
    <cfRule type="duplicateValues" dxfId="44" priority="56"/>
  </conditionalFormatting>
  <conditionalFormatting sqref="O182">
    <cfRule type="duplicateValues" dxfId="43" priority="52"/>
  </conditionalFormatting>
  <conditionalFormatting sqref="O182">
    <cfRule type="duplicateValues" dxfId="42" priority="53"/>
  </conditionalFormatting>
  <conditionalFormatting sqref="O191">
    <cfRule type="duplicateValues" dxfId="41" priority="50"/>
  </conditionalFormatting>
  <conditionalFormatting sqref="O191">
    <cfRule type="duplicateValues" dxfId="40" priority="51"/>
  </conditionalFormatting>
  <conditionalFormatting sqref="O192">
    <cfRule type="duplicateValues" dxfId="39" priority="48"/>
  </conditionalFormatting>
  <conditionalFormatting sqref="O192">
    <cfRule type="duplicateValues" dxfId="38" priority="49"/>
  </conditionalFormatting>
  <conditionalFormatting sqref="O194">
    <cfRule type="duplicateValues" dxfId="37" priority="46"/>
  </conditionalFormatting>
  <conditionalFormatting sqref="O194">
    <cfRule type="duplicateValues" dxfId="36" priority="47"/>
  </conditionalFormatting>
  <conditionalFormatting sqref="O195">
    <cfRule type="duplicateValues" dxfId="35" priority="44"/>
  </conditionalFormatting>
  <conditionalFormatting sqref="O195">
    <cfRule type="duplicateValues" dxfId="34" priority="45"/>
  </conditionalFormatting>
  <conditionalFormatting sqref="O353">
    <cfRule type="duplicateValues" dxfId="33" priority="42"/>
  </conditionalFormatting>
  <conditionalFormatting sqref="O353">
    <cfRule type="duplicateValues" dxfId="32" priority="43"/>
  </conditionalFormatting>
  <conditionalFormatting sqref="O173">
    <cfRule type="duplicateValues" dxfId="31" priority="75"/>
  </conditionalFormatting>
  <conditionalFormatting sqref="M141">
    <cfRule type="duplicateValues" dxfId="30" priority="31"/>
  </conditionalFormatting>
  <conditionalFormatting sqref="M171">
    <cfRule type="duplicateValues" dxfId="29" priority="30"/>
  </conditionalFormatting>
  <conditionalFormatting sqref="M172">
    <cfRule type="duplicateValues" dxfId="28" priority="29"/>
  </conditionalFormatting>
  <conditionalFormatting sqref="M173">
    <cfRule type="duplicateValues" dxfId="27" priority="28"/>
  </conditionalFormatting>
  <conditionalFormatting sqref="M174">
    <cfRule type="duplicateValues" dxfId="26" priority="27"/>
  </conditionalFormatting>
  <conditionalFormatting sqref="M175">
    <cfRule type="duplicateValues" dxfId="25" priority="24"/>
  </conditionalFormatting>
  <conditionalFormatting sqref="M175">
    <cfRule type="duplicateValues" dxfId="24" priority="25"/>
  </conditionalFormatting>
  <conditionalFormatting sqref="M175">
    <cfRule type="duplicateValues" dxfId="23" priority="26"/>
  </conditionalFormatting>
  <conditionalFormatting sqref="M179">
    <cfRule type="duplicateValues" dxfId="22" priority="22"/>
  </conditionalFormatting>
  <conditionalFormatting sqref="M179">
    <cfRule type="duplicateValues" dxfId="21" priority="23"/>
  </conditionalFormatting>
  <conditionalFormatting sqref="M180">
    <cfRule type="duplicateValues" dxfId="20" priority="20"/>
  </conditionalFormatting>
  <conditionalFormatting sqref="M180">
    <cfRule type="duplicateValues" dxfId="19" priority="21"/>
  </conditionalFormatting>
  <conditionalFormatting sqref="M182">
    <cfRule type="duplicateValues" dxfId="18" priority="18"/>
  </conditionalFormatting>
  <conditionalFormatting sqref="M182">
    <cfRule type="duplicateValues" dxfId="17" priority="19"/>
  </conditionalFormatting>
  <conditionalFormatting sqref="M191">
    <cfRule type="duplicateValues" dxfId="16" priority="16"/>
  </conditionalFormatting>
  <conditionalFormatting sqref="M191">
    <cfRule type="duplicateValues" dxfId="15" priority="17"/>
  </conditionalFormatting>
  <conditionalFormatting sqref="M192">
    <cfRule type="duplicateValues" dxfId="14" priority="14"/>
  </conditionalFormatting>
  <conditionalFormatting sqref="M192">
    <cfRule type="duplicateValues" dxfId="13" priority="15"/>
  </conditionalFormatting>
  <conditionalFormatting sqref="M194">
    <cfRule type="duplicateValues" dxfId="12" priority="12"/>
  </conditionalFormatting>
  <conditionalFormatting sqref="M194">
    <cfRule type="duplicateValues" dxfId="11" priority="13"/>
  </conditionalFormatting>
  <conditionalFormatting sqref="M195">
    <cfRule type="duplicateValues" dxfId="10" priority="10"/>
  </conditionalFormatting>
  <conditionalFormatting sqref="M195">
    <cfRule type="duplicateValues" dxfId="9" priority="11"/>
  </conditionalFormatting>
  <conditionalFormatting sqref="M316">
    <cfRule type="duplicateValues" dxfId="8" priority="8"/>
  </conditionalFormatting>
  <conditionalFormatting sqref="M316">
    <cfRule type="duplicateValues" dxfId="7" priority="9"/>
  </conditionalFormatting>
  <conditionalFormatting sqref="M337">
    <cfRule type="duplicateValues" dxfId="6" priority="7"/>
  </conditionalFormatting>
  <conditionalFormatting sqref="M345">
    <cfRule type="duplicateValues" dxfId="5" priority="5"/>
  </conditionalFormatting>
  <conditionalFormatting sqref="M345">
    <cfRule type="duplicateValues" dxfId="4" priority="6"/>
  </conditionalFormatting>
  <conditionalFormatting sqref="M352">
    <cfRule type="duplicateValues" dxfId="3" priority="3"/>
  </conditionalFormatting>
  <conditionalFormatting sqref="M352">
    <cfRule type="duplicateValues" dxfId="2" priority="4"/>
  </conditionalFormatting>
  <conditionalFormatting sqref="M353">
    <cfRule type="duplicateValues" dxfId="1" priority="1"/>
  </conditionalFormatting>
  <conditionalFormatting sqref="M353">
    <cfRule type="duplicateValues" dxfId="0" priority="2"/>
  </conditionalFormatting>
  <pageMargins left="0.7" right="0.7" top="0.75" bottom="0.75" header="0.3" footer="0.3"/>
  <pageSetup orientation="portrait" horizontalDpi="360" verticalDpi="360" r:id="rId1"/>
  <ignoredErrors>
    <ignoredError sqref="O69 O57 K57 K80 K84 O140:O142 O144:O145 O151:O154 O155:O156 O161:O163 O164 O170:O180 O182 O184:O185 O187 O189 O191:O192 O195:O196 O199:O200 O214 O216:O218 O220:O222 K329:K331 O330:O331 O84 O158"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V188"/>
  <sheetViews>
    <sheetView showGridLines="0" zoomScale="70" zoomScaleNormal="70" workbookViewId="0">
      <selection activeCell="B17" sqref="B17"/>
    </sheetView>
  </sheetViews>
  <sheetFormatPr baseColWidth="10" defaultColWidth="11.42578125" defaultRowHeight="15" x14ac:dyDescent="0.2"/>
  <cols>
    <col min="1" max="1" width="17.140625" style="1" customWidth="1"/>
    <col min="2" max="2" width="18" style="13" customWidth="1"/>
    <col min="3" max="3" width="13.85546875" style="13" customWidth="1"/>
    <col min="4" max="4" width="18.140625" style="13" customWidth="1"/>
    <col min="5" max="5" width="69.5703125" style="14" customWidth="1"/>
    <col min="6" max="8" width="33.140625" style="14" customWidth="1"/>
    <col min="9" max="11" width="35.28515625" style="14" customWidth="1"/>
    <col min="12" max="14" width="32.85546875" style="14" customWidth="1"/>
    <col min="15" max="17" width="34.5703125" style="14" customWidth="1"/>
    <col min="18" max="18" width="16.140625" style="4" customWidth="1"/>
    <col min="19" max="22" width="11.42578125" style="4"/>
    <col min="23" max="16384" width="11.42578125" style="1"/>
  </cols>
  <sheetData>
    <row r="1" spans="1:22" ht="42" customHeight="1" x14ac:dyDescent="0.2">
      <c r="A1" s="934" t="s">
        <v>1541</v>
      </c>
      <c r="B1" s="934"/>
      <c r="C1" s="934"/>
      <c r="D1" s="934"/>
      <c r="E1" s="934"/>
      <c r="F1" s="934"/>
      <c r="G1" s="934"/>
      <c r="H1" s="934"/>
      <c r="I1" s="934"/>
      <c r="J1" s="934"/>
      <c r="K1" s="934"/>
      <c r="L1" s="934"/>
      <c r="M1" s="934"/>
      <c r="N1" s="934"/>
      <c r="O1" s="934"/>
      <c r="P1" s="934"/>
      <c r="Q1" s="934"/>
    </row>
    <row r="2" spans="1:22" ht="27.75" customHeight="1" x14ac:dyDescent="0.2">
      <c r="A2" s="934"/>
      <c r="B2" s="934"/>
      <c r="C2" s="934"/>
      <c r="D2" s="934"/>
      <c r="E2" s="934"/>
      <c r="F2" s="934"/>
      <c r="G2" s="934"/>
      <c r="H2" s="934"/>
      <c r="I2" s="934"/>
      <c r="J2" s="934"/>
      <c r="K2" s="934"/>
      <c r="L2" s="934"/>
      <c r="M2" s="934"/>
      <c r="N2" s="934"/>
      <c r="O2" s="934"/>
      <c r="P2" s="934"/>
      <c r="Q2" s="934"/>
    </row>
    <row r="3" spans="1:22" ht="27.75" customHeight="1" x14ac:dyDescent="0.2">
      <c r="A3" s="934"/>
      <c r="B3" s="934"/>
      <c r="C3" s="934"/>
      <c r="D3" s="934"/>
      <c r="E3" s="934"/>
      <c r="F3" s="934"/>
      <c r="G3" s="934"/>
      <c r="H3" s="934"/>
      <c r="I3" s="934"/>
      <c r="J3" s="934"/>
      <c r="K3" s="934"/>
      <c r="L3" s="934"/>
      <c r="M3" s="934"/>
      <c r="N3" s="934"/>
      <c r="O3" s="934"/>
      <c r="P3" s="934"/>
      <c r="Q3" s="934"/>
    </row>
    <row r="4" spans="1:22" ht="24.75" customHeight="1" x14ac:dyDescent="0.2">
      <c r="B4" s="31"/>
      <c r="C4" s="32"/>
      <c r="D4" s="32"/>
      <c r="E4" s="32"/>
      <c r="F4" s="32"/>
      <c r="G4" s="32"/>
      <c r="H4" s="32"/>
      <c r="I4" s="32"/>
      <c r="J4" s="32"/>
      <c r="K4" s="32"/>
      <c r="L4" s="32"/>
      <c r="M4" s="32"/>
      <c r="N4" s="32"/>
      <c r="O4" s="32"/>
      <c r="P4" s="32"/>
      <c r="Q4" s="32"/>
    </row>
    <row r="5" spans="1:22" s="7" customFormat="1" ht="56.25" customHeight="1" x14ac:dyDescent="0.25">
      <c r="A5" s="655" t="s">
        <v>5</v>
      </c>
      <c r="B5" s="655" t="s">
        <v>6</v>
      </c>
      <c r="C5" s="655" t="s">
        <v>7</v>
      </c>
      <c r="D5" s="939" t="s">
        <v>8</v>
      </c>
      <c r="E5" s="940"/>
      <c r="F5" s="931" t="s">
        <v>1391</v>
      </c>
      <c r="G5" s="931"/>
      <c r="H5" s="931"/>
      <c r="I5" s="931"/>
      <c r="J5" s="931"/>
      <c r="K5" s="931"/>
      <c r="L5" s="931"/>
      <c r="M5" s="931"/>
      <c r="N5" s="931"/>
      <c r="O5" s="931"/>
      <c r="P5" s="931"/>
      <c r="Q5" s="931"/>
      <c r="R5" s="6"/>
      <c r="S5" s="6"/>
      <c r="T5" s="6"/>
      <c r="U5" s="6"/>
      <c r="V5" s="6"/>
    </row>
    <row r="6" spans="1:22" ht="24" customHeight="1" x14ac:dyDescent="0.2">
      <c r="A6" s="444"/>
      <c r="B6" s="445"/>
      <c r="C6" s="445"/>
      <c r="D6" s="445"/>
      <c r="E6" s="446"/>
      <c r="F6" s="941" t="s">
        <v>8</v>
      </c>
      <c r="G6" s="942"/>
      <c r="H6" s="943"/>
      <c r="I6" s="941" t="s">
        <v>7</v>
      </c>
      <c r="J6" s="942"/>
      <c r="K6" s="943"/>
      <c r="L6" s="941" t="s">
        <v>1392</v>
      </c>
      <c r="M6" s="942"/>
      <c r="N6" s="944"/>
      <c r="O6" s="668" t="s">
        <v>5</v>
      </c>
      <c r="P6" s="668"/>
      <c r="Q6" s="668"/>
    </row>
    <row r="7" spans="1:22" s="9" customFormat="1" ht="24" customHeight="1" x14ac:dyDescent="0.25">
      <c r="A7" s="40" t="s">
        <v>42</v>
      </c>
      <c r="B7" s="42"/>
      <c r="C7" s="42"/>
      <c r="D7" s="42"/>
      <c r="E7" s="43"/>
      <c r="F7" s="43" t="s">
        <v>1538</v>
      </c>
      <c r="G7" s="43" t="s">
        <v>1539</v>
      </c>
      <c r="H7" s="43" t="s">
        <v>1540</v>
      </c>
      <c r="I7" s="43" t="s">
        <v>1538</v>
      </c>
      <c r="J7" s="43" t="s">
        <v>1539</v>
      </c>
      <c r="K7" s="43" t="s">
        <v>1540</v>
      </c>
      <c r="L7" s="43" t="s">
        <v>1538</v>
      </c>
      <c r="M7" s="43" t="s">
        <v>1539</v>
      </c>
      <c r="N7" s="43" t="s">
        <v>1540</v>
      </c>
      <c r="O7" s="47">
        <f>L8</f>
        <v>176000000</v>
      </c>
      <c r="P7" s="47">
        <f t="shared" ref="P7:Q7" si="0">M8</f>
        <v>64260000</v>
      </c>
      <c r="Q7" s="47">
        <f t="shared" si="0"/>
        <v>18535000</v>
      </c>
      <c r="R7" s="8"/>
      <c r="S7" s="8"/>
      <c r="T7" s="8"/>
      <c r="U7" s="8"/>
      <c r="V7" s="8"/>
    </row>
    <row r="8" spans="1:22" s="9" customFormat="1" ht="24" customHeight="1" x14ac:dyDescent="0.25">
      <c r="A8" s="130"/>
      <c r="B8" s="131">
        <f>'SGTO POAI -MARZO-2021'!B10</f>
        <v>4</v>
      </c>
      <c r="C8" s="74" t="str">
        <f>'SGTO POAI -MARZO-2021'!C10</f>
        <v xml:space="preserve">LIDERAZGO, GOBERNABILIDAD Y TRANSPARENCIA </v>
      </c>
      <c r="D8" s="74"/>
      <c r="E8" s="74"/>
      <c r="F8" s="502"/>
      <c r="G8" s="502"/>
      <c r="H8" s="502"/>
      <c r="I8" s="502"/>
      <c r="J8" s="502"/>
      <c r="K8" s="502"/>
      <c r="L8" s="503">
        <f>I9</f>
        <v>176000000</v>
      </c>
      <c r="M8" s="503">
        <f t="shared" ref="M8:N8" si="1">J9</f>
        <v>64260000</v>
      </c>
      <c r="N8" s="503">
        <f t="shared" si="1"/>
        <v>18535000</v>
      </c>
      <c r="O8" s="74"/>
      <c r="P8" s="74"/>
      <c r="Q8" s="74"/>
      <c r="R8" s="8"/>
      <c r="S8" s="8"/>
      <c r="T8" s="8"/>
      <c r="U8" s="8"/>
      <c r="V8" s="8"/>
    </row>
    <row r="9" spans="1:22" ht="24" customHeight="1" x14ac:dyDescent="0.2">
      <c r="A9" s="145"/>
      <c r="B9" s="338"/>
      <c r="C9" s="77">
        <f>'SGTO POAI -MARZO-2021'!D11</f>
        <v>45</v>
      </c>
      <c r="D9" s="75" t="str">
        <f>'SGTO POAI -MARZO-2021'!E11</f>
        <v>Gobierno territorial</v>
      </c>
      <c r="E9" s="504"/>
      <c r="F9" s="504"/>
      <c r="G9" s="504"/>
      <c r="H9" s="504"/>
      <c r="I9" s="505">
        <f>SUM(F10:F11)</f>
        <v>176000000</v>
      </c>
      <c r="J9" s="505">
        <f t="shared" ref="J9:K9" si="2">SUM(G10:G11)</f>
        <v>64260000</v>
      </c>
      <c r="K9" s="505">
        <f t="shared" si="2"/>
        <v>18535000</v>
      </c>
      <c r="L9" s="506"/>
      <c r="M9" s="506"/>
      <c r="N9" s="506"/>
      <c r="O9" s="504"/>
      <c r="P9" s="504"/>
      <c r="Q9" s="504"/>
    </row>
    <row r="10" spans="1:22" ht="70.5" customHeight="1" x14ac:dyDescent="0.2">
      <c r="A10" s="145"/>
      <c r="B10" s="87"/>
      <c r="C10" s="87"/>
      <c r="D10" s="353">
        <f>'SGTO POAI -MARZO-2021'!F12</f>
        <v>4599</v>
      </c>
      <c r="E10" s="358" t="str">
        <f>'SGTO POAI -MARZO-2021'!G12</f>
        <v>Fortalecimiento a la gestión y dirección de la administración pública territorial "Quindío con una administración al servicio de la ciudadanía "</v>
      </c>
      <c r="F10" s="604">
        <f>'SGTO POAI -MARZO-2021'!BA12</f>
        <v>136000000</v>
      </c>
      <c r="G10" s="604">
        <f>'SGTO POAI -MARZO-2021'!BB12</f>
        <v>41180000</v>
      </c>
      <c r="H10" s="604">
        <f>'SGTO POAI -MARZO-2021'!BC12</f>
        <v>12765000</v>
      </c>
      <c r="I10" s="507"/>
      <c r="J10" s="507"/>
      <c r="K10" s="507"/>
      <c r="L10" s="507"/>
      <c r="M10" s="507"/>
      <c r="N10" s="507"/>
      <c r="O10" s="507"/>
      <c r="P10" s="507"/>
      <c r="Q10" s="507"/>
    </row>
    <row r="11" spans="1:22" ht="53.25" customHeight="1" x14ac:dyDescent="0.2">
      <c r="A11" s="145"/>
      <c r="B11" s="87"/>
      <c r="C11" s="87"/>
      <c r="D11" s="353">
        <f>'SGTO POAI -MARZO-2021'!F16</f>
        <v>4502</v>
      </c>
      <c r="E11" s="358" t="str">
        <f>'SGTO POAI -MARZO-2021'!G16</f>
        <v>Fortalecimiento del buen gobierno para el respeto y garantía de los derechos humanos. "Quindío integrado y participativo"</v>
      </c>
      <c r="F11" s="605">
        <f>'SGTO POAI -MARZO-2021'!BA16</f>
        <v>40000000</v>
      </c>
      <c r="G11" s="605">
        <f>'SGTO POAI -MARZO-2021'!BK16</f>
        <v>23080000</v>
      </c>
      <c r="H11" s="605">
        <f>'SGTO POAI -MARZO-2021'!BL16</f>
        <v>5770000</v>
      </c>
      <c r="I11" s="508"/>
      <c r="J11" s="508"/>
      <c r="K11" s="508"/>
      <c r="L11" s="508"/>
      <c r="M11" s="508"/>
      <c r="N11" s="508"/>
      <c r="O11" s="508"/>
      <c r="P11" s="508"/>
      <c r="Q11" s="508"/>
    </row>
    <row r="12" spans="1:22" ht="15.75" x14ac:dyDescent="0.2">
      <c r="A12" s="145"/>
      <c r="B12" s="87"/>
      <c r="C12" s="87"/>
      <c r="D12" s="87"/>
      <c r="E12" s="561"/>
      <c r="F12" s="561"/>
      <c r="G12" s="586"/>
      <c r="H12" s="586"/>
      <c r="I12" s="561"/>
      <c r="J12" s="586"/>
      <c r="K12" s="586"/>
      <c r="L12" s="561"/>
      <c r="M12" s="586"/>
      <c r="N12" s="586"/>
      <c r="O12" s="561"/>
      <c r="P12" s="586"/>
      <c r="Q12" s="586"/>
    </row>
    <row r="13" spans="1:22" s="9" customFormat="1" ht="24" customHeight="1" x14ac:dyDescent="0.25">
      <c r="A13" s="41" t="s">
        <v>80</v>
      </c>
      <c r="B13" s="42"/>
      <c r="C13" s="42"/>
      <c r="D13" s="42"/>
      <c r="E13" s="43"/>
      <c r="F13" s="43"/>
      <c r="G13" s="43"/>
      <c r="H13" s="43"/>
      <c r="I13" s="43"/>
      <c r="J13" s="43"/>
      <c r="K13" s="43"/>
      <c r="L13" s="43"/>
      <c r="M13" s="43"/>
      <c r="N13" s="43"/>
      <c r="O13" s="43">
        <f>L14</f>
        <v>983000000</v>
      </c>
      <c r="P13" s="43">
        <f t="shared" ref="P13:Q13" si="3">M14</f>
        <v>299295000</v>
      </c>
      <c r="Q13" s="43">
        <f t="shared" si="3"/>
        <v>61120000</v>
      </c>
      <c r="R13" s="8"/>
      <c r="S13" s="8"/>
      <c r="T13" s="8"/>
      <c r="U13" s="8"/>
      <c r="V13" s="8"/>
    </row>
    <row r="14" spans="1:22" ht="24" customHeight="1" x14ac:dyDescent="0.2">
      <c r="A14" s="145"/>
      <c r="B14" s="131">
        <f>'SGTO POAI -MARZO-2021'!B20</f>
        <v>4</v>
      </c>
      <c r="C14" s="74" t="str">
        <f>'SGTO POAI -MARZO-2021'!D20</f>
        <v xml:space="preserve">LIDERAZGO, GOBERNABILIDAD Y TRANSPARENCIA </v>
      </c>
      <c r="D14" s="74"/>
      <c r="E14" s="74"/>
      <c r="F14" s="74"/>
      <c r="G14" s="74"/>
      <c r="H14" s="74"/>
      <c r="I14" s="74"/>
      <c r="J14" s="74"/>
      <c r="K14" s="74"/>
      <c r="L14" s="503">
        <f>I15</f>
        <v>983000000</v>
      </c>
      <c r="M14" s="503">
        <f t="shared" ref="M14:N14" si="4">J15</f>
        <v>299295000</v>
      </c>
      <c r="N14" s="503">
        <f t="shared" si="4"/>
        <v>61120000</v>
      </c>
      <c r="O14" s="74"/>
      <c r="P14" s="74"/>
      <c r="Q14" s="74"/>
    </row>
    <row r="15" spans="1:22" ht="24" customHeight="1" x14ac:dyDescent="0.2">
      <c r="A15" s="145"/>
      <c r="B15" s="338"/>
      <c r="C15" s="77">
        <f>'SGTO POAI -MARZO-2021'!D21</f>
        <v>45</v>
      </c>
      <c r="D15" s="75" t="str">
        <f>'SGTO POAI -MARZO-2021'!E21</f>
        <v>Gobierno territorial</v>
      </c>
      <c r="E15" s="504"/>
      <c r="F15" s="504"/>
      <c r="G15" s="504"/>
      <c r="H15" s="504"/>
      <c r="I15" s="505">
        <f>SUM(F16:F17)</f>
        <v>983000000</v>
      </c>
      <c r="J15" s="505">
        <f t="shared" ref="J15:K15" si="5">SUM(G16:G17)</f>
        <v>299295000</v>
      </c>
      <c r="K15" s="505">
        <f t="shared" si="5"/>
        <v>61120000</v>
      </c>
      <c r="L15" s="506"/>
      <c r="M15" s="506"/>
      <c r="N15" s="506"/>
      <c r="O15" s="504"/>
      <c r="P15" s="504"/>
      <c r="Q15" s="504"/>
    </row>
    <row r="16" spans="1:22" s="44" customFormat="1" ht="56.25" customHeight="1" x14ac:dyDescent="0.2">
      <c r="A16" s="337"/>
      <c r="B16" s="338"/>
      <c r="C16" s="338"/>
      <c r="D16" s="353">
        <f>'SGTO POAI -MARZO-2021'!F22</f>
        <v>4502</v>
      </c>
      <c r="E16" s="358" t="str">
        <f>'SGTO POAI -MARZO-2021'!G22</f>
        <v>Fortalecimiento del buen gobierno para el respeto y garantía de los derechos humanos. "Quindío integrado y participativo"</v>
      </c>
      <c r="F16" s="604">
        <f>'SGTO POAI -MARZO-2021'!BA22</f>
        <v>175000000</v>
      </c>
      <c r="G16" s="604">
        <f>'SGTO POAI -MARZO-2021'!BB22</f>
        <v>8655000</v>
      </c>
      <c r="H16" s="604">
        <f>'SGTO POAI -MARZO-2021'!BC22</f>
        <v>0</v>
      </c>
      <c r="I16" s="507"/>
      <c r="J16" s="507"/>
      <c r="K16" s="507"/>
      <c r="L16" s="507"/>
      <c r="M16" s="507"/>
      <c r="N16" s="507"/>
      <c r="O16" s="507"/>
      <c r="P16" s="507"/>
      <c r="Q16" s="507"/>
    </row>
    <row r="17" spans="1:22" s="44" customFormat="1" ht="56.25" customHeight="1" x14ac:dyDescent="0.2">
      <c r="A17" s="337"/>
      <c r="B17" s="338"/>
      <c r="C17" s="338"/>
      <c r="D17" s="353">
        <f>'SGTO POAI -MARZO-2021'!F25</f>
        <v>4599</v>
      </c>
      <c r="E17" s="358" t="str">
        <f>'SGTO POAI -MARZO-2021'!G25</f>
        <v>Fortalecimiento a la gestión y dirección de la administración pública territorial "Quindío con una administración al servicio de la ciudadanía "</v>
      </c>
      <c r="F17" s="604">
        <f>'SGTO POAI -MARZO-2021'!BA25</f>
        <v>808000000</v>
      </c>
      <c r="G17" s="604">
        <f>'SGTO POAI -MARZO-2021'!BB25</f>
        <v>290640000</v>
      </c>
      <c r="H17" s="604">
        <f>'SGTO POAI -MARZO-2021'!BC25</f>
        <v>61120000</v>
      </c>
      <c r="I17" s="507"/>
      <c r="J17" s="507"/>
      <c r="K17" s="507"/>
      <c r="L17" s="507"/>
      <c r="M17" s="507"/>
      <c r="N17" s="507"/>
      <c r="O17" s="507"/>
      <c r="P17" s="507"/>
      <c r="Q17" s="507"/>
    </row>
    <row r="18" spans="1:22" ht="18" customHeight="1" x14ac:dyDescent="0.2">
      <c r="A18" s="58"/>
      <c r="B18" s="509"/>
      <c r="C18" s="509"/>
      <c r="D18" s="509"/>
      <c r="E18" s="510"/>
      <c r="F18" s="510"/>
      <c r="G18" s="510"/>
      <c r="H18" s="510"/>
      <c r="I18" s="510"/>
      <c r="J18" s="510"/>
      <c r="K18" s="510"/>
      <c r="L18" s="510"/>
      <c r="M18" s="510"/>
      <c r="N18" s="510"/>
      <c r="O18" s="510"/>
      <c r="P18" s="510"/>
      <c r="Q18" s="510"/>
    </row>
    <row r="19" spans="1:22" ht="24" customHeight="1" x14ac:dyDescent="0.2">
      <c r="A19" s="45" t="s">
        <v>1393</v>
      </c>
      <c r="B19" s="46"/>
      <c r="C19" s="46"/>
      <c r="D19" s="46"/>
      <c r="E19" s="47"/>
      <c r="F19" s="47"/>
      <c r="G19" s="47"/>
      <c r="H19" s="47"/>
      <c r="I19" s="47"/>
      <c r="J19" s="47"/>
      <c r="K19" s="47"/>
      <c r="L19" s="47"/>
      <c r="M19" s="47"/>
      <c r="N19" s="47"/>
      <c r="O19" s="47">
        <f>F22</f>
        <v>2593395879</v>
      </c>
      <c r="P19" s="47">
        <f t="shared" ref="P19:Q19" si="6">G22</f>
        <v>1073015879</v>
      </c>
      <c r="Q19" s="47">
        <f t="shared" si="6"/>
        <v>96880000</v>
      </c>
    </row>
    <row r="20" spans="1:22" ht="24" customHeight="1" x14ac:dyDescent="0.2">
      <c r="A20" s="145"/>
      <c r="B20" s="131">
        <f>'SGTO POAI -MARZO-2021'!B38</f>
        <v>4</v>
      </c>
      <c r="C20" s="74" t="str">
        <f>'SGTO POAI -MARZO-2021'!D38</f>
        <v xml:space="preserve">LIDERAZGO, GOBERNABILIDAD Y TRANSPARENCIA </v>
      </c>
      <c r="D20" s="74"/>
      <c r="E20" s="74"/>
      <c r="F20" s="74"/>
      <c r="G20" s="74"/>
      <c r="H20" s="74"/>
      <c r="I20" s="74"/>
      <c r="J20" s="74"/>
      <c r="K20" s="74"/>
      <c r="L20" s="502">
        <f>I21</f>
        <v>2593395879</v>
      </c>
      <c r="M20" s="502">
        <f t="shared" ref="M20:N20" si="7">J21</f>
        <v>1073015879</v>
      </c>
      <c r="N20" s="502">
        <f t="shared" si="7"/>
        <v>96880000</v>
      </c>
      <c r="O20" s="74"/>
      <c r="P20" s="74"/>
      <c r="Q20" s="74"/>
    </row>
    <row r="21" spans="1:22" ht="24" customHeight="1" x14ac:dyDescent="0.2">
      <c r="A21" s="145"/>
      <c r="B21" s="338"/>
      <c r="C21" s="77">
        <f>'SGTO POAI -MARZO-2021'!D39</f>
        <v>45</v>
      </c>
      <c r="D21" s="75" t="str">
        <f>'SGTO POAI -MARZO-2021'!E39</f>
        <v>Gobierno territorial</v>
      </c>
      <c r="E21" s="504"/>
      <c r="F21" s="504"/>
      <c r="G21" s="504"/>
      <c r="H21" s="504"/>
      <c r="I21" s="505">
        <f>SUM(F22)</f>
        <v>2593395879</v>
      </c>
      <c r="J21" s="505">
        <f t="shared" ref="J21:K21" si="8">SUM(G22)</f>
        <v>1073015879</v>
      </c>
      <c r="K21" s="505">
        <f t="shared" si="8"/>
        <v>96880000</v>
      </c>
      <c r="L21" s="506"/>
      <c r="M21" s="506"/>
      <c r="N21" s="506"/>
      <c r="O21" s="504"/>
      <c r="P21" s="504"/>
      <c r="Q21" s="504"/>
    </row>
    <row r="22" spans="1:22" ht="70.5" customHeight="1" x14ac:dyDescent="0.2">
      <c r="A22" s="145"/>
      <c r="B22" s="87"/>
      <c r="C22" s="87"/>
      <c r="D22" s="353">
        <f>'SGTO POAI -MARZO-2021'!F40</f>
        <v>4599</v>
      </c>
      <c r="E22" s="358" t="str">
        <f>'SGTO POAI -MARZO-2021'!G40</f>
        <v>Fortalecimiento a la gestión y dirección de la administración pública territorial "Quindío con una administración al servicio de la ciudadanía "</v>
      </c>
      <c r="F22" s="507">
        <f>'SGTO POAI -MARZO-2021'!BJ40</f>
        <v>2593395879</v>
      </c>
      <c r="G22" s="507">
        <f>'SGTO POAI -MARZO-2021'!BK40</f>
        <v>1073015879</v>
      </c>
      <c r="H22" s="507">
        <f>'SGTO POAI -MARZO-2021'!BL40</f>
        <v>96880000</v>
      </c>
      <c r="I22" s="507"/>
      <c r="J22" s="507"/>
      <c r="K22" s="507"/>
      <c r="L22" s="507"/>
      <c r="M22" s="507"/>
      <c r="N22" s="507"/>
      <c r="O22" s="507"/>
      <c r="P22" s="507"/>
      <c r="Q22" s="507"/>
    </row>
    <row r="23" spans="1:22" s="11" customFormat="1" x14ac:dyDescent="0.2">
      <c r="A23" s="58"/>
      <c r="B23" s="509"/>
      <c r="C23" s="509"/>
      <c r="D23" s="509"/>
      <c r="E23" s="510"/>
      <c r="F23" s="510"/>
      <c r="G23" s="510"/>
      <c r="H23" s="510"/>
      <c r="I23" s="510"/>
      <c r="J23" s="510"/>
      <c r="K23" s="510"/>
      <c r="L23" s="510"/>
      <c r="M23" s="510"/>
      <c r="N23" s="510"/>
      <c r="O23" s="510"/>
      <c r="P23" s="510"/>
      <c r="Q23" s="510"/>
      <c r="R23" s="18"/>
      <c r="S23" s="18"/>
      <c r="T23" s="18"/>
      <c r="U23" s="18"/>
      <c r="V23" s="18"/>
    </row>
    <row r="24" spans="1:22" ht="24" customHeight="1" x14ac:dyDescent="0.2">
      <c r="A24" s="41" t="s">
        <v>148</v>
      </c>
      <c r="B24" s="42"/>
      <c r="C24" s="42"/>
      <c r="D24" s="42"/>
      <c r="E24" s="43"/>
      <c r="F24" s="43"/>
      <c r="G24" s="43"/>
      <c r="H24" s="43"/>
      <c r="I24" s="43"/>
      <c r="J24" s="43"/>
      <c r="K24" s="43"/>
      <c r="L24" s="43"/>
      <c r="M24" s="43"/>
      <c r="N24" s="43"/>
      <c r="O24" s="43">
        <f>SUM(L25:L44)</f>
        <v>8074199883.1000004</v>
      </c>
      <c r="P24" s="43">
        <f t="shared" ref="P24:Q24" si="9">SUM(M25:M44)</f>
        <v>701592067</v>
      </c>
      <c r="Q24" s="43">
        <f t="shared" si="9"/>
        <v>95796787</v>
      </c>
    </row>
    <row r="25" spans="1:22" ht="24" customHeight="1" x14ac:dyDescent="0.2">
      <c r="A25" s="145"/>
      <c r="B25" s="131">
        <f>'SGTO POAI -MARZO-2021'!B45</f>
        <v>1</v>
      </c>
      <c r="C25" s="74" t="str">
        <f>'SGTO POAI -MARZO-2021'!D45</f>
        <v xml:space="preserve">INCLUSIÓN SOCIAL Y EQUIDAD </v>
      </c>
      <c r="D25" s="74"/>
      <c r="E25" s="74"/>
      <c r="F25" s="74"/>
      <c r="G25" s="74"/>
      <c r="H25" s="74"/>
      <c r="I25" s="74"/>
      <c r="J25" s="74"/>
      <c r="K25" s="74"/>
      <c r="L25" s="502">
        <f>SUM(I26:I34)</f>
        <v>4012080595</v>
      </c>
      <c r="M25" s="502">
        <f t="shared" ref="M25:N25" si="10">SUM(J26:J34)</f>
        <v>370696000</v>
      </c>
      <c r="N25" s="502">
        <f t="shared" si="10"/>
        <v>44266000</v>
      </c>
      <c r="O25" s="74"/>
      <c r="P25" s="74"/>
      <c r="Q25" s="74"/>
    </row>
    <row r="26" spans="1:22" ht="24" customHeight="1" x14ac:dyDescent="0.2">
      <c r="A26" s="145"/>
      <c r="B26" s="338"/>
      <c r="C26" s="77">
        <f>'SGTO POAI -MARZO-2021'!D46</f>
        <v>12</v>
      </c>
      <c r="D26" s="75" t="str">
        <f>'SGTO POAI -MARZO-2021'!E46</f>
        <v>Justicia y del derecho</v>
      </c>
      <c r="E26" s="504"/>
      <c r="F26" s="504"/>
      <c r="G26" s="504"/>
      <c r="H26" s="504"/>
      <c r="I26" s="505">
        <f>F27</f>
        <v>24750000</v>
      </c>
      <c r="J26" s="505">
        <f t="shared" ref="J26:K26" si="11">G27</f>
        <v>3932000</v>
      </c>
      <c r="K26" s="505">
        <f t="shared" si="11"/>
        <v>0</v>
      </c>
      <c r="L26" s="506"/>
      <c r="M26" s="506"/>
      <c r="N26" s="506"/>
      <c r="O26" s="504"/>
      <c r="P26" s="504"/>
      <c r="Q26" s="504"/>
    </row>
    <row r="27" spans="1:22" ht="61.5" customHeight="1" x14ac:dyDescent="0.2">
      <c r="A27" s="145"/>
      <c r="B27" s="87"/>
      <c r="C27" s="87"/>
      <c r="D27" s="338">
        <f>'SGTO POAI -MARZO-2021'!F47</f>
        <v>1202</v>
      </c>
      <c r="E27" s="358" t="str">
        <f>'SGTO POAI -MARZO-2021'!G47</f>
        <v>Promoción al acceso a la justicia. "Tú y yo con justicia"</v>
      </c>
      <c r="F27" s="507">
        <f>'SGTO POAI -MARZO-2021'!BJ47</f>
        <v>24750000</v>
      </c>
      <c r="G27" s="507">
        <f>'SGTO POAI -MARZO-2021'!BK47</f>
        <v>3932000</v>
      </c>
      <c r="H27" s="507">
        <f>'SGTO POAI -MARZO-2021'!BL47</f>
        <v>0</v>
      </c>
      <c r="I27" s="507"/>
      <c r="J27" s="507"/>
      <c r="K27" s="507"/>
      <c r="L27" s="507"/>
      <c r="M27" s="507"/>
      <c r="N27" s="507"/>
      <c r="O27" s="507"/>
      <c r="P27" s="507"/>
      <c r="Q27" s="507"/>
    </row>
    <row r="28" spans="1:22" ht="24" customHeight="1" x14ac:dyDescent="0.2">
      <c r="A28" s="145"/>
      <c r="B28" s="338"/>
      <c r="C28" s="77">
        <f>'SGTO POAI -MARZO-2021'!D49</f>
        <v>19</v>
      </c>
      <c r="D28" s="75" t="str">
        <f>'SGTO POAI -MARZO-2021'!E49</f>
        <v>Salud y protección social</v>
      </c>
      <c r="E28" s="504"/>
      <c r="F28" s="504"/>
      <c r="G28" s="504"/>
      <c r="H28" s="504"/>
      <c r="I28" s="505">
        <f>F29</f>
        <v>38000000</v>
      </c>
      <c r="J28" s="505">
        <f t="shared" ref="J28:K28" si="12">G29</f>
        <v>4100000</v>
      </c>
      <c r="K28" s="505">
        <f t="shared" si="12"/>
        <v>0</v>
      </c>
      <c r="L28" s="506"/>
      <c r="M28" s="506"/>
      <c r="N28" s="506"/>
      <c r="O28" s="504"/>
      <c r="P28" s="504"/>
      <c r="Q28" s="504"/>
    </row>
    <row r="29" spans="1:22" ht="55.5" customHeight="1" x14ac:dyDescent="0.2">
      <c r="A29" s="145"/>
      <c r="B29" s="87"/>
      <c r="C29" s="87"/>
      <c r="D29" s="338">
        <f>'SGTO POAI -MARZO-2021'!F50</f>
        <v>1906</v>
      </c>
      <c r="E29" s="358" t="str">
        <f>'SGTO POAI -MARZO-2021'!G50</f>
        <v>Aseguramiento y Prestación integral de servicios de salud "Tú y yo con servicios de salud"</v>
      </c>
      <c r="F29" s="507">
        <f>'SGTO POAI -MARZO-2021'!BJ50</f>
        <v>38000000</v>
      </c>
      <c r="G29" s="507">
        <f>'SGTO POAI -MARZO-2021'!BK50</f>
        <v>4100000</v>
      </c>
      <c r="H29" s="507">
        <f>'SGTO POAI -MARZO-2021'!BL50</f>
        <v>0</v>
      </c>
      <c r="I29" s="507"/>
      <c r="J29" s="507"/>
      <c r="K29" s="507"/>
      <c r="L29" s="507"/>
      <c r="M29" s="507"/>
      <c r="N29" s="507"/>
      <c r="O29" s="507"/>
      <c r="P29" s="507"/>
      <c r="Q29" s="507"/>
    </row>
    <row r="30" spans="1:22" ht="24" customHeight="1" x14ac:dyDescent="0.2">
      <c r="A30" s="145"/>
      <c r="B30" s="338"/>
      <c r="C30" s="77">
        <f>'SGTO POAI -MARZO-2021'!D52</f>
        <v>22</v>
      </c>
      <c r="D30" s="511" t="str">
        <f>'SGTO POAI -MARZO-2021'!E52</f>
        <v>Educación</v>
      </c>
      <c r="E30" s="512"/>
      <c r="F30" s="504"/>
      <c r="G30" s="504"/>
      <c r="H30" s="504"/>
      <c r="I30" s="505">
        <f>F31</f>
        <v>2083257220</v>
      </c>
      <c r="J30" s="505">
        <f t="shared" ref="J30:K30" si="13">G31</f>
        <v>183764000</v>
      </c>
      <c r="K30" s="505">
        <f t="shared" si="13"/>
        <v>0</v>
      </c>
      <c r="L30" s="506"/>
      <c r="M30" s="506"/>
      <c r="N30" s="506"/>
      <c r="O30" s="504"/>
      <c r="P30" s="504"/>
      <c r="Q30" s="504"/>
    </row>
    <row r="31" spans="1:22" ht="80.25" customHeight="1" x14ac:dyDescent="0.2">
      <c r="A31" s="145"/>
      <c r="B31" s="87"/>
      <c r="C31" s="87"/>
      <c r="D31" s="338">
        <f>'SGTO POAI -MARZO-2021'!F53</f>
        <v>2201</v>
      </c>
      <c r="E31" s="358" t="str">
        <f>'SGTO POAI -MARZO-2021'!G53</f>
        <v>Calidad, cobertura y fortalecimiento de la educación inicial, prescolar, básica y media." Tú y yo con educación y  calidad"</v>
      </c>
      <c r="F31" s="507">
        <f>'SGTO POAI -MARZO-2021'!BJ53</f>
        <v>2083257220</v>
      </c>
      <c r="G31" s="507">
        <f>'SGTO POAI -MARZO-2021'!BK53</f>
        <v>183764000</v>
      </c>
      <c r="H31" s="507">
        <f>'SGTO POAI -MARZO-2021'!BL53</f>
        <v>0</v>
      </c>
      <c r="I31" s="507"/>
      <c r="J31" s="507"/>
      <c r="K31" s="507"/>
      <c r="L31" s="507"/>
      <c r="M31" s="507"/>
      <c r="N31" s="507"/>
      <c r="O31" s="507"/>
      <c r="P31" s="507"/>
      <c r="Q31" s="507"/>
    </row>
    <row r="32" spans="1:22" ht="24" customHeight="1" x14ac:dyDescent="0.2">
      <c r="A32" s="145"/>
      <c r="B32" s="338"/>
      <c r="C32" s="77">
        <f>'SGTO POAI -MARZO-2021'!D55</f>
        <v>33</v>
      </c>
      <c r="D32" s="511" t="str">
        <f>'SGTO POAI -MARZO-2021'!E55</f>
        <v>Cultura</v>
      </c>
      <c r="E32" s="512"/>
      <c r="F32" s="504"/>
      <c r="G32" s="504"/>
      <c r="H32" s="504"/>
      <c r="I32" s="505">
        <f>F33</f>
        <v>30000000</v>
      </c>
      <c r="J32" s="505">
        <f t="shared" ref="J32:K32" si="14">G33</f>
        <v>8900000</v>
      </c>
      <c r="K32" s="505">
        <f t="shared" si="14"/>
        <v>0</v>
      </c>
      <c r="L32" s="506"/>
      <c r="M32" s="506"/>
      <c r="N32" s="506"/>
      <c r="O32" s="504"/>
      <c r="P32" s="504"/>
      <c r="Q32" s="504"/>
    </row>
    <row r="33" spans="1:22" ht="63" customHeight="1" x14ac:dyDescent="0.2">
      <c r="A33" s="145"/>
      <c r="B33" s="87"/>
      <c r="C33" s="87"/>
      <c r="D33" s="338">
        <f>'SGTO POAI -MARZO-2021'!F56</f>
        <v>3301</v>
      </c>
      <c r="E33" s="358" t="str">
        <f>'SGTO POAI -MARZO-2021'!G56</f>
        <v>Promoción y acceso efectivo a procesos culturales y artísticos. "Tú y yo somos cultura Quindiana"</v>
      </c>
      <c r="F33" s="507">
        <f>'SGTO POAI -MARZO-2021'!BJ56</f>
        <v>30000000</v>
      </c>
      <c r="G33" s="507">
        <f>'SGTO POAI -MARZO-2021'!BK56</f>
        <v>8900000</v>
      </c>
      <c r="H33" s="507">
        <f>'SGTO POAI -MARZO-2021'!BL56</f>
        <v>0</v>
      </c>
      <c r="I33" s="507"/>
      <c r="J33" s="507"/>
      <c r="K33" s="507"/>
      <c r="L33" s="507"/>
      <c r="M33" s="507"/>
      <c r="N33" s="507"/>
      <c r="O33" s="507"/>
      <c r="P33" s="507"/>
      <c r="Q33" s="507"/>
    </row>
    <row r="34" spans="1:22" ht="24" customHeight="1" x14ac:dyDescent="0.2">
      <c r="A34" s="145"/>
      <c r="B34" s="338"/>
      <c r="C34" s="77">
        <f>'SGTO POAI -MARZO-2021'!D58</f>
        <v>43</v>
      </c>
      <c r="D34" s="75" t="str">
        <f>'SGTO POAI -MARZO-2021'!E58</f>
        <v>Deporte y recreación</v>
      </c>
      <c r="E34" s="75"/>
      <c r="F34" s="504"/>
      <c r="G34" s="504"/>
      <c r="H34" s="504"/>
      <c r="I34" s="505">
        <f>F35</f>
        <v>1836073375</v>
      </c>
      <c r="J34" s="505">
        <f t="shared" ref="J34:K34" si="15">G35</f>
        <v>170000000</v>
      </c>
      <c r="K34" s="505">
        <f t="shared" si="15"/>
        <v>44266000</v>
      </c>
      <c r="L34" s="506"/>
      <c r="M34" s="506"/>
      <c r="N34" s="506"/>
      <c r="O34" s="504"/>
      <c r="P34" s="504"/>
      <c r="Q34" s="504"/>
    </row>
    <row r="35" spans="1:22" ht="65.25" customHeight="1" x14ac:dyDescent="0.2">
      <c r="A35" s="145"/>
      <c r="B35" s="87"/>
      <c r="C35" s="87"/>
      <c r="D35" s="338">
        <f>'SGTO POAI -MARZO-2021'!F59</f>
        <v>4301</v>
      </c>
      <c r="E35" s="358" t="str">
        <f>'SGTO POAI -MARZO-2021'!G59</f>
        <v>Fomento a la recreación, la actividad física y el deporte para desarrollar entornos de convivencia y paz "Tú y yo en la recreación y en deporte"</v>
      </c>
      <c r="F35" s="507">
        <f>'SGTO POAI -MARZO-2021'!BJ59</f>
        <v>1836073375</v>
      </c>
      <c r="G35" s="507">
        <f>'SGTO POAI -MARZO-2021'!BK59</f>
        <v>170000000</v>
      </c>
      <c r="H35" s="507">
        <f>'SGTO POAI -MARZO-2021'!BL59</f>
        <v>44266000</v>
      </c>
      <c r="I35" s="507"/>
      <c r="J35" s="507"/>
      <c r="K35" s="507"/>
      <c r="L35" s="507"/>
      <c r="M35" s="507"/>
      <c r="N35" s="507"/>
      <c r="O35" s="507"/>
      <c r="P35" s="507"/>
      <c r="Q35" s="507"/>
      <c r="R35" s="1"/>
      <c r="S35" s="1"/>
      <c r="T35" s="1"/>
      <c r="U35" s="1"/>
      <c r="V35" s="1"/>
    </row>
    <row r="36" spans="1:22" ht="24" customHeight="1" x14ac:dyDescent="0.2">
      <c r="A36" s="145"/>
      <c r="B36" s="131">
        <f>'SGTO POAI -MARZO-2021'!B61</f>
        <v>3</v>
      </c>
      <c r="C36" s="74" t="str">
        <f>'SGTO POAI -MARZO-2021'!D61</f>
        <v xml:space="preserve">TERRITORIO, AMBIENTE Y DESARROLLO SOSTENIBLE </v>
      </c>
      <c r="D36" s="74"/>
      <c r="E36" s="74"/>
      <c r="F36" s="74"/>
      <c r="G36" s="74"/>
      <c r="H36" s="74"/>
      <c r="I36" s="74"/>
      <c r="J36" s="74"/>
      <c r="K36" s="74"/>
      <c r="L36" s="502">
        <f>SUM(I37:I41)</f>
        <v>3984119288.0999999</v>
      </c>
      <c r="M36" s="502">
        <f t="shared" ref="M36:N36" si="16">SUM(J37:J41)</f>
        <v>329828067</v>
      </c>
      <c r="N36" s="502">
        <f t="shared" si="16"/>
        <v>51530787</v>
      </c>
      <c r="O36" s="74"/>
      <c r="P36" s="74"/>
      <c r="Q36" s="74"/>
      <c r="R36" s="1"/>
      <c r="S36" s="1"/>
      <c r="T36" s="1"/>
      <c r="U36" s="1"/>
      <c r="V36" s="1"/>
    </row>
    <row r="37" spans="1:22" ht="24" customHeight="1" x14ac:dyDescent="0.2">
      <c r="A37" s="145"/>
      <c r="B37" s="338"/>
      <c r="C37" s="513">
        <f>'SGTO POAI -MARZO-2021'!D62</f>
        <v>24</v>
      </c>
      <c r="D37" s="514" t="str">
        <f>'SGTO POAI -MARZO-2021'!E62</f>
        <v>Transporte</v>
      </c>
      <c r="E37" s="512"/>
      <c r="F37" s="504"/>
      <c r="G37" s="504"/>
      <c r="H37" s="504"/>
      <c r="I37" s="505">
        <f>F38</f>
        <v>390000000</v>
      </c>
      <c r="J37" s="505">
        <f t="shared" ref="J37:K37" si="17">G38</f>
        <v>161100000</v>
      </c>
      <c r="K37" s="505">
        <f t="shared" si="17"/>
        <v>35450000</v>
      </c>
      <c r="L37" s="506"/>
      <c r="M37" s="506"/>
      <c r="N37" s="506"/>
      <c r="O37" s="504"/>
      <c r="P37" s="504"/>
      <c r="Q37" s="504"/>
    </row>
    <row r="38" spans="1:22" ht="59.25" customHeight="1" x14ac:dyDescent="0.2">
      <c r="A38" s="145"/>
      <c r="B38" s="87"/>
      <c r="C38" s="87"/>
      <c r="D38" s="338">
        <f>'SGTO POAI -MARZO-2021'!F63</f>
        <v>2402</v>
      </c>
      <c r="E38" s="358" t="str">
        <f>'SGTO POAI -MARZO-2021'!G63</f>
        <v>Infraestructura red vial regional. "Tú y yo con movilidad vial"</v>
      </c>
      <c r="F38" s="507">
        <f>'SGTO POAI -MARZO-2021'!BJ63</f>
        <v>390000000</v>
      </c>
      <c r="G38" s="507">
        <f>'SGTO POAI -MARZO-2021'!BK63</f>
        <v>161100000</v>
      </c>
      <c r="H38" s="507">
        <f>'SGTO POAI -MARZO-2021'!BL63</f>
        <v>35450000</v>
      </c>
      <c r="I38" s="507"/>
      <c r="J38" s="507"/>
      <c r="K38" s="507"/>
      <c r="L38" s="507"/>
      <c r="M38" s="507"/>
      <c r="N38" s="507"/>
      <c r="O38" s="507"/>
      <c r="P38" s="507"/>
      <c r="Q38" s="507"/>
      <c r="R38" s="1"/>
      <c r="S38" s="1"/>
      <c r="T38" s="1"/>
      <c r="U38" s="1"/>
      <c r="V38" s="1"/>
    </row>
    <row r="39" spans="1:22" ht="24" customHeight="1" x14ac:dyDescent="0.2">
      <c r="A39" s="145"/>
      <c r="B39" s="338"/>
      <c r="C39" s="77">
        <f>'SGTO POAI -MARZO-2021'!D67</f>
        <v>32</v>
      </c>
      <c r="D39" s="75" t="str">
        <f>'SGTO POAI -MARZO-2021'!E67</f>
        <v>Ambiente y desarrollo sostenible</v>
      </c>
      <c r="E39" s="75"/>
      <c r="F39" s="504"/>
      <c r="G39" s="504"/>
      <c r="H39" s="504"/>
      <c r="I39" s="505">
        <f>F40</f>
        <v>271108067</v>
      </c>
      <c r="J39" s="505">
        <f t="shared" ref="J39:K39" si="18">G40</f>
        <v>168728067</v>
      </c>
      <c r="K39" s="505">
        <f t="shared" si="18"/>
        <v>16080787</v>
      </c>
      <c r="L39" s="506"/>
      <c r="M39" s="506"/>
      <c r="N39" s="506"/>
      <c r="O39" s="504"/>
      <c r="P39" s="504"/>
      <c r="Q39" s="504"/>
    </row>
    <row r="40" spans="1:22" ht="54.75" customHeight="1" x14ac:dyDescent="0.2">
      <c r="A40" s="145"/>
      <c r="B40" s="87"/>
      <c r="C40" s="87"/>
      <c r="D40" s="338">
        <f>'SGTO POAI -MARZO-2021'!F68</f>
        <v>3205</v>
      </c>
      <c r="E40" s="358" t="str">
        <f>'SGTO POAI -MARZO-2021'!G68</f>
        <v>Ordenamiento Ambiental Territorial. "Tú y yo planificamos con sentido ambiental"</v>
      </c>
      <c r="F40" s="507">
        <f>'SGTO POAI -MARZO-2021'!BJ68</f>
        <v>271108067</v>
      </c>
      <c r="G40" s="507">
        <f>'SGTO POAI -MARZO-2021'!BK68</f>
        <v>168728067</v>
      </c>
      <c r="H40" s="507">
        <f>'SGTO POAI -MARZO-2021'!BL68</f>
        <v>16080787</v>
      </c>
      <c r="I40" s="507"/>
      <c r="J40" s="507"/>
      <c r="K40" s="507"/>
      <c r="L40" s="507"/>
      <c r="M40" s="507"/>
      <c r="N40" s="507"/>
      <c r="O40" s="507"/>
      <c r="P40" s="507"/>
      <c r="Q40" s="507"/>
      <c r="R40" s="1"/>
      <c r="S40" s="1"/>
      <c r="T40" s="1"/>
      <c r="U40" s="1"/>
      <c r="V40" s="1"/>
    </row>
    <row r="41" spans="1:22" ht="24" customHeight="1" x14ac:dyDescent="0.2">
      <c r="A41" s="145"/>
      <c r="B41" s="338"/>
      <c r="C41" s="77">
        <f>'SGTO POAI -MARZO-2021'!D71</f>
        <v>40</v>
      </c>
      <c r="D41" s="75" t="str">
        <f>'SGTO POAI -MARZO-2021'!E71</f>
        <v>Vivienda, Ciudad y Territorio</v>
      </c>
      <c r="E41" s="512"/>
      <c r="F41" s="504"/>
      <c r="G41" s="504"/>
      <c r="H41" s="504"/>
      <c r="I41" s="505">
        <f>SUM(F42:F43)</f>
        <v>3323011221.0999999</v>
      </c>
      <c r="J41" s="505">
        <f t="shared" ref="J41:K41" si="19">SUM(G42:G43)</f>
        <v>0</v>
      </c>
      <c r="K41" s="505">
        <f t="shared" si="19"/>
        <v>0</v>
      </c>
      <c r="L41" s="506"/>
      <c r="M41" s="506"/>
      <c r="N41" s="506"/>
      <c r="O41" s="504"/>
      <c r="P41" s="504"/>
      <c r="Q41" s="504"/>
    </row>
    <row r="42" spans="1:22" ht="48.75" customHeight="1" x14ac:dyDescent="0.2">
      <c r="A42" s="145"/>
      <c r="B42" s="87"/>
      <c r="C42" s="87"/>
      <c r="D42" s="338">
        <f>'SGTO POAI -MARZO-2021'!F72</f>
        <v>4001</v>
      </c>
      <c r="E42" s="358" t="str">
        <f>'SGTO POAI -MARZO-2021'!G72</f>
        <v>Acceso a soluciones de vivienda. "Tú y yo con vivienda digna"</v>
      </c>
      <c r="F42" s="507">
        <f>'SGTO POAI -MARZO-2021'!BJ72</f>
        <v>120000000.09999999</v>
      </c>
      <c r="G42" s="507">
        <f>'SGTO POAI -MARZO-2021'!BK72</f>
        <v>0</v>
      </c>
      <c r="H42" s="507">
        <f>'SGTO POAI -MARZO-2021'!BL72</f>
        <v>0</v>
      </c>
      <c r="I42" s="507"/>
      <c r="J42" s="507"/>
      <c r="K42" s="507"/>
      <c r="L42" s="507"/>
      <c r="M42" s="507"/>
      <c r="N42" s="507"/>
      <c r="O42" s="507"/>
      <c r="P42" s="507"/>
      <c r="Q42" s="507"/>
      <c r="R42" s="1"/>
      <c r="S42" s="1"/>
      <c r="T42" s="1"/>
      <c r="U42" s="1"/>
      <c r="V42" s="1"/>
    </row>
    <row r="43" spans="1:22" ht="59.25" customHeight="1" x14ac:dyDescent="0.2">
      <c r="A43" s="145"/>
      <c r="B43" s="87"/>
      <c r="C43" s="87"/>
      <c r="D43" s="338">
        <f>'SGTO POAI -MARZO-2021'!F74</f>
        <v>4003</v>
      </c>
      <c r="E43" s="358" t="str">
        <f>'SGTO POAI -MARZO-2021'!G74</f>
        <v>Acceso de la población a los servicios de agua potable y saneamiento básico. "Tú y yo con calidad del agua"</v>
      </c>
      <c r="F43" s="507">
        <f>'SGTO POAI -MARZO-2021'!BJ74</f>
        <v>3203011221</v>
      </c>
      <c r="G43" s="507">
        <f>'SGTO POAI -MARZO-2021'!BK74</f>
        <v>0</v>
      </c>
      <c r="H43" s="507">
        <f>'SGTO POAI -MARZO-2021'!BL74</f>
        <v>0</v>
      </c>
      <c r="I43" s="507"/>
      <c r="J43" s="507"/>
      <c r="K43" s="507"/>
      <c r="L43" s="507"/>
      <c r="M43" s="507"/>
      <c r="N43" s="507"/>
      <c r="O43" s="507"/>
      <c r="P43" s="507"/>
      <c r="Q43" s="507"/>
      <c r="R43" s="1"/>
      <c r="S43" s="1"/>
      <c r="T43" s="1"/>
      <c r="U43" s="1"/>
      <c r="V43" s="1"/>
    </row>
    <row r="44" spans="1:22" ht="24" customHeight="1" x14ac:dyDescent="0.2">
      <c r="A44" s="145"/>
      <c r="B44" s="131">
        <f>'SGTO POAI -MARZO-2021'!B81</f>
        <v>4</v>
      </c>
      <c r="C44" s="74" t="str">
        <f>'SGTO POAI -MARZO-2021'!D81</f>
        <v xml:space="preserve">LIDERAZGO, GOBERNABILIDAD Y TRANSPARENCIA </v>
      </c>
      <c r="D44" s="74"/>
      <c r="E44" s="74"/>
      <c r="F44" s="74"/>
      <c r="G44" s="74"/>
      <c r="H44" s="74"/>
      <c r="I44" s="74"/>
      <c r="J44" s="74"/>
      <c r="K44" s="74"/>
      <c r="L44" s="502">
        <f>I45</f>
        <v>78000000</v>
      </c>
      <c r="M44" s="502">
        <f t="shared" ref="M44:N44" si="20">J45</f>
        <v>1068000</v>
      </c>
      <c r="N44" s="502">
        <f t="shared" si="20"/>
        <v>0</v>
      </c>
      <c r="O44" s="74"/>
      <c r="P44" s="74"/>
      <c r="Q44" s="74"/>
      <c r="R44" s="1"/>
      <c r="S44" s="1"/>
      <c r="T44" s="1"/>
      <c r="U44" s="1"/>
      <c r="V44" s="1"/>
    </row>
    <row r="45" spans="1:22" ht="24" customHeight="1" x14ac:dyDescent="0.2">
      <c r="A45" s="145"/>
      <c r="B45" s="338"/>
      <c r="C45" s="77">
        <f>'SGTO POAI -MARZO-2021'!D82</f>
        <v>45</v>
      </c>
      <c r="D45" s="75" t="str">
        <f>'SGTO POAI -MARZO-2021'!E82</f>
        <v>Gobierno territorial</v>
      </c>
      <c r="E45" s="504"/>
      <c r="F45" s="504"/>
      <c r="G45" s="504"/>
      <c r="H45" s="504"/>
      <c r="I45" s="505">
        <f>SUM(F46:F47)</f>
        <v>78000000</v>
      </c>
      <c r="J45" s="505">
        <f t="shared" ref="J45:K45" si="21">SUM(G46:G47)</f>
        <v>1068000</v>
      </c>
      <c r="K45" s="505">
        <f t="shared" si="21"/>
        <v>0</v>
      </c>
      <c r="L45" s="506"/>
      <c r="M45" s="506"/>
      <c r="N45" s="506"/>
      <c r="O45" s="504"/>
      <c r="P45" s="504"/>
      <c r="Q45" s="504"/>
    </row>
    <row r="46" spans="1:22" ht="66" customHeight="1" x14ac:dyDescent="0.2">
      <c r="A46" s="145"/>
      <c r="B46" s="87"/>
      <c r="C46" s="87"/>
      <c r="D46" s="338">
        <f>'SGTO POAI -MARZO-2021'!F83</f>
        <v>4599</v>
      </c>
      <c r="E46" s="358" t="str">
        <f>'SGTO POAI -MARZO-2021'!G83</f>
        <v>Fortalecimiento a la gestión y dirección de la administración pública territorial "Quindío con una administración al servicio de la ciudadanía "</v>
      </c>
      <c r="F46" s="507">
        <f>'SGTO POAI -MARZO-2021'!BJ83</f>
        <v>40000000</v>
      </c>
      <c r="G46" s="507">
        <f>'SGTO POAI -MARZO-2021'!BK83</f>
        <v>1068000</v>
      </c>
      <c r="H46" s="507">
        <f>'SGTO POAI -MARZO-2021'!BL83</f>
        <v>0</v>
      </c>
      <c r="I46" s="507"/>
      <c r="J46" s="507"/>
      <c r="K46" s="507"/>
      <c r="L46" s="507"/>
      <c r="M46" s="507"/>
      <c r="N46" s="507"/>
      <c r="O46" s="507"/>
      <c r="P46" s="507"/>
      <c r="Q46" s="507"/>
      <c r="R46" s="1"/>
      <c r="S46" s="1"/>
      <c r="T46" s="1"/>
      <c r="U46" s="1"/>
      <c r="V46" s="1"/>
    </row>
    <row r="47" spans="1:22" ht="53.25" customHeight="1" x14ac:dyDescent="0.2">
      <c r="A47" s="145"/>
      <c r="B47" s="87"/>
      <c r="C47" s="87"/>
      <c r="D47" s="338">
        <f>'SGTO POAI -MARZO-2021'!F85</f>
        <v>4502</v>
      </c>
      <c r="E47" s="358" t="str">
        <f>'SGTO POAI -MARZO-2021'!G85</f>
        <v>Fortalecimiento del buen gobierno para el respeto y garantía de los derechos humanos. "Quindío integrado y participativo"</v>
      </c>
      <c r="F47" s="507">
        <f>'SGTO POAI -MARZO-2021'!BJ85</f>
        <v>38000000</v>
      </c>
      <c r="G47" s="507">
        <f>'SGTO POAI -MARZO-2021'!BK85</f>
        <v>0</v>
      </c>
      <c r="H47" s="507">
        <f>'SGTO POAI -MARZO-2021'!BL85</f>
        <v>0</v>
      </c>
      <c r="I47" s="507"/>
      <c r="J47" s="507"/>
      <c r="K47" s="507"/>
      <c r="L47" s="507"/>
      <c r="M47" s="507"/>
      <c r="N47" s="507"/>
      <c r="O47" s="507"/>
      <c r="P47" s="507"/>
      <c r="Q47" s="507"/>
    </row>
    <row r="48" spans="1:22" s="11" customFormat="1" x14ac:dyDescent="0.2">
      <c r="A48" s="58"/>
      <c r="B48" s="509"/>
      <c r="C48" s="509"/>
      <c r="D48" s="509"/>
      <c r="E48" s="510"/>
      <c r="F48" s="510"/>
      <c r="G48" s="510"/>
      <c r="H48" s="510"/>
      <c r="I48" s="510"/>
      <c r="J48" s="510"/>
      <c r="K48" s="510"/>
      <c r="L48" s="510"/>
      <c r="M48" s="510"/>
      <c r="N48" s="510"/>
      <c r="O48" s="510"/>
      <c r="P48" s="510"/>
      <c r="Q48" s="510"/>
      <c r="R48" s="18"/>
      <c r="S48" s="18"/>
      <c r="T48" s="18"/>
      <c r="U48" s="18"/>
      <c r="V48" s="18"/>
    </row>
    <row r="49" spans="1:22" ht="24" customHeight="1" x14ac:dyDescent="0.2">
      <c r="A49" s="41" t="s">
        <v>277</v>
      </c>
      <c r="B49" s="42"/>
      <c r="C49" s="42"/>
      <c r="D49" s="42"/>
      <c r="E49" s="43"/>
      <c r="F49" s="43"/>
      <c r="G49" s="43"/>
      <c r="H49" s="43"/>
      <c r="I49" s="43"/>
      <c r="J49" s="43"/>
      <c r="K49" s="43"/>
      <c r="L49" s="43"/>
      <c r="M49" s="43"/>
      <c r="N49" s="43"/>
      <c r="O49" s="43">
        <f>SUM(L50:L67)</f>
        <v>2819447380.3299999</v>
      </c>
      <c r="P49" s="43">
        <f t="shared" ref="P49:Q49" si="22">SUM(M50:M67)</f>
        <v>532279150.32999998</v>
      </c>
      <c r="Q49" s="43">
        <f t="shared" si="22"/>
        <v>77820171</v>
      </c>
    </row>
    <row r="50" spans="1:22" ht="24" customHeight="1" x14ac:dyDescent="0.2">
      <c r="A50" s="145"/>
      <c r="B50" s="131">
        <f>'SGTO POAI -MARZO-2021'!B89</f>
        <v>1</v>
      </c>
      <c r="C50" s="74" t="str">
        <f>'SGTO POAI -MARZO-2021'!D89</f>
        <v xml:space="preserve">INCLUSIÓN SOCIAL Y EQUIDAD </v>
      </c>
      <c r="D50" s="74"/>
      <c r="E50" s="74"/>
      <c r="F50" s="74"/>
      <c r="G50" s="74"/>
      <c r="H50" s="74"/>
      <c r="I50" s="74"/>
      <c r="J50" s="74"/>
      <c r="K50" s="74"/>
      <c r="L50" s="502">
        <f>SUM(I51:I60)</f>
        <v>2313447380.3299999</v>
      </c>
      <c r="M50" s="502">
        <f t="shared" ref="M50:N50" si="23">SUM(J51:J60)</f>
        <v>320958920.32999998</v>
      </c>
      <c r="N50" s="502">
        <f t="shared" si="23"/>
        <v>35240171</v>
      </c>
      <c r="O50" s="74"/>
      <c r="P50" s="74"/>
      <c r="Q50" s="74"/>
    </row>
    <row r="51" spans="1:22" ht="24" customHeight="1" x14ac:dyDescent="0.2">
      <c r="A51" s="145"/>
      <c r="B51" s="338"/>
      <c r="C51" s="77">
        <f>'SGTO POAI -MARZO-2021'!D90</f>
        <v>12</v>
      </c>
      <c r="D51" s="75" t="str">
        <f>'SGTO POAI -MARZO-2021'!E90</f>
        <v>Justicia y del derecho</v>
      </c>
      <c r="E51" s="75"/>
      <c r="F51" s="504"/>
      <c r="G51" s="504"/>
      <c r="H51" s="504"/>
      <c r="I51" s="505">
        <f>SUM(F52:F54)</f>
        <v>186000000</v>
      </c>
      <c r="J51" s="505">
        <f t="shared" ref="J51:K51" si="24">SUM(G52:G54)</f>
        <v>104240000</v>
      </c>
      <c r="K51" s="505">
        <f t="shared" si="24"/>
        <v>13540000</v>
      </c>
      <c r="L51" s="506"/>
      <c r="M51" s="506"/>
      <c r="N51" s="506"/>
      <c r="O51" s="504"/>
      <c r="P51" s="504"/>
      <c r="Q51" s="504"/>
    </row>
    <row r="52" spans="1:22" ht="34.5" customHeight="1" x14ac:dyDescent="0.2">
      <c r="A52" s="145"/>
      <c r="B52" s="87"/>
      <c r="C52" s="87"/>
      <c r="D52" s="338">
        <f>'SGTO POAI -MARZO-2021'!F91</f>
        <v>1202</v>
      </c>
      <c r="E52" s="358" t="str">
        <f>'SGTO POAI -MARZO-2021'!G91</f>
        <v>Promoción al acceso a la justicia. "Tú y yo con justicia"</v>
      </c>
      <c r="F52" s="507">
        <f>'SGTO POAI -MARZO-2021'!BJ91</f>
        <v>114000000</v>
      </c>
      <c r="G52" s="507">
        <f>'SGTO POAI -MARZO-2021'!BK91</f>
        <v>68700000</v>
      </c>
      <c r="H52" s="507">
        <f>'SGTO POAI -MARZO-2021'!BL91</f>
        <v>10655000</v>
      </c>
      <c r="I52" s="507"/>
      <c r="J52" s="507"/>
      <c r="K52" s="507"/>
      <c r="L52" s="507"/>
      <c r="M52" s="507"/>
      <c r="N52" s="507"/>
      <c r="O52" s="507"/>
      <c r="P52" s="507"/>
      <c r="Q52" s="507"/>
    </row>
    <row r="53" spans="1:22" ht="36.75" customHeight="1" x14ac:dyDescent="0.2">
      <c r="A53" s="145"/>
      <c r="B53" s="87"/>
      <c r="C53" s="87"/>
      <c r="D53" s="338">
        <f>'SGTO POAI -MARZO-2021'!F93</f>
        <v>1203</v>
      </c>
      <c r="E53" s="358" t="str">
        <f>'SGTO POAI -MARZO-2021'!G93</f>
        <v>Promoción de los métodos de resolución de conflictos. "Tú y yo resolvemos los conflictos"</v>
      </c>
      <c r="F53" s="507">
        <f>'SGTO POAI -MARZO-2021'!BJ93</f>
        <v>36000000</v>
      </c>
      <c r="G53" s="507">
        <f>'SGTO POAI -MARZO-2021'!BK93</f>
        <v>25540000</v>
      </c>
      <c r="H53" s="507">
        <f>'SGTO POAI -MARZO-2021'!BL93</f>
        <v>0</v>
      </c>
      <c r="I53" s="507"/>
      <c r="J53" s="507"/>
      <c r="K53" s="507"/>
      <c r="L53" s="507"/>
      <c r="M53" s="507"/>
      <c r="N53" s="507"/>
      <c r="O53" s="507"/>
      <c r="P53" s="507"/>
      <c r="Q53" s="507"/>
    </row>
    <row r="54" spans="1:22" ht="60" customHeight="1" x14ac:dyDescent="0.2">
      <c r="A54" s="145"/>
      <c r="B54" s="87"/>
      <c r="C54" s="87"/>
      <c r="D54" s="338">
        <f>'SGTO POAI -MARZO-2021'!F95</f>
        <v>1206</v>
      </c>
      <c r="E54" s="358" t="str">
        <f>'SGTO POAI -MARZO-2021'!G95</f>
        <v>Sistema penitenciario y carcelario en el marco de los derechos humanos. "Quindío respeta derechos penitenciarios"</v>
      </c>
      <c r="F54" s="507">
        <f>'SGTO POAI -MARZO-2021'!BJ95</f>
        <v>36000000</v>
      </c>
      <c r="G54" s="507">
        <f>'SGTO POAI -MARZO-2021'!BK95</f>
        <v>10000000</v>
      </c>
      <c r="H54" s="507">
        <f>'SGTO POAI -MARZO-2021'!BL95</f>
        <v>2885000</v>
      </c>
      <c r="I54" s="507"/>
      <c r="J54" s="507"/>
      <c r="K54" s="507"/>
      <c r="L54" s="507"/>
      <c r="M54" s="507"/>
      <c r="N54" s="507"/>
      <c r="O54" s="507"/>
      <c r="P54" s="507"/>
      <c r="Q54" s="507"/>
    </row>
    <row r="55" spans="1:22" ht="24" customHeight="1" x14ac:dyDescent="0.2">
      <c r="A55" s="145"/>
      <c r="B55" s="338"/>
      <c r="C55" s="77">
        <f>'SGTO POAI -MARZO-2021'!D97</f>
        <v>22</v>
      </c>
      <c r="D55" s="511" t="str">
        <f>'SGTO POAI -MARZO-2021'!E97</f>
        <v>Educación</v>
      </c>
      <c r="E55" s="512"/>
      <c r="F55" s="504"/>
      <c r="G55" s="504"/>
      <c r="H55" s="504"/>
      <c r="I55" s="505">
        <f>F56</f>
        <v>30000000</v>
      </c>
      <c r="J55" s="505">
        <f t="shared" ref="J55:K55" si="25">G56</f>
        <v>27042500</v>
      </c>
      <c r="K55" s="505">
        <f t="shared" si="25"/>
        <v>1855000</v>
      </c>
      <c r="L55" s="506"/>
      <c r="M55" s="506"/>
      <c r="N55" s="506"/>
      <c r="O55" s="504"/>
      <c r="P55" s="504"/>
      <c r="Q55" s="504"/>
    </row>
    <row r="56" spans="1:22" ht="62.25" customHeight="1" x14ac:dyDescent="0.2">
      <c r="A56" s="145"/>
      <c r="B56" s="87"/>
      <c r="C56" s="87"/>
      <c r="D56" s="338">
        <f>'SGTO POAI -MARZO-2021'!F98</f>
        <v>2201</v>
      </c>
      <c r="E56" s="358" t="str">
        <f>'SGTO POAI -MARZO-2021'!G98</f>
        <v>Calidad, cobertura y fortalecimiento de la educación inicial, prescolar, básica y media." Tú y yo con educación y de calidad"</v>
      </c>
      <c r="F56" s="507">
        <f>'SGTO POAI -MARZO-2021'!BJ98</f>
        <v>30000000</v>
      </c>
      <c r="G56" s="507">
        <f>'SGTO POAI -MARZO-2021'!BK98</f>
        <v>27042500</v>
      </c>
      <c r="H56" s="507">
        <f>'SGTO POAI -MARZO-2021'!BL98</f>
        <v>1855000</v>
      </c>
      <c r="I56" s="507"/>
      <c r="J56" s="507"/>
      <c r="K56" s="507"/>
      <c r="L56" s="507"/>
      <c r="M56" s="507"/>
      <c r="N56" s="507"/>
      <c r="O56" s="507"/>
      <c r="P56" s="507"/>
      <c r="Q56" s="507"/>
    </row>
    <row r="57" spans="1:22" ht="24" customHeight="1" x14ac:dyDescent="0.2">
      <c r="A57" s="145"/>
      <c r="B57" s="338"/>
      <c r="C57" s="77">
        <f>'SGTO POAI -MARZO-2021'!D100</f>
        <v>41</v>
      </c>
      <c r="D57" s="75" t="str">
        <f>'SGTO POAI -MARZO-2021'!E100</f>
        <v xml:space="preserve">Inclusión social y Reconciliación </v>
      </c>
      <c r="E57" s="504"/>
      <c r="F57" s="504"/>
      <c r="G57" s="504"/>
      <c r="H57" s="504"/>
      <c r="I57" s="505">
        <f>SUM(F58:F59)</f>
        <v>224000000</v>
      </c>
      <c r="J57" s="505">
        <f t="shared" ref="J57:K57" si="26">SUM(G58:G59)</f>
        <v>63719410</v>
      </c>
      <c r="K57" s="505">
        <f t="shared" si="26"/>
        <v>16960171</v>
      </c>
      <c r="L57" s="506"/>
      <c r="M57" s="506"/>
      <c r="N57" s="506"/>
      <c r="O57" s="504"/>
      <c r="P57" s="504"/>
      <c r="Q57" s="504"/>
    </row>
    <row r="58" spans="1:22" ht="44.25" customHeight="1" x14ac:dyDescent="0.2">
      <c r="A58" s="145"/>
      <c r="B58" s="87"/>
      <c r="C58" s="87"/>
      <c r="D58" s="338">
        <f>'SGTO POAI -MARZO-2021'!F101</f>
        <v>4101</v>
      </c>
      <c r="E58" s="358" t="str">
        <f>'SGTO POAI -MARZO-2021'!G101</f>
        <v>Atención, asistencia y reparación integral a las víctimas. "Tú y yo con reparación integral"</v>
      </c>
      <c r="F58" s="507">
        <f>'SGTO POAI -MARZO-2021'!BJ101</f>
        <v>206000000</v>
      </c>
      <c r="G58" s="507">
        <f>'SGTO POAI -MARZO-2021'!BK101</f>
        <v>62719410</v>
      </c>
      <c r="H58" s="507">
        <f>'SGTO POAI -MARZO-2021'!BL101</f>
        <v>16960171</v>
      </c>
      <c r="I58" s="507"/>
      <c r="J58" s="507"/>
      <c r="K58" s="507"/>
      <c r="L58" s="507"/>
      <c r="M58" s="507"/>
      <c r="N58" s="507"/>
      <c r="O58" s="507"/>
      <c r="P58" s="507"/>
      <c r="Q58" s="507"/>
    </row>
    <row r="59" spans="1:22" ht="57" customHeight="1" x14ac:dyDescent="0.2">
      <c r="A59" s="145"/>
      <c r="B59" s="87"/>
      <c r="C59" s="87"/>
      <c r="D59" s="338">
        <f>'SGTO POAI -MARZO-2021'!F107</f>
        <v>4103</v>
      </c>
      <c r="E59" s="358" t="str">
        <f>'SGTO POAI -MARZO-2021'!G107</f>
        <v>Inclusión social y productiva para la población en situación de vulnerabilidad. "Tú y yo, población vulnerable incluida"</v>
      </c>
      <c r="F59" s="507">
        <f>'SGTO POAI -MARZO-2021'!BJ107</f>
        <v>18000000</v>
      </c>
      <c r="G59" s="507">
        <f>'SGTO POAI -MARZO-2021'!BK107</f>
        <v>1000000</v>
      </c>
      <c r="H59" s="507">
        <f>'SGTO POAI -MARZO-2021'!BL107</f>
        <v>0</v>
      </c>
      <c r="I59" s="507"/>
      <c r="J59" s="507"/>
      <c r="K59" s="507"/>
      <c r="L59" s="507"/>
      <c r="M59" s="507"/>
      <c r="N59" s="507"/>
      <c r="O59" s="507"/>
      <c r="P59" s="507"/>
      <c r="Q59" s="507"/>
      <c r="R59" s="1"/>
      <c r="S59" s="1"/>
      <c r="T59" s="1"/>
      <c r="U59" s="1"/>
      <c r="V59" s="1"/>
    </row>
    <row r="60" spans="1:22" ht="24" customHeight="1" x14ac:dyDescent="0.2">
      <c r="A60" s="145"/>
      <c r="B60" s="338"/>
      <c r="C60" s="77">
        <f>'SGTO POAI -MARZO-2021'!D109</f>
        <v>45</v>
      </c>
      <c r="D60" s="75" t="str">
        <f>'SGTO POAI -MARZO-2021'!E109</f>
        <v>Gobierno territorial</v>
      </c>
      <c r="E60" s="504"/>
      <c r="F60" s="504"/>
      <c r="G60" s="504"/>
      <c r="H60" s="504"/>
      <c r="I60" s="505">
        <f>F61</f>
        <v>1873447380.3299999</v>
      </c>
      <c r="J60" s="505">
        <f t="shared" ref="J60:K60" si="27">G61</f>
        <v>125957010.33</v>
      </c>
      <c r="K60" s="505">
        <f t="shared" si="27"/>
        <v>2885000</v>
      </c>
      <c r="L60" s="506"/>
      <c r="M60" s="506"/>
      <c r="N60" s="506"/>
      <c r="O60" s="504"/>
      <c r="P60" s="504"/>
      <c r="Q60" s="504"/>
    </row>
    <row r="61" spans="1:22" ht="53.25" customHeight="1" x14ac:dyDescent="0.2">
      <c r="A61" s="145"/>
      <c r="B61" s="87"/>
      <c r="C61" s="87"/>
      <c r="D61" s="338">
        <f>'SGTO POAI -MARZO-2021'!F110</f>
        <v>4501</v>
      </c>
      <c r="E61" s="358" t="str">
        <f>'SGTO POAI -MARZO-2021'!G110</f>
        <v>Fortalecimiento de la convivencia y la seguridad ciudadana. "Tú y yo seguros"</v>
      </c>
      <c r="F61" s="507">
        <f>'SGTO POAI -MARZO-2021'!BJ110</f>
        <v>1873447380.3299999</v>
      </c>
      <c r="G61" s="507">
        <f>'SGTO POAI -MARZO-2021'!BK110</f>
        <v>125957010.33</v>
      </c>
      <c r="H61" s="507">
        <f>'SGTO POAI -MARZO-2021'!BL110</f>
        <v>2885000</v>
      </c>
      <c r="I61" s="507"/>
      <c r="J61" s="507"/>
      <c r="K61" s="507"/>
      <c r="L61" s="507"/>
      <c r="M61" s="507"/>
      <c r="N61" s="507"/>
      <c r="O61" s="507"/>
      <c r="P61" s="507"/>
      <c r="Q61" s="507"/>
      <c r="R61" s="1"/>
      <c r="S61" s="1"/>
      <c r="T61" s="1"/>
      <c r="U61" s="1"/>
      <c r="V61" s="1"/>
    </row>
    <row r="62" spans="1:22" ht="24" customHeight="1" x14ac:dyDescent="0.2">
      <c r="A62" s="145"/>
      <c r="B62" s="131">
        <f>'SGTO POAI -MARZO-2021'!B113</f>
        <v>3</v>
      </c>
      <c r="C62" s="74" t="str">
        <f>'SGTO POAI -MARZO-2021'!D113</f>
        <v xml:space="preserve">TERRITORIO, AMBIENTE Y DESARROLLO SOSTENIBLE </v>
      </c>
      <c r="D62" s="74"/>
      <c r="E62" s="74"/>
      <c r="F62" s="74"/>
      <c r="G62" s="74"/>
      <c r="H62" s="74"/>
      <c r="I62" s="74"/>
      <c r="J62" s="74"/>
      <c r="K62" s="74"/>
      <c r="L62" s="502">
        <f>SUM(I63:I65)</f>
        <v>193000000</v>
      </c>
      <c r="M62" s="502">
        <f t="shared" ref="M62:N62" si="28">SUM(J63:J65)</f>
        <v>89649469</v>
      </c>
      <c r="N62" s="502">
        <f t="shared" si="28"/>
        <v>18240000</v>
      </c>
      <c r="O62" s="74"/>
      <c r="P62" s="74"/>
      <c r="Q62" s="74"/>
      <c r="R62" s="1"/>
      <c r="S62" s="1"/>
      <c r="T62" s="1"/>
      <c r="U62" s="1"/>
      <c r="V62" s="1"/>
    </row>
    <row r="63" spans="1:22" ht="24" customHeight="1" x14ac:dyDescent="0.2">
      <c r="A63" s="145"/>
      <c r="B63" s="338"/>
      <c r="C63" s="77">
        <f>'SGTO POAI -MARZO-2021'!D114</f>
        <v>32</v>
      </c>
      <c r="D63" s="75" t="str">
        <f>'SGTO POAI -MARZO-2021'!E114</f>
        <v>Ambiente y desarrollo sostenible</v>
      </c>
      <c r="E63" s="75"/>
      <c r="F63" s="504"/>
      <c r="G63" s="504"/>
      <c r="H63" s="504"/>
      <c r="I63" s="505">
        <f>F64</f>
        <v>45000000</v>
      </c>
      <c r="J63" s="505">
        <f t="shared" ref="J63:K63" si="29">G64</f>
        <v>25200000</v>
      </c>
      <c r="K63" s="505">
        <f t="shared" si="29"/>
        <v>5600000</v>
      </c>
      <c r="L63" s="506"/>
      <c r="M63" s="506"/>
      <c r="N63" s="506"/>
      <c r="O63" s="504"/>
      <c r="P63" s="504"/>
      <c r="Q63" s="504"/>
    </row>
    <row r="64" spans="1:22" s="44" customFormat="1" ht="46.5" customHeight="1" x14ac:dyDescent="0.2">
      <c r="A64" s="337"/>
      <c r="B64" s="338"/>
      <c r="C64" s="338"/>
      <c r="D64" s="338">
        <f>'SGTO POAI -MARZO-2021'!F115</f>
        <v>3205</v>
      </c>
      <c r="E64" s="358" t="str">
        <f>'SGTO POAI -MARZO-2021'!G115</f>
        <v>Ordenamiento Ambiental Territorial. "Tú y yo planificamos con sentido ambiental"</v>
      </c>
      <c r="F64" s="507">
        <f>'SGTO POAI -MARZO-2021'!BJ115</f>
        <v>45000000</v>
      </c>
      <c r="G64" s="507">
        <f>'SGTO POAI -MARZO-2021'!BK115</f>
        <v>25200000</v>
      </c>
      <c r="H64" s="507">
        <f>'SGTO POAI -MARZO-2021'!BL115</f>
        <v>5600000</v>
      </c>
      <c r="I64" s="507"/>
      <c r="J64" s="507"/>
      <c r="K64" s="507"/>
      <c r="L64" s="507"/>
      <c r="M64" s="507"/>
      <c r="N64" s="507"/>
      <c r="O64" s="507"/>
      <c r="P64" s="507"/>
      <c r="Q64" s="507"/>
    </row>
    <row r="65" spans="1:22" ht="24" customHeight="1" x14ac:dyDescent="0.2">
      <c r="A65" s="145"/>
      <c r="B65" s="338"/>
      <c r="C65" s="77">
        <f>'SGTO POAI -MARZO-2021'!D117</f>
        <v>45</v>
      </c>
      <c r="D65" s="75" t="str">
        <f>'SGTO POAI -MARZO-2021'!E117</f>
        <v>Gobierno territorial</v>
      </c>
      <c r="E65" s="504"/>
      <c r="F65" s="504"/>
      <c r="G65" s="504"/>
      <c r="H65" s="504"/>
      <c r="I65" s="505">
        <f>F66</f>
        <v>148000000</v>
      </c>
      <c r="J65" s="505">
        <f t="shared" ref="J65:K65" si="30">G66</f>
        <v>64449469</v>
      </c>
      <c r="K65" s="505">
        <f t="shared" si="30"/>
        <v>12640000</v>
      </c>
      <c r="L65" s="506"/>
      <c r="M65" s="506"/>
      <c r="N65" s="506"/>
      <c r="O65" s="504"/>
      <c r="P65" s="504"/>
      <c r="Q65" s="504"/>
    </row>
    <row r="66" spans="1:22" s="44" customFormat="1" ht="44.25" customHeight="1" x14ac:dyDescent="0.2">
      <c r="A66" s="337"/>
      <c r="B66" s="338"/>
      <c r="C66" s="338"/>
      <c r="D66" s="338">
        <f>'SGTO POAI -MARZO-2021'!F118</f>
        <v>4503</v>
      </c>
      <c r="E66" s="358" t="str">
        <f>'SGTO POAI -MARZO-2021'!G118</f>
        <v>Gestión del riesgo de desastres y emergencias. "Tú y yo preparados en gestión del riesgo"</v>
      </c>
      <c r="F66" s="507">
        <f>'SGTO POAI -MARZO-2021'!BJ118</f>
        <v>148000000</v>
      </c>
      <c r="G66" s="507">
        <f>'SGTO POAI -MARZO-2021'!BK118</f>
        <v>64449469</v>
      </c>
      <c r="H66" s="507">
        <f>'SGTO POAI -MARZO-2021'!BL118</f>
        <v>12640000</v>
      </c>
      <c r="I66" s="507"/>
      <c r="J66" s="507"/>
      <c r="K66" s="507"/>
      <c r="L66" s="507"/>
      <c r="M66" s="507"/>
      <c r="N66" s="507"/>
      <c r="O66" s="507"/>
      <c r="P66" s="507"/>
      <c r="Q66" s="507"/>
    </row>
    <row r="67" spans="1:22" ht="24" customHeight="1" x14ac:dyDescent="0.2">
      <c r="A67" s="145"/>
      <c r="B67" s="131">
        <f>'SGTO POAI -MARZO-2021'!B122</f>
        <v>4</v>
      </c>
      <c r="C67" s="74" t="str">
        <f>'SGTO POAI -MARZO-2021'!D122</f>
        <v xml:space="preserve">LIDERAZGO, GOBERNABILIDAD Y TRANSPARENCIA </v>
      </c>
      <c r="D67" s="74"/>
      <c r="E67" s="515"/>
      <c r="F67" s="74"/>
      <c r="G67" s="74"/>
      <c r="H67" s="74"/>
      <c r="I67" s="74"/>
      <c r="J67" s="74"/>
      <c r="K67" s="74"/>
      <c r="L67" s="502">
        <f>I68</f>
        <v>313000000</v>
      </c>
      <c r="M67" s="502">
        <f t="shared" ref="M67:N67" si="31">J68</f>
        <v>121670761</v>
      </c>
      <c r="N67" s="502">
        <f t="shared" si="31"/>
        <v>24340000</v>
      </c>
      <c r="O67" s="74"/>
      <c r="P67" s="74"/>
      <c r="Q67" s="74"/>
      <c r="R67" s="1"/>
      <c r="S67" s="1"/>
      <c r="T67" s="1"/>
      <c r="U67" s="1"/>
      <c r="V67" s="1"/>
    </row>
    <row r="68" spans="1:22" ht="24" customHeight="1" x14ac:dyDescent="0.2">
      <c r="A68" s="145"/>
      <c r="B68" s="338"/>
      <c r="C68" s="77">
        <f>'SGTO POAI -MARZO-2021'!D123</f>
        <v>45</v>
      </c>
      <c r="D68" s="75" t="str">
        <f>'SGTO POAI -MARZO-2021'!E123</f>
        <v>Gobierno territorial</v>
      </c>
      <c r="E68" s="516"/>
      <c r="F68" s="504"/>
      <c r="G68" s="504"/>
      <c r="H68" s="504"/>
      <c r="I68" s="505">
        <f>F69</f>
        <v>313000000</v>
      </c>
      <c r="J68" s="505">
        <f t="shared" ref="J68:K68" si="32">G69</f>
        <v>121670761</v>
      </c>
      <c r="K68" s="505">
        <f t="shared" si="32"/>
        <v>24340000</v>
      </c>
      <c r="L68" s="506"/>
      <c r="M68" s="506"/>
      <c r="N68" s="506"/>
      <c r="O68" s="504"/>
      <c r="P68" s="504"/>
      <c r="Q68" s="504"/>
    </row>
    <row r="69" spans="1:22" s="44" customFormat="1" ht="54.75" customHeight="1" x14ac:dyDescent="0.2">
      <c r="A69" s="337"/>
      <c r="B69" s="82"/>
      <c r="C69" s="82"/>
      <c r="D69" s="338">
        <f>'SGTO POAI -MARZO-2021'!F124</f>
        <v>4502</v>
      </c>
      <c r="E69" s="358" t="str">
        <f>'SGTO POAI -MARZO-2021'!G124</f>
        <v>Fortalecimiento del buen gobierno para el respeto y garantía de los derechos humanos. "Quindío integrado y participativo"</v>
      </c>
      <c r="F69" s="508">
        <f>'SGTO POAI -MARZO-2021'!BJ124</f>
        <v>313000000</v>
      </c>
      <c r="G69" s="508">
        <f>'SGTO POAI -MARZO-2021'!BK124</f>
        <v>121670761</v>
      </c>
      <c r="H69" s="508">
        <f>'SGTO POAI -MARZO-2021'!BL124</f>
        <v>24340000</v>
      </c>
      <c r="I69" s="508"/>
      <c r="J69" s="508"/>
      <c r="K69" s="508"/>
      <c r="L69" s="508"/>
      <c r="M69" s="508"/>
      <c r="N69" s="508"/>
      <c r="O69" s="508"/>
      <c r="P69" s="508"/>
      <c r="Q69" s="508"/>
    </row>
    <row r="70" spans="1:22" s="11" customFormat="1" x14ac:dyDescent="0.2">
      <c r="A70" s="58"/>
      <c r="B70" s="509"/>
      <c r="C70" s="509"/>
      <c r="D70" s="509"/>
      <c r="E70" s="510"/>
      <c r="F70" s="510"/>
      <c r="G70" s="510"/>
      <c r="H70" s="510"/>
      <c r="I70" s="510"/>
      <c r="J70" s="510"/>
      <c r="K70" s="510"/>
      <c r="L70" s="510"/>
      <c r="M70" s="510"/>
      <c r="N70" s="510"/>
      <c r="O70" s="510"/>
      <c r="P70" s="510"/>
      <c r="Q70" s="510"/>
      <c r="R70" s="18"/>
      <c r="S70" s="18"/>
      <c r="T70" s="18"/>
      <c r="U70" s="18"/>
      <c r="V70" s="18"/>
    </row>
    <row r="71" spans="1:22" ht="24" customHeight="1" x14ac:dyDescent="0.2">
      <c r="A71" s="41" t="s">
        <v>376</v>
      </c>
      <c r="B71" s="42"/>
      <c r="C71" s="42"/>
      <c r="D71" s="42"/>
      <c r="E71" s="43"/>
      <c r="F71" s="43"/>
      <c r="G71" s="43"/>
      <c r="H71" s="43"/>
      <c r="I71" s="43"/>
      <c r="J71" s="43"/>
      <c r="K71" s="43"/>
      <c r="L71" s="43"/>
      <c r="M71" s="43"/>
      <c r="N71" s="43"/>
      <c r="O71" s="43">
        <f>L72</f>
        <v>4038357225.02</v>
      </c>
      <c r="P71" s="43">
        <f t="shared" ref="P71:Q71" si="33">M72</f>
        <v>80995000</v>
      </c>
      <c r="Q71" s="43">
        <f t="shared" si="33"/>
        <v>0</v>
      </c>
      <c r="R71" s="1"/>
      <c r="S71" s="1"/>
      <c r="T71" s="1"/>
      <c r="U71" s="1"/>
      <c r="V71" s="1"/>
    </row>
    <row r="72" spans="1:22" ht="24" customHeight="1" x14ac:dyDescent="0.2">
      <c r="A72" s="145"/>
      <c r="B72" s="131">
        <f>'SGTO POAI -MARZO-2021'!B132</f>
        <v>1</v>
      </c>
      <c r="C72" s="74" t="str">
        <f>'SGTO POAI -MARZO-2021'!D132</f>
        <v xml:space="preserve">INCLUSIÓN SOCIAL Y EQUIDAD </v>
      </c>
      <c r="D72" s="74"/>
      <c r="E72" s="74"/>
      <c r="F72" s="74"/>
      <c r="G72" s="74"/>
      <c r="H72" s="74"/>
      <c r="I72" s="74"/>
      <c r="J72" s="74"/>
      <c r="K72" s="74"/>
      <c r="L72" s="502">
        <f>I73</f>
        <v>4038357225.02</v>
      </c>
      <c r="M72" s="502">
        <f t="shared" ref="M72:N72" si="34">J73</f>
        <v>80995000</v>
      </c>
      <c r="N72" s="502">
        <f t="shared" si="34"/>
        <v>0</v>
      </c>
      <c r="O72" s="74"/>
      <c r="P72" s="74"/>
      <c r="Q72" s="74"/>
      <c r="R72" s="1"/>
      <c r="S72" s="1"/>
      <c r="T72" s="1"/>
      <c r="U72" s="1"/>
      <c r="V72" s="1"/>
    </row>
    <row r="73" spans="1:22" ht="24" customHeight="1" x14ac:dyDescent="0.2">
      <c r="A73" s="145"/>
      <c r="B73" s="338"/>
      <c r="C73" s="77">
        <f>'SGTO POAI -MARZO-2021'!D133</f>
        <v>33</v>
      </c>
      <c r="D73" s="511" t="str">
        <f>'SGTO POAI -MARZO-2021'!E133</f>
        <v>Cultura</v>
      </c>
      <c r="E73" s="512"/>
      <c r="F73" s="504"/>
      <c r="G73" s="504"/>
      <c r="H73" s="504"/>
      <c r="I73" s="505">
        <f>SUM(F74:F75)</f>
        <v>4038357225.02</v>
      </c>
      <c r="J73" s="505">
        <f t="shared" ref="J73:K73" si="35">SUM(G74:G75)</f>
        <v>80995000</v>
      </c>
      <c r="K73" s="505">
        <f t="shared" si="35"/>
        <v>0</v>
      </c>
      <c r="L73" s="506"/>
      <c r="M73" s="506"/>
      <c r="N73" s="506"/>
      <c r="O73" s="504"/>
      <c r="P73" s="504"/>
      <c r="Q73" s="504"/>
    </row>
    <row r="74" spans="1:22" s="44" customFormat="1" ht="46.5" customHeight="1" x14ac:dyDescent="0.2">
      <c r="A74" s="337"/>
      <c r="B74" s="338"/>
      <c r="C74" s="338"/>
      <c r="D74" s="338">
        <f>'SGTO POAI -MARZO-2021'!F134</f>
        <v>3301</v>
      </c>
      <c r="E74" s="358" t="str">
        <f>'SGTO POAI -MARZO-2021'!G134</f>
        <v>Promoción y acceso efectivo a procesos culturales y artísticos. "Tú y yo somos cultura Quindiana"</v>
      </c>
      <c r="F74" s="507">
        <f>'SGTO POAI -MARZO-2021'!BJ134</f>
        <v>3642319083.02</v>
      </c>
      <c r="G74" s="507">
        <f>'SGTO POAI -MARZO-2021'!BK134</f>
        <v>61335000</v>
      </c>
      <c r="H74" s="507">
        <f>'SGTO POAI -MARZO-2021'!BL134</f>
        <v>0</v>
      </c>
      <c r="I74" s="507"/>
      <c r="J74" s="507"/>
      <c r="K74" s="507"/>
      <c r="L74" s="507"/>
      <c r="M74" s="507"/>
      <c r="N74" s="507"/>
      <c r="O74" s="507"/>
      <c r="P74" s="507"/>
      <c r="Q74" s="507"/>
    </row>
    <row r="75" spans="1:22" s="44" customFormat="1" ht="51" customHeight="1" x14ac:dyDescent="0.2">
      <c r="A75" s="337"/>
      <c r="B75" s="338"/>
      <c r="C75" s="338"/>
      <c r="D75" s="338">
        <f>'SGTO POAI -MARZO-2021'!F143</f>
        <v>3302</v>
      </c>
      <c r="E75" s="358" t="str">
        <f>'SGTO POAI -MARZO-2021'!G143</f>
        <v>Gestión, protección y salvaguardia del patrimonio cultural colombiano. "Tú y yo protectores del patrimonio cultural"</v>
      </c>
      <c r="F75" s="508">
        <f>'SGTO POAI -MARZO-2021'!BJ143</f>
        <v>396038142</v>
      </c>
      <c r="G75" s="508">
        <f>'SGTO POAI -MARZO-2021'!BK143</f>
        <v>19660000</v>
      </c>
      <c r="H75" s="508">
        <f>'SGTO POAI -MARZO-2021'!BL143</f>
        <v>0</v>
      </c>
      <c r="I75" s="508"/>
      <c r="J75" s="508"/>
      <c r="K75" s="508"/>
      <c r="L75" s="508"/>
      <c r="M75" s="508"/>
      <c r="N75" s="508"/>
      <c r="O75" s="508"/>
      <c r="P75" s="508"/>
      <c r="Q75" s="508"/>
    </row>
    <row r="76" spans="1:22" s="11" customFormat="1" x14ac:dyDescent="0.2">
      <c r="A76" s="58"/>
      <c r="B76" s="509"/>
      <c r="C76" s="509"/>
      <c r="D76" s="509"/>
      <c r="E76" s="510"/>
      <c r="F76" s="510"/>
      <c r="G76" s="510"/>
      <c r="H76" s="510"/>
      <c r="I76" s="510"/>
      <c r="J76" s="510"/>
      <c r="K76" s="510"/>
      <c r="L76" s="510"/>
      <c r="M76" s="510"/>
      <c r="N76" s="510"/>
      <c r="O76" s="510"/>
      <c r="P76" s="510"/>
      <c r="Q76" s="510"/>
      <c r="R76" s="18"/>
      <c r="S76" s="18"/>
      <c r="T76" s="18"/>
      <c r="U76" s="18"/>
      <c r="V76" s="18"/>
    </row>
    <row r="77" spans="1:22" ht="24" customHeight="1" x14ac:dyDescent="0.2">
      <c r="A77" s="41" t="s">
        <v>417</v>
      </c>
      <c r="B77" s="42"/>
      <c r="C77" s="42"/>
      <c r="D77" s="42"/>
      <c r="E77" s="43"/>
      <c r="F77" s="43"/>
      <c r="G77" s="43"/>
      <c r="H77" s="43"/>
      <c r="I77" s="43"/>
      <c r="J77" s="43"/>
      <c r="K77" s="43"/>
      <c r="L77" s="43"/>
      <c r="M77" s="43"/>
      <c r="N77" s="43"/>
      <c r="O77" s="43">
        <f>SUM(L78)</f>
        <v>2926228339.7600002</v>
      </c>
      <c r="P77" s="43">
        <f t="shared" ref="P77:Q77" si="36">SUM(M78)</f>
        <v>253660000</v>
      </c>
      <c r="Q77" s="43">
        <f t="shared" si="36"/>
        <v>28615000</v>
      </c>
      <c r="R77" s="1"/>
      <c r="S77" s="1"/>
      <c r="T77" s="1"/>
      <c r="U77" s="1"/>
      <c r="V77" s="1"/>
    </row>
    <row r="78" spans="1:22" ht="24" customHeight="1" x14ac:dyDescent="0.2">
      <c r="A78" s="145"/>
      <c r="B78" s="231">
        <f>'SGTO POAI -MARZO-2021'!B148</f>
        <v>2</v>
      </c>
      <c r="C78" s="74" t="str">
        <f>'SGTO POAI -MARZO-2021'!D148</f>
        <v>PRODUCTIVIDAD Y COMPETITIVIDAD</v>
      </c>
      <c r="D78" s="74"/>
      <c r="E78" s="74"/>
      <c r="F78" s="74"/>
      <c r="G78" s="74"/>
      <c r="H78" s="74"/>
      <c r="I78" s="74"/>
      <c r="J78" s="74"/>
      <c r="K78" s="74"/>
      <c r="L78" s="502">
        <f>SUM(I79:I81)</f>
        <v>2926228339.7600002</v>
      </c>
      <c r="M78" s="502">
        <f t="shared" ref="M78:N78" si="37">SUM(J79:J81)</f>
        <v>253660000</v>
      </c>
      <c r="N78" s="502">
        <f t="shared" si="37"/>
        <v>28615000</v>
      </c>
      <c r="O78" s="74"/>
      <c r="P78" s="74"/>
      <c r="Q78" s="74"/>
      <c r="R78" s="1"/>
      <c r="S78" s="1"/>
      <c r="T78" s="1"/>
      <c r="U78" s="1"/>
      <c r="V78" s="1"/>
    </row>
    <row r="79" spans="1:22" ht="24" customHeight="1" x14ac:dyDescent="0.2">
      <c r="A79" s="145"/>
      <c r="B79" s="338"/>
      <c r="C79" s="77">
        <f>'SGTO POAI -MARZO-2021'!D149</f>
        <v>35</v>
      </c>
      <c r="D79" s="75" t="str">
        <f>'SGTO POAI -MARZO-2021'!E149</f>
        <v>Comercio, Industria y Turismo</v>
      </c>
      <c r="E79" s="504"/>
      <c r="F79" s="504"/>
      <c r="G79" s="504"/>
      <c r="H79" s="504"/>
      <c r="I79" s="505">
        <f>F80</f>
        <v>2688728339.7600002</v>
      </c>
      <c r="J79" s="505">
        <f t="shared" ref="J79:K79" si="38">G80</f>
        <v>210780000</v>
      </c>
      <c r="K79" s="505">
        <f t="shared" si="38"/>
        <v>24080000</v>
      </c>
      <c r="L79" s="506"/>
      <c r="M79" s="506"/>
      <c r="N79" s="506"/>
      <c r="O79" s="504"/>
      <c r="P79" s="504"/>
      <c r="Q79" s="504"/>
    </row>
    <row r="80" spans="1:22" s="44" customFormat="1" ht="53.25" customHeight="1" x14ac:dyDescent="0.2">
      <c r="A80" s="337"/>
      <c r="B80" s="338"/>
      <c r="C80" s="338"/>
      <c r="D80" s="353">
        <f>'SGTO POAI -MARZO-2021'!F150</f>
        <v>3502</v>
      </c>
      <c r="E80" s="358" t="str">
        <f>'SGTO POAI -MARZO-2021'!G150</f>
        <v xml:space="preserve">Productividad y competitividad de las empresas colombianas. "Tú y yo con empresas competitivas" </v>
      </c>
      <c r="F80" s="507">
        <f>'SGTO POAI -MARZO-2021'!BJ150</f>
        <v>2688728339.7600002</v>
      </c>
      <c r="G80" s="507">
        <f>'SGTO POAI -MARZO-2021'!BK150</f>
        <v>210780000</v>
      </c>
      <c r="H80" s="507">
        <f>'SGTO POAI -MARZO-2021'!BL150</f>
        <v>24080000</v>
      </c>
      <c r="I80" s="507"/>
      <c r="J80" s="507"/>
      <c r="K80" s="507"/>
      <c r="L80" s="507"/>
      <c r="M80" s="507"/>
      <c r="N80" s="507"/>
      <c r="O80" s="507"/>
      <c r="P80" s="507"/>
      <c r="Q80" s="507"/>
    </row>
    <row r="81" spans="1:22" ht="24" customHeight="1" x14ac:dyDescent="0.2">
      <c r="A81" s="145"/>
      <c r="B81" s="338"/>
      <c r="C81" s="77">
        <f>'SGTO POAI -MARZO-2021'!D159</f>
        <v>36</v>
      </c>
      <c r="D81" s="511" t="str">
        <f>'SGTO POAI -MARZO-2021'!E159</f>
        <v>Trabajo</v>
      </c>
      <c r="E81" s="512"/>
      <c r="F81" s="504"/>
      <c r="G81" s="504"/>
      <c r="H81" s="504"/>
      <c r="I81" s="505">
        <f>F82</f>
        <v>237500000</v>
      </c>
      <c r="J81" s="505">
        <f t="shared" ref="J81:K81" si="39">G82</f>
        <v>42880000</v>
      </c>
      <c r="K81" s="505">
        <f t="shared" si="39"/>
        <v>4535000</v>
      </c>
      <c r="L81" s="506"/>
      <c r="M81" s="506"/>
      <c r="N81" s="506"/>
      <c r="O81" s="504"/>
      <c r="P81" s="504"/>
      <c r="Q81" s="504"/>
    </row>
    <row r="82" spans="1:22" s="44" customFormat="1" ht="53.25" customHeight="1" x14ac:dyDescent="0.2">
      <c r="A82" s="337"/>
      <c r="B82" s="338"/>
      <c r="C82" s="338"/>
      <c r="D82" s="353">
        <f>'SGTO POAI -MARZO-2021'!F160</f>
        <v>3602</v>
      </c>
      <c r="E82" s="358" t="str">
        <f>'SGTO POAI -MARZO-2021'!G160</f>
        <v>Generación y formalización del empleo. "Tú y yo con empleo de calidad"</v>
      </c>
      <c r="F82" s="507">
        <f>'SGTO POAI -MARZO-2021'!BJ160</f>
        <v>237500000</v>
      </c>
      <c r="G82" s="507">
        <f>'SGTO POAI -MARZO-2021'!BK160</f>
        <v>42880000</v>
      </c>
      <c r="H82" s="507">
        <f>'SGTO POAI -MARZO-2021'!BL160</f>
        <v>4535000</v>
      </c>
      <c r="I82" s="507"/>
      <c r="J82" s="507"/>
      <c r="K82" s="507"/>
      <c r="L82" s="507"/>
      <c r="M82" s="507"/>
      <c r="N82" s="507"/>
      <c r="O82" s="507"/>
      <c r="P82" s="507"/>
      <c r="Q82" s="507"/>
    </row>
    <row r="83" spans="1:22" s="11" customFormat="1" x14ac:dyDescent="0.2">
      <c r="A83" s="58"/>
      <c r="B83" s="509"/>
      <c r="C83" s="509"/>
      <c r="D83" s="509"/>
      <c r="E83" s="510"/>
      <c r="F83" s="510"/>
      <c r="G83" s="510"/>
      <c r="H83" s="510"/>
      <c r="I83" s="510"/>
      <c r="J83" s="510"/>
      <c r="K83" s="510"/>
      <c r="L83" s="510"/>
      <c r="M83" s="510"/>
      <c r="N83" s="510"/>
      <c r="O83" s="510"/>
      <c r="P83" s="510"/>
      <c r="Q83" s="510"/>
      <c r="R83" s="18"/>
      <c r="S83" s="18"/>
      <c r="T83" s="18"/>
      <c r="U83" s="18"/>
      <c r="V83" s="18"/>
    </row>
    <row r="84" spans="1:22" ht="24" customHeight="1" x14ac:dyDescent="0.2">
      <c r="A84" s="41" t="s">
        <v>469</v>
      </c>
      <c r="B84" s="42"/>
      <c r="C84" s="42"/>
      <c r="D84" s="42"/>
      <c r="E84" s="43"/>
      <c r="F84" s="43"/>
      <c r="G84" s="43"/>
      <c r="H84" s="43"/>
      <c r="I84" s="43"/>
      <c r="J84" s="43"/>
      <c r="K84" s="43"/>
      <c r="L84" s="43"/>
      <c r="M84" s="43"/>
      <c r="N84" s="43"/>
      <c r="O84" s="43">
        <f>SUM(L85:L96)</f>
        <v>2573248186</v>
      </c>
      <c r="P84" s="43">
        <f t="shared" ref="P84:Q84" si="40">SUM(M85:M96)</f>
        <v>590027500</v>
      </c>
      <c r="Q84" s="43">
        <f t="shared" si="40"/>
        <v>60425000</v>
      </c>
    </row>
    <row r="85" spans="1:22" ht="24" customHeight="1" x14ac:dyDescent="0.2">
      <c r="A85" s="145"/>
      <c r="B85" s="131">
        <f>'SGTO POAI -MARZO-2021'!B167</f>
        <v>2</v>
      </c>
      <c r="C85" s="74" t="str">
        <f>'SGTO POAI -MARZO-2021'!D167</f>
        <v>PRODUCTIVIDAD Y COMPETITIVIDAD</v>
      </c>
      <c r="D85" s="74"/>
      <c r="E85" s="74"/>
      <c r="F85" s="74"/>
      <c r="G85" s="74"/>
      <c r="H85" s="74"/>
      <c r="I85" s="74"/>
      <c r="J85" s="74"/>
      <c r="K85" s="74"/>
      <c r="L85" s="502">
        <f>SUM(I86:I94)</f>
        <v>1226000000</v>
      </c>
      <c r="M85" s="502">
        <f t="shared" ref="M85:N85" si="41">SUM(J86:J94)</f>
        <v>340960000</v>
      </c>
      <c r="N85" s="502">
        <f t="shared" si="41"/>
        <v>44180000</v>
      </c>
      <c r="O85" s="74"/>
      <c r="P85" s="74"/>
      <c r="Q85" s="74"/>
      <c r="R85" s="22"/>
      <c r="S85" s="22"/>
      <c r="T85" s="22"/>
      <c r="U85" s="23"/>
    </row>
    <row r="86" spans="1:22" ht="24" customHeight="1" x14ac:dyDescent="0.2">
      <c r="A86" s="145"/>
      <c r="B86" s="338"/>
      <c r="C86" s="77">
        <v>17</v>
      </c>
      <c r="D86" s="75" t="str">
        <f>'SGTO POAI -MARZO-2021'!E168</f>
        <v>Agricultura y desarrollo rural</v>
      </c>
      <c r="E86" s="504"/>
      <c r="F86" s="504"/>
      <c r="G86" s="504"/>
      <c r="H86" s="504"/>
      <c r="I86" s="505">
        <f>SUM(F87:F93)</f>
        <v>1190000000</v>
      </c>
      <c r="J86" s="505">
        <f t="shared" ref="J86:K86" si="42">SUM(G87:G93)</f>
        <v>340960000</v>
      </c>
      <c r="K86" s="505">
        <f t="shared" si="42"/>
        <v>44180000</v>
      </c>
      <c r="L86" s="506"/>
      <c r="M86" s="506"/>
      <c r="N86" s="506"/>
      <c r="O86" s="504"/>
      <c r="P86" s="504"/>
      <c r="Q86" s="504"/>
    </row>
    <row r="87" spans="1:22" ht="57.75" customHeight="1" x14ac:dyDescent="0.2">
      <c r="A87" s="145"/>
      <c r="B87" s="87"/>
      <c r="C87" s="87"/>
      <c r="D87" s="338">
        <f>'SGTO POAI -MARZO-2021'!F169</f>
        <v>1702</v>
      </c>
      <c r="E87" s="358" t="str">
        <f>'SGTO POAI -MARZO-2021'!G169</f>
        <v>Inclusión productiva de pequeños productores rurales. "Tú y yo con oportunidades para el pequeño campesino"</v>
      </c>
      <c r="F87" s="507">
        <f>'SGTO POAI -MARZO-2021'!BJ169</f>
        <v>834000000</v>
      </c>
      <c r="G87" s="507">
        <f>'SGTO POAI -MARZO-2021'!BK169</f>
        <v>220780000</v>
      </c>
      <c r="H87" s="507">
        <f>'SGTO POAI -MARZO-2021'!BL169</f>
        <v>23985000</v>
      </c>
      <c r="I87" s="507"/>
      <c r="J87" s="507"/>
      <c r="K87" s="507"/>
      <c r="L87" s="507"/>
      <c r="M87" s="507"/>
      <c r="N87" s="507"/>
      <c r="O87" s="507"/>
      <c r="P87" s="507"/>
      <c r="Q87" s="507"/>
      <c r="R87" s="22"/>
      <c r="S87" s="22"/>
      <c r="T87" s="22"/>
      <c r="U87" s="23"/>
    </row>
    <row r="88" spans="1:22" ht="54" customHeight="1" x14ac:dyDescent="0.2">
      <c r="A88" s="145"/>
      <c r="B88" s="87"/>
      <c r="C88" s="87"/>
      <c r="D88" s="338">
        <f>'SGTO POAI -MARZO-2021'!F181</f>
        <v>1703</v>
      </c>
      <c r="E88" s="358" t="str">
        <f>'SGTO POAI -MARZO-2021'!G181</f>
        <v>Servicios financieros y gestión del riesgo para las actividades agropecuarias y rurales. "Tú y yo con un campo protegido"</v>
      </c>
      <c r="F88" s="507">
        <f>'SGTO POAI -MARZO-2021'!BJ181</f>
        <v>75000000</v>
      </c>
      <c r="G88" s="507">
        <f>'SGTO POAI -MARZO-2021'!BK181</f>
        <v>57700000</v>
      </c>
      <c r="H88" s="507">
        <f>'SGTO POAI -MARZO-2021'!BL181</f>
        <v>11540000</v>
      </c>
      <c r="I88" s="507"/>
      <c r="J88" s="507"/>
      <c r="K88" s="507"/>
      <c r="L88" s="507"/>
      <c r="M88" s="507"/>
      <c r="N88" s="507"/>
      <c r="O88" s="507"/>
      <c r="P88" s="507"/>
      <c r="Q88" s="507"/>
      <c r="R88" s="22"/>
      <c r="S88" s="22"/>
      <c r="T88" s="22"/>
      <c r="U88" s="23"/>
      <c r="V88" s="1"/>
    </row>
    <row r="89" spans="1:22" ht="62.25" customHeight="1" x14ac:dyDescent="0.2">
      <c r="A89" s="145"/>
      <c r="B89" s="87"/>
      <c r="C89" s="87"/>
      <c r="D89" s="338">
        <f>'SGTO POAI -MARZO-2021'!F183</f>
        <v>1704</v>
      </c>
      <c r="E89" s="358" t="str">
        <f>'SGTO POAI -MARZO-2021'!G183</f>
        <v>Ordenamiento social y uso productivo del territorio rural. "Tú y yo con un campo planificado"</v>
      </c>
      <c r="F89" s="507">
        <f>'SGTO POAI -MARZO-2021'!BJ183</f>
        <v>70000000</v>
      </c>
      <c r="G89" s="507">
        <f>'SGTO POAI -MARZO-2021'!BK183</f>
        <v>30500000</v>
      </c>
      <c r="H89" s="507">
        <f>'SGTO POAI -MARZO-2021'!BL183</f>
        <v>5770000</v>
      </c>
      <c r="I89" s="507"/>
      <c r="J89" s="507"/>
      <c r="K89" s="507"/>
      <c r="L89" s="507"/>
      <c r="M89" s="507"/>
      <c r="N89" s="507"/>
      <c r="O89" s="507"/>
      <c r="P89" s="507"/>
      <c r="Q89" s="507"/>
      <c r="R89" s="25"/>
      <c r="S89" s="25"/>
      <c r="T89" s="25"/>
      <c r="U89" s="23"/>
      <c r="V89" s="1"/>
    </row>
    <row r="90" spans="1:22" ht="42" customHeight="1" x14ac:dyDescent="0.2">
      <c r="A90" s="145"/>
      <c r="B90" s="87"/>
      <c r="C90" s="87"/>
      <c r="D90" s="338">
        <f>'SGTO POAI -MARZO-2021'!F186</f>
        <v>1706</v>
      </c>
      <c r="E90" s="358" t="str">
        <f>'SGTO POAI -MARZO-2021'!G186</f>
        <v>Aprovechamiento de mercados externos. "Tú y yo a los mercados internacionales"</v>
      </c>
      <c r="F90" s="507">
        <f>'SGTO POAI -MARZO-2021'!BJ186</f>
        <v>20000000</v>
      </c>
      <c r="G90" s="507">
        <f>'SGTO POAI -MARZO-2021'!BK186</f>
        <v>0</v>
      </c>
      <c r="H90" s="507">
        <f>'SGTO POAI -MARZO-2021'!BL186</f>
        <v>0</v>
      </c>
      <c r="I90" s="507"/>
      <c r="J90" s="507"/>
      <c r="K90" s="507"/>
      <c r="L90" s="507"/>
      <c r="M90" s="507"/>
      <c r="N90" s="507"/>
      <c r="O90" s="507"/>
      <c r="P90" s="507"/>
      <c r="Q90" s="507"/>
      <c r="R90" s="22"/>
      <c r="S90" s="22"/>
      <c r="T90" s="22"/>
      <c r="U90" s="23"/>
      <c r="V90" s="1"/>
    </row>
    <row r="91" spans="1:22" ht="57" customHeight="1" x14ac:dyDescent="0.2">
      <c r="A91" s="145"/>
      <c r="B91" s="87"/>
      <c r="C91" s="87"/>
      <c r="D91" s="338">
        <f>'SGTO POAI -MARZO-2021'!F188</f>
        <v>1707</v>
      </c>
      <c r="E91" s="358" t="str">
        <f>'SGTO POAI -MARZO-2021'!G188</f>
        <v>Sanidad agropecuaria e inocuidad agroalimentaria. "Tú y yo con un agro saludable"</v>
      </c>
      <c r="F91" s="507">
        <f>'SGTO POAI -MARZO-2021'!BJ188</f>
        <v>43000000</v>
      </c>
      <c r="G91" s="507">
        <f>'SGTO POAI -MARZO-2021'!BK188</f>
        <v>0</v>
      </c>
      <c r="H91" s="507">
        <f>'SGTO POAI -MARZO-2021'!BL188</f>
        <v>0</v>
      </c>
      <c r="I91" s="507"/>
      <c r="J91" s="507"/>
      <c r="K91" s="507"/>
      <c r="L91" s="507"/>
      <c r="M91" s="507"/>
      <c r="N91" s="507"/>
      <c r="O91" s="507"/>
      <c r="P91" s="507"/>
      <c r="Q91" s="507"/>
      <c r="R91" s="22"/>
      <c r="S91" s="22"/>
      <c r="T91" s="22"/>
      <c r="U91" s="23"/>
      <c r="V91" s="1"/>
    </row>
    <row r="92" spans="1:22" ht="60.75" customHeight="1" x14ac:dyDescent="0.2">
      <c r="A92" s="145"/>
      <c r="B92" s="87"/>
      <c r="C92" s="87"/>
      <c r="D92" s="338">
        <f>'SGTO POAI -MARZO-2021'!F190</f>
        <v>1708</v>
      </c>
      <c r="E92" s="358" t="str">
        <f>'SGTO POAI -MARZO-2021'!G190</f>
        <v>Ciencia, tecnología e innovación agropecuaria. "Tú y yo con un agro interconectado"</v>
      </c>
      <c r="F92" s="507">
        <f>'SGTO POAI -MARZO-2021'!BJ190</f>
        <v>40000000</v>
      </c>
      <c r="G92" s="507">
        <f>'SGTO POAI -MARZO-2021'!BK190</f>
        <v>8900000</v>
      </c>
      <c r="H92" s="507">
        <f>'SGTO POAI -MARZO-2021'!BL190</f>
        <v>0</v>
      </c>
      <c r="I92" s="507"/>
      <c r="J92" s="507"/>
      <c r="K92" s="507"/>
      <c r="L92" s="507"/>
      <c r="M92" s="507"/>
      <c r="N92" s="507"/>
      <c r="O92" s="507"/>
      <c r="P92" s="507"/>
      <c r="Q92" s="507"/>
      <c r="R92" s="22"/>
      <c r="S92" s="22"/>
      <c r="T92" s="22"/>
      <c r="U92" s="23"/>
    </row>
    <row r="93" spans="1:22" ht="42" customHeight="1" x14ac:dyDescent="0.2">
      <c r="A93" s="145"/>
      <c r="B93" s="87"/>
      <c r="C93" s="87"/>
      <c r="D93" s="338">
        <f>'SGTO POAI -MARZO-2021'!F193</f>
        <v>1709</v>
      </c>
      <c r="E93" s="358" t="str">
        <f>'SGTO POAI -MARZO-2021'!G193</f>
        <v>Infraestructura productiva y comercialización. "Tú y yo con agro competitivo"</v>
      </c>
      <c r="F93" s="507">
        <f>'SGTO POAI -MARZO-2021'!BJ193</f>
        <v>108000000</v>
      </c>
      <c r="G93" s="507">
        <f>'SGTO POAI -MARZO-2021'!BK193</f>
        <v>23080000</v>
      </c>
      <c r="H93" s="507">
        <f>'SGTO POAI -MARZO-2021'!BL193</f>
        <v>2885000</v>
      </c>
      <c r="I93" s="507"/>
      <c r="J93" s="507"/>
      <c r="K93" s="507"/>
      <c r="L93" s="507"/>
      <c r="M93" s="507"/>
      <c r="N93" s="507"/>
      <c r="O93" s="507"/>
      <c r="P93" s="507"/>
      <c r="Q93" s="507"/>
      <c r="R93" s="25"/>
      <c r="S93" s="25"/>
      <c r="T93" s="25"/>
      <c r="U93" s="23"/>
    </row>
    <row r="94" spans="1:22" ht="24" customHeight="1" x14ac:dyDescent="0.2">
      <c r="A94" s="145"/>
      <c r="B94" s="338"/>
      <c r="C94" s="77">
        <f>'SGTO POAI -MARZO-2021'!D197</f>
        <v>35</v>
      </c>
      <c r="D94" s="75" t="str">
        <f>'SGTO POAI -MARZO-2021'!E197</f>
        <v>Comercio, Industria y Turismo</v>
      </c>
      <c r="E94" s="504"/>
      <c r="F94" s="504"/>
      <c r="G94" s="504"/>
      <c r="H94" s="504"/>
      <c r="I94" s="505">
        <f>F95</f>
        <v>36000000</v>
      </c>
      <c r="J94" s="505">
        <f t="shared" ref="J94:K94" si="43">G95</f>
        <v>0</v>
      </c>
      <c r="K94" s="505">
        <f t="shared" si="43"/>
        <v>0</v>
      </c>
      <c r="L94" s="506"/>
      <c r="M94" s="506"/>
      <c r="N94" s="506"/>
      <c r="O94" s="504"/>
      <c r="P94" s="504"/>
      <c r="Q94" s="504"/>
    </row>
    <row r="95" spans="1:22" ht="73.5" customHeight="1" x14ac:dyDescent="0.2">
      <c r="A95" s="145"/>
      <c r="B95" s="87"/>
      <c r="C95" s="87"/>
      <c r="D95" s="338">
        <f>'SGTO POAI -MARZO-2021'!F198</f>
        <v>3502</v>
      </c>
      <c r="E95" s="358" t="str">
        <f>'SGTO POAI -MARZO-2021'!G198</f>
        <v xml:space="preserve">Productividad y competitividad de las empresas colombianas. "Tú y yo con empresas competitivas" </v>
      </c>
      <c r="F95" s="507">
        <f>'SGTO POAI -MARZO-2021'!BJ198</f>
        <v>36000000</v>
      </c>
      <c r="G95" s="507">
        <f>'SGTO POAI -MARZO-2021'!BK198</f>
        <v>0</v>
      </c>
      <c r="H95" s="507">
        <f>'SGTO POAI -MARZO-2021'!BL198</f>
        <v>0</v>
      </c>
      <c r="I95" s="507"/>
      <c r="J95" s="507"/>
      <c r="K95" s="507"/>
      <c r="L95" s="507"/>
      <c r="M95" s="507"/>
      <c r="N95" s="507"/>
      <c r="O95" s="507"/>
      <c r="P95" s="507"/>
      <c r="Q95" s="507"/>
      <c r="R95" s="22"/>
      <c r="S95" s="22"/>
      <c r="T95" s="22"/>
      <c r="U95" s="23"/>
    </row>
    <row r="96" spans="1:22" ht="24" customHeight="1" x14ac:dyDescent="0.2">
      <c r="A96" s="145"/>
      <c r="B96" s="131">
        <f>'SGTO POAI -MARZO-2021'!B201</f>
        <v>3</v>
      </c>
      <c r="C96" s="74" t="str">
        <f>'SGTO POAI -MARZO-2021'!D201</f>
        <v xml:space="preserve">TERRITORIO, AMBIENTE Y DESARROLLO SOSTENIBLE </v>
      </c>
      <c r="D96" s="74"/>
      <c r="E96" s="74"/>
      <c r="F96" s="74"/>
      <c r="G96" s="74"/>
      <c r="H96" s="74"/>
      <c r="I96" s="74"/>
      <c r="J96" s="74"/>
      <c r="K96" s="74"/>
      <c r="L96" s="502">
        <f>I97</f>
        <v>1347248186</v>
      </c>
      <c r="M96" s="502">
        <f t="shared" ref="M96:N96" si="44">J97</f>
        <v>249067500</v>
      </c>
      <c r="N96" s="502">
        <f t="shared" si="44"/>
        <v>16245000</v>
      </c>
      <c r="O96" s="74"/>
      <c r="P96" s="74"/>
      <c r="Q96" s="74"/>
      <c r="R96" s="22"/>
      <c r="S96" s="22"/>
      <c r="T96" s="22"/>
      <c r="U96" s="23"/>
    </row>
    <row r="97" spans="1:22" ht="24" customHeight="1" x14ac:dyDescent="0.2">
      <c r="A97" s="145"/>
      <c r="B97" s="338"/>
      <c r="C97" s="77">
        <f>'SGTO POAI -MARZO-2021'!D202</f>
        <v>32</v>
      </c>
      <c r="D97" s="75" t="str">
        <f>'SGTO POAI -MARZO-2021'!E202</f>
        <v>Ambiente y desarrollo sostenible</v>
      </c>
      <c r="E97" s="504"/>
      <c r="F97" s="504"/>
      <c r="G97" s="504"/>
      <c r="H97" s="504"/>
      <c r="I97" s="505">
        <f>SUM(F98:F102)</f>
        <v>1347248186</v>
      </c>
      <c r="J97" s="505">
        <f t="shared" ref="J97:K97" si="45">SUM(G98:G102)</f>
        <v>249067500</v>
      </c>
      <c r="K97" s="505">
        <f t="shared" si="45"/>
        <v>16245000</v>
      </c>
      <c r="L97" s="506"/>
      <c r="M97" s="506"/>
      <c r="N97" s="506"/>
      <c r="O97" s="504"/>
      <c r="P97" s="504"/>
      <c r="Q97" s="504"/>
    </row>
    <row r="98" spans="1:22" s="44" customFormat="1" ht="52.5" customHeight="1" x14ac:dyDescent="0.2">
      <c r="A98" s="337"/>
      <c r="B98" s="338"/>
      <c r="C98" s="338"/>
      <c r="D98" s="338" t="str">
        <f>'SGTO POAI -MARZO-2021'!F203</f>
        <v>3201</v>
      </c>
      <c r="E98" s="358" t="str">
        <f>'SGTO POAI -MARZO-2021'!G203</f>
        <v>Fortalecimiento del desempeño ambiental de los sectores productivos. "Tú y yo guardianes de la biodiversidad.</v>
      </c>
      <c r="F98" s="507">
        <f>'SGTO POAI -MARZO-2021'!BJ203</f>
        <v>82000000</v>
      </c>
      <c r="G98" s="507">
        <f>'SGTO POAI -MARZO-2021'!BK203</f>
        <v>22467500</v>
      </c>
      <c r="H98" s="507">
        <f>'SGTO POAI -MARZO-2021'!BL203</f>
        <v>0</v>
      </c>
      <c r="I98" s="507"/>
      <c r="J98" s="507"/>
      <c r="K98" s="507"/>
      <c r="L98" s="507"/>
      <c r="M98" s="507"/>
      <c r="N98" s="507"/>
      <c r="O98" s="507"/>
      <c r="P98" s="507"/>
      <c r="Q98" s="507"/>
      <c r="R98" s="48"/>
      <c r="S98" s="48"/>
      <c r="T98" s="48"/>
      <c r="U98" s="24"/>
    </row>
    <row r="99" spans="1:22" s="44" customFormat="1" ht="52.5" customHeight="1" x14ac:dyDescent="0.2">
      <c r="A99" s="337"/>
      <c r="B99" s="338"/>
      <c r="C99" s="338"/>
      <c r="D99" s="338">
        <f>'SGTO POAI -MARZO-2021'!F206</f>
        <v>3202</v>
      </c>
      <c r="E99" s="358" t="str">
        <f>'SGTO POAI -MARZO-2021'!G206</f>
        <v>Conservación de la biodiversidad y sus servicios ecosistémicos. "Tú y yo en territorios biodiversos"</v>
      </c>
      <c r="F99" s="507">
        <f>'SGTO POAI -MARZO-2021'!BJ206</f>
        <v>945248186</v>
      </c>
      <c r="G99" s="507">
        <f>'SGTO POAI -MARZO-2021'!BK206</f>
        <v>201860000</v>
      </c>
      <c r="H99" s="507">
        <f>'SGTO POAI -MARZO-2021'!BL206</f>
        <v>10060000</v>
      </c>
      <c r="I99" s="507"/>
      <c r="J99" s="507"/>
      <c r="K99" s="507"/>
      <c r="L99" s="507"/>
      <c r="M99" s="507"/>
      <c r="N99" s="507"/>
      <c r="O99" s="507"/>
      <c r="P99" s="507"/>
      <c r="Q99" s="507"/>
      <c r="R99" s="48"/>
      <c r="S99" s="48"/>
      <c r="T99" s="48"/>
      <c r="U99" s="24"/>
    </row>
    <row r="100" spans="1:22" s="44" customFormat="1" ht="52.5" customHeight="1" x14ac:dyDescent="0.2">
      <c r="A100" s="337"/>
      <c r="B100" s="338"/>
      <c r="C100" s="338"/>
      <c r="D100" s="338" t="str">
        <f>'SGTO POAI -MARZO-2021'!F213</f>
        <v>3204</v>
      </c>
      <c r="E100" s="358" t="str">
        <f>'SGTO POAI -MARZO-2021'!G213</f>
        <v>Gestión de la información y en conocimiento ambiental. "Tú y yo conscientes con la naturaleza"</v>
      </c>
      <c r="F100" s="507">
        <f>'SGTO POAI -MARZO-2021'!BJ213</f>
        <v>120000000</v>
      </c>
      <c r="G100" s="507">
        <f>'SGTO POAI -MARZO-2021'!BK213</f>
        <v>24740000</v>
      </c>
      <c r="H100" s="507">
        <f>'SGTO POAI -MARZO-2021'!BL213</f>
        <v>6185000</v>
      </c>
      <c r="I100" s="507"/>
      <c r="J100" s="507"/>
      <c r="K100" s="507"/>
      <c r="L100" s="507"/>
      <c r="M100" s="507"/>
      <c r="N100" s="507"/>
      <c r="O100" s="507"/>
      <c r="P100" s="507"/>
      <c r="Q100" s="507"/>
      <c r="R100" s="48"/>
      <c r="S100" s="48"/>
      <c r="T100" s="48"/>
      <c r="U100" s="24"/>
    </row>
    <row r="101" spans="1:22" s="44" customFormat="1" ht="52.5" customHeight="1" x14ac:dyDescent="0.2">
      <c r="A101" s="337"/>
      <c r="B101" s="338"/>
      <c r="C101" s="338"/>
      <c r="D101" s="338">
        <f>'SGTO POAI -MARZO-2021'!F215</f>
        <v>3205</v>
      </c>
      <c r="E101" s="358" t="str">
        <f>'SGTO POAI -MARZO-2021'!G215</f>
        <v>Ordenamiento Ambiental Territorial. "Tú y yo planificamos con sentido ambiental"</v>
      </c>
      <c r="F101" s="507">
        <f>'SGTO POAI -MARZO-2021'!BJ215</f>
        <v>82000000</v>
      </c>
      <c r="G101" s="507">
        <f>'SGTO POAI -MARZO-2021'!BK215</f>
        <v>0</v>
      </c>
      <c r="H101" s="507">
        <f>'SGTO POAI -MARZO-2021'!BL215</f>
        <v>0</v>
      </c>
      <c r="I101" s="507"/>
      <c r="J101" s="507"/>
      <c r="K101" s="507"/>
      <c r="L101" s="507"/>
      <c r="M101" s="507"/>
      <c r="N101" s="507"/>
      <c r="O101" s="507"/>
      <c r="P101" s="507"/>
      <c r="Q101" s="507"/>
      <c r="R101" s="48"/>
      <c r="S101" s="48"/>
      <c r="T101" s="48"/>
      <c r="U101" s="24"/>
    </row>
    <row r="102" spans="1:22" s="44" customFormat="1" ht="52.5" customHeight="1" x14ac:dyDescent="0.2">
      <c r="A102" s="337"/>
      <c r="B102" s="338"/>
      <c r="C102" s="338"/>
      <c r="D102" s="338" t="str">
        <f>'SGTO POAI -MARZO-2021'!F219</f>
        <v>3206</v>
      </c>
      <c r="E102" s="358" t="str">
        <f>'SGTO POAI -MARZO-2021'!G219</f>
        <v>Gestión del cambio climático para un desarrollo bajo en carbono y resiliente al clima. "Tú y yo preparados para el cambio climático"</v>
      </c>
      <c r="F102" s="507">
        <f>'SGTO POAI -MARZO-2021'!BJ219</f>
        <v>118000000</v>
      </c>
      <c r="G102" s="507">
        <f>'SGTO POAI -MARZO-2021'!BK219</f>
        <v>0</v>
      </c>
      <c r="H102" s="507">
        <f>'SGTO POAI -MARZO-2021'!BL219</f>
        <v>0</v>
      </c>
      <c r="I102" s="507"/>
      <c r="J102" s="507"/>
      <c r="K102" s="507"/>
      <c r="L102" s="507"/>
      <c r="M102" s="507"/>
      <c r="N102" s="507"/>
      <c r="O102" s="507"/>
      <c r="P102" s="507"/>
      <c r="Q102" s="507"/>
      <c r="R102" s="48"/>
      <c r="S102" s="48"/>
      <c r="T102" s="48"/>
      <c r="U102" s="24"/>
    </row>
    <row r="103" spans="1:22" s="11" customFormat="1" x14ac:dyDescent="0.2">
      <c r="A103" s="58"/>
      <c r="B103" s="509"/>
      <c r="C103" s="509"/>
      <c r="D103" s="509"/>
      <c r="E103" s="510"/>
      <c r="F103" s="510"/>
      <c r="G103" s="510"/>
      <c r="H103" s="510"/>
      <c r="I103" s="510"/>
      <c r="J103" s="510"/>
      <c r="K103" s="510"/>
      <c r="L103" s="510"/>
      <c r="M103" s="510"/>
      <c r="N103" s="510"/>
      <c r="O103" s="510"/>
      <c r="P103" s="510"/>
      <c r="Q103" s="510"/>
      <c r="R103" s="18"/>
      <c r="S103" s="18"/>
      <c r="T103" s="18"/>
      <c r="U103" s="18"/>
      <c r="V103" s="18"/>
    </row>
    <row r="104" spans="1:22" ht="24" customHeight="1" x14ac:dyDescent="0.2">
      <c r="A104" s="41" t="s">
        <v>654</v>
      </c>
      <c r="B104" s="42"/>
      <c r="C104" s="42"/>
      <c r="D104" s="42"/>
      <c r="E104" s="43"/>
      <c r="F104" s="43"/>
      <c r="G104" s="43"/>
      <c r="H104" s="43"/>
      <c r="I104" s="43"/>
      <c r="J104" s="43"/>
      <c r="K104" s="43"/>
      <c r="L104" s="43"/>
      <c r="M104" s="43"/>
      <c r="N104" s="43"/>
      <c r="O104" s="43">
        <f>L105</f>
        <v>695000000</v>
      </c>
      <c r="P104" s="43">
        <f t="shared" ref="P104:Q104" si="46">M105</f>
        <v>280955000</v>
      </c>
      <c r="Q104" s="43">
        <f t="shared" si="46"/>
        <v>59920000</v>
      </c>
    </row>
    <row r="105" spans="1:22" ht="24" customHeight="1" x14ac:dyDescent="0.2">
      <c r="A105" s="145"/>
      <c r="B105" s="131">
        <f>'SGTO POAI -MARZO-2021'!B225</f>
        <v>4</v>
      </c>
      <c r="C105" s="74" t="str">
        <f>'SGTO POAI -MARZO-2021'!D225</f>
        <v xml:space="preserve">LIDERAZGO, GOBERNABILIDAD Y TRANSPARENCIA </v>
      </c>
      <c r="D105" s="74"/>
      <c r="E105" s="74"/>
      <c r="F105" s="74"/>
      <c r="G105" s="74"/>
      <c r="H105" s="74"/>
      <c r="I105" s="74"/>
      <c r="J105" s="74"/>
      <c r="K105" s="74"/>
      <c r="L105" s="502">
        <f>I106</f>
        <v>695000000</v>
      </c>
      <c r="M105" s="502">
        <f t="shared" ref="M105:N105" si="47">J106</f>
        <v>280955000</v>
      </c>
      <c r="N105" s="502">
        <f t="shared" si="47"/>
        <v>59920000</v>
      </c>
      <c r="O105" s="502"/>
      <c r="P105" s="74"/>
      <c r="Q105" s="74"/>
    </row>
    <row r="106" spans="1:22" ht="24" customHeight="1" x14ac:dyDescent="0.2">
      <c r="A106" s="145"/>
      <c r="B106" s="338"/>
      <c r="C106" s="77">
        <f>'SGTO POAI -MARZO-2021'!D226</f>
        <v>45</v>
      </c>
      <c r="D106" s="75" t="str">
        <f>'SGTO POAI -MARZO-2021'!E226</f>
        <v>Gobierno territorial</v>
      </c>
      <c r="E106" s="504"/>
      <c r="F106" s="504"/>
      <c r="G106" s="504"/>
      <c r="H106" s="504"/>
      <c r="I106" s="505">
        <f>SUM(F107:F108)</f>
        <v>695000000</v>
      </c>
      <c r="J106" s="505">
        <f t="shared" ref="J106:K106" si="48">SUM(G107:G108)</f>
        <v>280955000</v>
      </c>
      <c r="K106" s="505">
        <f t="shared" si="48"/>
        <v>59920000</v>
      </c>
      <c r="L106" s="506"/>
      <c r="M106" s="506"/>
      <c r="N106" s="506"/>
      <c r="O106" s="504"/>
      <c r="P106" s="504"/>
      <c r="Q106" s="504"/>
    </row>
    <row r="107" spans="1:22" s="49" customFormat="1" ht="74.25" customHeight="1" x14ac:dyDescent="0.25">
      <c r="A107" s="508"/>
      <c r="B107" s="338"/>
      <c r="C107" s="338"/>
      <c r="D107" s="338">
        <f>'SGTO POAI -MARZO-2021'!F227</f>
        <v>4599</v>
      </c>
      <c r="E107" s="358" t="str">
        <f>'SGTO POAI -MARZO-2021'!G227</f>
        <v>Fortalecimiento a la gestión y dirección de la administración pública territorial "Quindío con una administración al servicio de la ciudadanía"</v>
      </c>
      <c r="F107" s="507">
        <f>'SGTO POAI -MARZO-2021'!BJ227</f>
        <v>550000000</v>
      </c>
      <c r="G107" s="507">
        <f>'SGTO POAI -MARZO-2021'!BK227</f>
        <v>235690000</v>
      </c>
      <c r="H107" s="507">
        <f>'SGTO POAI -MARZO-2021'!BL227</f>
        <v>49995000</v>
      </c>
      <c r="I107" s="507"/>
      <c r="J107" s="507"/>
      <c r="K107" s="507"/>
      <c r="L107" s="507"/>
      <c r="M107" s="507"/>
      <c r="N107" s="507"/>
      <c r="O107" s="507"/>
      <c r="P107" s="507"/>
      <c r="Q107" s="507"/>
    </row>
    <row r="108" spans="1:22" s="44" customFormat="1" ht="54.75" customHeight="1" x14ac:dyDescent="0.2">
      <c r="A108" s="337"/>
      <c r="B108" s="338"/>
      <c r="C108" s="338"/>
      <c r="D108" s="338">
        <f>'SGTO POAI -MARZO-2021'!F230</f>
        <v>4502</v>
      </c>
      <c r="E108" s="358" t="str">
        <f>'SGTO POAI -MARZO-2021'!G230</f>
        <v>Fortalecimiento del buen gobierno para el respeto y garantía de los derechos humanos. "Quindío integrado y participativo"</v>
      </c>
      <c r="F108" s="508">
        <f>'SGTO POAI -MARZO-2021'!BJ230</f>
        <v>145000000</v>
      </c>
      <c r="G108" s="508">
        <f>'SGTO POAI -MARZO-2021'!BK230</f>
        <v>45265000</v>
      </c>
      <c r="H108" s="508">
        <f>'SGTO POAI -MARZO-2021'!BL230</f>
        <v>9925000</v>
      </c>
      <c r="I108" s="508"/>
      <c r="J108" s="508"/>
      <c r="K108" s="508"/>
      <c r="L108" s="508"/>
      <c r="M108" s="508"/>
      <c r="N108" s="508"/>
      <c r="O108" s="508"/>
      <c r="P108" s="508"/>
      <c r="Q108" s="508"/>
    </row>
    <row r="109" spans="1:22" s="11" customFormat="1" x14ac:dyDescent="0.2">
      <c r="A109" s="58"/>
      <c r="B109" s="509"/>
      <c r="C109" s="509"/>
      <c r="D109" s="509"/>
      <c r="E109" s="510"/>
      <c r="F109" s="510"/>
      <c r="G109" s="510"/>
      <c r="H109" s="510"/>
      <c r="I109" s="510"/>
      <c r="J109" s="510"/>
      <c r="K109" s="510"/>
      <c r="L109" s="510"/>
      <c r="M109" s="510"/>
      <c r="N109" s="510"/>
      <c r="O109" s="510"/>
      <c r="P109" s="510"/>
      <c r="Q109" s="510"/>
      <c r="R109" s="18"/>
      <c r="S109" s="18"/>
      <c r="T109" s="18"/>
      <c r="U109" s="18"/>
      <c r="V109" s="18"/>
    </row>
    <row r="110" spans="1:22" ht="24" customHeight="1" x14ac:dyDescent="0.2">
      <c r="A110" s="41" t="s">
        <v>673</v>
      </c>
      <c r="B110" s="42"/>
      <c r="C110" s="42"/>
      <c r="D110" s="42"/>
      <c r="E110" s="43"/>
      <c r="F110" s="43"/>
      <c r="G110" s="43"/>
      <c r="H110" s="43"/>
      <c r="I110" s="43"/>
      <c r="J110" s="43"/>
      <c r="K110" s="43"/>
      <c r="L110" s="43"/>
      <c r="M110" s="43"/>
      <c r="N110" s="43"/>
      <c r="O110" s="43">
        <f>SUM(L111:L115)</f>
        <v>188710574997.32007</v>
      </c>
      <c r="P110" s="43">
        <f t="shared" ref="P110:Q110" si="49">SUM(M111:M115)</f>
        <v>53396879007.25</v>
      </c>
      <c r="Q110" s="43">
        <f t="shared" si="49"/>
        <v>37528211785</v>
      </c>
      <c r="R110" s="1"/>
      <c r="S110" s="1"/>
      <c r="T110" s="1"/>
      <c r="U110" s="1"/>
      <c r="V110" s="1"/>
    </row>
    <row r="111" spans="1:22" ht="24" customHeight="1" x14ac:dyDescent="0.2">
      <c r="A111" s="145"/>
      <c r="B111" s="131">
        <f>'SGTO POAI -MARZO-2021'!B234</f>
        <v>1</v>
      </c>
      <c r="C111" s="74" t="str">
        <f>'SGTO POAI -MARZO-2021'!D234</f>
        <v xml:space="preserve">INCLUSIÓN SOCIAL Y EQUIDAD </v>
      </c>
      <c r="D111" s="74"/>
      <c r="E111" s="74"/>
      <c r="F111" s="74"/>
      <c r="G111" s="74"/>
      <c r="H111" s="74"/>
      <c r="I111" s="74"/>
      <c r="J111" s="74"/>
      <c r="K111" s="74"/>
      <c r="L111" s="502">
        <f>SUM(I112)</f>
        <v>188703074997.32007</v>
      </c>
      <c r="M111" s="502">
        <f t="shared" ref="M111:N111" si="50">SUM(J112)</f>
        <v>53396879007.25</v>
      </c>
      <c r="N111" s="502">
        <f t="shared" si="50"/>
        <v>37528211785</v>
      </c>
      <c r="O111" s="74"/>
      <c r="P111" s="74"/>
      <c r="Q111" s="74"/>
      <c r="R111" s="1"/>
      <c r="S111" s="1"/>
      <c r="T111" s="1"/>
      <c r="U111" s="1"/>
      <c r="V111" s="1"/>
    </row>
    <row r="112" spans="1:22" ht="24" customHeight="1" x14ac:dyDescent="0.2">
      <c r="A112" s="145"/>
      <c r="B112" s="338"/>
      <c r="C112" s="77">
        <f>'SGTO POAI -MARZO-2021'!D235</f>
        <v>22</v>
      </c>
      <c r="D112" s="77" t="str">
        <f>'SGTO POAI -MARZO-2021'!E235</f>
        <v>Educación</v>
      </c>
      <c r="E112" s="504"/>
      <c r="F112" s="504"/>
      <c r="G112" s="504"/>
      <c r="H112" s="504"/>
      <c r="I112" s="505">
        <f>SUM(F113:F114)</f>
        <v>188703074997.32007</v>
      </c>
      <c r="J112" s="505">
        <f t="shared" ref="J112:K112" si="51">SUM(G113:G114)</f>
        <v>53396879007.25</v>
      </c>
      <c r="K112" s="505">
        <f t="shared" si="51"/>
        <v>37528211785</v>
      </c>
      <c r="L112" s="506"/>
      <c r="M112" s="506"/>
      <c r="N112" s="506"/>
      <c r="O112" s="504"/>
      <c r="P112" s="504"/>
      <c r="Q112" s="504"/>
    </row>
    <row r="113" spans="1:22" s="44" customFormat="1" ht="55.5" customHeight="1" x14ac:dyDescent="0.2">
      <c r="A113" s="337"/>
      <c r="B113" s="338"/>
      <c r="C113" s="338"/>
      <c r="D113" s="353">
        <f>'SGTO POAI -MARZO-2021'!F236</f>
        <v>2201</v>
      </c>
      <c r="E113" s="358" t="str">
        <f>'SGTO POAI -MARZO-2021'!G236</f>
        <v>Calidad, cobertura y fortalecimiento de la educación inicial, prescolar, básica y media." Tú y yo con educación y de calidad"</v>
      </c>
      <c r="F113" s="508">
        <f>'SGTO POAI -MARZO-2021'!BJ236</f>
        <v>188603074997.32007</v>
      </c>
      <c r="G113" s="508">
        <f>'SGTO POAI -MARZO-2021'!BK236</f>
        <v>53396879007.25</v>
      </c>
      <c r="H113" s="508">
        <f>'SGTO POAI -MARZO-2021'!BL236</f>
        <v>37528211785</v>
      </c>
      <c r="I113" s="508"/>
      <c r="J113" s="508"/>
      <c r="K113" s="508"/>
      <c r="L113" s="508"/>
      <c r="M113" s="508"/>
      <c r="N113" s="508"/>
      <c r="O113" s="508"/>
      <c r="P113" s="508"/>
      <c r="Q113" s="508"/>
    </row>
    <row r="114" spans="1:22" s="44" customFormat="1" ht="55.5" customHeight="1" x14ac:dyDescent="0.2">
      <c r="A114" s="337"/>
      <c r="B114" s="338"/>
      <c r="C114" s="338"/>
      <c r="D114" s="338">
        <f>'SGTO POAI -MARZO-2021'!F271</f>
        <v>2202</v>
      </c>
      <c r="E114" s="358" t="str">
        <f>'SGTO POAI -MARZO-2021'!G271</f>
        <v>Calidad y fomento de la Educación "Tú y yo preparados para la educación superior"</v>
      </c>
      <c r="F114" s="507">
        <f>'SGTO POAI -MARZO-2021'!BJ271</f>
        <v>100000000</v>
      </c>
      <c r="G114" s="507">
        <f>'SGTO POAI -MARZO-2021'!BK271</f>
        <v>0</v>
      </c>
      <c r="H114" s="507">
        <f>'SGTO POAI -MARZO-2021'!BL271</f>
        <v>0</v>
      </c>
      <c r="I114" s="507"/>
      <c r="J114" s="507"/>
      <c r="K114" s="507"/>
      <c r="L114" s="507"/>
      <c r="M114" s="507"/>
      <c r="N114" s="507"/>
      <c r="O114" s="507"/>
      <c r="P114" s="507"/>
      <c r="Q114" s="507"/>
    </row>
    <row r="115" spans="1:22" ht="24" customHeight="1" x14ac:dyDescent="0.2">
      <c r="A115" s="145"/>
      <c r="B115" s="131">
        <f>'SGTO POAI -MARZO-2021'!B273</f>
        <v>2</v>
      </c>
      <c r="C115" s="74" t="str">
        <f>'SGTO POAI -MARZO-2021'!D273</f>
        <v>PRODUCTIVIDAD Y COMPETITIVIDAD</v>
      </c>
      <c r="D115" s="74"/>
      <c r="E115" s="74"/>
      <c r="F115" s="74"/>
      <c r="G115" s="74"/>
      <c r="H115" s="74"/>
      <c r="I115" s="74"/>
      <c r="J115" s="74"/>
      <c r="K115" s="74"/>
      <c r="L115" s="502">
        <f>I116</f>
        <v>7500000</v>
      </c>
      <c r="M115" s="502">
        <f t="shared" ref="M115:N115" si="52">J116</f>
        <v>0</v>
      </c>
      <c r="N115" s="502">
        <f t="shared" si="52"/>
        <v>0</v>
      </c>
      <c r="O115" s="74"/>
      <c r="P115" s="74"/>
      <c r="Q115" s="74"/>
      <c r="R115" s="22"/>
      <c r="S115" s="22"/>
      <c r="T115" s="22"/>
      <c r="U115" s="23"/>
    </row>
    <row r="116" spans="1:22" ht="24" customHeight="1" x14ac:dyDescent="0.2">
      <c r="A116" s="145"/>
      <c r="B116" s="338"/>
      <c r="C116" s="77">
        <f>'SGTO POAI -MARZO-2021'!D274</f>
        <v>39</v>
      </c>
      <c r="D116" s="75" t="str">
        <f>'SGTO POAI -MARZO-2021'!E274</f>
        <v>Ciencia, Tecnología e Innovación</v>
      </c>
      <c r="E116" s="75"/>
      <c r="F116" s="504"/>
      <c r="G116" s="504"/>
      <c r="H116" s="504"/>
      <c r="I116" s="505">
        <f>SUM(F117)</f>
        <v>7500000</v>
      </c>
      <c r="J116" s="505">
        <f t="shared" ref="J116:K116" si="53">SUM(G117)</f>
        <v>0</v>
      </c>
      <c r="K116" s="505">
        <f t="shared" si="53"/>
        <v>0</v>
      </c>
      <c r="L116" s="506"/>
      <c r="M116" s="506"/>
      <c r="N116" s="506"/>
      <c r="O116" s="504"/>
      <c r="P116" s="504"/>
      <c r="Q116" s="504"/>
    </row>
    <row r="117" spans="1:22" s="44" customFormat="1" ht="39.75" customHeight="1" x14ac:dyDescent="0.2">
      <c r="A117" s="337"/>
      <c r="B117" s="338"/>
      <c r="C117" s="338"/>
      <c r="D117" s="338">
        <f>'SGTO POAI -MARZO-2021'!F275</f>
        <v>3904</v>
      </c>
      <c r="E117" s="358" t="str">
        <f>'SGTO POAI -MARZO-2021'!G275</f>
        <v>Generación de una cultura qué valora y gestiona en conocimiento y la innovación.</v>
      </c>
      <c r="F117" s="507">
        <f>'SGTO POAI -MARZO-2021'!BJ275</f>
        <v>7500000</v>
      </c>
      <c r="G117" s="507">
        <f>'SGTO POAI -MARZO-2021'!BK275</f>
        <v>0</v>
      </c>
      <c r="H117" s="507">
        <f>'SGTO POAI -MARZO-2021'!BL275</f>
        <v>0</v>
      </c>
      <c r="I117" s="507"/>
      <c r="J117" s="507"/>
      <c r="K117" s="507"/>
      <c r="L117" s="507"/>
      <c r="M117" s="507"/>
      <c r="N117" s="507"/>
      <c r="O117" s="507"/>
      <c r="P117" s="507"/>
      <c r="Q117" s="507"/>
    </row>
    <row r="118" spans="1:22" s="11" customFormat="1" x14ac:dyDescent="0.2">
      <c r="A118" s="58"/>
      <c r="B118" s="509"/>
      <c r="C118" s="509"/>
      <c r="D118" s="509"/>
      <c r="E118" s="510"/>
      <c r="F118" s="510"/>
      <c r="G118" s="510"/>
      <c r="H118" s="510"/>
      <c r="I118" s="510"/>
      <c r="J118" s="510"/>
      <c r="K118" s="510"/>
      <c r="L118" s="510"/>
      <c r="M118" s="510"/>
      <c r="N118" s="510"/>
      <c r="O118" s="510"/>
      <c r="P118" s="510"/>
      <c r="Q118" s="510"/>
      <c r="R118" s="18"/>
      <c r="S118" s="18"/>
      <c r="T118" s="18"/>
      <c r="U118" s="18"/>
      <c r="V118" s="18"/>
    </row>
    <row r="119" spans="1:22" s="11" customFormat="1" ht="24" customHeight="1" x14ac:dyDescent="0.2">
      <c r="A119" s="41" t="s">
        <v>792</v>
      </c>
      <c r="B119" s="42"/>
      <c r="C119" s="42"/>
      <c r="D119" s="42"/>
      <c r="E119" s="43"/>
      <c r="F119" s="43"/>
      <c r="G119" s="43"/>
      <c r="H119" s="43"/>
      <c r="I119" s="43"/>
      <c r="J119" s="43"/>
      <c r="K119" s="43"/>
      <c r="L119" s="43"/>
      <c r="M119" s="43"/>
      <c r="N119" s="43"/>
      <c r="O119" s="43">
        <f>SUM(L120:L134)</f>
        <v>5182789574</v>
      </c>
      <c r="P119" s="43">
        <f t="shared" ref="P119:Q119" si="54">SUM(M120:M134)</f>
        <v>509780000</v>
      </c>
      <c r="Q119" s="43">
        <f t="shared" si="54"/>
        <v>49915000</v>
      </c>
      <c r="R119" s="18"/>
      <c r="S119" s="18"/>
      <c r="T119" s="18"/>
      <c r="U119" s="18"/>
      <c r="V119" s="18"/>
    </row>
    <row r="120" spans="1:22" s="11" customFormat="1" ht="24" customHeight="1" x14ac:dyDescent="0.2">
      <c r="A120" s="517"/>
      <c r="B120" s="131">
        <f>'SGTO POAI -MARZO-2021'!B279</f>
        <v>1</v>
      </c>
      <c r="C120" s="74" t="str">
        <f>'SGTO POAI -MARZO-2021'!D279</f>
        <v xml:space="preserve">INCLUSIÓN SOCIAL Y EQUIDAD </v>
      </c>
      <c r="D120" s="74"/>
      <c r="E120" s="74"/>
      <c r="F120" s="74"/>
      <c r="G120" s="74"/>
      <c r="H120" s="74"/>
      <c r="I120" s="74"/>
      <c r="J120" s="74"/>
      <c r="K120" s="74"/>
      <c r="L120" s="502">
        <f>SUM(I121:I128)</f>
        <v>4791789574</v>
      </c>
      <c r="M120" s="502">
        <f t="shared" ref="M120:N120" si="55">SUM(J121:J128)</f>
        <v>333530000</v>
      </c>
      <c r="N120" s="502">
        <f t="shared" si="55"/>
        <v>38895000</v>
      </c>
      <c r="O120" s="74"/>
      <c r="P120" s="74"/>
      <c r="Q120" s="74"/>
      <c r="R120" s="18"/>
      <c r="S120" s="18"/>
      <c r="T120" s="18"/>
      <c r="U120" s="18"/>
      <c r="V120" s="18"/>
    </row>
    <row r="121" spans="1:22" ht="24" customHeight="1" x14ac:dyDescent="0.2">
      <c r="A121" s="145"/>
      <c r="B121" s="338"/>
      <c r="C121" s="77">
        <f>'SGTO POAI -MARZO-2021'!D280</f>
        <v>19</v>
      </c>
      <c r="D121" s="75" t="str">
        <f>'SGTO POAI -MARZO-2021'!E280</f>
        <v>Salud y protección social</v>
      </c>
      <c r="E121" s="504"/>
      <c r="F121" s="504"/>
      <c r="G121" s="504"/>
      <c r="H121" s="504"/>
      <c r="I121" s="505">
        <f>F122</f>
        <v>175000000</v>
      </c>
      <c r="J121" s="505">
        <f t="shared" ref="J121:K121" si="56">G122</f>
        <v>75070000</v>
      </c>
      <c r="K121" s="505">
        <f t="shared" si="56"/>
        <v>6485000</v>
      </c>
      <c r="L121" s="506"/>
      <c r="M121" s="506"/>
      <c r="N121" s="506"/>
      <c r="O121" s="504"/>
      <c r="P121" s="504"/>
      <c r="Q121" s="504"/>
    </row>
    <row r="122" spans="1:22" s="50" customFormat="1" ht="51" customHeight="1" x14ac:dyDescent="0.2">
      <c r="A122" s="518"/>
      <c r="B122" s="338"/>
      <c r="C122" s="338"/>
      <c r="D122" s="338">
        <f>'SGTO POAI -MARZO-2021'!F281</f>
        <v>1905</v>
      </c>
      <c r="E122" s="519" t="str">
        <f>'SGTO POAI -MARZO-2021'!G281</f>
        <v>Salud Pública, "Tú y yo con salud de calidad"</v>
      </c>
      <c r="F122" s="507">
        <f>'SGTO POAI -MARZO-2021'!BJ281</f>
        <v>175000000</v>
      </c>
      <c r="G122" s="507">
        <f>'SGTO POAI -MARZO-2021'!BK281</f>
        <v>75070000</v>
      </c>
      <c r="H122" s="507">
        <f>'SGTO POAI -MARZO-2021'!BL281</f>
        <v>6485000</v>
      </c>
      <c r="I122" s="507"/>
      <c r="J122" s="507"/>
      <c r="K122" s="507"/>
      <c r="L122" s="520"/>
      <c r="M122" s="520"/>
      <c r="N122" s="520"/>
      <c r="O122" s="520"/>
      <c r="P122" s="520"/>
      <c r="Q122" s="520"/>
    </row>
    <row r="123" spans="1:22" ht="24" customHeight="1" x14ac:dyDescent="0.2">
      <c r="A123" s="145"/>
      <c r="B123" s="338"/>
      <c r="C123" s="77">
        <f>'SGTO POAI -MARZO-2021'!D284</f>
        <v>33</v>
      </c>
      <c r="D123" s="511" t="str">
        <f>'SGTO POAI -MARZO-2021'!E284</f>
        <v>Cultura</v>
      </c>
      <c r="E123" s="512"/>
      <c r="F123" s="504"/>
      <c r="G123" s="504"/>
      <c r="H123" s="504"/>
      <c r="I123" s="505">
        <f>F124</f>
        <v>14250000</v>
      </c>
      <c r="J123" s="505">
        <f t="shared" ref="J123:K123" si="57">G124</f>
        <v>7420000</v>
      </c>
      <c r="K123" s="505">
        <f t="shared" si="57"/>
        <v>0</v>
      </c>
      <c r="L123" s="506"/>
      <c r="M123" s="506"/>
      <c r="N123" s="506"/>
      <c r="O123" s="504"/>
      <c r="P123" s="504"/>
      <c r="Q123" s="504"/>
    </row>
    <row r="124" spans="1:22" s="50" customFormat="1" ht="51.75" customHeight="1" x14ac:dyDescent="0.2">
      <c r="A124" s="518"/>
      <c r="B124" s="338"/>
      <c r="C124" s="338"/>
      <c r="D124" s="338">
        <f>'SGTO POAI -MARZO-2021'!F285</f>
        <v>3301</v>
      </c>
      <c r="E124" s="358" t="str">
        <f>'SGTO POAI -MARZO-2021'!G285</f>
        <v>Promoción y acceso efectivo a procesos culturales y artísticos. "Tú y yo somos cultura Quindiana"</v>
      </c>
      <c r="F124" s="507">
        <f>'SGTO POAI -MARZO-2021'!BJ285</f>
        <v>14250000</v>
      </c>
      <c r="G124" s="507">
        <f>'SGTO POAI -MARZO-2021'!BK285</f>
        <v>7420000</v>
      </c>
      <c r="H124" s="507">
        <f>'SGTO POAI -MARZO-2021'!BL285</f>
        <v>0</v>
      </c>
      <c r="I124" s="507"/>
      <c r="J124" s="507"/>
      <c r="K124" s="507"/>
      <c r="L124" s="507"/>
      <c r="M124" s="507"/>
      <c r="N124" s="507"/>
      <c r="O124" s="507"/>
      <c r="P124" s="507"/>
      <c r="Q124" s="507"/>
    </row>
    <row r="125" spans="1:22" ht="24" customHeight="1" x14ac:dyDescent="0.2">
      <c r="A125" s="145"/>
      <c r="B125" s="338"/>
      <c r="C125" s="77">
        <f>'SGTO POAI -MARZO-2021'!D287</f>
        <v>41</v>
      </c>
      <c r="D125" s="75" t="str">
        <f>'SGTO POAI -MARZO-2021'!E287</f>
        <v>Inclusión social y Reconciliación</v>
      </c>
      <c r="E125" s="504"/>
      <c r="F125" s="504"/>
      <c r="G125" s="504"/>
      <c r="H125" s="504"/>
      <c r="I125" s="505">
        <f>SUM(F126:F128)</f>
        <v>4602539574</v>
      </c>
      <c r="J125" s="505">
        <f t="shared" ref="J125:K125" si="58">SUM(G126:G128)</f>
        <v>251040000</v>
      </c>
      <c r="K125" s="505">
        <f t="shared" si="58"/>
        <v>32410000</v>
      </c>
      <c r="L125" s="506"/>
      <c r="M125" s="506"/>
      <c r="N125" s="506"/>
      <c r="O125" s="504"/>
      <c r="P125" s="504"/>
      <c r="Q125" s="504"/>
    </row>
    <row r="126" spans="1:22" s="50" customFormat="1" ht="53.25" customHeight="1" x14ac:dyDescent="0.2">
      <c r="A126" s="518"/>
      <c r="B126" s="338"/>
      <c r="C126" s="338"/>
      <c r="D126" s="338">
        <f>'SGTO POAI -MARZO-2021'!F288</f>
        <v>4102</v>
      </c>
      <c r="E126" s="358" t="str">
        <f>'SGTO POAI -MARZO-2021'!G288</f>
        <v>Desarrollo Integral de Niños, Niñas, Adolescentes y sus Familias. "Tú y yo niños, niñas y adolescentes con desarrollo integral"</v>
      </c>
      <c r="F126" s="507">
        <f>'SGTO POAI -MARZO-2021'!BJ288</f>
        <v>748000000</v>
      </c>
      <c r="G126" s="507">
        <f>'SGTO POAI -MARZO-2021'!BK288</f>
        <v>178260000</v>
      </c>
      <c r="H126" s="507">
        <f>'SGTO POAI -MARZO-2021'!BL288</f>
        <v>16650000</v>
      </c>
      <c r="I126" s="507"/>
      <c r="J126" s="507"/>
      <c r="K126" s="507"/>
      <c r="L126" s="507"/>
      <c r="M126" s="507"/>
      <c r="N126" s="507"/>
      <c r="O126" s="507"/>
      <c r="P126" s="507"/>
      <c r="Q126" s="507"/>
    </row>
    <row r="127" spans="1:22" s="50" customFormat="1" ht="48.75" customHeight="1" x14ac:dyDescent="0.2">
      <c r="A127" s="518"/>
      <c r="B127" s="338"/>
      <c r="C127" s="338"/>
      <c r="D127" s="338">
        <f>'SGTO POAI -MARZO-2021'!F299</f>
        <v>4103</v>
      </c>
      <c r="E127" s="358" t="str">
        <f>'SGTO POAI -MARZO-2021'!G299</f>
        <v>Inclusión social y productiva para la población en situación de vulnerabilidad. "Tú y yo, población vulnerable incluida"</v>
      </c>
      <c r="F127" s="507">
        <f>'SGTO POAI -MARZO-2021'!BJ299</f>
        <v>175000000</v>
      </c>
      <c r="G127" s="507">
        <f>'SGTO POAI -MARZO-2021'!BK299</f>
        <v>36510000</v>
      </c>
      <c r="H127" s="507">
        <f>'SGTO POAI -MARZO-2021'!BL299</f>
        <v>8135000</v>
      </c>
      <c r="I127" s="507"/>
      <c r="J127" s="507"/>
      <c r="K127" s="507"/>
      <c r="L127" s="507"/>
      <c r="M127" s="507"/>
      <c r="N127" s="507"/>
      <c r="O127" s="507"/>
      <c r="P127" s="507"/>
      <c r="Q127" s="507"/>
    </row>
    <row r="128" spans="1:22" s="50" customFormat="1" ht="51.75" customHeight="1" x14ac:dyDescent="0.2">
      <c r="A128" s="518"/>
      <c r="B128" s="338"/>
      <c r="C128" s="338"/>
      <c r="D128" s="338">
        <f>'SGTO POAI -MARZO-2021'!F307</f>
        <v>4104</v>
      </c>
      <c r="E128" s="358" t="str">
        <f>'SGTO POAI -MARZO-2021'!G307</f>
        <v>Atención integral de población en situación permanente de desprotección social y/o familiar "Tú y yo con atención integral"</v>
      </c>
      <c r="F128" s="507">
        <f>'SGTO POAI -MARZO-2021'!BJ307</f>
        <v>3679539574</v>
      </c>
      <c r="G128" s="507">
        <f>'SGTO POAI -MARZO-2021'!BK307</f>
        <v>36270000</v>
      </c>
      <c r="H128" s="507">
        <f>'SGTO POAI -MARZO-2021'!BL307</f>
        <v>7625000</v>
      </c>
      <c r="I128" s="507"/>
      <c r="J128" s="507"/>
      <c r="K128" s="507"/>
      <c r="L128" s="507"/>
      <c r="M128" s="507"/>
      <c r="N128" s="507"/>
      <c r="O128" s="507"/>
      <c r="P128" s="507"/>
      <c r="Q128" s="507"/>
    </row>
    <row r="129" spans="1:22" s="11" customFormat="1" ht="24" customHeight="1" x14ac:dyDescent="0.2">
      <c r="A129" s="517"/>
      <c r="B129" s="131">
        <f>'SGTO POAI -MARZO-2021'!B313</f>
        <v>2</v>
      </c>
      <c r="C129" s="74" t="str">
        <f>'SGTO POAI -MARZO-2021'!D313</f>
        <v>PRODUCTIVIDAD Y COMPETITIVIDAD</v>
      </c>
      <c r="D129" s="74"/>
      <c r="E129" s="74"/>
      <c r="F129" s="74"/>
      <c r="G129" s="74"/>
      <c r="H129" s="74"/>
      <c r="I129" s="74"/>
      <c r="J129" s="74"/>
      <c r="K129" s="74"/>
      <c r="L129" s="502">
        <f>SUM(I130:I132)</f>
        <v>36000000</v>
      </c>
      <c r="M129" s="502">
        <f t="shared" ref="M129:N129" si="59">SUM(J130:J132)</f>
        <v>20440000</v>
      </c>
      <c r="N129" s="502">
        <f t="shared" si="59"/>
        <v>0</v>
      </c>
      <c r="O129" s="74"/>
      <c r="P129" s="74"/>
      <c r="Q129" s="74"/>
      <c r="R129" s="18"/>
      <c r="S129" s="18"/>
      <c r="T129" s="18"/>
      <c r="U129" s="18"/>
      <c r="V129" s="18"/>
    </row>
    <row r="130" spans="1:22" ht="24" customHeight="1" x14ac:dyDescent="0.2">
      <c r="A130" s="145"/>
      <c r="B130" s="338"/>
      <c r="C130" s="77">
        <f>'SGTO POAI -MARZO-2021'!D314</f>
        <v>17</v>
      </c>
      <c r="D130" s="75" t="str">
        <f>'SGTO POAI -MARZO-2021'!E314</f>
        <v>Agricultura y desarrollo rural</v>
      </c>
      <c r="E130" s="504"/>
      <c r="F130" s="504"/>
      <c r="G130" s="504"/>
      <c r="H130" s="504"/>
      <c r="I130" s="505">
        <f>F131</f>
        <v>18000000</v>
      </c>
      <c r="J130" s="505">
        <f t="shared" ref="J130:K130" si="60">G131</f>
        <v>11540000</v>
      </c>
      <c r="K130" s="505">
        <f t="shared" si="60"/>
        <v>0</v>
      </c>
      <c r="L130" s="506"/>
      <c r="M130" s="506"/>
      <c r="N130" s="506"/>
      <c r="O130" s="504"/>
      <c r="P130" s="504"/>
      <c r="Q130" s="504"/>
    </row>
    <row r="131" spans="1:22" s="50" customFormat="1" ht="51.75" customHeight="1" x14ac:dyDescent="0.2">
      <c r="A131" s="518"/>
      <c r="B131" s="338"/>
      <c r="C131" s="338"/>
      <c r="D131" s="338">
        <f>'SGTO POAI -MARZO-2021'!F315</f>
        <v>1702</v>
      </c>
      <c r="E131" s="358" t="str">
        <f>'SGTO POAI -MARZO-2021'!G315</f>
        <v>Inclusión productiva de pequeños productores rurales. "Tú y yo con oportunidades para el pequeño campesino"</v>
      </c>
      <c r="F131" s="507">
        <f>'SGTO POAI -MARZO-2021'!BJ315</f>
        <v>18000000</v>
      </c>
      <c r="G131" s="507">
        <f>'SGTO POAI -MARZO-2021'!BK315</f>
        <v>11540000</v>
      </c>
      <c r="H131" s="507">
        <f>'SGTO POAI -MARZO-2021'!BL315</f>
        <v>0</v>
      </c>
      <c r="I131" s="507"/>
      <c r="J131" s="507"/>
      <c r="K131" s="507"/>
      <c r="L131" s="507"/>
      <c r="M131" s="507"/>
      <c r="N131" s="507"/>
      <c r="O131" s="507"/>
      <c r="P131" s="507"/>
      <c r="Q131" s="507"/>
    </row>
    <row r="132" spans="1:22" ht="25.5" customHeight="1" x14ac:dyDescent="0.2">
      <c r="A132" s="145"/>
      <c r="B132" s="338"/>
      <c r="C132" s="77">
        <f>'SGTO POAI -MARZO-2021'!D317</f>
        <v>36</v>
      </c>
      <c r="D132" s="511" t="str">
        <f>'SGTO POAI -MARZO-2021'!E317</f>
        <v>Trabajo</v>
      </c>
      <c r="E132" s="512"/>
      <c r="F132" s="504"/>
      <c r="G132" s="504"/>
      <c r="H132" s="504"/>
      <c r="I132" s="505">
        <f>F133</f>
        <v>18000000</v>
      </c>
      <c r="J132" s="505">
        <f t="shared" ref="J132:K132" si="61">G133</f>
        <v>8900000</v>
      </c>
      <c r="K132" s="505">
        <f t="shared" si="61"/>
        <v>0</v>
      </c>
      <c r="L132" s="506"/>
      <c r="M132" s="506"/>
      <c r="N132" s="506"/>
      <c r="O132" s="504"/>
      <c r="P132" s="504"/>
      <c r="Q132" s="504"/>
    </row>
    <row r="133" spans="1:22" s="50" customFormat="1" ht="51" customHeight="1" x14ac:dyDescent="0.2">
      <c r="A133" s="518"/>
      <c r="B133" s="338"/>
      <c r="C133" s="338"/>
      <c r="D133" s="338">
        <f>'SGTO POAI -MARZO-2021'!F318</f>
        <v>3604</v>
      </c>
      <c r="E133" s="358" t="str">
        <f>'SGTO POAI -MARZO-2021'!G318</f>
        <v>Derechos fundamentales del trabajo y fortalecimiento del diálogo social. "Tú y yo con una niñez protegida"</v>
      </c>
      <c r="F133" s="507">
        <f>'SGTO POAI -MARZO-2021'!BJ318</f>
        <v>18000000</v>
      </c>
      <c r="G133" s="507">
        <f>'SGTO POAI -MARZO-2021'!BK318</f>
        <v>8900000</v>
      </c>
      <c r="H133" s="507">
        <f>'SGTO POAI -MARZO-2021'!BL318</f>
        <v>0</v>
      </c>
      <c r="I133" s="507"/>
      <c r="J133" s="507"/>
      <c r="K133" s="507"/>
      <c r="L133" s="507"/>
      <c r="M133" s="507"/>
      <c r="N133" s="507"/>
      <c r="O133" s="507"/>
      <c r="P133" s="507"/>
      <c r="Q133" s="507"/>
    </row>
    <row r="134" spans="1:22" s="11" customFormat="1" ht="24" customHeight="1" x14ac:dyDescent="0.2">
      <c r="A134" s="517"/>
      <c r="B134" s="131">
        <f>'SGTO POAI -MARZO-2021'!B320</f>
        <v>4</v>
      </c>
      <c r="C134" s="74" t="str">
        <f>'SGTO POAI -MARZO-2021'!D320</f>
        <v xml:space="preserve">LIDERAZGO, GOBERNABILIDAD Y TRANSPARENCIA </v>
      </c>
      <c r="D134" s="74"/>
      <c r="E134" s="74"/>
      <c r="F134" s="74"/>
      <c r="G134" s="74"/>
      <c r="H134" s="74"/>
      <c r="I134" s="74"/>
      <c r="J134" s="74"/>
      <c r="K134" s="74"/>
      <c r="L134" s="502">
        <f>I135</f>
        <v>355000000</v>
      </c>
      <c r="M134" s="502">
        <f t="shared" ref="M134:N134" si="62">J135</f>
        <v>155810000</v>
      </c>
      <c r="N134" s="502">
        <f t="shared" si="62"/>
        <v>11020000</v>
      </c>
      <c r="O134" s="74"/>
      <c r="P134" s="74"/>
      <c r="Q134" s="74"/>
      <c r="R134" s="18"/>
      <c r="S134" s="18"/>
      <c r="T134" s="18"/>
      <c r="U134" s="18"/>
      <c r="V134" s="18"/>
    </row>
    <row r="135" spans="1:22" ht="24" customHeight="1" x14ac:dyDescent="0.2">
      <c r="A135" s="271"/>
      <c r="B135" s="521"/>
      <c r="C135" s="522">
        <f>'SGTO POAI -MARZO-2021'!D321</f>
        <v>45</v>
      </c>
      <c r="D135" s="523" t="str">
        <f>'SGTO POAI -MARZO-2021'!E321</f>
        <v>Gobierno Territorial</v>
      </c>
      <c r="E135" s="524"/>
      <c r="F135" s="524"/>
      <c r="G135" s="524"/>
      <c r="H135" s="524"/>
      <c r="I135" s="525">
        <f>SUM(F136:F137)</f>
        <v>355000000</v>
      </c>
      <c r="J135" s="525">
        <f t="shared" ref="J135:K135" si="63">SUM(G136:G137)</f>
        <v>155810000</v>
      </c>
      <c r="K135" s="525">
        <f t="shared" si="63"/>
        <v>11020000</v>
      </c>
      <c r="L135" s="526"/>
      <c r="M135" s="526"/>
      <c r="N135" s="526"/>
      <c r="O135" s="524"/>
      <c r="P135" s="524"/>
      <c r="Q135" s="524"/>
    </row>
    <row r="136" spans="1:22" ht="50.25" customHeight="1" x14ac:dyDescent="0.2">
      <c r="A136" s="527"/>
      <c r="B136" s="355"/>
      <c r="C136" s="528"/>
      <c r="D136" s="355">
        <f>'SGTO POAI -MARZO-2021'!F322</f>
        <v>4502</v>
      </c>
      <c r="E136" s="356" t="str">
        <f>'SGTO POAI -MARZO-2021'!G322</f>
        <v>Fortalecimiento del buen gobierno para el respeto y garantía de los derechos humanos. "Quindío integrado y participativo"</v>
      </c>
      <c r="F136" s="529">
        <f>'SGTO POAI -MARZO-2021'!BJ322</f>
        <v>251000000</v>
      </c>
      <c r="G136" s="529">
        <f>'SGTO POAI -MARZO-2021'!BK322</f>
        <v>126130000</v>
      </c>
      <c r="H136" s="529">
        <f>'SGTO POAI -MARZO-2021'!BL322</f>
        <v>8135000</v>
      </c>
      <c r="I136" s="530"/>
      <c r="J136" s="530"/>
      <c r="K136" s="530"/>
      <c r="L136" s="531"/>
      <c r="M136" s="531"/>
      <c r="N136" s="531"/>
      <c r="O136" s="532"/>
      <c r="P136" s="532"/>
      <c r="Q136" s="532"/>
    </row>
    <row r="137" spans="1:22" ht="76.5" customHeight="1" x14ac:dyDescent="0.2">
      <c r="A137" s="527"/>
      <c r="B137" s="355"/>
      <c r="C137" s="528"/>
      <c r="D137" s="355">
        <f>'SGTO POAI -MARZO-2021'!F328</f>
        <v>4599</v>
      </c>
      <c r="E137" s="354" t="str">
        <f>'SGTO POAI -MARZO-2021'!G328</f>
        <v>Fortalecimiento a la gestión y dirección de la administración pública territorial "Quindío con una administración al servicio de la ciudadanía"</v>
      </c>
      <c r="F137" s="529">
        <f>'SGTO POAI -MARZO-2021'!BJ328</f>
        <v>104000000</v>
      </c>
      <c r="G137" s="529">
        <f>'SGTO POAI -MARZO-2021'!BK328</f>
        <v>29680000</v>
      </c>
      <c r="H137" s="529">
        <f>'SGTO POAI -MARZO-2021'!BL328</f>
        <v>2885000</v>
      </c>
      <c r="I137" s="530"/>
      <c r="J137" s="530"/>
      <c r="K137" s="530"/>
      <c r="L137" s="531"/>
      <c r="M137" s="531"/>
      <c r="N137" s="531"/>
      <c r="O137" s="532"/>
      <c r="P137" s="532"/>
      <c r="Q137" s="532"/>
    </row>
    <row r="138" spans="1:22" s="11" customFormat="1" x14ac:dyDescent="0.2">
      <c r="A138" s="58"/>
      <c r="B138" s="509"/>
      <c r="C138" s="509"/>
      <c r="D138" s="509"/>
      <c r="E138" s="510"/>
      <c r="F138" s="510"/>
      <c r="G138" s="510"/>
      <c r="H138" s="510"/>
      <c r="I138" s="510"/>
      <c r="J138" s="510"/>
      <c r="K138" s="510"/>
      <c r="L138" s="510"/>
      <c r="M138" s="510"/>
      <c r="N138" s="510"/>
      <c r="O138" s="510"/>
      <c r="P138" s="510"/>
      <c r="Q138" s="510"/>
      <c r="R138" s="18"/>
      <c r="S138" s="18"/>
      <c r="T138" s="18"/>
      <c r="U138" s="18"/>
      <c r="V138" s="18"/>
    </row>
    <row r="139" spans="1:22" ht="24" customHeight="1" x14ac:dyDescent="0.2">
      <c r="A139" s="41" t="s">
        <v>1013</v>
      </c>
      <c r="B139" s="42"/>
      <c r="C139" s="42"/>
      <c r="D139" s="42"/>
      <c r="E139" s="43"/>
      <c r="F139" s="43"/>
      <c r="G139" s="43"/>
      <c r="H139" s="43"/>
      <c r="I139" s="43"/>
      <c r="J139" s="43"/>
      <c r="K139" s="43"/>
      <c r="L139" s="43"/>
      <c r="M139" s="43"/>
      <c r="N139" s="43"/>
      <c r="O139" s="43">
        <f>L140</f>
        <v>47203229647.489998</v>
      </c>
      <c r="P139" s="43">
        <f t="shared" ref="P139:Q139" si="64">M140</f>
        <v>34008852892.330002</v>
      </c>
      <c r="Q139" s="43">
        <f t="shared" si="64"/>
        <v>9439273208.6499996</v>
      </c>
    </row>
    <row r="140" spans="1:22" ht="24" customHeight="1" x14ac:dyDescent="0.2">
      <c r="A140" s="145"/>
      <c r="B140" s="131">
        <f>'SGTO POAI -MARZO-2021'!B334</f>
        <v>1</v>
      </c>
      <c r="C140" s="74" t="str">
        <f>'SGTO POAI -MARZO-2021'!D334</f>
        <v xml:space="preserve">INCLUSIÓN SOCIAL Y EQUIDAD </v>
      </c>
      <c r="D140" s="76"/>
      <c r="E140" s="74"/>
      <c r="F140" s="74"/>
      <c r="G140" s="74"/>
      <c r="H140" s="74"/>
      <c r="I140" s="74"/>
      <c r="J140" s="74"/>
      <c r="K140" s="74"/>
      <c r="L140" s="502">
        <f>I141</f>
        <v>47203229647.489998</v>
      </c>
      <c r="M140" s="502">
        <f t="shared" ref="M140:N140" si="65">J141</f>
        <v>34008852892.330002</v>
      </c>
      <c r="N140" s="502">
        <f t="shared" si="65"/>
        <v>9439273208.6499996</v>
      </c>
      <c r="O140" s="74"/>
      <c r="P140" s="74"/>
      <c r="Q140" s="74"/>
    </row>
    <row r="141" spans="1:22" ht="24" customHeight="1" x14ac:dyDescent="0.2">
      <c r="A141" s="145"/>
      <c r="B141" s="338"/>
      <c r="C141" s="77">
        <f>'SGTO POAI -MARZO-2021'!D335</f>
        <v>19</v>
      </c>
      <c r="D141" s="75" t="str">
        <f>'SGTO POAI -MARZO-2021'!E335</f>
        <v>Salud y protección social</v>
      </c>
      <c r="E141" s="504"/>
      <c r="F141" s="504"/>
      <c r="G141" s="504"/>
      <c r="H141" s="504"/>
      <c r="I141" s="505">
        <f>SUM(F142:F144)</f>
        <v>47203229647.489998</v>
      </c>
      <c r="J141" s="505">
        <f t="shared" ref="J141:K141" si="66">SUM(G142:G144)</f>
        <v>34008852892.330002</v>
      </c>
      <c r="K141" s="505">
        <f t="shared" si="66"/>
        <v>9439273208.6499996</v>
      </c>
      <c r="L141" s="506"/>
      <c r="M141" s="506"/>
      <c r="N141" s="506"/>
      <c r="O141" s="504"/>
      <c r="P141" s="504"/>
      <c r="Q141" s="504"/>
    </row>
    <row r="142" spans="1:22" s="44" customFormat="1" ht="35.25" customHeight="1" x14ac:dyDescent="0.2">
      <c r="A142" s="337"/>
      <c r="B142" s="338"/>
      <c r="C142" s="338"/>
      <c r="D142" s="338">
        <f>'SGTO POAI -MARZO-2021'!F336</f>
        <v>1903</v>
      </c>
      <c r="E142" s="358" t="str">
        <f>'SGTO POAI -MARZO-2021'!G336</f>
        <v xml:space="preserve">Inspección, vigilancia y control. "Tú y yo con salud certificada" </v>
      </c>
      <c r="F142" s="507">
        <f>'SGTO POAI -MARZO-2021'!BJ336</f>
        <v>2611085314</v>
      </c>
      <c r="G142" s="507">
        <f>'SGTO POAI -MARZO-2021'!BK336</f>
        <v>760558549.32999992</v>
      </c>
      <c r="H142" s="507">
        <f>'SGTO POAI -MARZO-2021'!BL336</f>
        <v>127856688.33</v>
      </c>
      <c r="I142" s="507"/>
      <c r="J142" s="507"/>
      <c r="K142" s="507"/>
      <c r="L142" s="507"/>
      <c r="M142" s="507"/>
      <c r="N142" s="507"/>
      <c r="O142" s="507"/>
      <c r="P142" s="507"/>
      <c r="Q142" s="507"/>
    </row>
    <row r="143" spans="1:22" s="44" customFormat="1" ht="31.5" customHeight="1" x14ac:dyDescent="0.2">
      <c r="A143" s="337"/>
      <c r="B143" s="338"/>
      <c r="C143" s="338"/>
      <c r="D143" s="338">
        <f>'SGTO POAI -MARZO-2021'!F359</f>
        <v>1905</v>
      </c>
      <c r="E143" s="358" t="str">
        <f>'SGTO POAI -MARZO-2021'!G359</f>
        <v>Salud Pública, "Tú y yo con salud de calidad"</v>
      </c>
      <c r="F143" s="507">
        <f>'SGTO POAI -MARZO-2021'!BJ359</f>
        <v>5224357109.4899998</v>
      </c>
      <c r="G143" s="507">
        <f>'SGTO POAI -MARZO-2021'!BK359</f>
        <v>1810335221</v>
      </c>
      <c r="H143" s="507">
        <f>'SGTO POAI -MARZO-2021'!BL359</f>
        <v>210541185</v>
      </c>
      <c r="I143" s="507"/>
      <c r="J143" s="507"/>
      <c r="K143" s="507"/>
      <c r="L143" s="507"/>
      <c r="M143" s="507"/>
      <c r="N143" s="507"/>
      <c r="O143" s="507"/>
      <c r="P143" s="507"/>
      <c r="Q143" s="507"/>
    </row>
    <row r="144" spans="1:22" s="44" customFormat="1" ht="57.75" customHeight="1" x14ac:dyDescent="0.2">
      <c r="A144" s="337"/>
      <c r="B144" s="338"/>
      <c r="C144" s="338"/>
      <c r="D144" s="338">
        <f>'SGTO POAI -MARZO-2021'!F389</f>
        <v>1906</v>
      </c>
      <c r="E144" s="358" t="str">
        <f>'SGTO POAI -MARZO-2021'!G389</f>
        <v>Aseguramiento y Prestación integral de servicios de salud "Tú y yo con servicios de salud"</v>
      </c>
      <c r="F144" s="507">
        <f>'SGTO POAI -MARZO-2021'!BJ389</f>
        <v>39367787224</v>
      </c>
      <c r="G144" s="507">
        <f>'SGTO POAI -MARZO-2021'!BK389</f>
        <v>31437959122</v>
      </c>
      <c r="H144" s="507">
        <f>'SGTO POAI -MARZO-2021'!BL389</f>
        <v>9100875335.3199997</v>
      </c>
      <c r="I144" s="507"/>
      <c r="J144" s="507"/>
      <c r="K144" s="507"/>
      <c r="L144" s="507"/>
      <c r="M144" s="507"/>
      <c r="N144" s="507"/>
      <c r="O144" s="507"/>
      <c r="P144" s="507"/>
      <c r="Q144" s="507"/>
    </row>
    <row r="145" spans="1:22" s="11" customFormat="1" x14ac:dyDescent="0.2">
      <c r="A145" s="58"/>
      <c r="B145" s="509"/>
      <c r="C145" s="509"/>
      <c r="D145" s="509"/>
      <c r="E145" s="510"/>
      <c r="F145" s="510"/>
      <c r="G145" s="510"/>
      <c r="H145" s="510"/>
      <c r="I145" s="510"/>
      <c r="J145" s="510"/>
      <c r="K145" s="510"/>
      <c r="L145" s="510"/>
      <c r="M145" s="510"/>
      <c r="N145" s="510"/>
      <c r="O145" s="510"/>
      <c r="P145" s="510"/>
      <c r="Q145" s="510"/>
      <c r="R145" s="18"/>
      <c r="S145" s="18"/>
      <c r="T145" s="18"/>
      <c r="U145" s="18"/>
      <c r="V145" s="18"/>
    </row>
    <row r="146" spans="1:22" s="9" customFormat="1" ht="24" customHeight="1" x14ac:dyDescent="0.25">
      <c r="A146" s="41" t="s">
        <v>1231</v>
      </c>
      <c r="B146" s="42"/>
      <c r="C146" s="42"/>
      <c r="D146" s="42"/>
      <c r="E146" s="43"/>
      <c r="F146" s="43"/>
      <c r="G146" s="43"/>
      <c r="H146" s="43"/>
      <c r="I146" s="43"/>
      <c r="J146" s="43"/>
      <c r="K146" s="43"/>
      <c r="L146" s="43"/>
      <c r="M146" s="43"/>
      <c r="N146" s="43"/>
      <c r="O146" s="43">
        <f>SUM(L147:L155)</f>
        <v>896000000</v>
      </c>
      <c r="P146" s="43">
        <f t="shared" ref="P146:Q146" si="67">SUM(M147:M155)</f>
        <v>256750334</v>
      </c>
      <c r="Q146" s="43">
        <f t="shared" si="67"/>
        <v>18140000</v>
      </c>
      <c r="R146" s="8"/>
      <c r="S146" s="8"/>
      <c r="T146" s="8"/>
      <c r="U146" s="8"/>
      <c r="V146" s="8"/>
    </row>
    <row r="147" spans="1:22" s="9" customFormat="1" ht="24" customHeight="1" x14ac:dyDescent="0.25">
      <c r="A147" s="130"/>
      <c r="B147" s="131">
        <f>'SGTO POAI -MARZO-2021'!B402</f>
        <v>1</v>
      </c>
      <c r="C147" s="74" t="str">
        <f>'SGTO POAI -MARZO-2021'!D402</f>
        <v xml:space="preserve">INCLUSIÓN SOCIAL Y EQUIDAD </v>
      </c>
      <c r="D147" s="74"/>
      <c r="E147" s="74"/>
      <c r="F147" s="74"/>
      <c r="G147" s="74"/>
      <c r="H147" s="74"/>
      <c r="I147" s="74"/>
      <c r="J147" s="74"/>
      <c r="K147" s="74"/>
      <c r="L147" s="502">
        <f>I148</f>
        <v>520000000</v>
      </c>
      <c r="M147" s="502">
        <f t="shared" ref="M147:N147" si="68">J148</f>
        <v>142970334</v>
      </c>
      <c r="N147" s="502">
        <f t="shared" si="68"/>
        <v>8655000</v>
      </c>
      <c r="O147" s="74"/>
      <c r="P147" s="74"/>
      <c r="Q147" s="74"/>
      <c r="R147" s="8"/>
      <c r="S147" s="8"/>
      <c r="T147" s="8"/>
      <c r="U147" s="8"/>
      <c r="V147" s="8"/>
    </row>
    <row r="148" spans="1:22" ht="24" customHeight="1" x14ac:dyDescent="0.2">
      <c r="A148" s="145"/>
      <c r="B148" s="338"/>
      <c r="C148" s="77">
        <f>'SGTO POAI -MARZO-2021'!D403</f>
        <v>23</v>
      </c>
      <c r="D148" s="75" t="str">
        <f>'SGTO POAI -MARZO-2021'!E403</f>
        <v>Tecnologías de la información y las comunicaciones</v>
      </c>
      <c r="E148" s="504"/>
      <c r="F148" s="504"/>
      <c r="G148" s="504"/>
      <c r="H148" s="504"/>
      <c r="I148" s="505">
        <f>SUM(F149:F150)</f>
        <v>520000000</v>
      </c>
      <c r="J148" s="505">
        <f t="shared" ref="J148:K148" si="69">SUM(G149:G150)</f>
        <v>142970334</v>
      </c>
      <c r="K148" s="505">
        <f t="shared" si="69"/>
        <v>8655000</v>
      </c>
      <c r="L148" s="506"/>
      <c r="M148" s="506"/>
      <c r="N148" s="506"/>
      <c r="O148" s="504"/>
      <c r="P148" s="504"/>
      <c r="Q148" s="504"/>
    </row>
    <row r="149" spans="1:22" s="49" customFormat="1" ht="75.75" customHeight="1" x14ac:dyDescent="0.25">
      <c r="A149" s="508"/>
      <c r="B149" s="338"/>
      <c r="C149" s="338"/>
      <c r="D149" s="353">
        <f>'SGTO POAI -MARZO-2021'!F404</f>
        <v>2301</v>
      </c>
      <c r="E149" s="358" t="str">
        <f>'SGTO POAI -MARZO-2021'!G404</f>
        <v>Facilitar en acceso y uso de las Tecnologías de la Información y las Comunicaciones (TIC)  en todo el territorio nacional.  "Tú y yo somos ciudadanos TIC"</v>
      </c>
      <c r="F149" s="507">
        <f>'SGTO POAI -MARZO-2021'!BJ404</f>
        <v>374000000</v>
      </c>
      <c r="G149" s="507">
        <f>'SGTO POAI -MARZO-2021'!BK404</f>
        <v>76080000</v>
      </c>
      <c r="H149" s="507">
        <f>'SGTO POAI -MARZO-2021'!BL404</f>
        <v>8655000</v>
      </c>
      <c r="I149" s="507"/>
      <c r="J149" s="507"/>
      <c r="K149" s="507"/>
      <c r="L149" s="507"/>
      <c r="M149" s="507"/>
      <c r="N149" s="507"/>
      <c r="O149" s="507"/>
      <c r="P149" s="507"/>
      <c r="Q149" s="507"/>
    </row>
    <row r="150" spans="1:22" s="49" customFormat="1" ht="76.5" customHeight="1" x14ac:dyDescent="0.25">
      <c r="A150" s="508"/>
      <c r="B150" s="338"/>
      <c r="C150" s="338"/>
      <c r="D150" s="353">
        <f>'SGTO POAI -MARZO-2021'!F414</f>
        <v>2302</v>
      </c>
      <c r="E150" s="358" t="str">
        <f>'SGTO POAI -MARZO-2021'!G414</f>
        <v>Fomento del desarrollo de aplicaciones, software y contenidos para impulsar la apropiación de las Tecnologías de la Información y las Comunicaciones (TIC) "Quindío paraíso empresarial TIC-Quindío TIC"</v>
      </c>
      <c r="F150" s="507">
        <f>'SGTO POAI -MARZO-2021'!BJ414</f>
        <v>146000000</v>
      </c>
      <c r="G150" s="507">
        <f>'SGTO POAI -MARZO-2021'!BK414</f>
        <v>66890334</v>
      </c>
      <c r="H150" s="507">
        <f>'SGTO POAI -MARZO-2021'!BL414</f>
        <v>0</v>
      </c>
      <c r="I150" s="507"/>
      <c r="J150" s="507"/>
      <c r="K150" s="507"/>
      <c r="L150" s="507"/>
      <c r="M150" s="507"/>
      <c r="N150" s="507"/>
      <c r="O150" s="507"/>
      <c r="P150" s="507"/>
      <c r="Q150" s="507"/>
    </row>
    <row r="151" spans="1:22" s="9" customFormat="1" ht="24" customHeight="1" x14ac:dyDescent="0.25">
      <c r="A151" s="130"/>
      <c r="B151" s="131">
        <f>'SGTO POAI -MARZO-2021'!B420</f>
        <v>2</v>
      </c>
      <c r="C151" s="74" t="str">
        <f>'SGTO POAI -MARZO-2021'!D420</f>
        <v>PRODUCTIVIDAD Y COMPETITIVIDAD</v>
      </c>
      <c r="D151" s="74"/>
      <c r="E151" s="74"/>
      <c r="F151" s="74"/>
      <c r="G151" s="74"/>
      <c r="H151" s="74"/>
      <c r="I151" s="74"/>
      <c r="J151" s="74"/>
      <c r="K151" s="74"/>
      <c r="L151" s="502">
        <f>I152</f>
        <v>78000000</v>
      </c>
      <c r="M151" s="502">
        <f t="shared" ref="M151:N151" si="70">J152</f>
        <v>23080000</v>
      </c>
      <c r="N151" s="502">
        <f t="shared" si="70"/>
        <v>0</v>
      </c>
      <c r="O151" s="74"/>
      <c r="P151" s="74"/>
      <c r="Q151" s="74"/>
      <c r="R151" s="8"/>
      <c r="S151" s="8"/>
      <c r="T151" s="8"/>
      <c r="U151" s="8"/>
      <c r="V151" s="8"/>
    </row>
    <row r="152" spans="1:22" ht="24" customHeight="1" x14ac:dyDescent="0.2">
      <c r="A152" s="145"/>
      <c r="B152" s="338"/>
      <c r="C152" s="77">
        <f>'SGTO POAI -MARZO-2021'!D421</f>
        <v>39</v>
      </c>
      <c r="D152" s="75" t="str">
        <f>'SGTO POAI -MARZO-2021'!E421</f>
        <v>Ciencia, Tecnología e Innovación</v>
      </c>
      <c r="E152" s="504"/>
      <c r="F152" s="504"/>
      <c r="G152" s="504"/>
      <c r="H152" s="504"/>
      <c r="I152" s="505">
        <f>SUM(F153:F154)</f>
        <v>78000000</v>
      </c>
      <c r="J152" s="505">
        <f t="shared" ref="J152:K152" si="71">SUM(G153:G154)</f>
        <v>23080000</v>
      </c>
      <c r="K152" s="505">
        <f t="shared" si="71"/>
        <v>0</v>
      </c>
      <c r="L152" s="506"/>
      <c r="M152" s="506"/>
      <c r="N152" s="506"/>
      <c r="O152" s="504"/>
      <c r="P152" s="504"/>
      <c r="Q152" s="504"/>
    </row>
    <row r="153" spans="1:22" s="49" customFormat="1" ht="44.25" customHeight="1" x14ac:dyDescent="0.25">
      <c r="A153" s="508"/>
      <c r="B153" s="338"/>
      <c r="C153" s="338"/>
      <c r="D153" s="353" t="str">
        <f>'SGTO POAI -MARZO-2021'!F422</f>
        <v>3903</v>
      </c>
      <c r="E153" s="358" t="str">
        <f>'SGTO POAI -MARZO-2021'!G422</f>
        <v xml:space="preserve">Desarrollo tecnológico e innovación para el crecimiento empresarial </v>
      </c>
      <c r="F153" s="507">
        <f>'SGTO POAI -MARZO-2021'!BJ422</f>
        <v>60000000</v>
      </c>
      <c r="G153" s="507">
        <f>'SGTO POAI -MARZO-2021'!BK422</f>
        <v>23080000</v>
      </c>
      <c r="H153" s="507">
        <f>'SGTO POAI -MARZO-2021'!BL422</f>
        <v>0</v>
      </c>
      <c r="I153" s="507"/>
      <c r="J153" s="507"/>
      <c r="K153" s="507"/>
      <c r="L153" s="507"/>
      <c r="M153" s="507"/>
      <c r="N153" s="507"/>
      <c r="O153" s="507"/>
      <c r="P153" s="507"/>
      <c r="Q153" s="507"/>
    </row>
    <row r="154" spans="1:22" s="49" customFormat="1" ht="44.25" customHeight="1" x14ac:dyDescent="0.25">
      <c r="A154" s="508"/>
      <c r="B154" s="338"/>
      <c r="C154" s="338"/>
      <c r="D154" s="353">
        <f>'SGTO POAI -MARZO-2021'!F426</f>
        <v>3904</v>
      </c>
      <c r="E154" s="358" t="str">
        <f>'SGTO POAI -MARZO-2021'!G426</f>
        <v>Generación de una cultura qué valora y gestiona en conocimiento y la innovación.</v>
      </c>
      <c r="F154" s="507">
        <f>'SGTO POAI -MARZO-2021'!BJ426</f>
        <v>18000000</v>
      </c>
      <c r="G154" s="507">
        <f>'SGTO POAI -MARZO-2021'!BK426</f>
        <v>0</v>
      </c>
      <c r="H154" s="507">
        <f>'SGTO POAI -MARZO-2021'!BL426</f>
        <v>0</v>
      </c>
      <c r="I154" s="507"/>
      <c r="J154" s="507"/>
      <c r="K154" s="507"/>
      <c r="L154" s="507"/>
      <c r="M154" s="507"/>
      <c r="N154" s="507"/>
      <c r="O154" s="507"/>
      <c r="P154" s="507"/>
      <c r="Q154" s="507"/>
    </row>
    <row r="155" spans="1:22" s="9" customFormat="1" ht="24" customHeight="1" x14ac:dyDescent="0.25">
      <c r="A155" s="130"/>
      <c r="B155" s="131">
        <f>'SGTO POAI -MARZO-2021'!B428</f>
        <v>4</v>
      </c>
      <c r="C155" s="74" t="str">
        <f>'SGTO POAI -MARZO-2021'!D428</f>
        <v xml:space="preserve">LIDERAZGO, GOBERNABILIDAD Y TRANSPARENCIA </v>
      </c>
      <c r="D155" s="74"/>
      <c r="E155" s="74"/>
      <c r="F155" s="74"/>
      <c r="G155" s="74"/>
      <c r="H155" s="74"/>
      <c r="I155" s="74"/>
      <c r="J155" s="74"/>
      <c r="K155" s="74"/>
      <c r="L155" s="502">
        <f>I156</f>
        <v>298000000</v>
      </c>
      <c r="M155" s="502">
        <f t="shared" ref="M155:N155" si="72">J156</f>
        <v>90700000</v>
      </c>
      <c r="N155" s="502">
        <f t="shared" si="72"/>
        <v>9485000</v>
      </c>
      <c r="O155" s="74"/>
      <c r="P155" s="74"/>
      <c r="Q155" s="74"/>
      <c r="R155" s="8"/>
      <c r="S155" s="8"/>
      <c r="T155" s="8"/>
      <c r="U155" s="8"/>
      <c r="V155" s="8"/>
    </row>
    <row r="156" spans="1:22" ht="24" customHeight="1" x14ac:dyDescent="0.2">
      <c r="A156" s="145"/>
      <c r="B156" s="338"/>
      <c r="C156" s="77">
        <f>'SGTO POAI -MARZO-2021'!D429</f>
        <v>23</v>
      </c>
      <c r="D156" s="75" t="str">
        <f>'SGTO POAI -MARZO-2021'!E429</f>
        <v>Tecnologías de la información y las comunicaciones</v>
      </c>
      <c r="E156" s="75"/>
      <c r="F156" s="504"/>
      <c r="G156" s="504"/>
      <c r="H156" s="504"/>
      <c r="I156" s="505">
        <f>F157</f>
        <v>298000000</v>
      </c>
      <c r="J156" s="505">
        <f t="shared" ref="J156:K156" si="73">G157</f>
        <v>90700000</v>
      </c>
      <c r="K156" s="505">
        <f t="shared" si="73"/>
        <v>9485000</v>
      </c>
      <c r="L156" s="506"/>
      <c r="M156" s="506"/>
      <c r="N156" s="506"/>
      <c r="O156" s="504"/>
      <c r="P156" s="504"/>
      <c r="Q156" s="504"/>
    </row>
    <row r="157" spans="1:22" s="49" customFormat="1" ht="99.75" customHeight="1" x14ac:dyDescent="0.25">
      <c r="A157" s="508"/>
      <c r="B157" s="338"/>
      <c r="C157" s="338"/>
      <c r="D157" s="353">
        <f>'SGTO POAI -MARZO-2021'!F430</f>
        <v>2302</v>
      </c>
      <c r="E157" s="358" t="str">
        <f>'SGTO POAI -MARZO-2021'!G430</f>
        <v>Fomento del desarrollo de aplicaciones, software y contenidos para impulsar la apropiación de las Tecnologías de la Información y las Comunicaciones (TIC) "Quindío paraíso empresarial TIC-Quindío TIC"</v>
      </c>
      <c r="F157" s="507">
        <f>'SGTO POAI -MARZO-2021'!BJ430</f>
        <v>298000000</v>
      </c>
      <c r="G157" s="507">
        <f>'SGTO POAI -MARZO-2021'!BK430</f>
        <v>90700000</v>
      </c>
      <c r="H157" s="507">
        <f>'SGTO POAI -MARZO-2021'!BL430</f>
        <v>9485000</v>
      </c>
      <c r="I157" s="507"/>
      <c r="J157" s="507"/>
      <c r="K157" s="507"/>
      <c r="L157" s="507"/>
      <c r="M157" s="507"/>
      <c r="N157" s="507"/>
      <c r="O157" s="507"/>
      <c r="P157" s="507"/>
      <c r="Q157" s="507"/>
    </row>
    <row r="158" spans="1:22" s="11" customFormat="1" ht="18.75" customHeight="1" x14ac:dyDescent="0.2">
      <c r="A158" s="58"/>
      <c r="B158" s="509"/>
      <c r="C158" s="509"/>
      <c r="D158" s="509"/>
      <c r="E158" s="510"/>
      <c r="F158" s="510"/>
      <c r="G158" s="510"/>
      <c r="H158" s="510"/>
      <c r="I158" s="510"/>
      <c r="J158" s="510"/>
      <c r="K158" s="510"/>
      <c r="L158" s="510"/>
      <c r="M158" s="510"/>
      <c r="N158" s="510"/>
      <c r="O158" s="510"/>
      <c r="P158" s="510"/>
      <c r="Q158" s="510"/>
      <c r="R158" s="18"/>
      <c r="S158" s="18"/>
      <c r="T158" s="18"/>
      <c r="U158" s="18"/>
      <c r="V158" s="18"/>
    </row>
    <row r="159" spans="1:22" s="28" customFormat="1" ht="30" customHeight="1" x14ac:dyDescent="0.25">
      <c r="A159" s="533" t="s">
        <v>1308</v>
      </c>
      <c r="B159" s="534"/>
      <c r="C159" s="534"/>
      <c r="D159" s="533"/>
      <c r="E159" s="535"/>
      <c r="F159" s="536">
        <f>SUM(F7:F157)</f>
        <v>266871471112.02005</v>
      </c>
      <c r="G159" s="536">
        <f t="shared" ref="G159:H159" si="74">SUM(G7:G157)</f>
        <v>92048341829.910004</v>
      </c>
      <c r="H159" s="536">
        <f t="shared" si="74"/>
        <v>47534651951.650002</v>
      </c>
      <c r="I159" s="536">
        <f>SUM(I7:I157)</f>
        <v>266871471112.02005</v>
      </c>
      <c r="J159" s="536">
        <f t="shared" ref="J159:K159" si="75">SUM(J7:J157)</f>
        <v>92048341829.910004</v>
      </c>
      <c r="K159" s="536">
        <f t="shared" si="75"/>
        <v>47534651951.650002</v>
      </c>
      <c r="L159" s="536">
        <f>SUM(L7:L157)</f>
        <v>266871471112.02005</v>
      </c>
      <c r="M159" s="536">
        <f t="shared" ref="M159:N159" si="76">SUM(M7:M157)</f>
        <v>92048341829.910004</v>
      </c>
      <c r="N159" s="536">
        <f t="shared" si="76"/>
        <v>47534651951.650002</v>
      </c>
      <c r="O159" s="536">
        <f>SUM(O7:O157)</f>
        <v>266871471112.02005</v>
      </c>
      <c r="P159" s="536">
        <f t="shared" ref="P159:Q159" si="77">SUM(P7:P157)</f>
        <v>92048341829.910004</v>
      </c>
      <c r="Q159" s="536">
        <f t="shared" si="77"/>
        <v>47534651951.650002</v>
      </c>
      <c r="R159" s="27"/>
      <c r="S159" s="27"/>
      <c r="T159" s="27"/>
      <c r="U159" s="27"/>
      <c r="V159" s="27"/>
    </row>
    <row r="160" spans="1:22" s="11" customFormat="1" ht="29.25" customHeight="1" x14ac:dyDescent="0.2">
      <c r="A160" s="58"/>
      <c r="B160" s="509"/>
      <c r="C160" s="509"/>
      <c r="D160" s="509"/>
      <c r="E160" s="510"/>
      <c r="F160" s="510"/>
      <c r="G160" s="510"/>
      <c r="H160" s="510"/>
      <c r="I160" s="510"/>
      <c r="J160" s="510"/>
      <c r="K160" s="510"/>
      <c r="L160" s="510"/>
      <c r="M160" s="510"/>
      <c r="N160" s="510"/>
      <c r="O160" s="510"/>
      <c r="P160" s="510"/>
      <c r="Q160" s="510"/>
      <c r="R160" s="18"/>
      <c r="S160" s="18"/>
      <c r="T160" s="18"/>
      <c r="U160" s="18"/>
      <c r="V160" s="18"/>
    </row>
    <row r="161" spans="1:22" ht="24" customHeight="1" x14ac:dyDescent="0.2">
      <c r="A161" s="41" t="s">
        <v>1309</v>
      </c>
      <c r="B161" s="42"/>
      <c r="C161" s="42"/>
      <c r="D161" s="42"/>
      <c r="E161" s="43"/>
      <c r="F161" s="43"/>
      <c r="G161" s="43"/>
      <c r="H161" s="43"/>
      <c r="I161" s="43"/>
      <c r="J161" s="43"/>
      <c r="K161" s="43"/>
      <c r="L161" s="43"/>
      <c r="M161" s="43"/>
      <c r="N161" s="43"/>
      <c r="O161" s="43">
        <f>L162</f>
        <v>6167355779.5499992</v>
      </c>
      <c r="P161" s="43">
        <f t="shared" ref="P161:Q161" si="78">M162</f>
        <v>879229500</v>
      </c>
      <c r="Q161" s="43">
        <f t="shared" si="78"/>
        <v>181269500</v>
      </c>
    </row>
    <row r="162" spans="1:22" ht="24" customHeight="1" x14ac:dyDescent="0.2">
      <c r="A162" s="145"/>
      <c r="B162" s="131">
        <f>'SGTO POAI -MARZO-2021'!B440</f>
        <v>1</v>
      </c>
      <c r="C162" s="74" t="str">
        <f>'SGTO POAI -MARZO-2021'!D440</f>
        <v xml:space="preserve">INCLUSIÓN SOCIAL Y EQUIDAD </v>
      </c>
      <c r="D162" s="74"/>
      <c r="E162" s="74"/>
      <c r="F162" s="74"/>
      <c r="G162" s="74"/>
      <c r="H162" s="74"/>
      <c r="I162" s="74"/>
      <c r="J162" s="74"/>
      <c r="K162" s="74"/>
      <c r="L162" s="502">
        <f>I163</f>
        <v>6167355779.5499992</v>
      </c>
      <c r="M162" s="502">
        <f t="shared" ref="M162:N162" si="79">J163</f>
        <v>879229500</v>
      </c>
      <c r="N162" s="502">
        <f t="shared" si="79"/>
        <v>181269500</v>
      </c>
      <c r="O162" s="74"/>
      <c r="P162" s="74"/>
      <c r="Q162" s="74"/>
    </row>
    <row r="163" spans="1:22" ht="24" customHeight="1" x14ac:dyDescent="0.2">
      <c r="A163" s="145"/>
      <c r="B163" s="338"/>
      <c r="C163" s="77">
        <f>'SGTO POAI -MARZO-2021'!D441</f>
        <v>43</v>
      </c>
      <c r="D163" s="75" t="str">
        <f>'SGTO POAI -MARZO-2021'!E441</f>
        <v>Deporte y recreación</v>
      </c>
      <c r="E163" s="504"/>
      <c r="F163" s="504"/>
      <c r="G163" s="504"/>
      <c r="H163" s="504"/>
      <c r="I163" s="505">
        <f>SUM(F164:F165)</f>
        <v>6167355779.5499992</v>
      </c>
      <c r="J163" s="505">
        <f t="shared" ref="J163:K163" si="80">SUM(G164:G165)</f>
        <v>879229500</v>
      </c>
      <c r="K163" s="505">
        <f t="shared" si="80"/>
        <v>181269500</v>
      </c>
      <c r="L163" s="506"/>
      <c r="M163" s="506"/>
      <c r="N163" s="506"/>
      <c r="O163" s="504"/>
      <c r="P163" s="504"/>
      <c r="Q163" s="504"/>
    </row>
    <row r="164" spans="1:22" s="44" customFormat="1" ht="76.5" customHeight="1" x14ac:dyDescent="0.2">
      <c r="A164" s="337"/>
      <c r="B164" s="338"/>
      <c r="C164" s="338"/>
      <c r="D164" s="338">
        <f>'SGTO POAI -MARZO-2021'!F442</f>
        <v>4301</v>
      </c>
      <c r="E164" s="364" t="str">
        <f>'SGTO POAI -MARZO-2021'!G442</f>
        <v>Fomento a la recreación, la actividad física y el deporte para desarrollar entornos de convivencia y paz "Tú y yo en la recreación y en deporte"</v>
      </c>
      <c r="F164" s="507">
        <f>'SGTO POAI -MARZO-2021'!BJ442</f>
        <v>3114923723.1399999</v>
      </c>
      <c r="G164" s="507">
        <f>'SGTO POAI -MARZO-2021'!BK442</f>
        <v>132800000</v>
      </c>
      <c r="H164" s="507">
        <f>'SGTO POAI -MARZO-2021'!BL442</f>
        <v>4300000</v>
      </c>
      <c r="I164" s="507"/>
      <c r="J164" s="507"/>
      <c r="K164" s="507"/>
      <c r="L164" s="507"/>
      <c r="M164" s="507"/>
      <c r="N164" s="507"/>
      <c r="O164" s="507"/>
      <c r="P164" s="507"/>
      <c r="Q164" s="507"/>
    </row>
    <row r="165" spans="1:22" s="44" customFormat="1" ht="37.5" customHeight="1" x14ac:dyDescent="0.2">
      <c r="A165" s="337"/>
      <c r="B165" s="338"/>
      <c r="C165" s="338"/>
      <c r="D165" s="338">
        <f>'SGTO POAI -MARZO-2021'!F447</f>
        <v>4302</v>
      </c>
      <c r="E165" s="364" t="str">
        <f>'SGTO POAI -MARZO-2021'!G447</f>
        <v>Formación y preparación de deportistas. "Tú y yo campeones"</v>
      </c>
      <c r="F165" s="507">
        <f>'SGTO POAI -MARZO-2021'!BJ447</f>
        <v>3052432056.4099998</v>
      </c>
      <c r="G165" s="507">
        <f>'SGTO POAI -MARZO-2021'!BK447</f>
        <v>746429500</v>
      </c>
      <c r="H165" s="507">
        <f>'SGTO POAI -MARZO-2021'!BL447</f>
        <v>176969500</v>
      </c>
      <c r="I165" s="507"/>
      <c r="J165" s="507"/>
      <c r="K165" s="507"/>
      <c r="L165" s="507"/>
      <c r="M165" s="507"/>
      <c r="N165" s="507"/>
      <c r="O165" s="507"/>
      <c r="P165" s="507"/>
      <c r="Q165" s="507"/>
    </row>
    <row r="166" spans="1:22" s="11" customFormat="1" ht="18.75" customHeight="1" x14ac:dyDescent="0.2">
      <c r="A166" s="58"/>
      <c r="B166" s="509"/>
      <c r="C166" s="509"/>
      <c r="D166" s="509"/>
      <c r="E166" s="510"/>
      <c r="F166" s="510"/>
      <c r="G166" s="510"/>
      <c r="H166" s="510"/>
      <c r="I166" s="510"/>
      <c r="J166" s="510"/>
      <c r="K166" s="510"/>
      <c r="L166" s="510"/>
      <c r="M166" s="510"/>
      <c r="N166" s="510"/>
      <c r="O166" s="510"/>
      <c r="P166" s="510"/>
      <c r="Q166" s="510"/>
      <c r="R166" s="18"/>
      <c r="S166" s="18"/>
      <c r="T166" s="18"/>
      <c r="U166" s="18"/>
      <c r="V166" s="18"/>
    </row>
    <row r="167" spans="1:22" s="11" customFormat="1" ht="24" customHeight="1" x14ac:dyDescent="0.2">
      <c r="A167" s="41" t="s">
        <v>1336</v>
      </c>
      <c r="B167" s="42"/>
      <c r="C167" s="42"/>
      <c r="D167" s="42"/>
      <c r="E167" s="43"/>
      <c r="F167" s="43"/>
      <c r="G167" s="43"/>
      <c r="H167" s="43"/>
      <c r="I167" s="43"/>
      <c r="J167" s="43"/>
      <c r="K167" s="43"/>
      <c r="L167" s="43"/>
      <c r="M167" s="43"/>
      <c r="N167" s="43"/>
      <c r="O167" s="43">
        <f>SUM(L168:L177)</f>
        <v>2024983199</v>
      </c>
      <c r="P167" s="43">
        <f t="shared" ref="P167:Q167" si="81">SUM(M168:M177)</f>
        <v>0</v>
      </c>
      <c r="Q167" s="43">
        <f t="shared" si="81"/>
        <v>0</v>
      </c>
      <c r="R167" s="18"/>
      <c r="S167" s="18"/>
      <c r="T167" s="18"/>
      <c r="U167" s="18"/>
      <c r="V167" s="18"/>
    </row>
    <row r="168" spans="1:22" s="11" customFormat="1" ht="24" customHeight="1" x14ac:dyDescent="0.2">
      <c r="A168" s="517"/>
      <c r="B168" s="131">
        <f>'SGTO POAI -MARZO-2021'!B452</f>
        <v>1</v>
      </c>
      <c r="C168" s="74" t="str">
        <f>'SGTO POAI -MARZO-2021'!D452</f>
        <v xml:space="preserve">INCLUSIÓN SOCIAL Y EQUIDAD </v>
      </c>
      <c r="D168" s="74"/>
      <c r="E168" s="74"/>
      <c r="F168" s="74"/>
      <c r="G168" s="74"/>
      <c r="H168" s="74"/>
      <c r="I168" s="74"/>
      <c r="J168" s="74"/>
      <c r="K168" s="74"/>
      <c r="L168" s="502">
        <f>I169+I171</f>
        <v>616604845.79999995</v>
      </c>
      <c r="M168" s="502">
        <f t="shared" ref="M168:N168" si="82">J169+J171</f>
        <v>0</v>
      </c>
      <c r="N168" s="502">
        <f t="shared" si="82"/>
        <v>0</v>
      </c>
      <c r="O168" s="74"/>
      <c r="P168" s="74"/>
      <c r="Q168" s="74"/>
      <c r="R168" s="18"/>
      <c r="S168" s="18"/>
      <c r="T168" s="18"/>
      <c r="U168" s="18"/>
      <c r="V168" s="18"/>
    </row>
    <row r="169" spans="1:22" ht="24" customHeight="1" x14ac:dyDescent="0.2">
      <c r="A169" s="145"/>
      <c r="B169" s="338"/>
      <c r="C169" s="513">
        <f>'SGTO POAI -MARZO-2021'!D453</f>
        <v>43</v>
      </c>
      <c r="D169" s="396" t="str">
        <f>'SGTO POAI -MARZO-2021'!E453</f>
        <v>Deporte y recreación</v>
      </c>
      <c r="E169" s="504"/>
      <c r="F169" s="504"/>
      <c r="G169" s="504"/>
      <c r="H169" s="504"/>
      <c r="I169" s="505">
        <f>F170</f>
        <v>308302422.89999998</v>
      </c>
      <c r="J169" s="505">
        <f t="shared" ref="J169:K169" si="83">G170</f>
        <v>0</v>
      </c>
      <c r="K169" s="505">
        <f t="shared" si="83"/>
        <v>0</v>
      </c>
      <c r="L169" s="506"/>
      <c r="M169" s="506"/>
      <c r="N169" s="506"/>
      <c r="O169" s="504"/>
      <c r="P169" s="504"/>
      <c r="Q169" s="504"/>
    </row>
    <row r="170" spans="1:22" s="50" customFormat="1" ht="76.5" customHeight="1" x14ac:dyDescent="0.2">
      <c r="A170" s="518"/>
      <c r="B170" s="353"/>
      <c r="C170" s="353"/>
      <c r="D170" s="338">
        <f>'SGTO POAI -MARZO-2021'!F454</f>
        <v>4301</v>
      </c>
      <c r="E170" s="358" t="str">
        <f>'SGTO POAI -MARZO-2021'!G454</f>
        <v>Fomento a la recreación, la actividad física y el deporte para desarrollar entornos de convivencia y paz "Tú y yo en la recreación y en deporte"</v>
      </c>
      <c r="F170" s="507">
        <f>'SGTO POAI -MARZO-2021'!BJ454</f>
        <v>308302422.89999998</v>
      </c>
      <c r="G170" s="507">
        <f>'SGTO POAI -MARZO-2021'!BK454</f>
        <v>0</v>
      </c>
      <c r="H170" s="507">
        <f>'SGTO POAI -MARZO-2021'!BL454</f>
        <v>0</v>
      </c>
      <c r="I170" s="507"/>
      <c r="J170" s="507"/>
      <c r="K170" s="507"/>
      <c r="L170" s="507"/>
      <c r="M170" s="507"/>
      <c r="N170" s="507"/>
      <c r="O170" s="507"/>
      <c r="P170" s="507"/>
      <c r="Q170" s="507"/>
    </row>
    <row r="171" spans="1:22" ht="24" customHeight="1" x14ac:dyDescent="0.2">
      <c r="A171" s="145"/>
      <c r="B171" s="338"/>
      <c r="C171" s="513">
        <f>'SGTO POAI -MARZO-2021'!D456</f>
        <v>22</v>
      </c>
      <c r="D171" s="537" t="str">
        <f>'SGTO POAI -MARZO-2021'!E456</f>
        <v>Educación</v>
      </c>
      <c r="E171" s="504"/>
      <c r="F171" s="504"/>
      <c r="G171" s="504"/>
      <c r="H171" s="504"/>
      <c r="I171" s="505">
        <f>F172</f>
        <v>308302422.89999998</v>
      </c>
      <c r="J171" s="505"/>
      <c r="K171" s="505"/>
      <c r="L171" s="506"/>
      <c r="M171" s="506"/>
      <c r="N171" s="506"/>
      <c r="O171" s="504"/>
      <c r="P171" s="504"/>
      <c r="Q171" s="504"/>
    </row>
    <row r="172" spans="1:22" s="50" customFormat="1" ht="53.25" customHeight="1" x14ac:dyDescent="0.2">
      <c r="A172" s="518"/>
      <c r="B172" s="353"/>
      <c r="C172" s="353"/>
      <c r="D172" s="338">
        <f>'SGTO POAI -MARZO-2021'!F457</f>
        <v>2201</v>
      </c>
      <c r="E172" s="358" t="str">
        <f>'SGTO POAI -MARZO-2021'!G457</f>
        <v>Calidad, cobertura y fortalecimiento de la educación inicial, prescolar, básica y media." Tú y yo con educación y de calidad"</v>
      </c>
      <c r="F172" s="507">
        <f>'SGTO POAI -MARZO-2021'!BJ457</f>
        <v>308302422.89999998</v>
      </c>
      <c r="G172" s="507">
        <f>'SGTO POAI -MARZO-2021'!BK457</f>
        <v>0</v>
      </c>
      <c r="H172" s="507">
        <f>'SGTO POAI -MARZO-2021'!BL457</f>
        <v>0</v>
      </c>
      <c r="I172" s="507"/>
      <c r="J172" s="507"/>
      <c r="K172" s="507"/>
      <c r="L172" s="507"/>
      <c r="M172" s="507"/>
      <c r="N172" s="507"/>
      <c r="O172" s="507"/>
      <c r="P172" s="507"/>
      <c r="Q172" s="507"/>
    </row>
    <row r="173" spans="1:22" s="11" customFormat="1" ht="24" customHeight="1" x14ac:dyDescent="0.2">
      <c r="A173" s="517"/>
      <c r="B173" s="131">
        <f>'SGTO POAI -MARZO-2021'!B459</f>
        <v>3</v>
      </c>
      <c r="C173" s="74" t="str">
        <f>'SGTO POAI -MARZO-2021'!D459</f>
        <v xml:space="preserve">TERRITORIO, AMBIENTE Y DESARROLLO SOSTENIBLE </v>
      </c>
      <c r="D173" s="74"/>
      <c r="E173" s="74"/>
      <c r="F173" s="74"/>
      <c r="G173" s="74"/>
      <c r="H173" s="74"/>
      <c r="I173" s="74"/>
      <c r="J173" s="74"/>
      <c r="K173" s="74"/>
      <c r="L173" s="502">
        <f>I174+I176</f>
        <v>1408378353.2</v>
      </c>
      <c r="M173" s="502">
        <f t="shared" ref="M173:N173" si="84">J174+J176</f>
        <v>0</v>
      </c>
      <c r="N173" s="502">
        <f t="shared" si="84"/>
        <v>0</v>
      </c>
      <c r="O173" s="74"/>
      <c r="P173" s="74"/>
      <c r="Q173" s="74"/>
      <c r="R173" s="18"/>
      <c r="S173" s="18"/>
      <c r="T173" s="18"/>
      <c r="U173" s="18"/>
      <c r="V173" s="18"/>
    </row>
    <row r="174" spans="1:22" ht="24" customHeight="1" x14ac:dyDescent="0.2">
      <c r="A174" s="145"/>
      <c r="B174" s="338"/>
      <c r="C174" s="513">
        <f>'SGTO POAI -MARZO-2021'!D460</f>
        <v>24</v>
      </c>
      <c r="D174" s="537" t="str">
        <f>'SGTO POAI -MARZO-2021'!E460</f>
        <v>Transporte</v>
      </c>
      <c r="E174" s="512"/>
      <c r="F174" s="504"/>
      <c r="G174" s="504"/>
      <c r="H174" s="504"/>
      <c r="I174" s="505">
        <f>F175</f>
        <v>199461691.20000002</v>
      </c>
      <c r="J174" s="505">
        <f t="shared" ref="J174:K174" si="85">G175</f>
        <v>0</v>
      </c>
      <c r="K174" s="505">
        <f t="shared" si="85"/>
        <v>0</v>
      </c>
      <c r="L174" s="506"/>
      <c r="M174" s="506"/>
      <c r="N174" s="506"/>
      <c r="O174" s="504"/>
      <c r="P174" s="504"/>
      <c r="Q174" s="504"/>
    </row>
    <row r="175" spans="1:22" s="11" customFormat="1" ht="42" customHeight="1" x14ac:dyDescent="0.2">
      <c r="A175" s="517"/>
      <c r="B175" s="250"/>
      <c r="C175" s="250"/>
      <c r="D175" s="338">
        <f>'SGTO POAI -MARZO-2021'!F461</f>
        <v>2402</v>
      </c>
      <c r="E175" s="538" t="str">
        <f>'SGTO POAI -MARZO-2021'!G461</f>
        <v>Infraestructura red vial regional. "Tú y yo con movilidad vial"</v>
      </c>
      <c r="F175" s="257">
        <f>'SGTO POAI -MARZO-2021'!BJ461</f>
        <v>199461691.20000002</v>
      </c>
      <c r="G175" s="257">
        <f>'SGTO POAI -MARZO-2021'!BK461</f>
        <v>0</v>
      </c>
      <c r="H175" s="257">
        <f>'SGTO POAI -MARZO-2021'!BL461</f>
        <v>0</v>
      </c>
      <c r="I175" s="257"/>
      <c r="J175" s="257"/>
      <c r="K175" s="257"/>
      <c r="L175" s="351"/>
      <c r="M175" s="351"/>
      <c r="N175" s="351"/>
      <c r="O175" s="351"/>
      <c r="P175" s="351"/>
      <c r="Q175" s="351"/>
      <c r="R175" s="18"/>
      <c r="S175" s="18"/>
      <c r="T175" s="18"/>
      <c r="U175" s="18"/>
      <c r="V175" s="18"/>
    </row>
    <row r="176" spans="1:22" ht="24" customHeight="1" x14ac:dyDescent="0.2">
      <c r="A176" s="145"/>
      <c r="B176" s="338"/>
      <c r="C176" s="513">
        <f>'SGTO POAI -MARZO-2021'!D463</f>
        <v>40</v>
      </c>
      <c r="D176" s="396" t="str">
        <f>'SGTO POAI -MARZO-2021'!E463</f>
        <v>Vivienda, Ciudad y Territorio</v>
      </c>
      <c r="E176" s="512"/>
      <c r="F176" s="504"/>
      <c r="G176" s="504"/>
      <c r="H176" s="504"/>
      <c r="I176" s="505">
        <f>F177</f>
        <v>1208916662</v>
      </c>
      <c r="J176" s="505">
        <f t="shared" ref="J176:K176" si="86">G177</f>
        <v>0</v>
      </c>
      <c r="K176" s="505">
        <f t="shared" si="86"/>
        <v>0</v>
      </c>
      <c r="L176" s="506"/>
      <c r="M176" s="506"/>
      <c r="N176" s="506"/>
      <c r="O176" s="504"/>
      <c r="P176" s="504"/>
      <c r="Q176" s="504"/>
    </row>
    <row r="177" spans="1:22" s="11" customFormat="1" ht="44.25" customHeight="1" x14ac:dyDescent="0.2">
      <c r="A177" s="517"/>
      <c r="B177" s="250"/>
      <c r="C177" s="250"/>
      <c r="D177" s="338">
        <f>'SGTO POAI -MARZO-2021'!F464</f>
        <v>4001</v>
      </c>
      <c r="E177" s="539" t="str">
        <f>'SGTO POAI -MARZO-2021'!G464</f>
        <v>Acceso a soluciones de vivienda. "Tú y yo con vivienda digna"</v>
      </c>
      <c r="F177" s="257">
        <f>'SGTO POAI -MARZO-2021'!BJ464</f>
        <v>1208916662</v>
      </c>
      <c r="G177" s="257">
        <f>'SGTO POAI -MARZO-2021'!BK464</f>
        <v>0</v>
      </c>
      <c r="H177" s="257">
        <f>'SGTO POAI -MARZO-2021'!BL464</f>
        <v>0</v>
      </c>
      <c r="I177" s="257"/>
      <c r="J177" s="257"/>
      <c r="K177" s="257"/>
      <c r="L177" s="351"/>
      <c r="M177" s="351"/>
      <c r="N177" s="351"/>
      <c r="O177" s="351"/>
      <c r="P177" s="351"/>
      <c r="Q177" s="351"/>
      <c r="R177" s="18"/>
      <c r="S177" s="18"/>
      <c r="T177" s="18"/>
      <c r="U177" s="18"/>
      <c r="V177" s="18"/>
    </row>
    <row r="178" spans="1:22" s="11" customFormat="1" ht="18.75" customHeight="1" x14ac:dyDescent="0.2">
      <c r="A178" s="58"/>
      <c r="B178" s="509"/>
      <c r="C178" s="509"/>
      <c r="D178" s="509"/>
      <c r="E178" s="510"/>
      <c r="F178" s="510"/>
      <c r="G178" s="510"/>
      <c r="H178" s="510"/>
      <c r="I178" s="510"/>
      <c r="J178" s="510"/>
      <c r="K178" s="510"/>
      <c r="L178" s="510"/>
      <c r="M178" s="510"/>
      <c r="N178" s="510"/>
      <c r="O178" s="510"/>
      <c r="P178" s="510"/>
      <c r="Q178" s="510"/>
      <c r="R178" s="18"/>
      <c r="S178" s="18"/>
      <c r="T178" s="18"/>
      <c r="U178" s="18"/>
      <c r="V178" s="18"/>
    </row>
    <row r="179" spans="1:22" ht="24" customHeight="1" x14ac:dyDescent="0.2">
      <c r="A179" s="41" t="s">
        <v>1371</v>
      </c>
      <c r="B179" s="42"/>
      <c r="C179" s="42"/>
      <c r="D179" s="42"/>
      <c r="E179" s="43"/>
      <c r="F179" s="43"/>
      <c r="G179" s="43"/>
      <c r="H179" s="43"/>
      <c r="I179" s="43"/>
      <c r="J179" s="43"/>
      <c r="K179" s="43"/>
      <c r="L179" s="43"/>
      <c r="M179" s="43"/>
      <c r="N179" s="43"/>
      <c r="O179" s="43">
        <f>L180</f>
        <v>110210000</v>
      </c>
      <c r="P179" s="43">
        <f t="shared" ref="P179:Q179" si="87">M180</f>
        <v>39360000</v>
      </c>
      <c r="Q179" s="43">
        <f t="shared" si="87"/>
        <v>5030000</v>
      </c>
    </row>
    <row r="180" spans="1:22" ht="24" customHeight="1" x14ac:dyDescent="0.2">
      <c r="A180" s="145"/>
      <c r="B180" s="131">
        <f>'SGTO POAI -MARZO-2021'!B474</f>
        <v>3</v>
      </c>
      <c r="C180" s="74" t="str">
        <f>'SGTO POAI -MARZO-2021'!C474</f>
        <v xml:space="preserve">TERRITORIO, AMBIENTE Y DESARROLLO SOSTENIBLE </v>
      </c>
      <c r="D180" s="74"/>
      <c r="E180" s="74"/>
      <c r="F180" s="74"/>
      <c r="G180" s="74"/>
      <c r="H180" s="74"/>
      <c r="I180" s="74"/>
      <c r="J180" s="74"/>
      <c r="K180" s="74"/>
      <c r="L180" s="502">
        <f>I181</f>
        <v>110210000</v>
      </c>
      <c r="M180" s="502">
        <f t="shared" ref="M180:N180" si="88">J181</f>
        <v>39360000</v>
      </c>
      <c r="N180" s="502">
        <f t="shared" si="88"/>
        <v>5030000</v>
      </c>
      <c r="O180" s="74"/>
      <c r="P180" s="74"/>
      <c r="Q180" s="74"/>
    </row>
    <row r="181" spans="1:22" ht="24" customHeight="1" x14ac:dyDescent="0.2">
      <c r="A181" s="145"/>
      <c r="B181" s="338"/>
      <c r="C181" s="77">
        <f>'SGTO POAI -MARZO-2021'!D475</f>
        <v>24</v>
      </c>
      <c r="D181" s="540" t="str">
        <f>'SGTO POAI -MARZO-2021'!E475</f>
        <v>Transporte</v>
      </c>
      <c r="E181" s="512"/>
      <c r="F181" s="504"/>
      <c r="G181" s="504"/>
      <c r="H181" s="504"/>
      <c r="I181" s="505">
        <f>F182</f>
        <v>110210000</v>
      </c>
      <c r="J181" s="505">
        <f t="shared" ref="J181:K181" si="89">G182</f>
        <v>39360000</v>
      </c>
      <c r="K181" s="505">
        <f t="shared" si="89"/>
        <v>5030000</v>
      </c>
      <c r="L181" s="506"/>
      <c r="M181" s="506"/>
      <c r="N181" s="506"/>
      <c r="O181" s="504"/>
      <c r="P181" s="504"/>
      <c r="Q181" s="504"/>
    </row>
    <row r="182" spans="1:22" s="44" customFormat="1" ht="54" customHeight="1" x14ac:dyDescent="0.2">
      <c r="A182" s="337"/>
      <c r="B182" s="338"/>
      <c r="C182" s="338"/>
      <c r="D182" s="338">
        <f>'SGTO POAI -MARZO-2021'!F476</f>
        <v>2409</v>
      </c>
      <c r="E182" s="358" t="str">
        <f>'SGTO POAI -MARZO-2021'!G476</f>
        <v>Seguridad de Transporte. "Tú y yo seguros en la vía"</v>
      </c>
      <c r="F182" s="507">
        <f>'SGTO POAI -MARZO-2021'!BJ473</f>
        <v>110210000</v>
      </c>
      <c r="G182" s="507">
        <f>'SGTO POAI -MARZO-2021'!BK473</f>
        <v>39360000</v>
      </c>
      <c r="H182" s="507">
        <f>'SGTO POAI -MARZO-2021'!BL473</f>
        <v>5030000</v>
      </c>
      <c r="I182" s="507"/>
      <c r="J182" s="507"/>
      <c r="K182" s="507"/>
      <c r="L182" s="507"/>
      <c r="M182" s="507"/>
      <c r="N182" s="507"/>
      <c r="O182" s="507"/>
      <c r="P182" s="507"/>
      <c r="Q182" s="507"/>
    </row>
    <row r="183" spans="1:22" s="52" customFormat="1" ht="23.25" customHeight="1" x14ac:dyDescent="0.2">
      <c r="A183" s="1"/>
      <c r="B183" s="13"/>
      <c r="C183" s="13"/>
      <c r="D183" s="13"/>
      <c r="E183" s="14"/>
      <c r="F183" s="14"/>
      <c r="G183" s="14"/>
      <c r="H183" s="14"/>
      <c r="I183" s="14"/>
      <c r="J183" s="14"/>
      <c r="K183" s="14"/>
      <c r="L183" s="14"/>
      <c r="M183" s="14"/>
      <c r="N183" s="14"/>
      <c r="O183" s="14"/>
      <c r="P183" s="14"/>
      <c r="Q183" s="14"/>
      <c r="R183" s="18"/>
      <c r="S183" s="18"/>
      <c r="T183" s="18"/>
      <c r="U183" s="18"/>
      <c r="V183" s="18"/>
    </row>
    <row r="184" spans="1:22" s="36" customFormat="1" ht="30" customHeight="1" x14ac:dyDescent="0.25">
      <c r="A184" s="533" t="s">
        <v>1389</v>
      </c>
      <c r="B184" s="533"/>
      <c r="C184" s="533"/>
      <c r="D184" s="533"/>
      <c r="E184" s="533"/>
      <c r="F184" s="541">
        <f>SUM(F161:F182)</f>
        <v>8302548978.5499983</v>
      </c>
      <c r="G184" s="541">
        <f t="shared" ref="G184:H184" si="90">SUM(G161:G182)</f>
        <v>918589500</v>
      </c>
      <c r="H184" s="541">
        <f t="shared" si="90"/>
        <v>186299500</v>
      </c>
      <c r="I184" s="541">
        <f>SUM(I161:I182)</f>
        <v>8302548978.5499983</v>
      </c>
      <c r="J184" s="541">
        <f t="shared" ref="J184:K184" si="91">SUM(J161:J182)</f>
        <v>918589500</v>
      </c>
      <c r="K184" s="541">
        <f t="shared" si="91"/>
        <v>186299500</v>
      </c>
      <c r="L184" s="542">
        <f>SUM(L161:L182)</f>
        <v>8302548978.5499992</v>
      </c>
      <c r="M184" s="542">
        <f t="shared" ref="M184:N184" si="92">SUM(M161:M182)</f>
        <v>918589500</v>
      </c>
      <c r="N184" s="542">
        <f t="shared" si="92"/>
        <v>186299500</v>
      </c>
      <c r="O184" s="542">
        <f>SUM(O161:O182)</f>
        <v>8302548978.5499992</v>
      </c>
      <c r="P184" s="542">
        <f t="shared" ref="P184:Q184" si="93">SUM(P161:P182)</f>
        <v>918589500</v>
      </c>
      <c r="Q184" s="542">
        <f t="shared" si="93"/>
        <v>186299500</v>
      </c>
    </row>
    <row r="185" spans="1:22" s="36" customFormat="1" ht="16.5" thickBot="1" x14ac:dyDescent="0.3">
      <c r="A185" s="33"/>
      <c r="B185" s="34"/>
      <c r="C185" s="34"/>
      <c r="D185" s="34"/>
      <c r="E185" s="35"/>
      <c r="F185" s="35"/>
      <c r="G185" s="35"/>
      <c r="H185" s="35"/>
      <c r="I185" s="35"/>
      <c r="J185" s="35"/>
      <c r="K185" s="35"/>
      <c r="L185" s="35"/>
      <c r="M185" s="35"/>
      <c r="N185" s="35"/>
      <c r="O185" s="35"/>
      <c r="P185" s="35"/>
      <c r="Q185" s="35"/>
    </row>
    <row r="186" spans="1:22" s="36" customFormat="1" ht="30" customHeight="1" thickBot="1" x14ac:dyDescent="0.3">
      <c r="A186" s="374" t="s">
        <v>1390</v>
      </c>
      <c r="B186" s="375"/>
      <c r="C186" s="375"/>
      <c r="D186" s="375"/>
      <c r="E186" s="376"/>
      <c r="F186" s="853">
        <f>F159+F184</f>
        <v>275174020090.57007</v>
      </c>
      <c r="G186" s="659">
        <f t="shared" ref="G186:H186" si="94">G159+G184</f>
        <v>92966931329.910004</v>
      </c>
      <c r="H186" s="853">
        <f t="shared" si="94"/>
        <v>47720951451.650002</v>
      </c>
      <c r="I186" s="659">
        <f>I159+I184</f>
        <v>275174020090.57007</v>
      </c>
      <c r="J186" s="853">
        <f t="shared" ref="J186:K186" si="95">J159+J184</f>
        <v>92966931329.910004</v>
      </c>
      <c r="K186" s="659">
        <f t="shared" si="95"/>
        <v>47720951451.650002</v>
      </c>
      <c r="L186" s="853">
        <f>L159+L184</f>
        <v>275174020090.57007</v>
      </c>
      <c r="M186" s="659">
        <f t="shared" ref="M186:N186" si="96">M159+M184</f>
        <v>92966931329.910004</v>
      </c>
      <c r="N186" s="853">
        <f t="shared" si="96"/>
        <v>47720951451.650002</v>
      </c>
      <c r="O186" s="853">
        <f>O159+O184</f>
        <v>275174020090.57007</v>
      </c>
      <c r="P186" s="377">
        <f t="shared" ref="P186:Q186" si="97">P159+P184</f>
        <v>92966931329.910004</v>
      </c>
      <c r="Q186" s="377">
        <f t="shared" si="97"/>
        <v>47720951451.650002</v>
      </c>
    </row>
    <row r="188" spans="1:22" ht="28.5" customHeight="1" x14ac:dyDescent="0.2"/>
  </sheetData>
  <sheetProtection password="A60F" sheet="1" objects="1" scenarios="1"/>
  <mergeCells count="6">
    <mergeCell ref="A1:Q3"/>
    <mergeCell ref="D5:E5"/>
    <mergeCell ref="I6:K6"/>
    <mergeCell ref="L6:N6"/>
    <mergeCell ref="F5:Q5"/>
    <mergeCell ref="F6:H6"/>
  </mergeCells>
  <pageMargins left="0.7" right="0.7" top="0.75" bottom="0.75" header="0.3" footer="0.3"/>
  <pageSetup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E215"/>
  <sheetViews>
    <sheetView showGridLines="0" zoomScale="60" zoomScaleNormal="60" workbookViewId="0">
      <selection activeCell="I14" sqref="I14"/>
    </sheetView>
  </sheetViews>
  <sheetFormatPr baseColWidth="10" defaultColWidth="11.42578125" defaultRowHeight="15" x14ac:dyDescent="0.2"/>
  <cols>
    <col min="1" max="1" width="15.85546875" style="1" customWidth="1"/>
    <col min="2" max="2" width="18.5703125" style="13" customWidth="1"/>
    <col min="3" max="3" width="13.85546875" style="13" customWidth="1"/>
    <col min="4" max="4" width="15" style="13" customWidth="1"/>
    <col min="5" max="5" width="70.7109375" style="14" customWidth="1"/>
    <col min="6" max="6" width="35.85546875" style="14" customWidth="1"/>
    <col min="7" max="7" width="35.140625" style="20" customWidth="1"/>
    <col min="8" max="8" width="33.5703125" style="4" customWidth="1"/>
    <col min="9" max="9" width="36.28515625" style="4" customWidth="1"/>
    <col min="10" max="10" width="32.140625" style="4" customWidth="1"/>
    <col min="11" max="11" width="33.140625" style="4" customWidth="1"/>
    <col min="12" max="12" width="31.5703125" style="53" customWidth="1"/>
    <col min="13" max="13" width="35.5703125" style="1" customWidth="1"/>
    <col min="14" max="14" width="32.5703125" style="1" customWidth="1"/>
    <col min="15" max="15" width="30.7109375" style="1" customWidth="1"/>
    <col min="16" max="17" width="29.5703125" style="1" customWidth="1"/>
    <col min="18" max="20" width="31.7109375" style="1" customWidth="1"/>
    <col min="21" max="23" width="32.28515625" style="1" customWidth="1"/>
    <col min="24" max="26" width="32.42578125" style="1" customWidth="1"/>
    <col min="27" max="16384" width="11.42578125" style="1"/>
  </cols>
  <sheetData>
    <row r="1" spans="1:14" ht="42" customHeight="1" x14ac:dyDescent="0.2">
      <c r="A1" s="961" t="s">
        <v>1568</v>
      </c>
      <c r="B1" s="962"/>
      <c r="C1" s="962"/>
      <c r="D1" s="962"/>
      <c r="E1" s="962"/>
      <c r="F1" s="962"/>
      <c r="G1" s="962"/>
      <c r="H1" s="962"/>
      <c r="I1" s="962"/>
      <c r="J1" s="962"/>
      <c r="K1" s="962"/>
      <c r="L1" s="962"/>
      <c r="M1" s="962"/>
      <c r="N1" s="962"/>
    </row>
    <row r="2" spans="1:14" ht="27.75" customHeight="1" x14ac:dyDescent="0.2">
      <c r="A2" s="962"/>
      <c r="B2" s="962"/>
      <c r="C2" s="962"/>
      <c r="D2" s="962"/>
      <c r="E2" s="962"/>
      <c r="F2" s="962"/>
      <c r="G2" s="962"/>
      <c r="H2" s="962"/>
      <c r="I2" s="962"/>
      <c r="J2" s="962"/>
      <c r="K2" s="962"/>
      <c r="L2" s="962"/>
      <c r="M2" s="962"/>
      <c r="N2" s="962"/>
    </row>
    <row r="3" spans="1:14" ht="27.75" customHeight="1" x14ac:dyDescent="0.2">
      <c r="A3" s="962"/>
      <c r="B3" s="962"/>
      <c r="C3" s="962"/>
      <c r="D3" s="962"/>
      <c r="E3" s="962"/>
      <c r="F3" s="962"/>
      <c r="G3" s="962"/>
      <c r="H3" s="962"/>
      <c r="I3" s="962"/>
      <c r="J3" s="962"/>
      <c r="K3" s="962"/>
      <c r="L3" s="962"/>
      <c r="M3" s="962"/>
      <c r="N3" s="962"/>
    </row>
    <row r="4" spans="1:14" ht="24.75" customHeight="1" x14ac:dyDescent="0.2">
      <c r="B4" s="31"/>
      <c r="C4" s="32"/>
      <c r="D4" s="32"/>
      <c r="E4" s="32"/>
      <c r="F4" s="32"/>
    </row>
    <row r="5" spans="1:14" s="7" customFormat="1" ht="24" customHeight="1" x14ac:dyDescent="0.25">
      <c r="A5" s="959" t="s">
        <v>5</v>
      </c>
      <c r="B5" s="935" t="s">
        <v>6</v>
      </c>
      <c r="C5" s="935" t="s">
        <v>7</v>
      </c>
      <c r="D5" s="935" t="s">
        <v>1394</v>
      </c>
      <c r="E5" s="930" t="s">
        <v>8</v>
      </c>
      <c r="F5" s="931" t="s">
        <v>1395</v>
      </c>
      <c r="G5" s="931"/>
      <c r="H5" s="931"/>
      <c r="I5" s="6"/>
      <c r="J5" s="6"/>
      <c r="K5" s="6"/>
      <c r="L5" s="54"/>
    </row>
    <row r="6" spans="1:14" s="7" customFormat="1" ht="24" customHeight="1" x14ac:dyDescent="0.25">
      <c r="A6" s="960"/>
      <c r="B6" s="935"/>
      <c r="C6" s="935"/>
      <c r="D6" s="935"/>
      <c r="E6" s="930"/>
      <c r="F6" s="660" t="s">
        <v>1545</v>
      </c>
      <c r="G6" s="660" t="s">
        <v>1539</v>
      </c>
      <c r="H6" s="660" t="s">
        <v>1540</v>
      </c>
      <c r="I6" s="6"/>
      <c r="J6" s="6"/>
      <c r="K6" s="6"/>
      <c r="L6" s="54"/>
    </row>
    <row r="7" spans="1:14" s="9" customFormat="1" ht="24" customHeight="1" x14ac:dyDescent="0.25">
      <c r="A7" s="40" t="s">
        <v>42</v>
      </c>
      <c r="B7" s="46"/>
      <c r="C7" s="46"/>
      <c r="D7" s="46"/>
      <c r="E7" s="47"/>
      <c r="F7" s="47">
        <f>F8</f>
        <v>176000000</v>
      </c>
      <c r="G7" s="47">
        <f t="shared" ref="G7:H8" si="0">G8</f>
        <v>64260000</v>
      </c>
      <c r="H7" s="47">
        <f t="shared" si="0"/>
        <v>18535000</v>
      </c>
      <c r="I7" s="8"/>
      <c r="J7" s="8"/>
      <c r="K7" s="8"/>
      <c r="L7" s="55"/>
    </row>
    <row r="8" spans="1:14" s="9" customFormat="1" ht="24" customHeight="1" x14ac:dyDescent="0.25">
      <c r="A8" s="130"/>
      <c r="B8" s="131">
        <f>'SGTO POAI -MARZO-2021'!B10</f>
        <v>4</v>
      </c>
      <c r="C8" s="74">
        <f>'SGTO POAI -MARZO-2021'!D10</f>
        <v>0</v>
      </c>
      <c r="D8" s="74"/>
      <c r="E8" s="74"/>
      <c r="F8" s="502">
        <f>F9</f>
        <v>176000000</v>
      </c>
      <c r="G8" s="502">
        <f t="shared" si="0"/>
        <v>64260000</v>
      </c>
      <c r="H8" s="502">
        <f t="shared" si="0"/>
        <v>18535000</v>
      </c>
      <c r="I8" s="8"/>
      <c r="J8" s="8"/>
      <c r="K8" s="8"/>
      <c r="L8" s="55"/>
    </row>
    <row r="9" spans="1:14" s="9" customFormat="1" ht="24" customHeight="1" x14ac:dyDescent="0.25">
      <c r="A9" s="130"/>
      <c r="B9" s="87"/>
      <c r="C9" s="77">
        <f>'SGTO POAI -MARZO-2021'!D11</f>
        <v>45</v>
      </c>
      <c r="D9" s="75" t="str">
        <f>'SGTO POAI -MARZO-2021'!E11</f>
        <v>Gobierno territorial</v>
      </c>
      <c r="E9" s="504"/>
      <c r="F9" s="505">
        <f>SUM(F10:F11)</f>
        <v>176000000</v>
      </c>
      <c r="G9" s="505">
        <f t="shared" ref="G9:H9" si="1">SUM(G10:G11)</f>
        <v>64260000</v>
      </c>
      <c r="H9" s="505">
        <f t="shared" si="1"/>
        <v>18535000</v>
      </c>
      <c r="I9" s="8"/>
      <c r="J9" s="8"/>
      <c r="K9" s="8"/>
      <c r="L9" s="55"/>
    </row>
    <row r="10" spans="1:14" ht="52.5" customHeight="1" x14ac:dyDescent="0.2">
      <c r="A10" s="145"/>
      <c r="B10" s="87"/>
      <c r="C10" s="87"/>
      <c r="D10" s="353">
        <f>'SGTO POAI -MARZO-2021'!F12</f>
        <v>4599</v>
      </c>
      <c r="E10" s="358" t="str">
        <f>'SGTO POAI -MARZO-2021'!G12</f>
        <v>Fortalecimiento a la gestión y dirección de la administración pública territorial "Quindío con una administración al servicio de la ciudadanía "</v>
      </c>
      <c r="F10" s="507">
        <f>'SGTO POAI -MARZO-2021'!BA12</f>
        <v>136000000</v>
      </c>
      <c r="G10" s="507">
        <f>'SGTO POAI -MARZO-2021'!BB12</f>
        <v>41180000</v>
      </c>
      <c r="H10" s="507">
        <f>'SGTO POAI -MARZO-2021'!BC12</f>
        <v>12765000</v>
      </c>
    </row>
    <row r="11" spans="1:14" ht="59.25" customHeight="1" x14ac:dyDescent="0.2">
      <c r="A11" s="145"/>
      <c r="B11" s="87"/>
      <c r="C11" s="87"/>
      <c r="D11" s="353">
        <f>'SGTO POAI -MARZO-2021'!F16</f>
        <v>4502</v>
      </c>
      <c r="E11" s="358" t="str">
        <f>'SGTO POAI -MARZO-2021'!G16</f>
        <v>Fortalecimiento del buen gobierno para el respeto y garantía de los derechos humanos. "Quindío integrado y participativo"</v>
      </c>
      <c r="F11" s="508">
        <f>'SGTO POAI -MARZO-2021'!BA16</f>
        <v>40000000</v>
      </c>
      <c r="G11" s="508">
        <f>'SGTO POAI -MARZO-2021'!BK16</f>
        <v>23080000</v>
      </c>
      <c r="H11" s="508">
        <f>'SGTO POAI -MARZO-2021'!BL16</f>
        <v>5770000</v>
      </c>
    </row>
    <row r="12" spans="1:14" ht="18" customHeight="1" x14ac:dyDescent="0.2">
      <c r="A12" s="58"/>
      <c r="B12" s="509"/>
      <c r="C12" s="509"/>
      <c r="D12" s="509"/>
      <c r="E12" s="79"/>
      <c r="F12" s="510"/>
    </row>
    <row r="13" spans="1:14" s="7" customFormat="1" ht="24" customHeight="1" x14ac:dyDescent="0.25">
      <c r="A13" s="959" t="s">
        <v>5</v>
      </c>
      <c r="B13" s="935" t="s">
        <v>6</v>
      </c>
      <c r="C13" s="935" t="s">
        <v>7</v>
      </c>
      <c r="D13" s="935" t="s">
        <v>1394</v>
      </c>
      <c r="E13" s="930" t="s">
        <v>8</v>
      </c>
      <c r="F13" s="931" t="s">
        <v>1395</v>
      </c>
      <c r="G13" s="931"/>
      <c r="H13" s="931"/>
      <c r="I13" s="6"/>
      <c r="J13" s="6"/>
      <c r="K13" s="6"/>
      <c r="L13" s="54"/>
    </row>
    <row r="14" spans="1:14" s="7" customFormat="1" ht="24" customHeight="1" x14ac:dyDescent="0.25">
      <c r="A14" s="960"/>
      <c r="B14" s="935"/>
      <c r="C14" s="935"/>
      <c r="D14" s="935"/>
      <c r="E14" s="930"/>
      <c r="F14" s="654" t="s">
        <v>1545</v>
      </c>
      <c r="G14" s="654" t="s">
        <v>1539</v>
      </c>
      <c r="H14" s="654" t="s">
        <v>1540</v>
      </c>
      <c r="I14" s="6"/>
      <c r="J14" s="6"/>
      <c r="K14" s="6"/>
      <c r="L14" s="54"/>
    </row>
    <row r="15" spans="1:14" s="9" customFormat="1" ht="24" customHeight="1" x14ac:dyDescent="0.25">
      <c r="A15" s="41" t="s">
        <v>80</v>
      </c>
      <c r="B15" s="42"/>
      <c r="C15" s="42"/>
      <c r="D15" s="42"/>
      <c r="E15" s="78"/>
      <c r="F15" s="47">
        <f>F16</f>
        <v>983000000</v>
      </c>
      <c r="G15" s="47">
        <f t="shared" ref="G15:H16" si="2">G16</f>
        <v>299295000</v>
      </c>
      <c r="H15" s="47">
        <f t="shared" si="2"/>
        <v>61120000</v>
      </c>
      <c r="I15" s="8"/>
      <c r="J15" s="8"/>
      <c r="K15" s="8"/>
      <c r="L15" s="55"/>
    </row>
    <row r="16" spans="1:14" ht="24" customHeight="1" x14ac:dyDescent="0.2">
      <c r="A16" s="145"/>
      <c r="B16" s="131">
        <f>'SGTO POAI -MARZO-2021'!B20</f>
        <v>4</v>
      </c>
      <c r="C16" s="74" t="str">
        <f>'SGTO POAI -MARZO-2021'!D20</f>
        <v xml:space="preserve">LIDERAZGO, GOBERNABILIDAD Y TRANSPARENCIA </v>
      </c>
      <c r="D16" s="74"/>
      <c r="E16" s="515"/>
      <c r="F16" s="502">
        <f>F17</f>
        <v>983000000</v>
      </c>
      <c r="G16" s="502">
        <f t="shared" si="2"/>
        <v>299295000</v>
      </c>
      <c r="H16" s="502">
        <f t="shared" si="2"/>
        <v>61120000</v>
      </c>
    </row>
    <row r="17" spans="1:21" ht="24" customHeight="1" x14ac:dyDescent="0.2">
      <c r="A17" s="145"/>
      <c r="B17" s="87"/>
      <c r="C17" s="77">
        <f>'SGTO POAI -MARZO-2021'!D21</f>
        <v>45</v>
      </c>
      <c r="D17" s="75" t="str">
        <f>'SGTO POAI -MARZO-2021'!E21</f>
        <v>Gobierno territorial</v>
      </c>
      <c r="E17" s="504"/>
      <c r="F17" s="505">
        <f>SUM(F18:F19)</f>
        <v>983000000</v>
      </c>
      <c r="G17" s="505">
        <f t="shared" ref="G17:H17" si="3">SUM(G18:G19)</f>
        <v>299295000</v>
      </c>
      <c r="H17" s="505">
        <f t="shared" si="3"/>
        <v>61120000</v>
      </c>
    </row>
    <row r="18" spans="1:21" s="44" customFormat="1" ht="58.5" customHeight="1" x14ac:dyDescent="0.2">
      <c r="A18" s="337"/>
      <c r="B18" s="338"/>
      <c r="C18" s="338"/>
      <c r="D18" s="353">
        <f>'SGTO POAI -MARZO-2021'!F22</f>
        <v>4502</v>
      </c>
      <c r="E18" s="358" t="str">
        <f>'SGTO POAI -MARZO-2021'!G22</f>
        <v>Fortalecimiento del buen gobierno para el respeto y garantía de los derechos humanos. "Quindío integrado y participativo"</v>
      </c>
      <c r="F18" s="507">
        <f>'SGTO POAI -MARZO-2021'!BA22</f>
        <v>175000000</v>
      </c>
      <c r="G18" s="507">
        <f>'SGTO POAI -MARZO-2021'!BB22</f>
        <v>8655000</v>
      </c>
      <c r="H18" s="507">
        <f>'SGTO POAI -MARZO-2021'!BC22</f>
        <v>0</v>
      </c>
      <c r="L18" s="56"/>
    </row>
    <row r="19" spans="1:21" s="44" customFormat="1" ht="60.75" customHeight="1" x14ac:dyDescent="0.2">
      <c r="A19" s="337"/>
      <c r="B19" s="338"/>
      <c r="C19" s="338"/>
      <c r="D19" s="353">
        <f>'SGTO POAI -MARZO-2021'!F25</f>
        <v>4599</v>
      </c>
      <c r="E19" s="358" t="str">
        <f>'SGTO POAI -MARZO-2021'!G25</f>
        <v>Fortalecimiento a la gestión y dirección de la administración pública territorial "Quindío con una administración al servicio de la ciudadanía "</v>
      </c>
      <c r="F19" s="507">
        <f>'SGTO POAI -MARZO-2021'!BA25</f>
        <v>808000000</v>
      </c>
      <c r="G19" s="507">
        <f>'SGTO POAI -MARZO-2021'!BB25</f>
        <v>290640000</v>
      </c>
      <c r="H19" s="507">
        <f>'SGTO POAI -MARZO-2021'!BC25</f>
        <v>61120000</v>
      </c>
      <c r="L19" s="56"/>
    </row>
    <row r="20" spans="1:21" ht="18" customHeight="1" x14ac:dyDescent="0.2">
      <c r="A20" s="58"/>
      <c r="B20" s="509"/>
      <c r="C20" s="509"/>
      <c r="D20" s="509"/>
      <c r="E20" s="79"/>
      <c r="F20" s="510"/>
    </row>
    <row r="21" spans="1:21" ht="24" customHeight="1" x14ac:dyDescent="0.2">
      <c r="A21" s="935" t="s">
        <v>5</v>
      </c>
      <c r="B21" s="935" t="s">
        <v>6</v>
      </c>
      <c r="C21" s="935" t="s">
        <v>7</v>
      </c>
      <c r="D21" s="935" t="s">
        <v>1394</v>
      </c>
      <c r="E21" s="930" t="s">
        <v>8</v>
      </c>
      <c r="F21" s="950" t="s">
        <v>1395</v>
      </c>
      <c r="G21" s="948"/>
      <c r="H21" s="949"/>
      <c r="I21" s="947" t="s">
        <v>1396</v>
      </c>
      <c r="J21" s="948"/>
      <c r="K21" s="948"/>
      <c r="L21" s="931" t="s">
        <v>15</v>
      </c>
      <c r="M21" s="931"/>
      <c r="N21" s="931"/>
    </row>
    <row r="22" spans="1:21" ht="24" customHeight="1" x14ac:dyDescent="0.2">
      <c r="A22" s="935"/>
      <c r="B22" s="935"/>
      <c r="C22" s="935"/>
      <c r="D22" s="935"/>
      <c r="E22" s="930"/>
      <c r="F22" s="654" t="s">
        <v>1545</v>
      </c>
      <c r="G22" s="654" t="s">
        <v>1539</v>
      </c>
      <c r="H22" s="654" t="s">
        <v>1540</v>
      </c>
      <c r="I22" s="654" t="s">
        <v>1545</v>
      </c>
      <c r="J22" s="654" t="s">
        <v>1539</v>
      </c>
      <c r="K22" s="654" t="s">
        <v>1540</v>
      </c>
      <c r="L22" s="654" t="s">
        <v>1545</v>
      </c>
      <c r="M22" s="654" t="s">
        <v>1539</v>
      </c>
      <c r="N22" s="654" t="s">
        <v>1540</v>
      </c>
    </row>
    <row r="23" spans="1:21" ht="24" customHeight="1" x14ac:dyDescent="0.2">
      <c r="A23" s="45" t="s">
        <v>1393</v>
      </c>
      <c r="B23" s="46"/>
      <c r="C23" s="46"/>
      <c r="D23" s="46"/>
      <c r="E23" s="80"/>
      <c r="F23" s="47">
        <f t="shared" ref="F23:N25" si="4">F24</f>
        <v>2343395879</v>
      </c>
      <c r="G23" s="47">
        <f t="shared" si="4"/>
        <v>1011695879</v>
      </c>
      <c r="H23" s="47">
        <f t="shared" si="4"/>
        <v>91110000</v>
      </c>
      <c r="I23" s="47">
        <f t="shared" si="4"/>
        <v>250000000</v>
      </c>
      <c r="J23" s="47">
        <f t="shared" si="4"/>
        <v>61320000</v>
      </c>
      <c r="K23" s="47">
        <f t="shared" si="4"/>
        <v>5770000</v>
      </c>
      <c r="L23" s="47">
        <f>L24</f>
        <v>2593395879</v>
      </c>
      <c r="M23" s="47">
        <f t="shared" si="4"/>
        <v>1073015879</v>
      </c>
      <c r="N23" s="47">
        <f t="shared" si="4"/>
        <v>96880000</v>
      </c>
      <c r="O23" s="4"/>
      <c r="P23" s="53"/>
    </row>
    <row r="24" spans="1:21" ht="24" customHeight="1" x14ac:dyDescent="0.2">
      <c r="A24" s="145"/>
      <c r="B24" s="131">
        <f>'SGTO POAI -MARZO-2021'!B38</f>
        <v>4</v>
      </c>
      <c r="C24" s="74" t="str">
        <f>'SGTO POAI -MARZO-2021'!D38</f>
        <v xml:space="preserve">LIDERAZGO, GOBERNABILIDAD Y TRANSPARENCIA </v>
      </c>
      <c r="D24" s="74"/>
      <c r="E24" s="515"/>
      <c r="F24" s="502">
        <f>F25</f>
        <v>2343395879</v>
      </c>
      <c r="G24" s="502">
        <f t="shared" si="4"/>
        <v>1011695879</v>
      </c>
      <c r="H24" s="502">
        <f t="shared" si="4"/>
        <v>91110000</v>
      </c>
      <c r="I24" s="502">
        <f t="shared" si="4"/>
        <v>250000000</v>
      </c>
      <c r="J24" s="502">
        <f t="shared" si="4"/>
        <v>61320000</v>
      </c>
      <c r="K24" s="502">
        <f t="shared" si="4"/>
        <v>5770000</v>
      </c>
      <c r="L24" s="502">
        <f>L25</f>
        <v>2593395879</v>
      </c>
      <c r="M24" s="502">
        <f t="shared" si="4"/>
        <v>1073015879</v>
      </c>
      <c r="N24" s="502">
        <f t="shared" si="4"/>
        <v>96880000</v>
      </c>
      <c r="O24" s="4"/>
      <c r="P24" s="53"/>
    </row>
    <row r="25" spans="1:21" ht="24" customHeight="1" x14ac:dyDescent="0.2">
      <c r="A25" s="145"/>
      <c r="B25" s="87"/>
      <c r="C25" s="77">
        <f>'SGTO POAI -MARZO-2021'!D39</f>
        <v>45</v>
      </c>
      <c r="D25" s="75" t="str">
        <f>'SGTO POAI -MARZO-2021'!E39</f>
        <v>Gobierno territorial</v>
      </c>
      <c r="E25" s="504"/>
      <c r="F25" s="505">
        <f>F26</f>
        <v>2343395879</v>
      </c>
      <c r="G25" s="505">
        <f t="shared" si="4"/>
        <v>1011695879</v>
      </c>
      <c r="H25" s="505">
        <f t="shared" si="4"/>
        <v>91110000</v>
      </c>
      <c r="I25" s="505">
        <f>I26</f>
        <v>250000000</v>
      </c>
      <c r="J25" s="505">
        <f t="shared" si="4"/>
        <v>61320000</v>
      </c>
      <c r="K25" s="505">
        <f t="shared" si="4"/>
        <v>5770000</v>
      </c>
      <c r="L25" s="505">
        <f>L26</f>
        <v>2593395879</v>
      </c>
      <c r="M25" s="505">
        <f t="shared" si="4"/>
        <v>1073015879</v>
      </c>
      <c r="N25" s="505">
        <f t="shared" si="4"/>
        <v>96880000</v>
      </c>
      <c r="O25" s="4"/>
      <c r="P25" s="53"/>
    </row>
    <row r="26" spans="1:21" ht="54.75" customHeight="1" x14ac:dyDescent="0.2">
      <c r="A26" s="145"/>
      <c r="B26" s="87"/>
      <c r="C26" s="87"/>
      <c r="D26" s="353">
        <f>'SGTO POAI -MARZO-2021'!F40</f>
        <v>4599</v>
      </c>
      <c r="E26" s="358" t="str">
        <f>'SGTO POAI -MARZO-2021'!G40</f>
        <v>Fortalecimiento a la gestión y dirección de la administración pública territorial "Quindío con una administración al servicio de la ciudadanía "</v>
      </c>
      <c r="F26" s="507">
        <f>'SGTO POAI -MARZO-2021'!BA40</f>
        <v>2343395879</v>
      </c>
      <c r="G26" s="507">
        <f>'SGTO POAI -MARZO-2021'!BB40</f>
        <v>1011695879</v>
      </c>
      <c r="H26" s="507">
        <f>'SGTO POAI -MARZO-2021'!BC40</f>
        <v>91110000</v>
      </c>
      <c r="I26" s="507">
        <f>'SGTO POAI -MARZO-2021'!BG37</f>
        <v>250000000</v>
      </c>
      <c r="J26" s="507">
        <f>'SGTO POAI -MARZO-2021'!BH37</f>
        <v>61320000</v>
      </c>
      <c r="K26" s="507">
        <f>'SGTO POAI -MARZO-2021'!BI37</f>
        <v>5770000</v>
      </c>
      <c r="L26" s="507">
        <f>F26+I26</f>
        <v>2593395879</v>
      </c>
      <c r="M26" s="507">
        <f t="shared" ref="M26:N26" si="5">G26+J26</f>
        <v>1073015879</v>
      </c>
      <c r="N26" s="507">
        <f t="shared" si="5"/>
        <v>96880000</v>
      </c>
      <c r="O26" s="4"/>
      <c r="P26" s="53"/>
    </row>
    <row r="27" spans="1:21" s="11" customFormat="1" x14ac:dyDescent="0.2">
      <c r="A27" s="58"/>
      <c r="B27" s="509"/>
      <c r="C27" s="509"/>
      <c r="D27" s="509"/>
      <c r="E27" s="545"/>
      <c r="F27" s="510"/>
      <c r="G27" s="51"/>
      <c r="H27" s="18"/>
      <c r="I27" s="18"/>
      <c r="J27" s="18"/>
      <c r="K27" s="18"/>
      <c r="L27" s="57"/>
    </row>
    <row r="28" spans="1:21" s="11" customFormat="1" ht="24" customHeight="1" x14ac:dyDescent="0.2">
      <c r="A28" s="935" t="s">
        <v>5</v>
      </c>
      <c r="B28" s="935" t="s">
        <v>6</v>
      </c>
      <c r="C28" s="935" t="s">
        <v>7</v>
      </c>
      <c r="D28" s="935" t="s">
        <v>1394</v>
      </c>
      <c r="E28" s="930" t="s">
        <v>8</v>
      </c>
      <c r="F28" s="945" t="s">
        <v>1554</v>
      </c>
      <c r="G28" s="945"/>
      <c r="H28" s="946"/>
      <c r="I28" s="951" t="s">
        <v>1552</v>
      </c>
      <c r="J28" s="945"/>
      <c r="K28" s="946"/>
      <c r="L28" s="951" t="s">
        <v>1397</v>
      </c>
      <c r="M28" s="945"/>
      <c r="N28" s="945"/>
      <c r="O28" s="931" t="s">
        <v>1398</v>
      </c>
      <c r="P28" s="931"/>
      <c r="Q28" s="931"/>
      <c r="R28" s="931" t="s">
        <v>15</v>
      </c>
      <c r="S28" s="931"/>
      <c r="T28" s="931"/>
      <c r="U28" s="57"/>
    </row>
    <row r="29" spans="1:21" s="11" customFormat="1" ht="24" customHeight="1" x14ac:dyDescent="0.2">
      <c r="A29" s="935"/>
      <c r="B29" s="935"/>
      <c r="C29" s="935"/>
      <c r="D29" s="935"/>
      <c r="E29" s="930"/>
      <c r="F29" s="653" t="s">
        <v>1545</v>
      </c>
      <c r="G29" s="654" t="s">
        <v>1539</v>
      </c>
      <c r="H29" s="654" t="s">
        <v>1540</v>
      </c>
      <c r="I29" s="654" t="s">
        <v>1545</v>
      </c>
      <c r="J29" s="654" t="s">
        <v>1539</v>
      </c>
      <c r="K29" s="654" t="s">
        <v>1540</v>
      </c>
      <c r="L29" s="654" t="s">
        <v>1545</v>
      </c>
      <c r="M29" s="654" t="s">
        <v>1539</v>
      </c>
      <c r="N29" s="654" t="s">
        <v>1540</v>
      </c>
      <c r="O29" s="654" t="s">
        <v>1545</v>
      </c>
      <c r="P29" s="654" t="s">
        <v>1539</v>
      </c>
      <c r="Q29" s="654" t="s">
        <v>1540</v>
      </c>
      <c r="R29" s="654" t="s">
        <v>1545</v>
      </c>
      <c r="S29" s="654" t="s">
        <v>1539</v>
      </c>
      <c r="T29" s="654" t="s">
        <v>1540</v>
      </c>
      <c r="U29" s="57"/>
    </row>
    <row r="30" spans="1:21" ht="24" customHeight="1" x14ac:dyDescent="0.2">
      <c r="A30" s="45" t="s">
        <v>148</v>
      </c>
      <c r="B30" s="46"/>
      <c r="C30" s="46"/>
      <c r="D30" s="46"/>
      <c r="E30" s="80"/>
      <c r="F30" s="47">
        <f>F31+F42+F50</f>
        <v>4469330595.1000004</v>
      </c>
      <c r="G30" s="47">
        <f t="shared" ref="G30:H30" si="6">G31+G42+G50</f>
        <v>353764000</v>
      </c>
      <c r="H30" s="47">
        <f t="shared" si="6"/>
        <v>44266000</v>
      </c>
      <c r="I30" s="47">
        <f>I31+I42+I50</f>
        <v>56108067</v>
      </c>
      <c r="J30" s="47">
        <f t="shared" ref="J30:K30" si="7">J31+J42+J50</f>
        <v>56108067</v>
      </c>
      <c r="K30" s="47">
        <f t="shared" si="7"/>
        <v>13280787</v>
      </c>
      <c r="L30" s="47">
        <f>L31+L42+L50</f>
        <v>2753011221</v>
      </c>
      <c r="M30" s="47">
        <f t="shared" ref="M30:N30" si="8">M31+M42+M50</f>
        <v>0</v>
      </c>
      <c r="N30" s="47">
        <f t="shared" si="8"/>
        <v>0</v>
      </c>
      <c r="O30" s="47">
        <f>O31+O42+O50</f>
        <v>795750000</v>
      </c>
      <c r="P30" s="47">
        <f t="shared" ref="P30:Q30" si="9">P31+P42+P50</f>
        <v>291720000</v>
      </c>
      <c r="Q30" s="47">
        <f t="shared" si="9"/>
        <v>38250000</v>
      </c>
      <c r="R30" s="47">
        <f>R31+R42+R50</f>
        <v>8074199883.1000004</v>
      </c>
      <c r="S30" s="47">
        <f t="shared" ref="S30:T30" si="10">S31+S42+S50</f>
        <v>701592067</v>
      </c>
      <c r="T30" s="47">
        <f t="shared" si="10"/>
        <v>95796787</v>
      </c>
      <c r="U30" s="53"/>
    </row>
    <row r="31" spans="1:21" ht="24" customHeight="1" x14ac:dyDescent="0.2">
      <c r="A31" s="145"/>
      <c r="B31" s="131">
        <f>'SGTO POAI -MARZO-2021'!B45</f>
        <v>1</v>
      </c>
      <c r="C31" s="74" t="str">
        <f>'SGTO POAI -MARZO-2021'!D45</f>
        <v xml:space="preserve">INCLUSIÓN SOCIAL Y EQUIDAD </v>
      </c>
      <c r="D31" s="74"/>
      <c r="E31" s="515"/>
      <c r="F31" s="502">
        <f>F32+F34+F36+F38+F40</f>
        <v>3919330595</v>
      </c>
      <c r="G31" s="502">
        <f t="shared" ref="G31:H31" si="11">G32+G34+G36+G38+G40</f>
        <v>353764000</v>
      </c>
      <c r="H31" s="502">
        <f t="shared" si="11"/>
        <v>44266000</v>
      </c>
      <c r="I31" s="502"/>
      <c r="J31" s="502"/>
      <c r="K31" s="502"/>
      <c r="L31" s="502">
        <f>L32+L34+L36+L38+L40</f>
        <v>0</v>
      </c>
      <c r="M31" s="502">
        <f t="shared" ref="M31:N31" si="12">M32+M34+M36+M38+M40</f>
        <v>0</v>
      </c>
      <c r="N31" s="502">
        <f t="shared" si="12"/>
        <v>0</v>
      </c>
      <c r="O31" s="502">
        <f>O32+O34+O36+O38+O40</f>
        <v>92750000</v>
      </c>
      <c r="P31" s="502">
        <f t="shared" ref="P31:Q31" si="13">P32+P34+P36+P38+P40</f>
        <v>16932000</v>
      </c>
      <c r="Q31" s="502">
        <f t="shared" si="13"/>
        <v>0</v>
      </c>
      <c r="R31" s="502">
        <f>R32+R34+R36+R38+R40</f>
        <v>4012080595</v>
      </c>
      <c r="S31" s="502">
        <f t="shared" ref="S31:T31" si="14">S32+S34+S36+S38+S40</f>
        <v>370696000</v>
      </c>
      <c r="T31" s="502">
        <f t="shared" si="14"/>
        <v>44266000</v>
      </c>
      <c r="U31" s="53"/>
    </row>
    <row r="32" spans="1:21" ht="24" customHeight="1" x14ac:dyDescent="0.2">
      <c r="A32" s="145"/>
      <c r="B32" s="87"/>
      <c r="C32" s="77">
        <f>'SGTO POAI -MARZO-2021'!D46</f>
        <v>12</v>
      </c>
      <c r="D32" s="75" t="str">
        <f>'SGTO POAI -MARZO-2021'!E46</f>
        <v>Justicia y del derecho</v>
      </c>
      <c r="E32" s="75"/>
      <c r="F32" s="546">
        <f>F33</f>
        <v>0</v>
      </c>
      <c r="G32" s="546">
        <f t="shared" ref="G32:H32" si="15">G33</f>
        <v>0</v>
      </c>
      <c r="H32" s="546">
        <f t="shared" si="15"/>
        <v>0</v>
      </c>
      <c r="I32" s="546"/>
      <c r="J32" s="546"/>
      <c r="K32" s="546"/>
      <c r="L32" s="546">
        <f>L33</f>
        <v>0</v>
      </c>
      <c r="M32" s="546">
        <f t="shared" ref="M32:N32" si="16">M33</f>
        <v>0</v>
      </c>
      <c r="N32" s="546">
        <f t="shared" si="16"/>
        <v>0</v>
      </c>
      <c r="O32" s="546">
        <f>O33</f>
        <v>24750000</v>
      </c>
      <c r="P32" s="546">
        <f t="shared" ref="P32:Q32" si="17">P33</f>
        <v>3932000</v>
      </c>
      <c r="Q32" s="546">
        <f t="shared" si="17"/>
        <v>0</v>
      </c>
      <c r="R32" s="546">
        <f>R33</f>
        <v>24750000</v>
      </c>
      <c r="S32" s="546">
        <f t="shared" ref="S32:T32" si="18">S33</f>
        <v>3932000</v>
      </c>
      <c r="T32" s="546">
        <f t="shared" si="18"/>
        <v>0</v>
      </c>
      <c r="U32" s="53"/>
    </row>
    <row r="33" spans="1:21" ht="44.25" customHeight="1" x14ac:dyDescent="0.2">
      <c r="A33" s="145"/>
      <c r="B33" s="87"/>
      <c r="C33" s="87"/>
      <c r="D33" s="338">
        <f>'SGTO POAI -MARZO-2021'!F47</f>
        <v>1202</v>
      </c>
      <c r="E33" s="358" t="str">
        <f>'SGTO POAI -MARZO-2021'!G47</f>
        <v>Promoción al acceso a la justicia. "Tú y yo con justicia"</v>
      </c>
      <c r="F33" s="507">
        <f>'SGTO POAI -MARZO-2021'!W47</f>
        <v>0</v>
      </c>
      <c r="G33" s="507">
        <f>'SGTO POAI -MARZO-2021'!X47</f>
        <v>0</v>
      </c>
      <c r="H33" s="507">
        <f>'SGTO POAI -MARZO-2021'!Y47</f>
        <v>0</v>
      </c>
      <c r="I33" s="507"/>
      <c r="J33" s="507"/>
      <c r="K33" s="507"/>
      <c r="L33" s="507">
        <f>'SGTO POAI -MARZO-2021'!AX47</f>
        <v>0</v>
      </c>
      <c r="M33" s="507">
        <f>'SGTO POAI -MARZO-2021'!AY47</f>
        <v>0</v>
      </c>
      <c r="N33" s="507">
        <f>'SGTO POAI -MARZO-2021'!AZ47</f>
        <v>0</v>
      </c>
      <c r="O33" s="507">
        <f>'SGTO POAI -MARZO-2021'!BA47</f>
        <v>24750000</v>
      </c>
      <c r="P33" s="507">
        <f>'SGTO POAI -MARZO-2021'!BB47</f>
        <v>3932000</v>
      </c>
      <c r="Q33" s="507">
        <f>'SGTO POAI -MARZO-2021'!BC47</f>
        <v>0</v>
      </c>
      <c r="R33" s="507">
        <f>F33+L33+O33+I33</f>
        <v>24750000</v>
      </c>
      <c r="S33" s="507">
        <f t="shared" ref="S33:T33" si="19">G33+M33+P33+J33</f>
        <v>3932000</v>
      </c>
      <c r="T33" s="507">
        <f t="shared" si="19"/>
        <v>0</v>
      </c>
      <c r="U33" s="53"/>
    </row>
    <row r="34" spans="1:21" ht="24" customHeight="1" x14ac:dyDescent="0.2">
      <c r="A34" s="145"/>
      <c r="B34" s="87"/>
      <c r="C34" s="77">
        <f>'SGTO POAI -MARZO-2021'!D49</f>
        <v>19</v>
      </c>
      <c r="D34" s="75" t="str">
        <f>'SGTO POAI -MARZO-2021'!E49</f>
        <v>Salud y protección social</v>
      </c>
      <c r="E34" s="504"/>
      <c r="F34" s="505">
        <f>F35</f>
        <v>0</v>
      </c>
      <c r="G34" s="505">
        <f t="shared" ref="G34:H34" si="20">G35</f>
        <v>0</v>
      </c>
      <c r="H34" s="505">
        <f t="shared" si="20"/>
        <v>0</v>
      </c>
      <c r="I34" s="505"/>
      <c r="J34" s="505"/>
      <c r="K34" s="505"/>
      <c r="L34" s="505">
        <f>L35</f>
        <v>0</v>
      </c>
      <c r="M34" s="505">
        <f t="shared" ref="M34:N34" si="21">M35</f>
        <v>0</v>
      </c>
      <c r="N34" s="505">
        <f t="shared" si="21"/>
        <v>0</v>
      </c>
      <c r="O34" s="505">
        <f>O35</f>
        <v>38000000</v>
      </c>
      <c r="P34" s="505">
        <f t="shared" ref="P34:Q34" si="22">P35</f>
        <v>4100000</v>
      </c>
      <c r="Q34" s="505">
        <f t="shared" si="22"/>
        <v>0</v>
      </c>
      <c r="R34" s="505">
        <f>R35</f>
        <v>38000000</v>
      </c>
      <c r="S34" s="505">
        <f t="shared" ref="S34:T34" si="23">S35</f>
        <v>4100000</v>
      </c>
      <c r="T34" s="505">
        <f t="shared" si="23"/>
        <v>0</v>
      </c>
      <c r="U34" s="53"/>
    </row>
    <row r="35" spans="1:21" ht="31.5" x14ac:dyDescent="0.2">
      <c r="A35" s="145"/>
      <c r="B35" s="87"/>
      <c r="C35" s="87"/>
      <c r="D35" s="338">
        <f>'SGTO POAI -MARZO-2021'!F50</f>
        <v>1906</v>
      </c>
      <c r="E35" s="358" t="str">
        <f>'SGTO POAI -MARZO-2021'!G50</f>
        <v>Aseguramiento y Prestación integral de servicios de salud "Tú y yo con servicios de salud"</v>
      </c>
      <c r="F35" s="507">
        <f>'SGTO POAI -MARZO-2021'!W50</f>
        <v>0</v>
      </c>
      <c r="G35" s="507">
        <f>'SGTO POAI -MARZO-2021'!X50</f>
        <v>0</v>
      </c>
      <c r="H35" s="507">
        <f>'SGTO POAI -MARZO-2021'!Y50</f>
        <v>0</v>
      </c>
      <c r="I35" s="507"/>
      <c r="J35" s="507"/>
      <c r="K35" s="507"/>
      <c r="L35" s="507">
        <f>'SGTO POAI -MARZO-2021'!AX50</f>
        <v>0</v>
      </c>
      <c r="M35" s="507">
        <f>'SGTO POAI -MARZO-2021'!AY50</f>
        <v>0</v>
      </c>
      <c r="N35" s="507">
        <f>'SGTO POAI -MARZO-2021'!AZ50</f>
        <v>0</v>
      </c>
      <c r="O35" s="507">
        <f>'SGTO POAI -MARZO-2021'!BA50</f>
        <v>38000000</v>
      </c>
      <c r="P35" s="507">
        <f>'SGTO POAI -MARZO-2021'!BB50</f>
        <v>4100000</v>
      </c>
      <c r="Q35" s="507">
        <f>'SGTO POAI -MARZO-2021'!BC50</f>
        <v>0</v>
      </c>
      <c r="R35" s="507">
        <f>F35+L35+O35+I35</f>
        <v>38000000</v>
      </c>
      <c r="S35" s="507">
        <f t="shared" ref="S35:T35" si="24">G35+M35+P35+J35</f>
        <v>4100000</v>
      </c>
      <c r="T35" s="507">
        <f t="shared" si="24"/>
        <v>0</v>
      </c>
      <c r="U35" s="53"/>
    </row>
    <row r="36" spans="1:21" ht="24" customHeight="1" x14ac:dyDescent="0.2">
      <c r="A36" s="145"/>
      <c r="B36" s="87"/>
      <c r="C36" s="77">
        <f>'SGTO POAI -MARZO-2021'!D52</f>
        <v>22</v>
      </c>
      <c r="D36" s="75" t="str">
        <f>'SGTO POAI -MARZO-2021'!E52</f>
        <v>Educación</v>
      </c>
      <c r="E36" s="512"/>
      <c r="F36" s="547">
        <f>F37</f>
        <v>2083257220</v>
      </c>
      <c r="G36" s="547">
        <f t="shared" ref="G36:H36" si="25">G37</f>
        <v>183764000</v>
      </c>
      <c r="H36" s="547">
        <f t="shared" si="25"/>
        <v>0</v>
      </c>
      <c r="I36" s="547"/>
      <c r="J36" s="547"/>
      <c r="K36" s="547"/>
      <c r="L36" s="547">
        <f>L37</f>
        <v>0</v>
      </c>
      <c r="M36" s="547">
        <f t="shared" ref="M36:N36" si="26">M37</f>
        <v>0</v>
      </c>
      <c r="N36" s="547">
        <f t="shared" si="26"/>
        <v>0</v>
      </c>
      <c r="O36" s="547">
        <f>O37</f>
        <v>0</v>
      </c>
      <c r="P36" s="547">
        <f t="shared" ref="P36:Q36" si="27">P37</f>
        <v>0</v>
      </c>
      <c r="Q36" s="547">
        <f t="shared" si="27"/>
        <v>0</v>
      </c>
      <c r="R36" s="547">
        <f>R37</f>
        <v>2083257220</v>
      </c>
      <c r="S36" s="547">
        <f t="shared" ref="S36:T36" si="28">S37</f>
        <v>183764000</v>
      </c>
      <c r="T36" s="547">
        <f t="shared" si="28"/>
        <v>0</v>
      </c>
      <c r="U36" s="53"/>
    </row>
    <row r="37" spans="1:21" ht="31.5" x14ac:dyDescent="0.2">
      <c r="A37" s="145"/>
      <c r="B37" s="87"/>
      <c r="C37" s="87"/>
      <c r="D37" s="338">
        <f>'SGTO POAI -MARZO-2021'!F53</f>
        <v>2201</v>
      </c>
      <c r="E37" s="358" t="str">
        <f>'SGTO POAI -MARZO-2021'!G53</f>
        <v>Calidad, cobertura y fortalecimiento de la educación inicial, prescolar, básica y media." Tú y yo con educación y  calidad"</v>
      </c>
      <c r="F37" s="507">
        <f>'SGTO POAI -MARZO-2021'!W53</f>
        <v>2083257220</v>
      </c>
      <c r="G37" s="507">
        <f>'SGTO POAI -MARZO-2021'!X53</f>
        <v>183764000</v>
      </c>
      <c r="H37" s="507">
        <f>'SGTO POAI -MARZO-2021'!Y53</f>
        <v>0</v>
      </c>
      <c r="I37" s="507"/>
      <c r="J37" s="507"/>
      <c r="K37" s="507"/>
      <c r="L37" s="507">
        <f>'SGTO POAI -MARZO-2021'!AX53</f>
        <v>0</v>
      </c>
      <c r="M37" s="507">
        <f>'SGTO POAI -MARZO-2021'!AY53</f>
        <v>0</v>
      </c>
      <c r="N37" s="507">
        <f>'SGTO POAI -MARZO-2021'!AZ53</f>
        <v>0</v>
      </c>
      <c r="O37" s="507">
        <f>'SGTO POAI -MARZO-2021'!BA53</f>
        <v>0</v>
      </c>
      <c r="P37" s="507">
        <f>'SGTO POAI -MARZO-2021'!BB53</f>
        <v>0</v>
      </c>
      <c r="Q37" s="507">
        <f>'SGTO POAI -MARZO-2021'!BC53</f>
        <v>0</v>
      </c>
      <c r="R37" s="507">
        <f>F37+L37+O37+I37</f>
        <v>2083257220</v>
      </c>
      <c r="S37" s="507">
        <f t="shared" ref="S37:T37" si="29">G37+M37+P37+J37</f>
        <v>183764000</v>
      </c>
      <c r="T37" s="507">
        <f t="shared" si="29"/>
        <v>0</v>
      </c>
      <c r="U37" s="53"/>
    </row>
    <row r="38" spans="1:21" ht="24" customHeight="1" x14ac:dyDescent="0.2">
      <c r="A38" s="145"/>
      <c r="B38" s="87"/>
      <c r="C38" s="77">
        <f>'SGTO POAI -MARZO-2021'!D55</f>
        <v>33</v>
      </c>
      <c r="D38" s="511" t="str">
        <f>'SGTO POAI -MARZO-2021'!E55</f>
        <v>Cultura</v>
      </c>
      <c r="E38" s="512"/>
      <c r="F38" s="547">
        <f>SUM(F39)</f>
        <v>0</v>
      </c>
      <c r="G38" s="547">
        <f t="shared" ref="G38:H38" si="30">SUM(G39)</f>
        <v>0</v>
      </c>
      <c r="H38" s="547">
        <f t="shared" si="30"/>
        <v>0</v>
      </c>
      <c r="I38" s="547"/>
      <c r="J38" s="547"/>
      <c r="K38" s="547"/>
      <c r="L38" s="547">
        <f>SUM(L39)</f>
        <v>0</v>
      </c>
      <c r="M38" s="547">
        <f t="shared" ref="M38:N38" si="31">SUM(M39)</f>
        <v>0</v>
      </c>
      <c r="N38" s="547">
        <f t="shared" si="31"/>
        <v>0</v>
      </c>
      <c r="O38" s="547">
        <f>SUM(O39)</f>
        <v>30000000</v>
      </c>
      <c r="P38" s="547">
        <f t="shared" ref="P38:Q38" si="32">SUM(P39)</f>
        <v>8900000</v>
      </c>
      <c r="Q38" s="547">
        <f t="shared" si="32"/>
        <v>0</v>
      </c>
      <c r="R38" s="547">
        <f>SUM(R39)</f>
        <v>30000000</v>
      </c>
      <c r="S38" s="547">
        <f t="shared" ref="S38:T38" si="33">SUM(S39)</f>
        <v>8900000</v>
      </c>
      <c r="T38" s="547">
        <f t="shared" si="33"/>
        <v>0</v>
      </c>
      <c r="U38" s="53"/>
    </row>
    <row r="39" spans="1:21" ht="31.5" x14ac:dyDescent="0.2">
      <c r="A39" s="145"/>
      <c r="B39" s="87"/>
      <c r="C39" s="87"/>
      <c r="D39" s="338">
        <f>'SGTO POAI -MARZO-2021'!F56</f>
        <v>3301</v>
      </c>
      <c r="E39" s="358" t="str">
        <f>'SGTO POAI -MARZO-2021'!G56</f>
        <v>Promoción y acceso efectivo a procesos culturales y artísticos. "Tú y yo somos cultura Quindiana"</v>
      </c>
      <c r="F39" s="507">
        <f>'SGTO POAI -MARZO-2021'!W56</f>
        <v>0</v>
      </c>
      <c r="G39" s="507">
        <f>'SGTO POAI -MARZO-2021'!X56</f>
        <v>0</v>
      </c>
      <c r="H39" s="507">
        <f>'SGTO POAI -MARZO-2021'!Y56</f>
        <v>0</v>
      </c>
      <c r="I39" s="507"/>
      <c r="J39" s="507"/>
      <c r="K39" s="507"/>
      <c r="L39" s="507">
        <f>'SGTO POAI -MARZO-2021'!AX56</f>
        <v>0</v>
      </c>
      <c r="M39" s="507">
        <f>'SGTO POAI -MARZO-2021'!AY56</f>
        <v>0</v>
      </c>
      <c r="N39" s="507">
        <f>'SGTO POAI -MARZO-2021'!AZ56</f>
        <v>0</v>
      </c>
      <c r="O39" s="507">
        <f>'SGTO POAI -MARZO-2021'!BA56</f>
        <v>30000000</v>
      </c>
      <c r="P39" s="507">
        <f>'SGTO POAI -MARZO-2021'!BB56</f>
        <v>8900000</v>
      </c>
      <c r="Q39" s="507">
        <f>'SGTO POAI -MARZO-2021'!BC56</f>
        <v>0</v>
      </c>
      <c r="R39" s="507">
        <f>F39+L39+O39+I39</f>
        <v>30000000</v>
      </c>
      <c r="S39" s="507">
        <f t="shared" ref="S39:T39" si="34">G39+M39+P39+J39</f>
        <v>8900000</v>
      </c>
      <c r="T39" s="507">
        <f t="shared" si="34"/>
        <v>0</v>
      </c>
      <c r="U39" s="53"/>
    </row>
    <row r="40" spans="1:21" ht="24" customHeight="1" x14ac:dyDescent="0.2">
      <c r="A40" s="145"/>
      <c r="B40" s="87"/>
      <c r="C40" s="77">
        <f>'SGTO POAI -MARZO-2021'!D58</f>
        <v>43</v>
      </c>
      <c r="D40" s="75" t="str">
        <f>'SGTO POAI -MARZO-2021'!E58</f>
        <v>Deporte y recreación</v>
      </c>
      <c r="E40" s="143"/>
      <c r="F40" s="548">
        <f>SUM(F41)</f>
        <v>1836073375</v>
      </c>
      <c r="G40" s="548">
        <f t="shared" ref="G40:H40" si="35">SUM(G41)</f>
        <v>170000000</v>
      </c>
      <c r="H40" s="548">
        <f t="shared" si="35"/>
        <v>44266000</v>
      </c>
      <c r="I40" s="548"/>
      <c r="J40" s="548"/>
      <c r="K40" s="548"/>
      <c r="L40" s="548">
        <f>SUM(L41)</f>
        <v>0</v>
      </c>
      <c r="M40" s="548">
        <f t="shared" ref="M40:N40" si="36">SUM(M41)</f>
        <v>0</v>
      </c>
      <c r="N40" s="548">
        <f t="shared" si="36"/>
        <v>0</v>
      </c>
      <c r="O40" s="548">
        <f>SUM(O41)</f>
        <v>0</v>
      </c>
      <c r="P40" s="548">
        <f t="shared" ref="P40:Q40" si="37">SUM(P41)</f>
        <v>0</v>
      </c>
      <c r="Q40" s="548">
        <f t="shared" si="37"/>
        <v>0</v>
      </c>
      <c r="R40" s="548">
        <f>SUM(R41)</f>
        <v>1836073375</v>
      </c>
      <c r="S40" s="548">
        <f t="shared" ref="S40:T40" si="38">SUM(S41)</f>
        <v>170000000</v>
      </c>
      <c r="T40" s="548">
        <f t="shared" si="38"/>
        <v>44266000</v>
      </c>
      <c r="U40" s="53"/>
    </row>
    <row r="41" spans="1:21" ht="69.75" customHeight="1" x14ac:dyDescent="0.2">
      <c r="A41" s="145"/>
      <c r="B41" s="87"/>
      <c r="C41" s="87"/>
      <c r="D41" s="338">
        <f>'SGTO POAI -MARZO-2021'!F59</f>
        <v>4301</v>
      </c>
      <c r="E41" s="358" t="str">
        <f>'SGTO POAI -MARZO-2021'!G59</f>
        <v>Fomento a la recreación, la actividad física y el deporte para desarrollar entornos de convivencia y paz "Tú y yo en la recreación y en deporte"</v>
      </c>
      <c r="F41" s="507">
        <f>'SGTO POAI -MARZO-2021'!W59</f>
        <v>1836073375</v>
      </c>
      <c r="G41" s="507">
        <f>'SGTO POAI -MARZO-2021'!X59</f>
        <v>170000000</v>
      </c>
      <c r="H41" s="507">
        <f>'SGTO POAI -MARZO-2021'!Y59</f>
        <v>44266000</v>
      </c>
      <c r="I41" s="507"/>
      <c r="J41" s="507"/>
      <c r="K41" s="507"/>
      <c r="L41" s="507">
        <f>'SGTO POAI -MARZO-2021'!AX59</f>
        <v>0</v>
      </c>
      <c r="M41" s="507">
        <f>'SGTO POAI -MARZO-2021'!AY59</f>
        <v>0</v>
      </c>
      <c r="N41" s="507">
        <f>'SGTO POAI -MARZO-2021'!AZ59</f>
        <v>0</v>
      </c>
      <c r="O41" s="507">
        <f>'SGTO POAI -MARZO-2021'!BA59</f>
        <v>0</v>
      </c>
      <c r="P41" s="507">
        <f>'SGTO POAI -MARZO-2021'!BB59</f>
        <v>0</v>
      </c>
      <c r="Q41" s="507">
        <f>'SGTO POAI -MARZO-2021'!BC59</f>
        <v>0</v>
      </c>
      <c r="R41" s="507">
        <f>F41+L41+O41+I41</f>
        <v>1836073375</v>
      </c>
      <c r="S41" s="507">
        <f t="shared" ref="S41:T41" si="39">G41+M41+P41+J41</f>
        <v>170000000</v>
      </c>
      <c r="T41" s="507">
        <f t="shared" si="39"/>
        <v>44266000</v>
      </c>
      <c r="U41" s="58"/>
    </row>
    <row r="42" spans="1:21" ht="24" customHeight="1" x14ac:dyDescent="0.2">
      <c r="A42" s="145"/>
      <c r="B42" s="131">
        <f>'SGTO POAI -MARZO-2021'!B61</f>
        <v>3</v>
      </c>
      <c r="C42" s="74" t="str">
        <f>'SGTO POAI -MARZO-2021'!D61</f>
        <v xml:space="preserve">TERRITORIO, AMBIENTE Y DESARROLLO SOSTENIBLE </v>
      </c>
      <c r="D42" s="74"/>
      <c r="E42" s="515"/>
      <c r="F42" s="502">
        <f>F43+F45+F47</f>
        <v>550000000.10000002</v>
      </c>
      <c r="G42" s="502">
        <f t="shared" ref="G42:H42" si="40">G43+G45+G47</f>
        <v>0</v>
      </c>
      <c r="H42" s="502">
        <f t="shared" si="40"/>
        <v>0</v>
      </c>
      <c r="I42" s="502">
        <f t="shared" ref="I42:R42" si="41">I43+I45+I47</f>
        <v>56108067</v>
      </c>
      <c r="J42" s="502">
        <f t="shared" ref="J42" si="42">J43+J45+J47</f>
        <v>56108067</v>
      </c>
      <c r="K42" s="502">
        <f t="shared" ref="K42" si="43">K43+K45+K47</f>
        <v>13280787</v>
      </c>
      <c r="L42" s="502">
        <f t="shared" si="41"/>
        <v>2753011221</v>
      </c>
      <c r="M42" s="502">
        <f t="shared" ref="M42" si="44">M43+M45+M47</f>
        <v>0</v>
      </c>
      <c r="N42" s="502">
        <f t="shared" ref="N42" si="45">N43+N45+N47</f>
        <v>0</v>
      </c>
      <c r="O42" s="502">
        <f t="shared" si="41"/>
        <v>625000000</v>
      </c>
      <c r="P42" s="502">
        <f t="shared" ref="P42" si="46">P43+P45+P47</f>
        <v>273720000</v>
      </c>
      <c r="Q42" s="502">
        <f t="shared" ref="Q42" si="47">Q43+Q45+Q47</f>
        <v>38250000</v>
      </c>
      <c r="R42" s="502">
        <f t="shared" si="41"/>
        <v>3984119288.0999999</v>
      </c>
      <c r="S42" s="502">
        <f t="shared" ref="S42" si="48">S43+S45+S47</f>
        <v>329828067</v>
      </c>
      <c r="T42" s="502">
        <f t="shared" ref="T42" si="49">T43+T45+T47</f>
        <v>51530787</v>
      </c>
      <c r="U42" s="58"/>
    </row>
    <row r="43" spans="1:21" ht="24" customHeight="1" x14ac:dyDescent="0.2">
      <c r="A43" s="145"/>
      <c r="B43" s="87"/>
      <c r="C43" s="513">
        <f>'SGTO POAI -MARZO-2021'!D62</f>
        <v>24</v>
      </c>
      <c r="D43" s="75" t="str">
        <f>'SGTO POAI -MARZO-2021'!E62</f>
        <v>Transporte</v>
      </c>
      <c r="E43" s="504"/>
      <c r="F43" s="505">
        <f>F44</f>
        <v>0</v>
      </c>
      <c r="G43" s="505">
        <f t="shared" ref="G43:H43" si="50">G44</f>
        <v>0</v>
      </c>
      <c r="H43" s="505">
        <f t="shared" si="50"/>
        <v>0</v>
      </c>
      <c r="I43" s="505"/>
      <c r="J43" s="505"/>
      <c r="K43" s="505"/>
      <c r="L43" s="505">
        <f>L44</f>
        <v>0</v>
      </c>
      <c r="M43" s="505">
        <f t="shared" ref="M43:N43" si="51">M44</f>
        <v>0</v>
      </c>
      <c r="N43" s="505">
        <f t="shared" si="51"/>
        <v>0</v>
      </c>
      <c r="O43" s="505">
        <f>O44</f>
        <v>390000000</v>
      </c>
      <c r="P43" s="505">
        <f t="shared" ref="P43:Q43" si="52">P44</f>
        <v>161100000</v>
      </c>
      <c r="Q43" s="505">
        <f t="shared" si="52"/>
        <v>35450000</v>
      </c>
      <c r="R43" s="505">
        <f>R44</f>
        <v>390000000</v>
      </c>
      <c r="S43" s="505">
        <f t="shared" ref="S43:T43" si="53">S44</f>
        <v>161100000</v>
      </c>
      <c r="T43" s="505">
        <f t="shared" si="53"/>
        <v>35450000</v>
      </c>
      <c r="U43" s="58"/>
    </row>
    <row r="44" spans="1:21" ht="48" customHeight="1" x14ac:dyDescent="0.2">
      <c r="A44" s="145"/>
      <c r="B44" s="87"/>
      <c r="C44" s="87"/>
      <c r="D44" s="338">
        <f>'SGTO POAI -MARZO-2021'!F63</f>
        <v>2402</v>
      </c>
      <c r="E44" s="358" t="str">
        <f>'SGTO POAI -MARZO-2021'!G63</f>
        <v>Infraestructura red vial regional. "Tú y yo con movilidad vial"</v>
      </c>
      <c r="F44" s="507">
        <f>'SGTO POAI -MARZO-2021'!W63</f>
        <v>0</v>
      </c>
      <c r="G44" s="507">
        <f>'SGTO POAI -MARZO-2021'!X63</f>
        <v>0</v>
      </c>
      <c r="H44" s="507">
        <f>'SGTO POAI -MARZO-2021'!Y63</f>
        <v>0</v>
      </c>
      <c r="I44" s="507"/>
      <c r="J44" s="507"/>
      <c r="K44" s="507"/>
      <c r="L44" s="507">
        <f>'SGTO POAI -MARZO-2021'!AX63</f>
        <v>0</v>
      </c>
      <c r="M44" s="507">
        <f>'SGTO POAI -MARZO-2021'!AY63</f>
        <v>0</v>
      </c>
      <c r="N44" s="507">
        <f>'SGTO POAI -MARZO-2021'!AZ63</f>
        <v>0</v>
      </c>
      <c r="O44" s="507">
        <f>'SGTO POAI -MARZO-2021'!BA63</f>
        <v>390000000</v>
      </c>
      <c r="P44" s="507">
        <f>'SGTO POAI -MARZO-2021'!BB63</f>
        <v>161100000</v>
      </c>
      <c r="Q44" s="507">
        <f>'SGTO POAI -MARZO-2021'!BC63</f>
        <v>35450000</v>
      </c>
      <c r="R44" s="507">
        <f>F44+L44+O44+I44</f>
        <v>390000000</v>
      </c>
      <c r="S44" s="507">
        <f t="shared" ref="S44:T44" si="54">G44+M44+P44+J44</f>
        <v>161100000</v>
      </c>
      <c r="T44" s="507">
        <f t="shared" si="54"/>
        <v>35450000</v>
      </c>
      <c r="U44" s="58"/>
    </row>
    <row r="45" spans="1:21" ht="24" customHeight="1" x14ac:dyDescent="0.2">
      <c r="A45" s="145"/>
      <c r="B45" s="87"/>
      <c r="C45" s="77">
        <f>'SGTO POAI -MARZO-2021'!D67</f>
        <v>32</v>
      </c>
      <c r="D45" s="75" t="str">
        <f>'SGTO POAI -MARZO-2021'!E67</f>
        <v>Ambiente y desarrollo sostenible</v>
      </c>
      <c r="E45" s="143"/>
      <c r="F45" s="548">
        <f>F46</f>
        <v>0</v>
      </c>
      <c r="G45" s="548">
        <f t="shared" ref="G45:H45" si="55">G46</f>
        <v>0</v>
      </c>
      <c r="H45" s="548">
        <f t="shared" si="55"/>
        <v>0</v>
      </c>
      <c r="I45" s="548">
        <f>I46</f>
        <v>56108067</v>
      </c>
      <c r="J45" s="548">
        <f t="shared" ref="J45:K45" si="56">J46</f>
        <v>56108067</v>
      </c>
      <c r="K45" s="548">
        <f t="shared" si="56"/>
        <v>13280787</v>
      </c>
      <c r="L45" s="548">
        <f>L46</f>
        <v>0</v>
      </c>
      <c r="M45" s="548">
        <f t="shared" ref="M45:N45" si="57">M46</f>
        <v>0</v>
      </c>
      <c r="N45" s="548">
        <f t="shared" si="57"/>
        <v>0</v>
      </c>
      <c r="O45" s="548">
        <f>O46</f>
        <v>215000000</v>
      </c>
      <c r="P45" s="548">
        <f t="shared" ref="P45:Q45" si="58">P46</f>
        <v>112620000</v>
      </c>
      <c r="Q45" s="548">
        <f t="shared" si="58"/>
        <v>2800000</v>
      </c>
      <c r="R45" s="548">
        <f>R46</f>
        <v>271108067</v>
      </c>
      <c r="S45" s="548">
        <f t="shared" ref="S45:T45" si="59">S46</f>
        <v>168728067</v>
      </c>
      <c r="T45" s="548">
        <f t="shared" si="59"/>
        <v>16080787</v>
      </c>
      <c r="U45" s="58"/>
    </row>
    <row r="46" spans="1:21" ht="41.25" customHeight="1" x14ac:dyDescent="0.2">
      <c r="A46" s="145"/>
      <c r="B46" s="87"/>
      <c r="C46" s="87"/>
      <c r="D46" s="338">
        <f>'SGTO POAI -MARZO-2021'!F68</f>
        <v>3205</v>
      </c>
      <c r="E46" s="358" t="str">
        <f>'SGTO POAI -MARZO-2021'!G68</f>
        <v>Ordenamiento Ambiental Territorial. "Tú y yo planificamos con sentido ambiental"</v>
      </c>
      <c r="F46" s="507">
        <f>'SGTO POAI -MARZO-2021'!W68</f>
        <v>0</v>
      </c>
      <c r="G46" s="507">
        <f>'SGTO POAI -MARZO-2021'!X68</f>
        <v>0</v>
      </c>
      <c r="H46" s="507">
        <f>'SGTO POAI -MARZO-2021'!Y68</f>
        <v>0</v>
      </c>
      <c r="I46" s="507">
        <f>'SGTO POAI -MARZO-2021'!AC68</f>
        <v>56108067</v>
      </c>
      <c r="J46" s="507">
        <f>'SGTO POAI -MARZO-2021'!AD68</f>
        <v>56108067</v>
      </c>
      <c r="K46" s="507">
        <f>'SGTO POAI -MARZO-2021'!AE68</f>
        <v>13280787</v>
      </c>
      <c r="L46" s="507">
        <f>'SGTO POAI -MARZO-2021'!AX68</f>
        <v>0</v>
      </c>
      <c r="M46" s="507">
        <f>'SGTO POAI -MARZO-2021'!AY68</f>
        <v>0</v>
      </c>
      <c r="N46" s="507">
        <f>'SGTO POAI -MARZO-2021'!AZ68</f>
        <v>0</v>
      </c>
      <c r="O46" s="507">
        <f>'SGTO POAI -MARZO-2021'!BA68</f>
        <v>215000000</v>
      </c>
      <c r="P46" s="507">
        <f>'SGTO POAI -MARZO-2021'!BB68</f>
        <v>112620000</v>
      </c>
      <c r="Q46" s="507">
        <f>'SGTO POAI -MARZO-2021'!BC68</f>
        <v>2800000</v>
      </c>
      <c r="R46" s="507">
        <f>F46+L46+O46+I46</f>
        <v>271108067</v>
      </c>
      <c r="S46" s="507">
        <f t="shared" ref="S46:T46" si="60">G46+M46+P46+J46</f>
        <v>168728067</v>
      </c>
      <c r="T46" s="507">
        <f t="shared" si="60"/>
        <v>16080787</v>
      </c>
      <c r="U46" s="58"/>
    </row>
    <row r="47" spans="1:21" ht="24" customHeight="1" x14ac:dyDescent="0.2">
      <c r="A47" s="145"/>
      <c r="B47" s="87"/>
      <c r="C47" s="77">
        <f>'SGTO POAI -MARZO-2021'!D71</f>
        <v>40</v>
      </c>
      <c r="D47" s="75" t="str">
        <f>'SGTO POAI -MARZO-2021'!E71</f>
        <v>Vivienda, Ciudad y Territorio</v>
      </c>
      <c r="E47" s="143"/>
      <c r="F47" s="548">
        <f>SUM(F48:F49)</f>
        <v>550000000.10000002</v>
      </c>
      <c r="G47" s="548">
        <f t="shared" ref="G47:H47" si="61">SUM(G48:G49)</f>
        <v>0</v>
      </c>
      <c r="H47" s="548">
        <f t="shared" si="61"/>
        <v>0</v>
      </c>
      <c r="I47" s="548"/>
      <c r="J47" s="548"/>
      <c r="K47" s="548"/>
      <c r="L47" s="548">
        <f>SUM(L48:L49)</f>
        <v>2753011221</v>
      </c>
      <c r="M47" s="548">
        <f t="shared" ref="M47:N47" si="62">SUM(M48:M49)</f>
        <v>0</v>
      </c>
      <c r="N47" s="548">
        <f t="shared" si="62"/>
        <v>0</v>
      </c>
      <c r="O47" s="548">
        <f>SUM(O48:O49)</f>
        <v>20000000</v>
      </c>
      <c r="P47" s="548">
        <f t="shared" ref="P47:Q47" si="63">SUM(P48:P49)</f>
        <v>0</v>
      </c>
      <c r="Q47" s="548">
        <f t="shared" si="63"/>
        <v>0</v>
      </c>
      <c r="R47" s="548">
        <f>SUM(R48:R49)</f>
        <v>3323011221.0999999</v>
      </c>
      <c r="S47" s="548">
        <f t="shared" ref="S47:T47" si="64">SUM(S48:S49)</f>
        <v>0</v>
      </c>
      <c r="T47" s="548">
        <f t="shared" si="64"/>
        <v>0</v>
      </c>
      <c r="U47" s="58"/>
    </row>
    <row r="48" spans="1:21" ht="42" customHeight="1" x14ac:dyDescent="0.2">
      <c r="A48" s="145"/>
      <c r="B48" s="87"/>
      <c r="C48" s="87"/>
      <c r="D48" s="338">
        <f>'SGTO POAI -MARZO-2021'!F72</f>
        <v>4001</v>
      </c>
      <c r="E48" s="358" t="str">
        <f>'SGTO POAI -MARZO-2021'!G72</f>
        <v>Acceso a soluciones de vivienda. "Tú y yo con vivienda digna"</v>
      </c>
      <c r="F48" s="507">
        <f>'SGTO POAI -MARZO-2021'!W72</f>
        <v>100000000.09999999</v>
      </c>
      <c r="G48" s="507">
        <f>'SGTO POAI -MARZO-2021'!X72</f>
        <v>0</v>
      </c>
      <c r="H48" s="507">
        <f>'SGTO POAI -MARZO-2021'!Y72</f>
        <v>0</v>
      </c>
      <c r="I48" s="507"/>
      <c r="J48" s="507"/>
      <c r="K48" s="507"/>
      <c r="L48" s="507">
        <f>'SGTO POAI -MARZO-2021'!AX72</f>
        <v>0</v>
      </c>
      <c r="M48" s="507">
        <f>'SGTO POAI -MARZO-2021'!AY72</f>
        <v>0</v>
      </c>
      <c r="N48" s="507">
        <f>'SGTO POAI -MARZO-2021'!AZ72</f>
        <v>0</v>
      </c>
      <c r="O48" s="507">
        <f>'SGTO POAI -MARZO-2021'!BA72</f>
        <v>20000000</v>
      </c>
      <c r="P48" s="507">
        <f>'SGTO POAI -MARZO-2021'!BB72</f>
        <v>0</v>
      </c>
      <c r="Q48" s="507">
        <f>'SGTO POAI -MARZO-2021'!BC72</f>
        <v>0</v>
      </c>
      <c r="R48" s="507">
        <f>F48+L48+O48+I48</f>
        <v>120000000.09999999</v>
      </c>
      <c r="S48" s="507">
        <f t="shared" ref="S48:T49" si="65">G48+M48+P48+J48</f>
        <v>0</v>
      </c>
      <c r="T48" s="507">
        <f t="shared" si="65"/>
        <v>0</v>
      </c>
      <c r="U48" s="58"/>
    </row>
    <row r="49" spans="1:21" ht="51.75" customHeight="1" x14ac:dyDescent="0.2">
      <c r="A49" s="145"/>
      <c r="B49" s="87"/>
      <c r="C49" s="87"/>
      <c r="D49" s="338">
        <f>'SGTO POAI -MARZO-2021'!F74</f>
        <v>4003</v>
      </c>
      <c r="E49" s="358" t="str">
        <f>'SGTO POAI -MARZO-2021'!G74</f>
        <v>Acceso de la población a los servicios de agua potable y saneamiento básico. "Tú y yo con calidad del agua"</v>
      </c>
      <c r="F49" s="507">
        <f>'SGTO POAI -MARZO-2021'!W74</f>
        <v>450000000</v>
      </c>
      <c r="G49" s="507">
        <f>'SGTO POAI -MARZO-2021'!X74</f>
        <v>0</v>
      </c>
      <c r="H49" s="507">
        <f>'SGTO POAI -MARZO-2021'!Y74</f>
        <v>0</v>
      </c>
      <c r="I49" s="507"/>
      <c r="J49" s="507"/>
      <c r="K49" s="507"/>
      <c r="L49" s="507">
        <f>'SGTO POAI -MARZO-2021'!AX74</f>
        <v>2753011221</v>
      </c>
      <c r="M49" s="507">
        <f>'SGTO POAI -MARZO-2021'!AY74</f>
        <v>0</v>
      </c>
      <c r="N49" s="507">
        <f>'SGTO POAI -MARZO-2021'!AZ74</f>
        <v>0</v>
      </c>
      <c r="O49" s="507">
        <f>'SGTO POAI -MARZO-2021'!BA74</f>
        <v>0</v>
      </c>
      <c r="P49" s="507">
        <f>'SGTO POAI -MARZO-2021'!BB74</f>
        <v>0</v>
      </c>
      <c r="Q49" s="507">
        <f>'SGTO POAI -MARZO-2021'!BC74</f>
        <v>0</v>
      </c>
      <c r="R49" s="507">
        <f>F49+L49+O49+I49</f>
        <v>3203011221</v>
      </c>
      <c r="S49" s="507">
        <f t="shared" si="65"/>
        <v>0</v>
      </c>
      <c r="T49" s="507">
        <f t="shared" si="65"/>
        <v>0</v>
      </c>
      <c r="U49" s="58"/>
    </row>
    <row r="50" spans="1:21" ht="24" customHeight="1" x14ac:dyDescent="0.2">
      <c r="A50" s="145"/>
      <c r="B50" s="131">
        <f>'SGTO POAI -MARZO-2021'!B81</f>
        <v>4</v>
      </c>
      <c r="C50" s="74" t="str">
        <f>'SGTO POAI -MARZO-2021'!D81</f>
        <v xml:space="preserve">LIDERAZGO, GOBERNABILIDAD Y TRANSPARENCIA </v>
      </c>
      <c r="D50" s="74"/>
      <c r="E50" s="515"/>
      <c r="F50" s="502">
        <f>F51</f>
        <v>0</v>
      </c>
      <c r="G50" s="502">
        <f t="shared" ref="G50:H50" si="66">G51</f>
        <v>0</v>
      </c>
      <c r="H50" s="502">
        <f t="shared" si="66"/>
        <v>0</v>
      </c>
      <c r="I50" s="502"/>
      <c r="J50" s="502"/>
      <c r="K50" s="502"/>
      <c r="L50" s="502">
        <f>L51</f>
        <v>0</v>
      </c>
      <c r="M50" s="502">
        <f t="shared" ref="M50:N50" si="67">M51</f>
        <v>0</v>
      </c>
      <c r="N50" s="502">
        <f t="shared" si="67"/>
        <v>0</v>
      </c>
      <c r="O50" s="502">
        <f>O51</f>
        <v>78000000</v>
      </c>
      <c r="P50" s="502">
        <f t="shared" ref="P50:Q50" si="68">P51</f>
        <v>1068000</v>
      </c>
      <c r="Q50" s="502">
        <f t="shared" si="68"/>
        <v>0</v>
      </c>
      <c r="R50" s="502">
        <f>R51</f>
        <v>78000000</v>
      </c>
      <c r="S50" s="502">
        <f t="shared" ref="S50:T50" si="69">S51</f>
        <v>1068000</v>
      </c>
      <c r="T50" s="502">
        <f t="shared" si="69"/>
        <v>0</v>
      </c>
      <c r="U50" s="58"/>
    </row>
    <row r="51" spans="1:21" ht="24" customHeight="1" x14ac:dyDescent="0.2">
      <c r="A51" s="145"/>
      <c r="B51" s="338"/>
      <c r="C51" s="77">
        <f>'SGTO POAI -MARZO-2021'!D82</f>
        <v>45</v>
      </c>
      <c r="D51" s="75" t="str">
        <f>'SGTO POAI -MARZO-2021'!E82</f>
        <v>Gobierno territorial</v>
      </c>
      <c r="E51" s="504"/>
      <c r="F51" s="505">
        <f>SUM(F52:F53)</f>
        <v>0</v>
      </c>
      <c r="G51" s="505">
        <f t="shared" ref="G51:H51" si="70">SUM(G52:G53)</f>
        <v>0</v>
      </c>
      <c r="H51" s="505">
        <f t="shared" si="70"/>
        <v>0</v>
      </c>
      <c r="I51" s="505"/>
      <c r="J51" s="505"/>
      <c r="K51" s="505"/>
      <c r="L51" s="505">
        <f>SUM(L52:L53)</f>
        <v>0</v>
      </c>
      <c r="M51" s="505">
        <f t="shared" ref="M51:N51" si="71">SUM(M52:M53)</f>
        <v>0</v>
      </c>
      <c r="N51" s="505">
        <f t="shared" si="71"/>
        <v>0</v>
      </c>
      <c r="O51" s="505">
        <f>SUM(O52:O53)</f>
        <v>78000000</v>
      </c>
      <c r="P51" s="505">
        <f t="shared" ref="P51:Q51" si="72">SUM(P52:P53)</f>
        <v>1068000</v>
      </c>
      <c r="Q51" s="505">
        <f t="shared" si="72"/>
        <v>0</v>
      </c>
      <c r="R51" s="505">
        <f>SUM(R52:R53)</f>
        <v>78000000</v>
      </c>
      <c r="S51" s="505">
        <f t="shared" ref="S51:T51" si="73">SUM(S52:S53)</f>
        <v>1068000</v>
      </c>
      <c r="T51" s="505">
        <f t="shared" si="73"/>
        <v>0</v>
      </c>
      <c r="U51" s="58"/>
    </row>
    <row r="52" spans="1:21" ht="69" customHeight="1" x14ac:dyDescent="0.2">
      <c r="A52" s="145"/>
      <c r="B52" s="87"/>
      <c r="C52" s="87"/>
      <c r="D52" s="338">
        <f>'SGTO POAI -MARZO-2021'!F83</f>
        <v>4599</v>
      </c>
      <c r="E52" s="358" t="str">
        <f>'SGTO POAI -MARZO-2021'!G83</f>
        <v>Fortalecimiento a la gestión y dirección de la administración pública territorial "Quindío con una administración al servicio de la ciudadanía "</v>
      </c>
      <c r="F52" s="507">
        <f>'SGTO POAI -MARZO-2021'!W83</f>
        <v>0</v>
      </c>
      <c r="G52" s="507">
        <f>'SGTO POAI -MARZO-2021'!X83</f>
        <v>0</v>
      </c>
      <c r="H52" s="507">
        <f>'SGTO POAI -MARZO-2021'!Y83</f>
        <v>0</v>
      </c>
      <c r="I52" s="507"/>
      <c r="J52" s="507"/>
      <c r="K52" s="507"/>
      <c r="L52" s="507">
        <f>'SGTO POAI -MARZO-2021'!AX63</f>
        <v>0</v>
      </c>
      <c r="M52" s="507">
        <f>'SGTO POAI -MARZO-2021'!AY63</f>
        <v>0</v>
      </c>
      <c r="N52" s="507">
        <f>'SGTO POAI -MARZO-2021'!AZ63</f>
        <v>0</v>
      </c>
      <c r="O52" s="507">
        <f>'SGTO POAI -MARZO-2021'!BA83</f>
        <v>40000000</v>
      </c>
      <c r="P52" s="507">
        <f>'SGTO POAI -MARZO-2021'!BB83</f>
        <v>1068000</v>
      </c>
      <c r="Q52" s="507">
        <f>'SGTO POAI -MARZO-2021'!BC83</f>
        <v>0</v>
      </c>
      <c r="R52" s="507">
        <f>F52+L52+O52+I52</f>
        <v>40000000</v>
      </c>
      <c r="S52" s="507">
        <f t="shared" ref="S52:T53" si="74">G52+M52+P52+J52</f>
        <v>1068000</v>
      </c>
      <c r="T52" s="507">
        <f t="shared" si="74"/>
        <v>0</v>
      </c>
      <c r="U52" s="58"/>
    </row>
    <row r="53" spans="1:21" ht="51.75" customHeight="1" x14ac:dyDescent="0.2">
      <c r="A53" s="145"/>
      <c r="B53" s="87"/>
      <c r="C53" s="87"/>
      <c r="D53" s="338">
        <f>'SGTO POAI -MARZO-2021'!F85</f>
        <v>4502</v>
      </c>
      <c r="E53" s="358" t="str">
        <f>'SGTO POAI -MARZO-2021'!G85</f>
        <v>Fortalecimiento del buen gobierno para el respeto y garantía de los derechos humanos. "Quindío integrado y participativo"</v>
      </c>
      <c r="F53" s="507">
        <f>'SGTO POAI -MARZO-2021'!W85</f>
        <v>0</v>
      </c>
      <c r="G53" s="507">
        <f>'SGTO POAI -MARZO-2021'!X85</f>
        <v>0</v>
      </c>
      <c r="H53" s="507">
        <f>'SGTO POAI -MARZO-2021'!Y85</f>
        <v>0</v>
      </c>
      <c r="I53" s="507"/>
      <c r="J53" s="507"/>
      <c r="K53" s="507"/>
      <c r="L53" s="507">
        <f>'SGTO POAI -MARZO-2021'!AX85</f>
        <v>0</v>
      </c>
      <c r="M53" s="507">
        <f>'SGTO POAI -MARZO-2021'!AY85</f>
        <v>0</v>
      </c>
      <c r="N53" s="507">
        <f>'SGTO POAI -MARZO-2021'!AZ85</f>
        <v>0</v>
      </c>
      <c r="O53" s="507">
        <f>'SGTO POAI -MARZO-2021'!BA85</f>
        <v>38000000</v>
      </c>
      <c r="P53" s="507">
        <f>'SGTO POAI -MARZO-2021'!BB85</f>
        <v>0</v>
      </c>
      <c r="Q53" s="507">
        <f>'SGTO POAI -MARZO-2021'!BC85</f>
        <v>0</v>
      </c>
      <c r="R53" s="507">
        <f>F53+L53+O53+I53</f>
        <v>38000000</v>
      </c>
      <c r="S53" s="507">
        <f t="shared" si="74"/>
        <v>0</v>
      </c>
      <c r="T53" s="507">
        <f t="shared" si="74"/>
        <v>0</v>
      </c>
      <c r="U53" s="53"/>
    </row>
    <row r="54" spans="1:21" s="11" customFormat="1" x14ac:dyDescent="0.2">
      <c r="A54" s="58"/>
      <c r="B54" s="509"/>
      <c r="C54" s="509"/>
      <c r="D54" s="509"/>
      <c r="E54" s="545"/>
      <c r="F54" s="510"/>
      <c r="G54" s="51"/>
      <c r="H54" s="18"/>
      <c r="I54" s="18"/>
      <c r="J54" s="18"/>
      <c r="K54" s="18"/>
      <c r="L54" s="57"/>
    </row>
    <row r="55" spans="1:21" ht="24" customHeight="1" x14ac:dyDescent="0.2">
      <c r="A55" s="935" t="s">
        <v>5</v>
      </c>
      <c r="B55" s="935" t="s">
        <v>6</v>
      </c>
      <c r="C55" s="935" t="s">
        <v>7</v>
      </c>
      <c r="D55" s="935" t="s">
        <v>1394</v>
      </c>
      <c r="E55" s="930" t="s">
        <v>8</v>
      </c>
      <c r="F55" s="950" t="s">
        <v>1399</v>
      </c>
      <c r="G55" s="948"/>
      <c r="H55" s="949"/>
      <c r="I55" s="947" t="s">
        <v>1395</v>
      </c>
      <c r="J55" s="948"/>
      <c r="K55" s="949"/>
      <c r="L55" s="947" t="s">
        <v>15</v>
      </c>
      <c r="M55" s="948"/>
      <c r="N55" s="949"/>
      <c r="O55" s="4"/>
      <c r="P55" s="53"/>
    </row>
    <row r="56" spans="1:21" ht="24" customHeight="1" x14ac:dyDescent="0.2">
      <c r="A56" s="935"/>
      <c r="B56" s="935"/>
      <c r="C56" s="935"/>
      <c r="D56" s="935"/>
      <c r="E56" s="930"/>
      <c r="F56" s="654" t="s">
        <v>1545</v>
      </c>
      <c r="G56" s="654" t="s">
        <v>1539</v>
      </c>
      <c r="H56" s="654" t="s">
        <v>1540</v>
      </c>
      <c r="I56" s="654" t="s">
        <v>1545</v>
      </c>
      <c r="J56" s="654" t="s">
        <v>1539</v>
      </c>
      <c r="K56" s="654" t="s">
        <v>1540</v>
      </c>
      <c r="L56" s="654" t="s">
        <v>1545</v>
      </c>
      <c r="M56" s="654" t="s">
        <v>1539</v>
      </c>
      <c r="N56" s="654" t="s">
        <v>1540</v>
      </c>
      <c r="O56" s="4"/>
      <c r="P56" s="53"/>
    </row>
    <row r="57" spans="1:21" ht="24" customHeight="1" x14ac:dyDescent="0.2">
      <c r="A57" s="45" t="s">
        <v>277</v>
      </c>
      <c r="B57" s="46"/>
      <c r="C57" s="46"/>
      <c r="D57" s="46"/>
      <c r="E57" s="80"/>
      <c r="F57" s="43">
        <f>F58+F70+F75</f>
        <v>1837447380.3299999</v>
      </c>
      <c r="G57" s="43">
        <f t="shared" ref="G57:H57" si="75">G58+G70+G75</f>
        <v>121957010.33</v>
      </c>
      <c r="H57" s="43">
        <f t="shared" si="75"/>
        <v>2885000</v>
      </c>
      <c r="I57" s="43">
        <f>I58+I70+I75</f>
        <v>982000000</v>
      </c>
      <c r="J57" s="43">
        <f t="shared" ref="J57:K57" si="76">J58+J70+J75</f>
        <v>410322140</v>
      </c>
      <c r="K57" s="43">
        <f t="shared" si="76"/>
        <v>74935171</v>
      </c>
      <c r="L57" s="43">
        <f>L58+L70+L75</f>
        <v>2819447380.3299999</v>
      </c>
      <c r="M57" s="43">
        <f t="shared" ref="M57:N57" si="77">M58+M70+M75</f>
        <v>532279150.32999998</v>
      </c>
      <c r="N57" s="43">
        <f t="shared" si="77"/>
        <v>77820171</v>
      </c>
      <c r="O57" s="20"/>
      <c r="P57" s="53"/>
    </row>
    <row r="58" spans="1:21" ht="24" customHeight="1" x14ac:dyDescent="0.2">
      <c r="A58" s="145"/>
      <c r="B58" s="131">
        <f>'SGTO POAI -MARZO-2021'!B89</f>
        <v>1</v>
      </c>
      <c r="C58" s="74" t="str">
        <f>'SGTO POAI -MARZO-2021'!D89</f>
        <v xml:space="preserve">INCLUSIÓN SOCIAL Y EQUIDAD </v>
      </c>
      <c r="D58" s="74"/>
      <c r="E58" s="515"/>
      <c r="F58" s="502">
        <f>F59+F63+F65+F68</f>
        <v>1837447380.3299999</v>
      </c>
      <c r="G58" s="502">
        <f t="shared" ref="G58:H58" si="78">G59+G63+G65+G68</f>
        <v>121957010.33</v>
      </c>
      <c r="H58" s="502">
        <f t="shared" si="78"/>
        <v>2885000</v>
      </c>
      <c r="I58" s="502">
        <f>I59+I63+I65+I68</f>
        <v>476000000</v>
      </c>
      <c r="J58" s="502">
        <f t="shared" ref="J58:K58" si="79">J59+J63+J65+J68</f>
        <v>199001910</v>
      </c>
      <c r="K58" s="502">
        <f t="shared" si="79"/>
        <v>32355171</v>
      </c>
      <c r="L58" s="502">
        <f>L59+L63+L65+L68</f>
        <v>2313447380.3299999</v>
      </c>
      <c r="M58" s="502">
        <f t="shared" ref="M58:N58" si="80">M59+M63+M65+M68</f>
        <v>320958920.32999998</v>
      </c>
      <c r="N58" s="502">
        <f t="shared" si="80"/>
        <v>35240171</v>
      </c>
      <c r="O58" s="4"/>
      <c r="P58" s="53"/>
    </row>
    <row r="59" spans="1:21" ht="24" customHeight="1" x14ac:dyDescent="0.2">
      <c r="A59" s="145"/>
      <c r="B59" s="338"/>
      <c r="C59" s="77">
        <f>'SGTO POAI -MARZO-2021'!D90</f>
        <v>12</v>
      </c>
      <c r="D59" s="75" t="str">
        <f>'SGTO POAI -MARZO-2021'!E90</f>
        <v>Justicia y del derecho</v>
      </c>
      <c r="E59" s="75"/>
      <c r="F59" s="505">
        <f>SUM(F60:F62)</f>
        <v>0</v>
      </c>
      <c r="G59" s="505">
        <f t="shared" ref="G59:H59" si="81">SUM(G60:G62)</f>
        <v>0</v>
      </c>
      <c r="H59" s="505">
        <f t="shared" si="81"/>
        <v>0</v>
      </c>
      <c r="I59" s="505">
        <f>SUM(I60:I62)</f>
        <v>186000000</v>
      </c>
      <c r="J59" s="505">
        <f t="shared" ref="J59:K59" si="82">SUM(J60:J62)</f>
        <v>104240000</v>
      </c>
      <c r="K59" s="505">
        <f t="shared" si="82"/>
        <v>13540000</v>
      </c>
      <c r="L59" s="505">
        <f>SUM(L60:L62)</f>
        <v>186000000</v>
      </c>
      <c r="M59" s="505">
        <f t="shared" ref="M59:N59" si="83">SUM(M60:M62)</f>
        <v>104240000</v>
      </c>
      <c r="N59" s="505">
        <f t="shared" si="83"/>
        <v>13540000</v>
      </c>
      <c r="O59" s="4"/>
      <c r="P59" s="53"/>
    </row>
    <row r="60" spans="1:21" ht="31.5" customHeight="1" x14ac:dyDescent="0.2">
      <c r="A60" s="145"/>
      <c r="B60" s="87"/>
      <c r="C60" s="87"/>
      <c r="D60" s="338">
        <f>'SGTO POAI -MARZO-2021'!F91</f>
        <v>1202</v>
      </c>
      <c r="E60" s="358" t="str">
        <f>'SGTO POAI -MARZO-2021'!G91</f>
        <v>Promoción al acceso a la justicia. "Tú y yo con justicia"</v>
      </c>
      <c r="F60" s="507">
        <f>'SGTO POAI -MARZO-2021'!Z91</f>
        <v>0</v>
      </c>
      <c r="G60" s="507">
        <f>'SGTO POAI -MARZO-2021'!AA91</f>
        <v>0</v>
      </c>
      <c r="H60" s="507">
        <f>'SGTO POAI -MARZO-2021'!AB91</f>
        <v>0</v>
      </c>
      <c r="I60" s="507">
        <f>'SGTO POAI -MARZO-2021'!BA91</f>
        <v>114000000</v>
      </c>
      <c r="J60" s="507">
        <f>'SGTO POAI -MARZO-2021'!BB91</f>
        <v>68700000</v>
      </c>
      <c r="K60" s="507">
        <f>'SGTO POAI -MARZO-2021'!BL92</f>
        <v>10655000</v>
      </c>
      <c r="L60" s="507">
        <f>F60+I60</f>
        <v>114000000</v>
      </c>
      <c r="M60" s="507">
        <f t="shared" ref="M60:N62" si="84">G60+J60</f>
        <v>68700000</v>
      </c>
      <c r="N60" s="507">
        <f t="shared" si="84"/>
        <v>10655000</v>
      </c>
      <c r="O60" s="4"/>
      <c r="P60" s="53"/>
    </row>
    <row r="61" spans="1:21" ht="36.75" customHeight="1" x14ac:dyDescent="0.2">
      <c r="A61" s="145"/>
      <c r="B61" s="87"/>
      <c r="C61" s="87"/>
      <c r="D61" s="338">
        <f>'SGTO POAI -MARZO-2021'!F93</f>
        <v>1203</v>
      </c>
      <c r="E61" s="358" t="str">
        <f>'SGTO POAI -MARZO-2021'!G93</f>
        <v>Promoción de los métodos de resolución de conflictos. "Tú y yo resolvemos los conflictos"</v>
      </c>
      <c r="F61" s="507">
        <f>'SGTO POAI -MARZO-2021'!Z93</f>
        <v>0</v>
      </c>
      <c r="G61" s="507">
        <f>'SGTO POAI -MARZO-2021'!AA93</f>
        <v>0</v>
      </c>
      <c r="H61" s="507">
        <f>'SGTO POAI -MARZO-2021'!AB93</f>
        <v>0</v>
      </c>
      <c r="I61" s="507">
        <f>'SGTO POAI -MARZO-2021'!BA93</f>
        <v>36000000</v>
      </c>
      <c r="J61" s="507">
        <f>'SGTO POAI -MARZO-2021'!BB93</f>
        <v>25540000</v>
      </c>
      <c r="K61" s="507">
        <f>'SGTO POAI -MARZO-2021'!BC93</f>
        <v>0</v>
      </c>
      <c r="L61" s="507">
        <f t="shared" ref="L61:L62" si="85">F61+I61</f>
        <v>36000000</v>
      </c>
      <c r="M61" s="507">
        <f t="shared" si="84"/>
        <v>25540000</v>
      </c>
      <c r="N61" s="507">
        <f t="shared" si="84"/>
        <v>0</v>
      </c>
      <c r="O61" s="4"/>
      <c r="P61" s="53"/>
    </row>
    <row r="62" spans="1:21" ht="57" customHeight="1" x14ac:dyDescent="0.2">
      <c r="A62" s="145"/>
      <c r="B62" s="87"/>
      <c r="C62" s="87"/>
      <c r="D62" s="338">
        <f>'SGTO POAI -MARZO-2021'!F95</f>
        <v>1206</v>
      </c>
      <c r="E62" s="358" t="str">
        <f>'SGTO POAI -MARZO-2021'!G95</f>
        <v>Sistema penitenciario y carcelario en el marco de los derechos humanos. "Quindío respeta derechos penitenciarios"</v>
      </c>
      <c r="F62" s="507">
        <f>'SGTO POAI -MARZO-2021'!Z93</f>
        <v>0</v>
      </c>
      <c r="G62" s="507">
        <f>'SGTO POAI -MARZO-2021'!AA93</f>
        <v>0</v>
      </c>
      <c r="H62" s="507">
        <f>'SGTO POAI -MARZO-2021'!AB93</f>
        <v>0</v>
      </c>
      <c r="I62" s="507">
        <f>'SGTO POAI -MARZO-2021'!BA95</f>
        <v>36000000</v>
      </c>
      <c r="J62" s="507">
        <f>'SGTO POAI -MARZO-2021'!BB95</f>
        <v>10000000</v>
      </c>
      <c r="K62" s="507">
        <f>'SGTO POAI -MARZO-2021'!BC95</f>
        <v>2885000</v>
      </c>
      <c r="L62" s="507">
        <f t="shared" si="85"/>
        <v>36000000</v>
      </c>
      <c r="M62" s="507">
        <f t="shared" si="84"/>
        <v>10000000</v>
      </c>
      <c r="N62" s="507">
        <f t="shared" si="84"/>
        <v>2885000</v>
      </c>
      <c r="O62" s="4"/>
      <c r="P62" s="53"/>
    </row>
    <row r="63" spans="1:21" ht="24" customHeight="1" x14ac:dyDescent="0.2">
      <c r="A63" s="145"/>
      <c r="B63" s="87"/>
      <c r="C63" s="77">
        <f>'SGTO POAI -MARZO-2021'!D97</f>
        <v>22</v>
      </c>
      <c r="D63" s="75" t="str">
        <f>'SGTO POAI -MARZO-2021'!E97</f>
        <v>Educación</v>
      </c>
      <c r="E63" s="549"/>
      <c r="F63" s="547">
        <f>F64</f>
        <v>0</v>
      </c>
      <c r="G63" s="547">
        <f t="shared" ref="G63:H63" si="86">G64</f>
        <v>0</v>
      </c>
      <c r="H63" s="547">
        <f t="shared" si="86"/>
        <v>0</v>
      </c>
      <c r="I63" s="547">
        <f>I64</f>
        <v>30000000</v>
      </c>
      <c r="J63" s="547">
        <f t="shared" ref="J63:K63" si="87">J64</f>
        <v>27042500</v>
      </c>
      <c r="K63" s="547">
        <f t="shared" si="87"/>
        <v>1855000</v>
      </c>
      <c r="L63" s="547">
        <f>L64</f>
        <v>30000000</v>
      </c>
      <c r="M63" s="547">
        <f t="shared" ref="M63:N63" si="88">M64</f>
        <v>27042500</v>
      </c>
      <c r="N63" s="547">
        <f t="shared" si="88"/>
        <v>1855000</v>
      </c>
      <c r="O63" s="4"/>
      <c r="P63" s="53"/>
    </row>
    <row r="64" spans="1:21" ht="64.5" customHeight="1" x14ac:dyDescent="0.2">
      <c r="A64" s="145"/>
      <c r="B64" s="87"/>
      <c r="C64" s="87"/>
      <c r="D64" s="338">
        <f>'SGTO POAI -MARZO-2021'!F98</f>
        <v>2201</v>
      </c>
      <c r="E64" s="358" t="str">
        <f>'SGTO POAI -MARZO-2021'!G98</f>
        <v>Calidad, cobertura y fortalecimiento de la educación inicial, prescolar, básica y media." Tú y yo con educación y de calidad"</v>
      </c>
      <c r="F64" s="507">
        <f>'SGTO POAI -MARZO-2021'!Z98</f>
        <v>0</v>
      </c>
      <c r="G64" s="507">
        <f>'SGTO POAI -MARZO-2021'!AA98</f>
        <v>0</v>
      </c>
      <c r="H64" s="507">
        <f>'SGTO POAI -MARZO-2021'!AB98</f>
        <v>0</v>
      </c>
      <c r="I64" s="507">
        <f>'SGTO POAI -MARZO-2021'!BA98</f>
        <v>30000000</v>
      </c>
      <c r="J64" s="507">
        <f>'SGTO POAI -MARZO-2021'!BB98</f>
        <v>27042500</v>
      </c>
      <c r="K64" s="507">
        <f>'SGTO POAI -MARZO-2021'!BC98</f>
        <v>1855000</v>
      </c>
      <c r="L64" s="507">
        <f>F64+I64</f>
        <v>30000000</v>
      </c>
      <c r="M64" s="507">
        <f t="shared" ref="M64:N64" si="89">G64+J64</f>
        <v>27042500</v>
      </c>
      <c r="N64" s="507">
        <f t="shared" si="89"/>
        <v>1855000</v>
      </c>
      <c r="O64" s="4"/>
      <c r="P64" s="53"/>
    </row>
    <row r="65" spans="1:18" ht="24" customHeight="1" x14ac:dyDescent="0.2">
      <c r="A65" s="145"/>
      <c r="B65" s="87"/>
      <c r="C65" s="77">
        <f>'SGTO POAI -MARZO-2021'!D100</f>
        <v>41</v>
      </c>
      <c r="D65" s="75" t="str">
        <f>'SGTO POAI -MARZO-2021'!E100</f>
        <v xml:space="preserve">Inclusión social y Reconciliación </v>
      </c>
      <c r="E65" s="75"/>
      <c r="F65" s="505">
        <f>SUM(F66:F67)</f>
        <v>0</v>
      </c>
      <c r="G65" s="505">
        <f t="shared" ref="G65:H65" si="90">SUM(G66:G67)</f>
        <v>0</v>
      </c>
      <c r="H65" s="505">
        <f t="shared" si="90"/>
        <v>0</v>
      </c>
      <c r="I65" s="505">
        <f>SUM(I66:I67)</f>
        <v>224000000</v>
      </c>
      <c r="J65" s="505">
        <f t="shared" ref="J65:K65" si="91">SUM(J66:J67)</f>
        <v>63719410</v>
      </c>
      <c r="K65" s="505">
        <f t="shared" si="91"/>
        <v>16960171</v>
      </c>
      <c r="L65" s="505">
        <f>SUM(L66:L67)</f>
        <v>224000000</v>
      </c>
      <c r="M65" s="505">
        <f t="shared" ref="M65:N65" si="92">SUM(M66:M67)</f>
        <v>63719410</v>
      </c>
      <c r="N65" s="505">
        <f t="shared" si="92"/>
        <v>16960171</v>
      </c>
      <c r="O65" s="4"/>
      <c r="P65" s="53"/>
    </row>
    <row r="66" spans="1:18" ht="41.25" customHeight="1" x14ac:dyDescent="0.2">
      <c r="A66" s="145"/>
      <c r="B66" s="87"/>
      <c r="C66" s="87"/>
      <c r="D66" s="338">
        <f>'SGTO POAI -MARZO-2021'!F101</f>
        <v>4101</v>
      </c>
      <c r="E66" s="358" t="str">
        <f>'SGTO POAI -MARZO-2021'!G101</f>
        <v>Atención, asistencia y reparación integral a las víctimas. "Tú y yo con reparación integral"</v>
      </c>
      <c r="F66" s="507">
        <f>'SGTO POAI -MARZO-2021'!Z101</f>
        <v>0</v>
      </c>
      <c r="G66" s="507">
        <f>'SGTO POAI -MARZO-2021'!AA101</f>
        <v>0</v>
      </c>
      <c r="H66" s="507">
        <f>'SGTO POAI -MARZO-2021'!AB101</f>
        <v>0</v>
      </c>
      <c r="I66" s="507">
        <f>'SGTO POAI -MARZO-2021'!BA101</f>
        <v>206000000</v>
      </c>
      <c r="J66" s="507">
        <f>'SGTO POAI -MARZO-2021'!BB101</f>
        <v>62719410</v>
      </c>
      <c r="K66" s="507">
        <f>'SGTO POAI -MARZO-2021'!BC101</f>
        <v>16960171</v>
      </c>
      <c r="L66" s="507">
        <f t="shared" ref="L66:L67" si="93">F66+I66</f>
        <v>206000000</v>
      </c>
      <c r="M66" s="507">
        <f t="shared" ref="M66:M67" si="94">G66+J66</f>
        <v>62719410</v>
      </c>
      <c r="N66" s="507">
        <f t="shared" ref="N66:N67" si="95">H66+K66</f>
        <v>16960171</v>
      </c>
      <c r="O66" s="4"/>
      <c r="P66" s="53"/>
    </row>
    <row r="67" spans="1:18" ht="51" customHeight="1" x14ac:dyDescent="0.2">
      <c r="A67" s="145"/>
      <c r="B67" s="87"/>
      <c r="C67" s="87"/>
      <c r="D67" s="338">
        <f>'SGTO POAI -MARZO-2021'!F107</f>
        <v>4103</v>
      </c>
      <c r="E67" s="358" t="str">
        <f>'SGTO POAI -MARZO-2021'!G107</f>
        <v>Inclusión social y productiva para la población en situación de vulnerabilidad. "Tú y yo, población vulnerable incluida"</v>
      </c>
      <c r="F67" s="507">
        <f>'SGTO POAI -MARZO-2021'!Z107</f>
        <v>0</v>
      </c>
      <c r="G67" s="507">
        <f>'SGTO POAI -MARZO-2021'!AA107</f>
        <v>0</v>
      </c>
      <c r="H67" s="507">
        <f>'SGTO POAI -MARZO-2021'!AB107</f>
        <v>0</v>
      </c>
      <c r="I67" s="507">
        <f>'SGTO POAI -MARZO-2021'!BA107</f>
        <v>18000000</v>
      </c>
      <c r="J67" s="507">
        <f>'SGTO POAI -MARZO-2021'!BB107</f>
        <v>1000000</v>
      </c>
      <c r="K67" s="507">
        <f>'SGTO POAI -MARZO-2021'!BC107</f>
        <v>0</v>
      </c>
      <c r="L67" s="507">
        <f t="shared" si="93"/>
        <v>18000000</v>
      </c>
      <c r="M67" s="507">
        <f t="shared" si="94"/>
        <v>1000000</v>
      </c>
      <c r="N67" s="507">
        <f t="shared" si="95"/>
        <v>0</v>
      </c>
      <c r="P67" s="58"/>
    </row>
    <row r="68" spans="1:18" ht="24" customHeight="1" x14ac:dyDescent="0.2">
      <c r="A68" s="145"/>
      <c r="B68" s="87"/>
      <c r="C68" s="77">
        <f>'SGTO POAI -MARZO-2021'!D109</f>
        <v>45</v>
      </c>
      <c r="D68" s="75" t="str">
        <f>'SGTO POAI -MARZO-2021'!E109</f>
        <v>Gobierno territorial</v>
      </c>
      <c r="E68" s="75"/>
      <c r="F68" s="505">
        <f>F69</f>
        <v>1837447380.3299999</v>
      </c>
      <c r="G68" s="505">
        <f t="shared" ref="G68:H68" si="96">G69</f>
        <v>121957010.33</v>
      </c>
      <c r="H68" s="505">
        <f t="shared" si="96"/>
        <v>2885000</v>
      </c>
      <c r="I68" s="505">
        <f>I69</f>
        <v>36000000</v>
      </c>
      <c r="J68" s="505">
        <f t="shared" ref="J68:K68" si="97">J69</f>
        <v>4000000</v>
      </c>
      <c r="K68" s="505">
        <f t="shared" si="97"/>
        <v>0</v>
      </c>
      <c r="L68" s="505">
        <f>L69</f>
        <v>1873447380.3299999</v>
      </c>
      <c r="M68" s="505">
        <f t="shared" ref="M68:N68" si="98">M69</f>
        <v>125957010.33</v>
      </c>
      <c r="N68" s="505">
        <f t="shared" si="98"/>
        <v>2885000</v>
      </c>
      <c r="P68" s="58"/>
    </row>
    <row r="69" spans="1:18" ht="42" customHeight="1" x14ac:dyDescent="0.2">
      <c r="A69" s="145"/>
      <c r="B69" s="87"/>
      <c r="C69" s="87"/>
      <c r="D69" s="338">
        <f>'SGTO POAI -MARZO-2021'!F110</f>
        <v>4501</v>
      </c>
      <c r="E69" s="358" t="str">
        <f>'SGTO POAI -MARZO-2021'!G110</f>
        <v>Fortalecimiento de la convivencia y la seguridad ciudadana. "Tú y yo seguros"</v>
      </c>
      <c r="F69" s="507">
        <f>'SGTO POAI -MARZO-2021'!Z110</f>
        <v>1837447380.3299999</v>
      </c>
      <c r="G69" s="507">
        <f>'SGTO POAI -MARZO-2021'!AA110</f>
        <v>121957010.33</v>
      </c>
      <c r="H69" s="507">
        <f>'SGTO POAI -MARZO-2021'!AB110</f>
        <v>2885000</v>
      </c>
      <c r="I69" s="507">
        <f>'SGTO POAI -MARZO-2021'!BA110</f>
        <v>36000000</v>
      </c>
      <c r="J69" s="507">
        <f>'SGTO POAI -MARZO-2021'!BB110</f>
        <v>4000000</v>
      </c>
      <c r="K69" s="507">
        <f>'SGTO POAI -MARZO-2021'!BC110</f>
        <v>0</v>
      </c>
      <c r="L69" s="507">
        <f>F69+I69</f>
        <v>1873447380.3299999</v>
      </c>
      <c r="M69" s="507">
        <f t="shared" ref="M69:N69" si="99">G69+J69</f>
        <v>125957010.33</v>
      </c>
      <c r="N69" s="507">
        <f t="shared" si="99"/>
        <v>2885000</v>
      </c>
      <c r="P69" s="58"/>
    </row>
    <row r="70" spans="1:18" ht="24" customHeight="1" x14ac:dyDescent="0.2">
      <c r="A70" s="145"/>
      <c r="B70" s="131">
        <f>'SGTO POAI -MARZO-2021'!B113</f>
        <v>3</v>
      </c>
      <c r="C70" s="74" t="str">
        <f>'SGTO POAI -MARZO-2021'!D113</f>
        <v xml:space="preserve">TERRITORIO, AMBIENTE Y DESARROLLO SOSTENIBLE </v>
      </c>
      <c r="D70" s="74"/>
      <c r="E70" s="515"/>
      <c r="F70" s="502">
        <f>F71+F73</f>
        <v>0</v>
      </c>
      <c r="G70" s="502">
        <f t="shared" ref="G70:H70" si="100">G71+G73</f>
        <v>0</v>
      </c>
      <c r="H70" s="502">
        <f t="shared" si="100"/>
        <v>0</v>
      </c>
      <c r="I70" s="502">
        <f>I71+I73</f>
        <v>193000000</v>
      </c>
      <c r="J70" s="502">
        <f t="shared" ref="J70:K70" si="101">J71+J73</f>
        <v>89649469</v>
      </c>
      <c r="K70" s="502">
        <f t="shared" si="101"/>
        <v>18240000</v>
      </c>
      <c r="L70" s="502">
        <f>L71+L73</f>
        <v>193000000</v>
      </c>
      <c r="M70" s="502">
        <f t="shared" ref="M70:N70" si="102">M71+M73</f>
        <v>89649469</v>
      </c>
      <c r="N70" s="502">
        <f t="shared" si="102"/>
        <v>18240000</v>
      </c>
      <c r="P70" s="58"/>
    </row>
    <row r="71" spans="1:18" ht="24" customHeight="1" x14ac:dyDescent="0.2">
      <c r="A71" s="145"/>
      <c r="B71" s="338"/>
      <c r="C71" s="77">
        <f>'SGTO POAI -MARZO-2021'!D114</f>
        <v>32</v>
      </c>
      <c r="D71" s="75" t="str">
        <f>'SGTO POAI -MARZO-2021'!E114</f>
        <v>Ambiente y desarrollo sostenible</v>
      </c>
      <c r="E71" s="512"/>
      <c r="F71" s="505">
        <f>F72</f>
        <v>0</v>
      </c>
      <c r="G71" s="505">
        <f t="shared" ref="G71:H71" si="103">G72</f>
        <v>0</v>
      </c>
      <c r="H71" s="505">
        <f t="shared" si="103"/>
        <v>0</v>
      </c>
      <c r="I71" s="505">
        <f>I72</f>
        <v>45000000</v>
      </c>
      <c r="J71" s="505">
        <f t="shared" ref="J71:K71" si="104">J72</f>
        <v>25200000</v>
      </c>
      <c r="K71" s="505">
        <f t="shared" si="104"/>
        <v>5600000</v>
      </c>
      <c r="L71" s="505">
        <f>L72</f>
        <v>45000000</v>
      </c>
      <c r="M71" s="505">
        <f t="shared" ref="M71:N71" si="105">M72</f>
        <v>25200000</v>
      </c>
      <c r="N71" s="505">
        <f t="shared" si="105"/>
        <v>5600000</v>
      </c>
      <c r="P71" s="58"/>
    </row>
    <row r="72" spans="1:18" s="44" customFormat="1" ht="48.75" customHeight="1" x14ac:dyDescent="0.2">
      <c r="A72" s="337"/>
      <c r="B72" s="338"/>
      <c r="C72" s="338"/>
      <c r="D72" s="338">
        <f>'SGTO POAI -MARZO-2021'!F115</f>
        <v>3205</v>
      </c>
      <c r="E72" s="358" t="str">
        <f>'SGTO POAI -MARZO-2021'!E114</f>
        <v>Ambiente y desarrollo sostenible</v>
      </c>
      <c r="F72" s="507">
        <f>'SGTO POAI -MARZO-2021'!Z115</f>
        <v>0</v>
      </c>
      <c r="G72" s="507">
        <f>'SGTO POAI -MARZO-2021'!AA115</f>
        <v>0</v>
      </c>
      <c r="H72" s="507">
        <f>'SGTO POAI -MARZO-2021'!AB115</f>
        <v>0</v>
      </c>
      <c r="I72" s="507">
        <f>'SGTO POAI -MARZO-2021'!BA115</f>
        <v>45000000</v>
      </c>
      <c r="J72" s="507">
        <f>'SGTO POAI -MARZO-2021'!BB115</f>
        <v>25200000</v>
      </c>
      <c r="K72" s="507">
        <f>'SGTO POAI -MARZO-2021'!BC115</f>
        <v>5600000</v>
      </c>
      <c r="L72" s="507">
        <f>F72+I72</f>
        <v>45000000</v>
      </c>
      <c r="M72" s="507">
        <f t="shared" ref="M72:N72" si="106">G72+J72</f>
        <v>25200000</v>
      </c>
      <c r="N72" s="507">
        <f t="shared" si="106"/>
        <v>5600000</v>
      </c>
      <c r="P72" s="56"/>
    </row>
    <row r="73" spans="1:18" s="44" customFormat="1" ht="24" customHeight="1" x14ac:dyDescent="0.2">
      <c r="A73" s="337"/>
      <c r="B73" s="338"/>
      <c r="C73" s="77">
        <f>'SGTO POAI -MARZO-2021'!D117</f>
        <v>45</v>
      </c>
      <c r="D73" s="75" t="str">
        <f>'SGTO POAI -MARZO-2021'!E117</f>
        <v>Gobierno territorial</v>
      </c>
      <c r="E73" s="504"/>
      <c r="F73" s="505">
        <f>F74</f>
        <v>0</v>
      </c>
      <c r="G73" s="505">
        <f t="shared" ref="G73:H73" si="107">G74</f>
        <v>0</v>
      </c>
      <c r="H73" s="505">
        <f t="shared" si="107"/>
        <v>0</v>
      </c>
      <c r="I73" s="505">
        <f>I74</f>
        <v>148000000</v>
      </c>
      <c r="J73" s="505">
        <f t="shared" ref="J73:K73" si="108">J74</f>
        <v>64449469</v>
      </c>
      <c r="K73" s="505">
        <f t="shared" si="108"/>
        <v>12640000</v>
      </c>
      <c r="L73" s="505">
        <f>L74</f>
        <v>148000000</v>
      </c>
      <c r="M73" s="505">
        <f t="shared" ref="M73:N73" si="109">M74</f>
        <v>64449469</v>
      </c>
      <c r="N73" s="505">
        <f t="shared" si="109"/>
        <v>12640000</v>
      </c>
      <c r="P73" s="56"/>
    </row>
    <row r="74" spans="1:18" s="44" customFormat="1" ht="45.75" customHeight="1" x14ac:dyDescent="0.2">
      <c r="A74" s="337"/>
      <c r="B74" s="338"/>
      <c r="C74" s="338"/>
      <c r="D74" s="338">
        <f>'SGTO POAI -MARZO-2021'!F118</f>
        <v>4503</v>
      </c>
      <c r="E74" s="358" t="str">
        <f>'SGTO POAI -MARZO-2021'!G118</f>
        <v>Gestión del riesgo de desastres y emergencias. "Tú y yo preparados en gestión del riesgo"</v>
      </c>
      <c r="F74" s="507">
        <f>'SGTO POAI -MARZO-2021'!Z118</f>
        <v>0</v>
      </c>
      <c r="G74" s="507">
        <f>'SGTO POAI -MARZO-2021'!AA118</f>
        <v>0</v>
      </c>
      <c r="H74" s="507">
        <f>'SGTO POAI -MARZO-2021'!AB118</f>
        <v>0</v>
      </c>
      <c r="I74" s="507">
        <f>'SGTO POAI -MARZO-2021'!BA118</f>
        <v>148000000</v>
      </c>
      <c r="J74" s="507">
        <f>'SGTO POAI -MARZO-2021'!BB118</f>
        <v>64449469</v>
      </c>
      <c r="K74" s="507">
        <f>'SGTO POAI -MARZO-2021'!BC118</f>
        <v>12640000</v>
      </c>
      <c r="L74" s="507">
        <f>F74+I74</f>
        <v>148000000</v>
      </c>
      <c r="M74" s="507">
        <f t="shared" ref="M74:N74" si="110">G74+J74</f>
        <v>64449469</v>
      </c>
      <c r="N74" s="507">
        <f t="shared" si="110"/>
        <v>12640000</v>
      </c>
      <c r="P74" s="56"/>
    </row>
    <row r="75" spans="1:18" ht="24" customHeight="1" x14ac:dyDescent="0.2">
      <c r="A75" s="145"/>
      <c r="B75" s="131">
        <f>'SGTO POAI -MARZO-2021'!B122</f>
        <v>4</v>
      </c>
      <c r="C75" s="74" t="str">
        <f>'SGTO POAI -MARZO-2021'!D122</f>
        <v xml:space="preserve">LIDERAZGO, GOBERNABILIDAD Y TRANSPARENCIA </v>
      </c>
      <c r="D75" s="74"/>
      <c r="E75" s="515"/>
      <c r="F75" s="502">
        <f t="shared" ref="F75:N76" si="111">F76</f>
        <v>0</v>
      </c>
      <c r="G75" s="502">
        <f t="shared" si="111"/>
        <v>0</v>
      </c>
      <c r="H75" s="502">
        <f t="shared" si="111"/>
        <v>0</v>
      </c>
      <c r="I75" s="502">
        <f t="shared" si="111"/>
        <v>313000000</v>
      </c>
      <c r="J75" s="502">
        <f t="shared" si="111"/>
        <v>121670761</v>
      </c>
      <c r="K75" s="502">
        <f t="shared" si="111"/>
        <v>24340000</v>
      </c>
      <c r="L75" s="502">
        <f t="shared" si="111"/>
        <v>313000000</v>
      </c>
      <c r="M75" s="502">
        <f t="shared" si="111"/>
        <v>121670761</v>
      </c>
      <c r="N75" s="502">
        <f t="shared" si="111"/>
        <v>24340000</v>
      </c>
      <c r="P75" s="58"/>
    </row>
    <row r="76" spans="1:18" ht="24" customHeight="1" x14ac:dyDescent="0.2">
      <c r="A76" s="145"/>
      <c r="B76" s="338"/>
      <c r="C76" s="77">
        <f>'SGTO POAI -MARZO-2021'!D123</f>
        <v>45</v>
      </c>
      <c r="D76" s="75" t="str">
        <f>'SGTO POAI -MARZO-2021'!E123</f>
        <v>Gobierno territorial</v>
      </c>
      <c r="E76" s="504"/>
      <c r="F76" s="505">
        <f t="shared" si="111"/>
        <v>0</v>
      </c>
      <c r="G76" s="505">
        <f t="shared" si="111"/>
        <v>0</v>
      </c>
      <c r="H76" s="505">
        <f t="shared" si="111"/>
        <v>0</v>
      </c>
      <c r="I76" s="505">
        <f t="shared" si="111"/>
        <v>313000000</v>
      </c>
      <c r="J76" s="505">
        <f t="shared" si="111"/>
        <v>121670761</v>
      </c>
      <c r="K76" s="505">
        <f t="shared" si="111"/>
        <v>24340000</v>
      </c>
      <c r="L76" s="505">
        <f t="shared" si="111"/>
        <v>313000000</v>
      </c>
      <c r="M76" s="505">
        <f t="shared" si="111"/>
        <v>121670761</v>
      </c>
      <c r="N76" s="505">
        <f t="shared" si="111"/>
        <v>24340000</v>
      </c>
      <c r="P76" s="58"/>
    </row>
    <row r="77" spans="1:18" s="44" customFormat="1" ht="55.5" customHeight="1" x14ac:dyDescent="0.2">
      <c r="A77" s="337"/>
      <c r="B77" s="82"/>
      <c r="C77" s="82"/>
      <c r="D77" s="338">
        <f>'SGTO POAI -MARZO-2021'!F124</f>
        <v>4502</v>
      </c>
      <c r="E77" s="358" t="str">
        <f>'SGTO POAI -MARZO-2021'!G124</f>
        <v>Fortalecimiento del buen gobierno para el respeto y garantía de los derechos humanos. "Quindío integrado y participativo"</v>
      </c>
      <c r="F77" s="508">
        <f>'SGTO POAI -MARZO-2021'!Z124</f>
        <v>0</v>
      </c>
      <c r="G77" s="508">
        <f>'SGTO POAI -MARZO-2021'!AA124</f>
        <v>0</v>
      </c>
      <c r="H77" s="508">
        <f>'SGTO POAI -MARZO-2021'!AB124</f>
        <v>0</v>
      </c>
      <c r="I77" s="508">
        <f>'SGTO POAI -MARZO-2021'!BA124</f>
        <v>313000000</v>
      </c>
      <c r="J77" s="508">
        <f>'SGTO POAI -MARZO-2021'!BB124</f>
        <v>121670761</v>
      </c>
      <c r="K77" s="508">
        <f>'SGTO POAI -MARZO-2021'!BC124</f>
        <v>24340000</v>
      </c>
      <c r="L77" s="507">
        <f>F77+I77</f>
        <v>313000000</v>
      </c>
      <c r="M77" s="507">
        <f t="shared" ref="M77:N77" si="112">G77+J77</f>
        <v>121670761</v>
      </c>
      <c r="N77" s="507">
        <f t="shared" si="112"/>
        <v>24340000</v>
      </c>
      <c r="P77" s="56"/>
    </row>
    <row r="78" spans="1:18" s="11" customFormat="1" x14ac:dyDescent="0.2">
      <c r="A78" s="58"/>
      <c r="B78" s="509"/>
      <c r="C78" s="509"/>
      <c r="D78" s="509"/>
      <c r="E78" s="545"/>
      <c r="F78" s="510"/>
      <c r="G78" s="51"/>
      <c r="H78" s="18"/>
      <c r="I78" s="18"/>
      <c r="J78" s="18"/>
      <c r="K78" s="18"/>
      <c r="L78" s="57"/>
    </row>
    <row r="79" spans="1:18" ht="24" customHeight="1" x14ac:dyDescent="0.2">
      <c r="A79" s="935" t="s">
        <v>5</v>
      </c>
      <c r="B79" s="935" t="s">
        <v>6</v>
      </c>
      <c r="C79" s="935" t="s">
        <v>7</v>
      </c>
      <c r="D79" s="935" t="s">
        <v>1394</v>
      </c>
      <c r="E79" s="930" t="s">
        <v>8</v>
      </c>
      <c r="F79" s="956" t="s">
        <v>1553</v>
      </c>
      <c r="G79" s="945"/>
      <c r="H79" s="946"/>
      <c r="I79" s="951" t="s">
        <v>1395</v>
      </c>
      <c r="J79" s="945"/>
      <c r="K79" s="946"/>
      <c r="L79" s="951" t="s">
        <v>1400</v>
      </c>
      <c r="M79" s="945"/>
      <c r="N79" s="946"/>
      <c r="O79" s="947" t="s">
        <v>15</v>
      </c>
      <c r="P79" s="948"/>
      <c r="Q79" s="949"/>
      <c r="R79" s="53"/>
    </row>
    <row r="80" spans="1:18" ht="24" customHeight="1" x14ac:dyDescent="0.2">
      <c r="A80" s="935"/>
      <c r="B80" s="935"/>
      <c r="C80" s="935"/>
      <c r="D80" s="935"/>
      <c r="E80" s="930"/>
      <c r="F80" s="654" t="s">
        <v>1545</v>
      </c>
      <c r="G80" s="654" t="s">
        <v>1539</v>
      </c>
      <c r="H80" s="654" t="s">
        <v>1540</v>
      </c>
      <c r="I80" s="654" t="s">
        <v>1545</v>
      </c>
      <c r="J80" s="654" t="s">
        <v>1539</v>
      </c>
      <c r="K80" s="654" t="s">
        <v>1540</v>
      </c>
      <c r="L80" s="654" t="s">
        <v>1545</v>
      </c>
      <c r="M80" s="654" t="s">
        <v>1539</v>
      </c>
      <c r="N80" s="654" t="s">
        <v>1540</v>
      </c>
      <c r="O80" s="654" t="s">
        <v>1545</v>
      </c>
      <c r="P80" s="654" t="s">
        <v>1539</v>
      </c>
      <c r="Q80" s="654" t="s">
        <v>1540</v>
      </c>
      <c r="R80" s="53"/>
    </row>
    <row r="81" spans="1:18" ht="24" customHeight="1" x14ac:dyDescent="0.2">
      <c r="A81" s="45" t="s">
        <v>376</v>
      </c>
      <c r="B81" s="46"/>
      <c r="C81" s="46"/>
      <c r="D81" s="46"/>
      <c r="E81" s="80"/>
      <c r="F81" s="43">
        <f>F82</f>
        <v>2980319083.0199995</v>
      </c>
      <c r="G81" s="43">
        <f t="shared" ref="G81:H82" si="113">G82</f>
        <v>20195000</v>
      </c>
      <c r="H81" s="43">
        <f t="shared" si="113"/>
        <v>0</v>
      </c>
      <c r="I81" s="43">
        <f t="shared" ref="I81:Q82" si="114">I82</f>
        <v>795000000</v>
      </c>
      <c r="J81" s="43">
        <f t="shared" si="114"/>
        <v>60800000</v>
      </c>
      <c r="K81" s="43">
        <f t="shared" si="114"/>
        <v>0</v>
      </c>
      <c r="L81" s="43">
        <f t="shared" si="114"/>
        <v>263038142</v>
      </c>
      <c r="M81" s="43">
        <f t="shared" si="114"/>
        <v>0</v>
      </c>
      <c r="N81" s="43">
        <f t="shared" si="114"/>
        <v>0</v>
      </c>
      <c r="O81" s="43">
        <f t="shared" si="114"/>
        <v>4038357225.0199995</v>
      </c>
      <c r="P81" s="43">
        <f t="shared" si="114"/>
        <v>80995000</v>
      </c>
      <c r="Q81" s="43">
        <f t="shared" si="114"/>
        <v>0</v>
      </c>
      <c r="R81" s="58"/>
    </row>
    <row r="82" spans="1:18" ht="24" customHeight="1" x14ac:dyDescent="0.2">
      <c r="A82" s="145"/>
      <c r="B82" s="131">
        <f>'SGTO POAI -MARZO-2021'!B132</f>
        <v>1</v>
      </c>
      <c r="C82" s="74" t="str">
        <f>'SGTO POAI -MARZO-2021'!D132</f>
        <v xml:space="preserve">INCLUSIÓN SOCIAL Y EQUIDAD </v>
      </c>
      <c r="D82" s="74"/>
      <c r="E82" s="515"/>
      <c r="F82" s="502">
        <f>F83</f>
        <v>2980319083.0199995</v>
      </c>
      <c r="G82" s="502">
        <f t="shared" si="113"/>
        <v>20195000</v>
      </c>
      <c r="H82" s="502">
        <f t="shared" si="113"/>
        <v>0</v>
      </c>
      <c r="I82" s="502">
        <f t="shared" si="114"/>
        <v>795000000</v>
      </c>
      <c r="J82" s="502">
        <f t="shared" si="114"/>
        <v>60800000</v>
      </c>
      <c r="K82" s="502">
        <f t="shared" si="114"/>
        <v>0</v>
      </c>
      <c r="L82" s="502">
        <f t="shared" si="114"/>
        <v>263038142</v>
      </c>
      <c r="M82" s="502">
        <f t="shared" si="114"/>
        <v>0</v>
      </c>
      <c r="N82" s="502">
        <f t="shared" si="114"/>
        <v>0</v>
      </c>
      <c r="O82" s="502">
        <f>O83</f>
        <v>4038357225.0199995</v>
      </c>
      <c r="P82" s="502">
        <f t="shared" si="114"/>
        <v>80995000</v>
      </c>
      <c r="Q82" s="502">
        <f t="shared" si="114"/>
        <v>0</v>
      </c>
      <c r="R82" s="58"/>
    </row>
    <row r="83" spans="1:18" ht="20.25" customHeight="1" x14ac:dyDescent="0.2">
      <c r="A83" s="145"/>
      <c r="B83" s="338"/>
      <c r="C83" s="77">
        <f>'SGTO POAI -MARZO-2021'!D133</f>
        <v>33</v>
      </c>
      <c r="D83" s="511" t="str">
        <f>'SGTO POAI -MARZO-2021'!E133</f>
        <v>Cultura</v>
      </c>
      <c r="E83" s="512"/>
      <c r="F83" s="505">
        <f>SUM(F84:F85)</f>
        <v>2980319083.0199995</v>
      </c>
      <c r="G83" s="505">
        <f t="shared" ref="G83:H83" si="115">SUM(G84:G85)</f>
        <v>20195000</v>
      </c>
      <c r="H83" s="505">
        <f t="shared" si="115"/>
        <v>0</v>
      </c>
      <c r="I83" s="505">
        <f>SUM(I84:I85)</f>
        <v>795000000</v>
      </c>
      <c r="J83" s="505">
        <f t="shared" ref="J83:K83" si="116">SUM(J84:J85)</f>
        <v>60800000</v>
      </c>
      <c r="K83" s="505">
        <f t="shared" si="116"/>
        <v>0</v>
      </c>
      <c r="L83" s="505">
        <f>SUM(L84:L85)</f>
        <v>263038142</v>
      </c>
      <c r="M83" s="505">
        <f t="shared" ref="M83:N83" si="117">SUM(M84:M85)</f>
        <v>0</v>
      </c>
      <c r="N83" s="505">
        <f t="shared" si="117"/>
        <v>0</v>
      </c>
      <c r="O83" s="505">
        <f>SUM(O84:O85)</f>
        <v>4038357225.0199995</v>
      </c>
      <c r="P83" s="505">
        <f t="shared" ref="P83:Q83" si="118">SUM(P84:P85)</f>
        <v>80995000</v>
      </c>
      <c r="Q83" s="505">
        <f t="shared" si="118"/>
        <v>0</v>
      </c>
      <c r="R83" s="58"/>
    </row>
    <row r="84" spans="1:18" s="44" customFormat="1" ht="54.75" customHeight="1" x14ac:dyDescent="0.2">
      <c r="A84" s="337"/>
      <c r="B84" s="338"/>
      <c r="C84" s="338"/>
      <c r="D84" s="338">
        <f>'SGTO POAI -MARZO-2021'!F134</f>
        <v>3301</v>
      </c>
      <c r="E84" s="358" t="str">
        <f>'SGTO POAI -MARZO-2021'!G134</f>
        <v>Promoción y acceso efectivo a procesos culturales y artísticos. "Tú y yo somos cultura Quindiana"</v>
      </c>
      <c r="F84" s="507">
        <f>'SGTO POAI -MARZO-2021'!W134</f>
        <v>2980319083.0199995</v>
      </c>
      <c r="G84" s="507">
        <f>'SGTO POAI -MARZO-2021'!X134</f>
        <v>20195000</v>
      </c>
      <c r="H84" s="507">
        <f>'SGTO POAI -MARZO-2021'!Y134</f>
        <v>0</v>
      </c>
      <c r="I84" s="507">
        <f>'SGTO POAI -MARZO-2021'!BA134</f>
        <v>662000000</v>
      </c>
      <c r="J84" s="507">
        <f>'SGTO POAI -MARZO-2021'!BB134</f>
        <v>41140000</v>
      </c>
      <c r="K84" s="507">
        <f>'SGTO POAI -MARZO-2021'!BC134</f>
        <v>0</v>
      </c>
      <c r="L84" s="507">
        <f>'SGTO POAI -MARZO-2021'!BD134</f>
        <v>0</v>
      </c>
      <c r="M84" s="507">
        <f>'SGTO POAI -MARZO-2021'!BE134</f>
        <v>0</v>
      </c>
      <c r="N84" s="507">
        <f>'SGTO POAI -MARZO-2021'!BF134</f>
        <v>0</v>
      </c>
      <c r="O84" s="507">
        <f>F84+I84+L84</f>
        <v>3642319083.0199995</v>
      </c>
      <c r="P84" s="507">
        <f t="shared" ref="P84:Q85" si="119">G84+J84+M84</f>
        <v>61335000</v>
      </c>
      <c r="Q84" s="507">
        <f t="shared" si="119"/>
        <v>0</v>
      </c>
      <c r="R84" s="56"/>
    </row>
    <row r="85" spans="1:18" s="44" customFormat="1" ht="60" customHeight="1" x14ac:dyDescent="0.2">
      <c r="A85" s="337"/>
      <c r="B85" s="338"/>
      <c r="C85" s="338"/>
      <c r="D85" s="338">
        <f>'SGTO POAI -MARZO-2021'!F143</f>
        <v>3302</v>
      </c>
      <c r="E85" s="358" t="str">
        <f>'SGTO POAI -MARZO-2021'!G143</f>
        <v>Gestión, protección y salvaguardia del patrimonio cultural colombiano. "Tú y yo protectores del patrimonio cultural"</v>
      </c>
      <c r="F85" s="508">
        <f>'SGTO POAI -MARZO-2021'!W143</f>
        <v>0</v>
      </c>
      <c r="G85" s="508">
        <f>'SGTO POAI -MARZO-2021'!X143</f>
        <v>0</v>
      </c>
      <c r="H85" s="508">
        <f>'SGTO POAI -MARZO-2021'!Y143</f>
        <v>0</v>
      </c>
      <c r="I85" s="508">
        <f>'SGTO POAI -MARZO-2021'!BA143</f>
        <v>133000000</v>
      </c>
      <c r="J85" s="508">
        <f>'SGTO POAI -MARZO-2021'!BB143</f>
        <v>19660000</v>
      </c>
      <c r="K85" s="508">
        <f>'SGTO POAI -MARZO-2021'!BC143</f>
        <v>0</v>
      </c>
      <c r="L85" s="508">
        <f>'SGTO POAI -MARZO-2021'!BD143</f>
        <v>263038142</v>
      </c>
      <c r="M85" s="508">
        <f>'SGTO POAI -MARZO-2021'!BE143</f>
        <v>0</v>
      </c>
      <c r="N85" s="508">
        <f>'SGTO POAI -MARZO-2021'!BF143</f>
        <v>0</v>
      </c>
      <c r="O85" s="507">
        <f>F85+I85+L85</f>
        <v>396038142</v>
      </c>
      <c r="P85" s="507">
        <f t="shared" si="119"/>
        <v>19660000</v>
      </c>
      <c r="Q85" s="507">
        <f t="shared" si="119"/>
        <v>0</v>
      </c>
      <c r="R85" s="56"/>
    </row>
    <row r="86" spans="1:18" s="11" customFormat="1" x14ac:dyDescent="0.2">
      <c r="A86" s="58"/>
      <c r="B86" s="509"/>
      <c r="C86" s="509"/>
      <c r="D86" s="509"/>
      <c r="E86" s="545"/>
      <c r="F86" s="510"/>
      <c r="G86" s="51"/>
      <c r="H86" s="18"/>
      <c r="I86" s="18"/>
      <c r="J86" s="18"/>
      <c r="K86" s="18"/>
      <c r="L86" s="57"/>
    </row>
    <row r="87" spans="1:18" ht="24" customHeight="1" x14ac:dyDescent="0.2">
      <c r="A87" s="935" t="s">
        <v>5</v>
      </c>
      <c r="B87" s="935" t="s">
        <v>6</v>
      </c>
      <c r="C87" s="935" t="s">
        <v>7</v>
      </c>
      <c r="D87" s="935" t="s">
        <v>1394</v>
      </c>
      <c r="E87" s="930" t="s">
        <v>8</v>
      </c>
      <c r="F87" s="956" t="s">
        <v>1395</v>
      </c>
      <c r="G87" s="945"/>
      <c r="H87" s="946"/>
      <c r="I87" s="951" t="s">
        <v>1401</v>
      </c>
      <c r="J87" s="945"/>
      <c r="K87" s="946"/>
      <c r="L87" s="951" t="s">
        <v>15</v>
      </c>
      <c r="M87" s="945"/>
      <c r="N87" s="946"/>
      <c r="O87" s="4"/>
      <c r="P87" s="53"/>
    </row>
    <row r="88" spans="1:18" ht="24" customHeight="1" x14ac:dyDescent="0.2">
      <c r="A88" s="935"/>
      <c r="B88" s="935"/>
      <c r="C88" s="935"/>
      <c r="D88" s="935"/>
      <c r="E88" s="930"/>
      <c r="F88" s="654" t="s">
        <v>1545</v>
      </c>
      <c r="G88" s="654" t="s">
        <v>1539</v>
      </c>
      <c r="H88" s="654" t="s">
        <v>1540</v>
      </c>
      <c r="I88" s="654" t="s">
        <v>1545</v>
      </c>
      <c r="J88" s="654" t="s">
        <v>1539</v>
      </c>
      <c r="K88" s="654" t="s">
        <v>1540</v>
      </c>
      <c r="L88" s="654" t="s">
        <v>1545</v>
      </c>
      <c r="M88" s="654" t="s">
        <v>1539</v>
      </c>
      <c r="N88" s="654" t="s">
        <v>1540</v>
      </c>
      <c r="O88" s="4"/>
      <c r="P88" s="53"/>
    </row>
    <row r="89" spans="1:18" ht="24" customHeight="1" x14ac:dyDescent="0.2">
      <c r="A89" s="45" t="s">
        <v>417</v>
      </c>
      <c r="B89" s="46"/>
      <c r="C89" s="46"/>
      <c r="D89" s="46"/>
      <c r="E89" s="80"/>
      <c r="F89" s="43">
        <f>F90</f>
        <v>2261356036</v>
      </c>
      <c r="G89" s="43">
        <f t="shared" ref="G89:H89" si="120">G90</f>
        <v>178840000</v>
      </c>
      <c r="H89" s="43">
        <f t="shared" si="120"/>
        <v>22430000</v>
      </c>
      <c r="I89" s="43">
        <f>I90</f>
        <v>664872303.75999999</v>
      </c>
      <c r="J89" s="43">
        <f t="shared" ref="J89:K89" si="121">J90</f>
        <v>74820000</v>
      </c>
      <c r="K89" s="43">
        <f t="shared" si="121"/>
        <v>6185000</v>
      </c>
      <c r="L89" s="43">
        <f>L90</f>
        <v>2926228339.7600002</v>
      </c>
      <c r="M89" s="43">
        <f t="shared" ref="M89:N89" si="122">M90</f>
        <v>253660000</v>
      </c>
      <c r="N89" s="43">
        <f t="shared" si="122"/>
        <v>28615000</v>
      </c>
      <c r="P89" s="58"/>
    </row>
    <row r="90" spans="1:18" ht="24" customHeight="1" x14ac:dyDescent="0.2">
      <c r="A90" s="145"/>
      <c r="B90" s="231">
        <f>'SGTO POAI -MARZO-2021'!B148</f>
        <v>2</v>
      </c>
      <c r="C90" s="74" t="str">
        <f>'SGTO POAI -MARZO-2021'!D148</f>
        <v>PRODUCTIVIDAD Y COMPETITIVIDAD</v>
      </c>
      <c r="D90" s="74"/>
      <c r="E90" s="515"/>
      <c r="F90" s="502">
        <f>F91+F93</f>
        <v>2261356036</v>
      </c>
      <c r="G90" s="502">
        <f t="shared" ref="G90:H90" si="123">G91+G93</f>
        <v>178840000</v>
      </c>
      <c r="H90" s="502">
        <f t="shared" si="123"/>
        <v>22430000</v>
      </c>
      <c r="I90" s="502">
        <f>I91+I93</f>
        <v>664872303.75999999</v>
      </c>
      <c r="J90" s="502">
        <f t="shared" ref="J90:K90" si="124">J91+J93</f>
        <v>74820000</v>
      </c>
      <c r="K90" s="502">
        <f t="shared" si="124"/>
        <v>6185000</v>
      </c>
      <c r="L90" s="502">
        <f>L91+L93</f>
        <v>2926228339.7600002</v>
      </c>
      <c r="M90" s="502">
        <f t="shared" ref="M90:N90" si="125">M91+M93</f>
        <v>253660000</v>
      </c>
      <c r="N90" s="502">
        <f t="shared" si="125"/>
        <v>28615000</v>
      </c>
      <c r="P90" s="58"/>
    </row>
    <row r="91" spans="1:18" ht="24" customHeight="1" x14ac:dyDescent="0.2">
      <c r="A91" s="145"/>
      <c r="B91" s="338"/>
      <c r="C91" s="77">
        <f>'SGTO POAI -MARZO-2021'!D149</f>
        <v>35</v>
      </c>
      <c r="D91" s="75" t="str">
        <f>'SGTO POAI -MARZO-2021'!E149</f>
        <v>Comercio, Industria y Turismo</v>
      </c>
      <c r="E91" s="504"/>
      <c r="F91" s="505">
        <f>F92</f>
        <v>2023856036</v>
      </c>
      <c r="G91" s="505">
        <f t="shared" ref="G91:H91" si="126">G92</f>
        <v>135960000</v>
      </c>
      <c r="H91" s="505">
        <f t="shared" si="126"/>
        <v>17895000</v>
      </c>
      <c r="I91" s="505">
        <f>I92</f>
        <v>664872303.75999999</v>
      </c>
      <c r="J91" s="505">
        <f t="shared" ref="J91:K91" si="127">J92</f>
        <v>74820000</v>
      </c>
      <c r="K91" s="505">
        <f t="shared" si="127"/>
        <v>6185000</v>
      </c>
      <c r="L91" s="505">
        <f>L92</f>
        <v>2688728339.7600002</v>
      </c>
      <c r="M91" s="505">
        <f t="shared" ref="M91:N91" si="128">M92</f>
        <v>210780000</v>
      </c>
      <c r="N91" s="505">
        <f t="shared" si="128"/>
        <v>24080000</v>
      </c>
      <c r="P91" s="58"/>
    </row>
    <row r="92" spans="1:18" s="44" customFormat="1" ht="44.25" customHeight="1" x14ac:dyDescent="0.2">
      <c r="A92" s="337"/>
      <c r="B92" s="338"/>
      <c r="C92" s="338"/>
      <c r="D92" s="353">
        <f>'SGTO POAI -MARZO-2021'!F150</f>
        <v>3502</v>
      </c>
      <c r="E92" s="358" t="str">
        <f>'SGTO POAI -MARZO-2021'!G150</f>
        <v xml:space="preserve">Productividad y competitividad de las empresas colombianas. "Tú y yo con empresas competitivas" </v>
      </c>
      <c r="F92" s="507">
        <f>'SGTO POAI -MARZO-2021'!BA150</f>
        <v>2023856036</v>
      </c>
      <c r="G92" s="507">
        <f>'SGTO POAI -MARZO-2021'!BB150</f>
        <v>135960000</v>
      </c>
      <c r="H92" s="507">
        <f>'SGTO POAI -MARZO-2021'!BC150</f>
        <v>17895000</v>
      </c>
      <c r="I92" s="507">
        <f>'SGTO POAI -MARZO-2021'!BD150</f>
        <v>664872303.75999999</v>
      </c>
      <c r="J92" s="507">
        <f>'SGTO POAI -MARZO-2021'!BE150</f>
        <v>74820000</v>
      </c>
      <c r="K92" s="507">
        <f>'SGTO POAI -MARZO-2021'!BF150</f>
        <v>6185000</v>
      </c>
      <c r="L92" s="507">
        <f>F92+I92</f>
        <v>2688728339.7600002</v>
      </c>
      <c r="M92" s="507">
        <f t="shared" ref="M92:N92" si="129">G92+J92</f>
        <v>210780000</v>
      </c>
      <c r="N92" s="507">
        <f t="shared" si="129"/>
        <v>24080000</v>
      </c>
      <c r="P92" s="56"/>
    </row>
    <row r="93" spans="1:18" s="44" customFormat="1" ht="24" customHeight="1" x14ac:dyDescent="0.2">
      <c r="A93" s="337"/>
      <c r="B93" s="338"/>
      <c r="C93" s="77">
        <f>'SGTO POAI -MARZO-2021'!D159</f>
        <v>36</v>
      </c>
      <c r="D93" s="511" t="str">
        <f>'SGTO POAI -MARZO-2021'!E159</f>
        <v>Trabajo</v>
      </c>
      <c r="E93" s="512"/>
      <c r="F93" s="550">
        <f>F94</f>
        <v>237500000</v>
      </c>
      <c r="G93" s="550">
        <f t="shared" ref="G93:H93" si="130">G94</f>
        <v>42880000</v>
      </c>
      <c r="H93" s="550">
        <f t="shared" si="130"/>
        <v>4535000</v>
      </c>
      <c r="I93" s="550">
        <f>I94</f>
        <v>0</v>
      </c>
      <c r="J93" s="550">
        <f t="shared" ref="J93:K93" si="131">J94</f>
        <v>0</v>
      </c>
      <c r="K93" s="550">
        <f t="shared" si="131"/>
        <v>0</v>
      </c>
      <c r="L93" s="550">
        <f>L94</f>
        <v>237500000</v>
      </c>
      <c r="M93" s="550">
        <f t="shared" ref="M93:N93" si="132">M94</f>
        <v>42880000</v>
      </c>
      <c r="N93" s="550">
        <f t="shared" si="132"/>
        <v>4535000</v>
      </c>
      <c r="P93" s="56"/>
    </row>
    <row r="94" spans="1:18" s="44" customFormat="1" ht="45.75" customHeight="1" x14ac:dyDescent="0.2">
      <c r="A94" s="337"/>
      <c r="B94" s="338"/>
      <c r="C94" s="338"/>
      <c r="D94" s="353">
        <f>'SGTO POAI -MARZO-2021'!F160</f>
        <v>3602</v>
      </c>
      <c r="E94" s="358" t="str">
        <f>'SGTO POAI -MARZO-2021'!G160</f>
        <v>Generación y formalización del empleo. "Tú y yo con empleo de calidad"</v>
      </c>
      <c r="F94" s="507">
        <f>'SGTO POAI -MARZO-2021'!BA160</f>
        <v>237500000</v>
      </c>
      <c r="G94" s="507">
        <f>'SGTO POAI -MARZO-2021'!BB160</f>
        <v>42880000</v>
      </c>
      <c r="H94" s="507">
        <f>'SGTO POAI -MARZO-2021'!BC160</f>
        <v>4535000</v>
      </c>
      <c r="I94" s="507">
        <f>'SGTO POAI -MARZO-2021'!BD160</f>
        <v>0</v>
      </c>
      <c r="J94" s="507">
        <f>'SGTO POAI -MARZO-2021'!BE160</f>
        <v>0</v>
      </c>
      <c r="K94" s="507">
        <f>'SGTO POAI -MARZO-2021'!BF160</f>
        <v>0</v>
      </c>
      <c r="L94" s="507">
        <f>F94+I94</f>
        <v>237500000</v>
      </c>
      <c r="M94" s="507">
        <f t="shared" ref="M94:N94" si="133">G94+J94</f>
        <v>42880000</v>
      </c>
      <c r="N94" s="507">
        <f t="shared" si="133"/>
        <v>4535000</v>
      </c>
      <c r="P94" s="56"/>
    </row>
    <row r="95" spans="1:18" s="11" customFormat="1" x14ac:dyDescent="0.2">
      <c r="A95" s="58"/>
      <c r="B95" s="509"/>
      <c r="C95" s="509"/>
      <c r="D95" s="509"/>
      <c r="E95" s="545"/>
      <c r="F95" s="510"/>
      <c r="G95" s="51"/>
      <c r="H95" s="18"/>
      <c r="I95" s="18"/>
      <c r="J95" s="18"/>
      <c r="K95" s="18"/>
      <c r="L95" s="57"/>
    </row>
    <row r="96" spans="1:18" s="11" customFormat="1" ht="24" customHeight="1" x14ac:dyDescent="0.2">
      <c r="A96" s="935" t="s">
        <v>5</v>
      </c>
      <c r="B96" s="935" t="s">
        <v>6</v>
      </c>
      <c r="C96" s="935" t="s">
        <v>7</v>
      </c>
      <c r="D96" s="935" t="s">
        <v>1394</v>
      </c>
      <c r="E96" s="930" t="s">
        <v>8</v>
      </c>
      <c r="F96" s="917" t="s">
        <v>1395</v>
      </c>
      <c r="G96" s="918"/>
      <c r="H96" s="919"/>
      <c r="I96" s="18"/>
      <c r="J96" s="18"/>
      <c r="K96" s="18"/>
      <c r="L96" s="57"/>
    </row>
    <row r="97" spans="1:12" s="11" customFormat="1" ht="24" customHeight="1" x14ac:dyDescent="0.2">
      <c r="A97" s="935"/>
      <c r="B97" s="935"/>
      <c r="C97" s="935"/>
      <c r="D97" s="935"/>
      <c r="E97" s="930"/>
      <c r="F97" s="654" t="s">
        <v>1545</v>
      </c>
      <c r="G97" s="654" t="s">
        <v>1539</v>
      </c>
      <c r="H97" s="654" t="s">
        <v>1540</v>
      </c>
      <c r="I97" s="18"/>
      <c r="J97" s="18"/>
      <c r="K97" s="18"/>
      <c r="L97" s="57"/>
    </row>
    <row r="98" spans="1:12" ht="24" customHeight="1" x14ac:dyDescent="0.2">
      <c r="A98" s="45" t="s">
        <v>469</v>
      </c>
      <c r="B98" s="46"/>
      <c r="C98" s="46"/>
      <c r="D98" s="46"/>
      <c r="E98" s="80"/>
      <c r="F98" s="47">
        <f>F99+F110</f>
        <v>2573248186</v>
      </c>
      <c r="G98" s="47">
        <f t="shared" ref="G98:H98" si="134">G99+G110</f>
        <v>590027500</v>
      </c>
      <c r="H98" s="47">
        <f t="shared" si="134"/>
        <v>60425000</v>
      </c>
    </row>
    <row r="99" spans="1:12" ht="24" customHeight="1" x14ac:dyDescent="0.2">
      <c r="A99" s="145"/>
      <c r="B99" s="131">
        <f>'SGTO POAI -MARZO-2021'!B167</f>
        <v>2</v>
      </c>
      <c r="C99" s="74" t="str">
        <f>'SGTO POAI -MARZO-2021'!D167</f>
        <v>PRODUCTIVIDAD Y COMPETITIVIDAD</v>
      </c>
      <c r="D99" s="74"/>
      <c r="E99" s="515"/>
      <c r="F99" s="502">
        <f>F100+F108</f>
        <v>1226000000</v>
      </c>
      <c r="G99" s="502">
        <f t="shared" ref="G99:H99" si="135">G100+G108</f>
        <v>340960000</v>
      </c>
      <c r="H99" s="502">
        <f t="shared" si="135"/>
        <v>44180000</v>
      </c>
      <c r="I99" s="22"/>
      <c r="J99" s="22"/>
      <c r="K99" s="23"/>
    </row>
    <row r="100" spans="1:12" ht="24" customHeight="1" x14ac:dyDescent="0.2">
      <c r="A100" s="145"/>
      <c r="C100" s="77">
        <f>'SGTO POAI -MARZO-2021'!D168</f>
        <v>17</v>
      </c>
      <c r="D100" s="75" t="str">
        <f>'SGTO POAI -MARZO-2021'!E168</f>
        <v>Agricultura y desarrollo rural</v>
      </c>
      <c r="E100" s="504"/>
      <c r="F100" s="505">
        <f>SUM(F101:F107)</f>
        <v>1190000000</v>
      </c>
      <c r="G100" s="505">
        <f t="shared" ref="G100:H100" si="136">SUM(G101:G107)</f>
        <v>340960000</v>
      </c>
      <c r="H100" s="505">
        <f t="shared" si="136"/>
        <v>44180000</v>
      </c>
      <c r="I100" s="22"/>
      <c r="J100" s="22"/>
      <c r="K100" s="23"/>
    </row>
    <row r="101" spans="1:12" ht="52.5" customHeight="1" x14ac:dyDescent="0.2">
      <c r="A101" s="145"/>
      <c r="B101" s="87"/>
      <c r="C101" s="87"/>
      <c r="D101" s="338">
        <f>'SGTO POAI -MARZO-2021'!F169</f>
        <v>1702</v>
      </c>
      <c r="E101" s="358" t="str">
        <f>'SGTO POAI -MARZO-2021'!G169</f>
        <v>Inclusión productiva de pequeños productores rurales. "Tú y yo con oportunidades para el pequeño campesino"</v>
      </c>
      <c r="F101" s="507">
        <f>'SGTO POAI -MARZO-2021'!BA169</f>
        <v>834000000</v>
      </c>
      <c r="G101" s="507">
        <f>'SGTO POAI -MARZO-2021'!BB169</f>
        <v>220780000</v>
      </c>
      <c r="H101" s="507">
        <f>'SGTO POAI -MARZO-2021'!BC169</f>
        <v>23985000</v>
      </c>
      <c r="I101" s="22"/>
      <c r="J101" s="22"/>
      <c r="K101" s="23"/>
    </row>
    <row r="102" spans="1:12" ht="62.25" customHeight="1" x14ac:dyDescent="0.2">
      <c r="A102" s="145"/>
      <c r="B102" s="87"/>
      <c r="C102" s="87"/>
      <c r="D102" s="338">
        <f>'SGTO POAI -MARZO-2021'!F181</f>
        <v>1703</v>
      </c>
      <c r="E102" s="358" t="str">
        <f>'SGTO POAI -MARZO-2021'!G181</f>
        <v>Servicios financieros y gestión del riesgo para las actividades agropecuarias y rurales. "Tú y yo con un campo protegido"</v>
      </c>
      <c r="F102" s="507">
        <f>'SGTO POAI -MARZO-2021'!BA181</f>
        <v>75000000</v>
      </c>
      <c r="G102" s="507">
        <f>'SGTO POAI -MARZO-2021'!BB181</f>
        <v>57700000</v>
      </c>
      <c r="H102" s="507">
        <f>'SGTO POAI -MARZO-2021'!BC181</f>
        <v>11540000</v>
      </c>
      <c r="I102" s="22"/>
      <c r="J102" s="22"/>
      <c r="K102" s="23"/>
      <c r="L102" s="58"/>
    </row>
    <row r="103" spans="1:12" ht="49.5" customHeight="1" x14ac:dyDescent="0.2">
      <c r="A103" s="145"/>
      <c r="B103" s="87"/>
      <c r="C103" s="87"/>
      <c r="D103" s="338">
        <f>'SGTO POAI -MARZO-2021'!F183</f>
        <v>1704</v>
      </c>
      <c r="E103" s="358" t="str">
        <f>'SGTO POAI -MARZO-2021'!G183</f>
        <v>Ordenamiento social y uso productivo del territorio rural. "Tú y yo con un campo planificado"</v>
      </c>
      <c r="F103" s="507">
        <f>'SGTO POAI -MARZO-2021'!BA183</f>
        <v>70000000</v>
      </c>
      <c r="G103" s="507">
        <f>'SGTO POAI -MARZO-2021'!BB183</f>
        <v>30500000</v>
      </c>
      <c r="H103" s="507">
        <f>'SGTO POAI -MARZO-2021'!BC183</f>
        <v>5770000</v>
      </c>
      <c r="I103" s="25"/>
      <c r="J103" s="25"/>
      <c r="K103" s="23"/>
      <c r="L103" s="58"/>
    </row>
    <row r="104" spans="1:12" ht="39.75" customHeight="1" x14ac:dyDescent="0.2">
      <c r="A104" s="145"/>
      <c r="B104" s="87"/>
      <c r="C104" s="87"/>
      <c r="D104" s="338">
        <f>'SGTO POAI -MARZO-2021'!F186</f>
        <v>1706</v>
      </c>
      <c r="E104" s="358" t="str">
        <f>'SGTO POAI -MARZO-2021'!G186</f>
        <v>Aprovechamiento de mercados externos. "Tú y yo a los mercados internacionales"</v>
      </c>
      <c r="F104" s="507">
        <f>'SGTO POAI -MARZO-2021'!BA186</f>
        <v>20000000</v>
      </c>
      <c r="G104" s="507">
        <f>'SGTO POAI -MARZO-2021'!BB186</f>
        <v>0</v>
      </c>
      <c r="H104" s="507">
        <f>'SGTO POAI -MARZO-2021'!BC186</f>
        <v>0</v>
      </c>
      <c r="I104" s="22"/>
      <c r="J104" s="22"/>
      <c r="K104" s="23"/>
      <c r="L104" s="58"/>
    </row>
    <row r="105" spans="1:12" ht="57" customHeight="1" x14ac:dyDescent="0.2">
      <c r="A105" s="145"/>
      <c r="B105" s="87"/>
      <c r="C105" s="87"/>
      <c r="D105" s="338">
        <f>'SGTO POAI -MARZO-2021'!F188</f>
        <v>1707</v>
      </c>
      <c r="E105" s="358" t="str">
        <f>'SGTO POAI -MARZO-2021'!G188</f>
        <v>Sanidad agropecuaria e inocuidad agroalimentaria. "Tú y yo con un agro saludable"</v>
      </c>
      <c r="F105" s="507">
        <f>'SGTO POAI -MARZO-2021'!BA188</f>
        <v>43000000</v>
      </c>
      <c r="G105" s="507">
        <f>'SGTO POAI -MARZO-2021'!BB188</f>
        <v>0</v>
      </c>
      <c r="H105" s="507">
        <f>'SGTO POAI -MARZO-2021'!BC188</f>
        <v>0</v>
      </c>
      <c r="I105" s="22"/>
      <c r="J105" s="22"/>
      <c r="K105" s="23"/>
      <c r="L105" s="58"/>
    </row>
    <row r="106" spans="1:12" ht="57" customHeight="1" x14ac:dyDescent="0.2">
      <c r="A106" s="145"/>
      <c r="B106" s="87"/>
      <c r="C106" s="87"/>
      <c r="D106" s="338">
        <f>'SGTO POAI -MARZO-2021'!F190</f>
        <v>1708</v>
      </c>
      <c r="E106" s="358" t="str">
        <f>'SGTO POAI -MARZO-2021'!G190</f>
        <v>Ciencia, tecnología e innovación agropecuaria. "Tú y yo con un agro interconectado"</v>
      </c>
      <c r="F106" s="507">
        <f>'SGTO POAI -MARZO-2021'!BA190</f>
        <v>40000000</v>
      </c>
      <c r="G106" s="507">
        <f>'SGTO POAI -MARZO-2021'!BB190</f>
        <v>8900000</v>
      </c>
      <c r="H106" s="507">
        <f>'SGTO POAI -MARZO-2021'!BC190</f>
        <v>0</v>
      </c>
      <c r="I106" s="22"/>
      <c r="J106" s="22"/>
      <c r="K106" s="23"/>
    </row>
    <row r="107" spans="1:12" ht="39.75" customHeight="1" x14ac:dyDescent="0.2">
      <c r="A107" s="145"/>
      <c r="B107" s="87"/>
      <c r="C107" s="87"/>
      <c r="D107" s="338">
        <f>'SGTO POAI -MARZO-2021'!F193</f>
        <v>1709</v>
      </c>
      <c r="E107" s="358" t="str">
        <f>'SGTO POAI -MARZO-2021'!G193</f>
        <v>Infraestructura productiva y comercialización. "Tú y yo con agro competitivo"</v>
      </c>
      <c r="F107" s="507">
        <f>'SGTO POAI -MARZO-2021'!BA193</f>
        <v>108000000</v>
      </c>
      <c r="G107" s="507">
        <f>'SGTO POAI -MARZO-2021'!BB193</f>
        <v>23080000</v>
      </c>
      <c r="H107" s="507">
        <f>'SGTO POAI -MARZO-2021'!BC193</f>
        <v>2885000</v>
      </c>
      <c r="I107" s="25"/>
      <c r="J107" s="25"/>
      <c r="K107" s="23"/>
    </row>
    <row r="108" spans="1:12" ht="24" customHeight="1" x14ac:dyDescent="0.2">
      <c r="A108" s="145"/>
      <c r="B108" s="87"/>
      <c r="C108" s="77">
        <f>'SGTO POAI -MARZO-2021'!D197</f>
        <v>35</v>
      </c>
      <c r="D108" s="75" t="str">
        <f>'SGTO POAI -MARZO-2021'!E197</f>
        <v>Comercio, Industria y Turismo</v>
      </c>
      <c r="E108" s="504"/>
      <c r="F108" s="505">
        <f>F109</f>
        <v>36000000</v>
      </c>
      <c r="G108" s="505">
        <f t="shared" ref="G108:H108" si="137">G109</f>
        <v>0</v>
      </c>
      <c r="H108" s="505">
        <f t="shared" si="137"/>
        <v>0</v>
      </c>
      <c r="I108" s="25"/>
      <c r="J108" s="25"/>
      <c r="K108" s="23"/>
    </row>
    <row r="109" spans="1:12" ht="62.25" customHeight="1" x14ac:dyDescent="0.2">
      <c r="A109" s="145"/>
      <c r="B109" s="87"/>
      <c r="C109" s="87"/>
      <c r="D109" s="338">
        <f>'SGTO POAI -MARZO-2021'!F198</f>
        <v>3502</v>
      </c>
      <c r="E109" s="358" t="str">
        <f>'SGTO POAI -MARZO-2021'!G198</f>
        <v xml:space="preserve">Productividad y competitividad de las empresas colombianas. "Tú y yo con empresas competitivas" </v>
      </c>
      <c r="F109" s="507">
        <f>'SGTO POAI -MARZO-2021'!BA198</f>
        <v>36000000</v>
      </c>
      <c r="G109" s="507">
        <f>'SGTO POAI -MARZO-2021'!BB198</f>
        <v>0</v>
      </c>
      <c r="H109" s="507">
        <f>'SGTO POAI -MARZO-2021'!BC198</f>
        <v>0</v>
      </c>
      <c r="I109" s="22"/>
      <c r="J109" s="22"/>
      <c r="K109" s="23"/>
    </row>
    <row r="110" spans="1:12" ht="24" customHeight="1" x14ac:dyDescent="0.2">
      <c r="A110" s="145"/>
      <c r="B110" s="131">
        <f>'SGTO POAI -MARZO-2021'!B201</f>
        <v>3</v>
      </c>
      <c r="C110" s="74" t="str">
        <f>'SGTO POAI -MARZO-2021'!D201</f>
        <v xml:space="preserve">TERRITORIO, AMBIENTE Y DESARROLLO SOSTENIBLE </v>
      </c>
      <c r="D110" s="74"/>
      <c r="E110" s="515"/>
      <c r="F110" s="502">
        <f>F111</f>
        <v>1347248186</v>
      </c>
      <c r="G110" s="502">
        <f t="shared" ref="G110:H110" si="138">G111</f>
        <v>249067500</v>
      </c>
      <c r="H110" s="502">
        <f t="shared" si="138"/>
        <v>16245000</v>
      </c>
      <c r="I110" s="22"/>
      <c r="J110" s="22"/>
      <c r="K110" s="23"/>
    </row>
    <row r="111" spans="1:12" ht="24" customHeight="1" x14ac:dyDescent="0.2">
      <c r="A111" s="145"/>
      <c r="B111" s="338"/>
      <c r="C111" s="77">
        <f>'SGTO POAI -MARZO-2021'!D202</f>
        <v>32</v>
      </c>
      <c r="D111" s="75" t="str">
        <f>'SGTO POAI -MARZO-2021'!E202</f>
        <v>Ambiente y desarrollo sostenible</v>
      </c>
      <c r="E111" s="504"/>
      <c r="F111" s="505">
        <f>SUM(F112:F116)</f>
        <v>1347248186</v>
      </c>
      <c r="G111" s="505">
        <f t="shared" ref="G111:H111" si="139">SUM(G112:G116)</f>
        <v>249067500</v>
      </c>
      <c r="H111" s="505">
        <f t="shared" si="139"/>
        <v>16245000</v>
      </c>
      <c r="I111" s="22"/>
      <c r="J111" s="22"/>
      <c r="K111" s="23"/>
    </row>
    <row r="112" spans="1:12" s="44" customFormat="1" ht="57" customHeight="1" x14ac:dyDescent="0.2">
      <c r="A112" s="337"/>
      <c r="B112" s="338"/>
      <c r="C112" s="338"/>
      <c r="D112" s="338" t="str">
        <f>'SGTO POAI -MARZO-2021'!F203</f>
        <v>3201</v>
      </c>
      <c r="E112" s="358" t="str">
        <f>'SGTO POAI -MARZO-2021'!G203</f>
        <v>Fortalecimiento del desempeño ambiental de los sectores productivos. "Tú y yo guardianes de la biodiversidad.</v>
      </c>
      <c r="F112" s="507">
        <f>'SGTO POAI -MARZO-2021'!BA203</f>
        <v>82000000</v>
      </c>
      <c r="G112" s="507">
        <f>'SGTO POAI -MARZO-2021'!BB203</f>
        <v>22467500</v>
      </c>
      <c r="H112" s="507">
        <f>'SGTO POAI -MARZO-2021'!BC203</f>
        <v>0</v>
      </c>
      <c r="I112" s="48"/>
      <c r="J112" s="48"/>
      <c r="K112" s="24"/>
      <c r="L112" s="56"/>
    </row>
    <row r="113" spans="1:31" s="44" customFormat="1" ht="60.75" customHeight="1" x14ac:dyDescent="0.2">
      <c r="A113" s="337"/>
      <c r="B113" s="338"/>
      <c r="C113" s="338"/>
      <c r="D113" s="338">
        <f>'SGTO POAI -MARZO-2021'!F206</f>
        <v>3202</v>
      </c>
      <c r="E113" s="358" t="str">
        <f>'SGTO POAI -MARZO-2021'!G206</f>
        <v>Conservación de la biodiversidad y sus servicios ecosistémicos. "Tú y yo en territorios biodiversos"</v>
      </c>
      <c r="F113" s="507">
        <f>'SGTO POAI -MARZO-2021'!BA206</f>
        <v>945248186</v>
      </c>
      <c r="G113" s="507">
        <f>'SGTO POAI -MARZO-2021'!BB206</f>
        <v>201860000</v>
      </c>
      <c r="H113" s="507">
        <f>'SGTO POAI -MARZO-2021'!BC206</f>
        <v>10060000</v>
      </c>
      <c r="I113" s="48"/>
      <c r="J113" s="48"/>
      <c r="K113" s="24"/>
      <c r="L113" s="56"/>
    </row>
    <row r="114" spans="1:31" s="44" customFormat="1" ht="59.25" customHeight="1" x14ac:dyDescent="0.2">
      <c r="A114" s="337"/>
      <c r="B114" s="338"/>
      <c r="C114" s="338"/>
      <c r="D114" s="338" t="str">
        <f>'SGTO POAI -MARZO-2021'!F213</f>
        <v>3204</v>
      </c>
      <c r="E114" s="358" t="str">
        <f>'SGTO POAI -MARZO-2021'!G213</f>
        <v>Gestión de la información y en conocimiento ambiental. "Tú y yo conscientes con la naturaleza"</v>
      </c>
      <c r="F114" s="507">
        <f>'SGTO POAI -MARZO-2021'!BA213</f>
        <v>120000000</v>
      </c>
      <c r="G114" s="507">
        <f>'SGTO POAI -MARZO-2021'!BB213</f>
        <v>24740000</v>
      </c>
      <c r="H114" s="507">
        <f>'SGTO POAI -MARZO-2021'!BC213</f>
        <v>6185000</v>
      </c>
      <c r="I114" s="48"/>
      <c r="J114" s="48"/>
      <c r="K114" s="24"/>
      <c r="L114" s="56"/>
    </row>
    <row r="115" spans="1:31" s="44" customFormat="1" ht="51" customHeight="1" x14ac:dyDescent="0.2">
      <c r="A115" s="337"/>
      <c r="B115" s="338"/>
      <c r="C115" s="338"/>
      <c r="D115" s="338">
        <f>'SGTO POAI -MARZO-2021'!F215</f>
        <v>3205</v>
      </c>
      <c r="E115" s="358" t="str">
        <f>'SGTO POAI -MARZO-2021'!G215</f>
        <v>Ordenamiento Ambiental Territorial. "Tú y yo planificamos con sentido ambiental"</v>
      </c>
      <c r="F115" s="507">
        <f>'SGTO POAI -MARZO-2021'!BA215</f>
        <v>82000000</v>
      </c>
      <c r="G115" s="507">
        <f>'SGTO POAI -MARZO-2021'!BB215</f>
        <v>0</v>
      </c>
      <c r="H115" s="507">
        <f>'SGTO POAI -MARZO-2021'!BC215</f>
        <v>0</v>
      </c>
      <c r="I115" s="48"/>
      <c r="J115" s="48"/>
      <c r="K115" s="24"/>
      <c r="L115" s="56"/>
    </row>
    <row r="116" spans="1:31" s="44" customFormat="1" ht="51.75" customHeight="1" x14ac:dyDescent="0.2">
      <c r="A116" s="337"/>
      <c r="B116" s="338"/>
      <c r="C116" s="338"/>
      <c r="D116" s="338" t="str">
        <f>'SGTO POAI -MARZO-2021'!F219</f>
        <v>3206</v>
      </c>
      <c r="E116" s="358" t="str">
        <f>'SGTO POAI -MARZO-2021'!G219</f>
        <v>Gestión del cambio climático para un desarrollo bajo en carbono y resiliente al clima. "Tú y yo preparados para el cambio climático"</v>
      </c>
      <c r="F116" s="507">
        <f>'SGTO POAI -MARZO-2021'!BA219</f>
        <v>118000000</v>
      </c>
      <c r="G116" s="507">
        <f>'SGTO POAI -MARZO-2021'!BB219</f>
        <v>0</v>
      </c>
      <c r="H116" s="507">
        <f>'SGTO POAI -MARZO-2021'!BC219</f>
        <v>0</v>
      </c>
      <c r="I116" s="48"/>
      <c r="J116" s="48"/>
      <c r="K116" s="24"/>
      <c r="L116" s="56"/>
    </row>
    <row r="117" spans="1:31" s="11" customFormat="1" x14ac:dyDescent="0.2">
      <c r="A117" s="58"/>
      <c r="B117" s="509"/>
      <c r="C117" s="509"/>
      <c r="D117" s="509"/>
      <c r="E117" s="545"/>
      <c r="F117" s="510"/>
      <c r="G117" s="51"/>
      <c r="H117" s="18"/>
      <c r="I117" s="18"/>
      <c r="J117" s="18"/>
      <c r="K117" s="18"/>
      <c r="L117" s="57"/>
    </row>
    <row r="118" spans="1:31" s="11" customFormat="1" ht="24" customHeight="1" x14ac:dyDescent="0.2">
      <c r="A118" s="957" t="s">
        <v>5</v>
      </c>
      <c r="B118" s="935" t="s">
        <v>6</v>
      </c>
      <c r="C118" s="935" t="s">
        <v>7</v>
      </c>
      <c r="D118" s="935" t="s">
        <v>1394</v>
      </c>
      <c r="E118" s="930" t="s">
        <v>8</v>
      </c>
      <c r="F118" s="950" t="s">
        <v>1395</v>
      </c>
      <c r="G118" s="948"/>
      <c r="H118" s="955"/>
      <c r="I118" s="18"/>
      <c r="J118" s="18"/>
      <c r="K118" s="18"/>
      <c r="L118" s="57"/>
    </row>
    <row r="119" spans="1:31" s="11" customFormat="1" ht="24" customHeight="1" x14ac:dyDescent="0.2">
      <c r="A119" s="958"/>
      <c r="B119" s="935"/>
      <c r="C119" s="935"/>
      <c r="D119" s="935"/>
      <c r="E119" s="930"/>
      <c r="F119" s="654" t="s">
        <v>1545</v>
      </c>
      <c r="G119" s="654" t="s">
        <v>1539</v>
      </c>
      <c r="H119" s="654" t="s">
        <v>1540</v>
      </c>
      <c r="I119" s="18"/>
      <c r="J119" s="18"/>
      <c r="K119" s="18"/>
      <c r="L119" s="57"/>
    </row>
    <row r="120" spans="1:31" ht="24" customHeight="1" x14ac:dyDescent="0.2">
      <c r="A120" s="41" t="s">
        <v>654</v>
      </c>
      <c r="B120" s="46"/>
      <c r="C120" s="46"/>
      <c r="D120" s="46"/>
      <c r="E120" s="80"/>
      <c r="F120" s="43">
        <f>F121</f>
        <v>695000000</v>
      </c>
      <c r="G120" s="43">
        <f t="shared" ref="G120:H121" si="140">G121</f>
        <v>280955000</v>
      </c>
      <c r="H120" s="43">
        <f t="shared" si="140"/>
        <v>59920000</v>
      </c>
    </row>
    <row r="121" spans="1:31" ht="24" customHeight="1" x14ac:dyDescent="0.2">
      <c r="A121" s="145"/>
      <c r="B121" s="131">
        <f>'SGTO POAI -MARZO-2021'!B225</f>
        <v>4</v>
      </c>
      <c r="C121" s="74" t="str">
        <f>'SGTO POAI -MARZO-2021'!D225</f>
        <v xml:space="preserve">LIDERAZGO, GOBERNABILIDAD Y TRANSPARENCIA </v>
      </c>
      <c r="D121" s="74"/>
      <c r="E121" s="515"/>
      <c r="F121" s="502">
        <f>F122</f>
        <v>695000000</v>
      </c>
      <c r="G121" s="502">
        <f t="shared" si="140"/>
        <v>280955000</v>
      </c>
      <c r="H121" s="502">
        <f t="shared" si="140"/>
        <v>59920000</v>
      </c>
    </row>
    <row r="122" spans="1:31" ht="24" customHeight="1" x14ac:dyDescent="0.2">
      <c r="A122" s="145"/>
      <c r="B122" s="338"/>
      <c r="C122" s="77">
        <f>'SGTO POAI -MARZO-2021'!D226</f>
        <v>45</v>
      </c>
      <c r="D122" s="75" t="str">
        <f>'SGTO POAI -MARZO-2021'!E226</f>
        <v>Gobierno territorial</v>
      </c>
      <c r="E122" s="504"/>
      <c r="F122" s="505">
        <f>SUM(F123:F124)</f>
        <v>695000000</v>
      </c>
      <c r="G122" s="505">
        <f t="shared" ref="G122:H122" si="141">SUM(G123:G124)</f>
        <v>280955000</v>
      </c>
      <c r="H122" s="505">
        <f t="shared" si="141"/>
        <v>59920000</v>
      </c>
    </row>
    <row r="123" spans="1:31" s="49" customFormat="1" ht="79.5" customHeight="1" x14ac:dyDescent="0.25">
      <c r="A123" s="508"/>
      <c r="B123" s="338"/>
      <c r="C123" s="338"/>
      <c r="D123" s="338">
        <f>'SGTO POAI -MARZO-2021'!F227</f>
        <v>4599</v>
      </c>
      <c r="E123" s="358" t="str">
        <f>'SGTO POAI -MARZO-2021'!G227</f>
        <v>Fortalecimiento a la gestión y dirección de la administración pública territorial "Quindío con una administración al servicio de la ciudadanía"</v>
      </c>
      <c r="F123" s="507">
        <f>'SGTO POAI -MARZO-2021'!BA227</f>
        <v>550000000</v>
      </c>
      <c r="G123" s="507">
        <f>'SGTO POAI -MARZO-2021'!BB227</f>
        <v>235690000</v>
      </c>
      <c r="H123" s="507">
        <f>'SGTO POAI -MARZO-2021'!BC227</f>
        <v>49995000</v>
      </c>
      <c r="L123" s="59"/>
    </row>
    <row r="124" spans="1:31" s="44" customFormat="1" ht="66" customHeight="1" x14ac:dyDescent="0.2">
      <c r="A124" s="337"/>
      <c r="B124" s="338"/>
      <c r="C124" s="338"/>
      <c r="D124" s="338">
        <f>'SGTO POAI -MARZO-2021'!F230</f>
        <v>4502</v>
      </c>
      <c r="E124" s="358" t="str">
        <f>'SGTO POAI -MARZO-2021'!G230</f>
        <v>Fortalecimiento del buen gobierno para el respeto y garantía de los derechos humanos. "Quindío integrado y participativo"</v>
      </c>
      <c r="F124" s="508">
        <f>'SGTO POAI -MARZO-2021'!BA230</f>
        <v>145000000</v>
      </c>
      <c r="G124" s="508">
        <f>'SGTO POAI -MARZO-2021'!BB230</f>
        <v>45265000</v>
      </c>
      <c r="H124" s="508">
        <f>'SGTO POAI -MARZO-2021'!BC230</f>
        <v>9925000</v>
      </c>
      <c r="L124" s="56"/>
      <c r="M124" s="379"/>
      <c r="N124" s="379"/>
      <c r="O124" s="379"/>
      <c r="P124" s="379"/>
      <c r="Q124" s="379"/>
      <c r="R124" s="379"/>
    </row>
    <row r="125" spans="1:31" s="11" customFormat="1" x14ac:dyDescent="0.2">
      <c r="A125" s="58"/>
      <c r="B125" s="509"/>
      <c r="C125" s="509"/>
      <c r="D125" s="509"/>
      <c r="E125" s="545"/>
      <c r="F125" s="510"/>
      <c r="G125" s="51"/>
      <c r="H125" s="18"/>
      <c r="I125" s="18"/>
      <c r="J125" s="18"/>
      <c r="K125" s="18"/>
      <c r="L125" s="57"/>
      <c r="M125" s="380"/>
      <c r="N125" s="380"/>
      <c r="O125" s="380"/>
      <c r="P125" s="380"/>
      <c r="Q125" s="380"/>
      <c r="R125" s="380"/>
    </row>
    <row r="126" spans="1:31" s="11" customFormat="1" ht="24" customHeight="1" x14ac:dyDescent="0.2">
      <c r="A126" s="935" t="s">
        <v>5</v>
      </c>
      <c r="B126" s="935" t="s">
        <v>6</v>
      </c>
      <c r="C126" s="935" t="s">
        <v>7</v>
      </c>
      <c r="D126" s="935" t="s">
        <v>1394</v>
      </c>
      <c r="E126" s="930" t="s">
        <v>8</v>
      </c>
      <c r="F126" s="956" t="s">
        <v>1402</v>
      </c>
      <c r="G126" s="945"/>
      <c r="H126" s="946"/>
      <c r="I126" s="951" t="s">
        <v>1403</v>
      </c>
      <c r="J126" s="945"/>
      <c r="K126" s="946"/>
      <c r="L126" s="951" t="s">
        <v>1404</v>
      </c>
      <c r="M126" s="945"/>
      <c r="N126" s="946"/>
      <c r="O126" s="951" t="s">
        <v>1405</v>
      </c>
      <c r="P126" s="945"/>
      <c r="Q126" s="945"/>
      <c r="R126" s="931" t="s">
        <v>1395</v>
      </c>
      <c r="S126" s="931"/>
      <c r="T126" s="931"/>
      <c r="U126" s="927" t="s">
        <v>1555</v>
      </c>
      <c r="V126" s="928"/>
      <c r="W126" s="928"/>
      <c r="X126" s="945" t="s">
        <v>15</v>
      </c>
      <c r="Y126" s="945"/>
      <c r="Z126" s="946"/>
      <c r="AA126" s="381"/>
      <c r="AB126" s="381"/>
      <c r="AC126" s="381"/>
      <c r="AD126" s="381"/>
      <c r="AE126" s="381"/>
    </row>
    <row r="127" spans="1:31" s="11" customFormat="1" ht="24" customHeight="1" x14ac:dyDescent="0.2">
      <c r="A127" s="935"/>
      <c r="B127" s="935"/>
      <c r="C127" s="935"/>
      <c r="D127" s="935"/>
      <c r="E127" s="930"/>
      <c r="F127" s="654" t="s">
        <v>1545</v>
      </c>
      <c r="G127" s="654" t="s">
        <v>1539</v>
      </c>
      <c r="H127" s="654" t="s">
        <v>1540</v>
      </c>
      <c r="I127" s="654" t="s">
        <v>1545</v>
      </c>
      <c r="J127" s="654" t="s">
        <v>1539</v>
      </c>
      <c r="K127" s="654" t="s">
        <v>1540</v>
      </c>
      <c r="L127" s="654" t="s">
        <v>1545</v>
      </c>
      <c r="M127" s="654" t="s">
        <v>1539</v>
      </c>
      <c r="N127" s="654" t="s">
        <v>1540</v>
      </c>
      <c r="O127" s="654" t="s">
        <v>1545</v>
      </c>
      <c r="P127" s="654" t="s">
        <v>1539</v>
      </c>
      <c r="Q127" s="654" t="s">
        <v>1540</v>
      </c>
      <c r="R127" s="654" t="s">
        <v>1545</v>
      </c>
      <c r="S127" s="654" t="s">
        <v>1539</v>
      </c>
      <c r="T127" s="654" t="s">
        <v>1540</v>
      </c>
      <c r="U127" s="654" t="s">
        <v>1545</v>
      </c>
      <c r="V127" s="654" t="s">
        <v>1539</v>
      </c>
      <c r="W127" s="654" t="s">
        <v>1540</v>
      </c>
      <c r="X127" s="654" t="s">
        <v>1545</v>
      </c>
      <c r="Y127" s="654" t="s">
        <v>1539</v>
      </c>
      <c r="Z127" s="654" t="s">
        <v>1540</v>
      </c>
      <c r="AA127" s="381"/>
      <c r="AB127" s="381"/>
      <c r="AC127" s="381"/>
      <c r="AD127" s="381"/>
      <c r="AE127" s="381"/>
    </row>
    <row r="128" spans="1:31" ht="24" customHeight="1" x14ac:dyDescent="0.2">
      <c r="A128" s="45" t="s">
        <v>673</v>
      </c>
      <c r="B128" s="46"/>
      <c r="C128" s="46"/>
      <c r="D128" s="46"/>
      <c r="E128" s="80"/>
      <c r="F128" s="43">
        <f t="shared" ref="F128:X128" si="142">F129+F133</f>
        <v>1385755472.78</v>
      </c>
      <c r="G128" s="43">
        <f t="shared" ref="G128:H128" si="143">G129+G133</f>
        <v>1385755472.7799997</v>
      </c>
      <c r="H128" s="43">
        <f t="shared" si="143"/>
        <v>80777982.780000001</v>
      </c>
      <c r="I128" s="43">
        <f t="shared" si="142"/>
        <v>143579499577.42001</v>
      </c>
      <c r="J128" s="43">
        <f t="shared" ref="J128:K128" si="144">J129+J133</f>
        <v>29230912713.150002</v>
      </c>
      <c r="K128" s="43">
        <f t="shared" si="144"/>
        <v>28081867883</v>
      </c>
      <c r="L128" s="43">
        <f t="shared" si="142"/>
        <v>25145000000</v>
      </c>
      <c r="M128" s="43">
        <f t="shared" ref="M128:N128" si="145">M129+M133</f>
        <v>8556078404</v>
      </c>
      <c r="N128" s="43">
        <f t="shared" si="145"/>
        <v>8556078404</v>
      </c>
      <c r="O128" s="43">
        <f t="shared" si="142"/>
        <v>11590214233.049999</v>
      </c>
      <c r="P128" s="43">
        <f t="shared" ref="P128:Q128" si="146">P129+P133</f>
        <v>9750591050</v>
      </c>
      <c r="Q128" s="43">
        <f t="shared" si="146"/>
        <v>37560000</v>
      </c>
      <c r="R128" s="63">
        <f t="shared" si="142"/>
        <v>5218073241.2200003</v>
      </c>
      <c r="S128" s="657">
        <f t="shared" ref="S128:T128" si="147">S129+S133</f>
        <v>3996815742.2200003</v>
      </c>
      <c r="T128" s="657">
        <f t="shared" si="147"/>
        <v>771927515.22000003</v>
      </c>
      <c r="U128" s="657">
        <f t="shared" ref="U128" si="148">U129+U133</f>
        <v>1792032472.8499999</v>
      </c>
      <c r="V128" s="657">
        <f t="shared" ref="V128:W128" si="149">V129+V133</f>
        <v>476725625.10000002</v>
      </c>
      <c r="W128" s="657">
        <f t="shared" si="149"/>
        <v>0</v>
      </c>
      <c r="X128" s="43">
        <f t="shared" si="142"/>
        <v>188710574997.32001</v>
      </c>
      <c r="Y128" s="43">
        <f t="shared" ref="Y128:Z128" si="150">Y129+Y133</f>
        <v>53396879007.25</v>
      </c>
      <c r="Z128" s="43">
        <f t="shared" si="150"/>
        <v>37528211785</v>
      </c>
    </row>
    <row r="129" spans="1:26" ht="24" customHeight="1" x14ac:dyDescent="0.2">
      <c r="A129" s="145"/>
      <c r="B129" s="131">
        <f>'SGTO POAI -MARZO-2021'!B234</f>
        <v>1</v>
      </c>
      <c r="C129" s="74" t="str">
        <f>'SGTO POAI -MARZO-2021'!D234</f>
        <v xml:space="preserve">INCLUSIÓN SOCIAL Y EQUIDAD </v>
      </c>
      <c r="D129" s="74" t="s">
        <v>149</v>
      </c>
      <c r="E129" s="515"/>
      <c r="F129" s="502">
        <f t="shared" ref="F129:Z129" si="151">F130</f>
        <v>1385755472.78</v>
      </c>
      <c r="G129" s="502">
        <f t="shared" si="151"/>
        <v>1385755472.7799997</v>
      </c>
      <c r="H129" s="502">
        <f t="shared" si="151"/>
        <v>80777982.780000001</v>
      </c>
      <c r="I129" s="502">
        <f t="shared" si="151"/>
        <v>143579499577.42001</v>
      </c>
      <c r="J129" s="502">
        <f t="shared" si="151"/>
        <v>29230912713.150002</v>
      </c>
      <c r="K129" s="502">
        <f t="shared" si="151"/>
        <v>28081867883</v>
      </c>
      <c r="L129" s="502">
        <f t="shared" si="151"/>
        <v>25145000000</v>
      </c>
      <c r="M129" s="502">
        <f t="shared" si="151"/>
        <v>8556078404</v>
      </c>
      <c r="N129" s="502">
        <f t="shared" si="151"/>
        <v>8556078404</v>
      </c>
      <c r="O129" s="502">
        <f t="shared" si="151"/>
        <v>11590214233.049999</v>
      </c>
      <c r="P129" s="502">
        <f t="shared" si="151"/>
        <v>9750591050</v>
      </c>
      <c r="Q129" s="502">
        <f t="shared" si="151"/>
        <v>37560000</v>
      </c>
      <c r="R129" s="502">
        <f t="shared" si="151"/>
        <v>5210573241.2200003</v>
      </c>
      <c r="S129" s="502">
        <f t="shared" si="151"/>
        <v>3996815742.2200003</v>
      </c>
      <c r="T129" s="502">
        <f t="shared" si="151"/>
        <v>771927515.22000003</v>
      </c>
      <c r="U129" s="502">
        <f t="shared" si="151"/>
        <v>1792032472.8499999</v>
      </c>
      <c r="V129" s="502">
        <f t="shared" si="151"/>
        <v>476725625.10000002</v>
      </c>
      <c r="W129" s="502">
        <f t="shared" si="151"/>
        <v>0</v>
      </c>
      <c r="X129" s="502">
        <f t="shared" si="151"/>
        <v>188703074997.32001</v>
      </c>
      <c r="Y129" s="502">
        <f t="shared" si="151"/>
        <v>53396879007.25</v>
      </c>
      <c r="Z129" s="502">
        <f t="shared" si="151"/>
        <v>37528211785</v>
      </c>
    </row>
    <row r="130" spans="1:26" ht="24" customHeight="1" x14ac:dyDescent="0.2">
      <c r="A130" s="145"/>
      <c r="B130" s="338"/>
      <c r="C130" s="77">
        <f>'SGTO POAI -MARZO-2021'!D235</f>
        <v>22</v>
      </c>
      <c r="D130" s="75" t="str">
        <f>'SGTO POAI -MARZO-2021'!E235</f>
        <v>Educación</v>
      </c>
      <c r="E130" s="504"/>
      <c r="F130" s="505">
        <f t="shared" ref="F130:X130" si="152">SUM(F131:F132)</f>
        <v>1385755472.78</v>
      </c>
      <c r="G130" s="505">
        <f t="shared" ref="G130:H130" si="153">SUM(G131:G132)</f>
        <v>1385755472.7799997</v>
      </c>
      <c r="H130" s="505">
        <f t="shared" si="153"/>
        <v>80777982.780000001</v>
      </c>
      <c r="I130" s="505">
        <f t="shared" si="152"/>
        <v>143579499577.42001</v>
      </c>
      <c r="J130" s="505">
        <f t="shared" ref="J130:K130" si="154">SUM(J131:J132)</f>
        <v>29230912713.150002</v>
      </c>
      <c r="K130" s="505">
        <f t="shared" si="154"/>
        <v>28081867883</v>
      </c>
      <c r="L130" s="505">
        <f t="shared" si="152"/>
        <v>25145000000</v>
      </c>
      <c r="M130" s="505">
        <f t="shared" ref="M130:N130" si="155">SUM(M131:M132)</f>
        <v>8556078404</v>
      </c>
      <c r="N130" s="505">
        <f t="shared" si="155"/>
        <v>8556078404</v>
      </c>
      <c r="O130" s="505">
        <f t="shared" si="152"/>
        <v>11590214233.049999</v>
      </c>
      <c r="P130" s="505">
        <f t="shared" ref="P130:Q130" si="156">SUM(P131:P132)</f>
        <v>9750591050</v>
      </c>
      <c r="Q130" s="505">
        <f t="shared" si="156"/>
        <v>37560000</v>
      </c>
      <c r="R130" s="505">
        <f t="shared" si="152"/>
        <v>5210573241.2200003</v>
      </c>
      <c r="S130" s="505">
        <f t="shared" ref="S130:T130" si="157">SUM(S131:S132)</f>
        <v>3996815742.2200003</v>
      </c>
      <c r="T130" s="505">
        <f t="shared" si="157"/>
        <v>771927515.22000003</v>
      </c>
      <c r="U130" s="505">
        <f t="shared" ref="U130" si="158">SUM(U131:U132)</f>
        <v>1792032472.8499999</v>
      </c>
      <c r="V130" s="505">
        <f t="shared" ref="V130:W130" si="159">SUM(V131:V132)</f>
        <v>476725625.10000002</v>
      </c>
      <c r="W130" s="505">
        <f t="shared" si="159"/>
        <v>0</v>
      </c>
      <c r="X130" s="505">
        <f t="shared" si="152"/>
        <v>188703074997.32001</v>
      </c>
      <c r="Y130" s="505">
        <f t="shared" ref="Y130:Z130" si="160">SUM(Y131:Y132)</f>
        <v>53396879007.25</v>
      </c>
      <c r="Z130" s="505">
        <f t="shared" si="160"/>
        <v>37528211785</v>
      </c>
    </row>
    <row r="131" spans="1:26" s="44" customFormat="1" ht="56.25" customHeight="1" x14ac:dyDescent="0.2">
      <c r="A131" s="337"/>
      <c r="B131" s="338"/>
      <c r="C131" s="338"/>
      <c r="D131" s="353">
        <f>'SGTO POAI -MARZO-2021'!F236</f>
        <v>2201</v>
      </c>
      <c r="E131" s="358" t="str">
        <f>'SGTO POAI -MARZO-2021'!G236</f>
        <v>Calidad, cobertura y fortalecimiento de la educación inicial, prescolar, básica y media." Tú y yo con educación y de calidad"</v>
      </c>
      <c r="F131" s="508">
        <f>'SGTO POAI -MARZO-2021'!AF236</f>
        <v>1385755472.78</v>
      </c>
      <c r="G131" s="508">
        <f>'SGTO POAI -MARZO-2021'!AG236</f>
        <v>1385755472.7799997</v>
      </c>
      <c r="H131" s="508">
        <f>'SGTO POAI -MARZO-2021'!AH236</f>
        <v>80777982.780000001</v>
      </c>
      <c r="I131" s="508">
        <f>'SGTO POAI -MARZO-2021'!AO236</f>
        <v>143579499577.42001</v>
      </c>
      <c r="J131" s="508">
        <f>'SGTO POAI -MARZO-2021'!AP236</f>
        <v>29230912713.150002</v>
      </c>
      <c r="K131" s="508">
        <f>'SGTO POAI -MARZO-2021'!AQ236</f>
        <v>28081867883</v>
      </c>
      <c r="L131" s="508">
        <f>'SGTO POAI -MARZO-2021'!AR236</f>
        <v>25145000000</v>
      </c>
      <c r="M131" s="508">
        <f>'SGTO POAI -MARZO-2021'!AS236</f>
        <v>8556078404</v>
      </c>
      <c r="N131" s="508">
        <f>'SGTO POAI -MARZO-2021'!AT236</f>
        <v>8556078404</v>
      </c>
      <c r="O131" s="508">
        <f>'SGTO POAI -MARZO-2021'!AU236</f>
        <v>11590214233.049999</v>
      </c>
      <c r="P131" s="508">
        <f>'SGTO POAI -MARZO-2021'!AV236</f>
        <v>9750591050</v>
      </c>
      <c r="Q131" s="508">
        <f>'SGTO POAI -MARZO-2021'!AW236</f>
        <v>37560000</v>
      </c>
      <c r="R131" s="551">
        <f>'SGTO POAI -MARZO-2021'!BA236</f>
        <v>5110573241.2200003</v>
      </c>
      <c r="S131" s="551">
        <f>'SGTO POAI -MARZO-2021'!BB236</f>
        <v>3996815742.2200003</v>
      </c>
      <c r="T131" s="551">
        <f>'SGTO POAI -MARZO-2021'!BC236</f>
        <v>771927515.22000003</v>
      </c>
      <c r="U131" s="551">
        <f>'SGTO POAI -MARZO-2021'!BG236</f>
        <v>1792032472.8499999</v>
      </c>
      <c r="V131" s="551">
        <f>'SGTO POAI -MARZO-2021'!BH236</f>
        <v>476725625.10000002</v>
      </c>
      <c r="W131" s="551">
        <f>'SGTO POAI -MARZO-2021'!BI236</f>
        <v>0</v>
      </c>
      <c r="X131" s="508">
        <f>F131+I131+L131+O131+R131+U131</f>
        <v>188603074997.32001</v>
      </c>
      <c r="Y131" s="508">
        <f>G131+J131+M131+P131+S131+V131</f>
        <v>53396879007.25</v>
      </c>
      <c r="Z131" s="508">
        <f>H131+K131+N131+Q131+T131+W131</f>
        <v>37528211785</v>
      </c>
    </row>
    <row r="132" spans="1:26" s="44" customFormat="1" ht="51" customHeight="1" x14ac:dyDescent="0.2">
      <c r="A132" s="337"/>
      <c r="B132" s="338"/>
      <c r="C132" s="338"/>
      <c r="D132" s="338">
        <f>'SGTO POAI -MARZO-2021'!F271</f>
        <v>2202</v>
      </c>
      <c r="E132" s="358" t="str">
        <f>'SGTO POAI -MARZO-2021'!G271</f>
        <v>Calidad y fomento de la Educación "Tú y yo preparados para la educación superior"</v>
      </c>
      <c r="F132" s="507">
        <f>'SGTO POAI -MARZO-2021'!AF271</f>
        <v>0</v>
      </c>
      <c r="G132" s="507">
        <f>'SGTO POAI -MARZO-2021'!AG271</f>
        <v>0</v>
      </c>
      <c r="H132" s="507">
        <f>'SGTO POAI -MARZO-2021'!AH271</f>
        <v>0</v>
      </c>
      <c r="I132" s="508">
        <f>'SGTO POAI -MARZO-2021'!AO271</f>
        <v>0</v>
      </c>
      <c r="J132" s="508">
        <f>'SGTO POAI -MARZO-2021'!AP271</f>
        <v>0</v>
      </c>
      <c r="K132" s="508">
        <f>'SGTO POAI -MARZO-2021'!AQ271</f>
        <v>0</v>
      </c>
      <c r="L132" s="508">
        <f>'SGTO POAI -MARZO-2021'!AR271</f>
        <v>0</v>
      </c>
      <c r="M132" s="508">
        <f>'SGTO POAI -MARZO-2021'!AS271</f>
        <v>0</v>
      </c>
      <c r="N132" s="508">
        <f>'SGTO POAI -MARZO-2021'!AT271</f>
        <v>0</v>
      </c>
      <c r="O132" s="508">
        <f>'SGTO POAI -MARZO-2021'!AU271</f>
        <v>0</v>
      </c>
      <c r="P132" s="508">
        <f>'SGTO POAI -MARZO-2021'!AV271</f>
        <v>0</v>
      </c>
      <c r="Q132" s="508">
        <f>'SGTO POAI -MARZO-2021'!AW271</f>
        <v>0</v>
      </c>
      <c r="R132" s="551">
        <f>'SGTO POAI -MARZO-2021'!BA271</f>
        <v>100000000</v>
      </c>
      <c r="S132" s="551">
        <f>'SGTO POAI -MARZO-2021'!BB271</f>
        <v>0</v>
      </c>
      <c r="T132" s="551">
        <f>'SGTO POAI -MARZO-2021'!BC271</f>
        <v>0</v>
      </c>
      <c r="U132" s="551">
        <f>'SGTO POAI -MARZO-2021'!BG271</f>
        <v>0</v>
      </c>
      <c r="V132" s="551">
        <f>'SGTO POAI -MARZO-2021'!BH271</f>
        <v>0</v>
      </c>
      <c r="W132" s="551">
        <f>'SGTO POAI -MARZO-2021'!BI271</f>
        <v>0</v>
      </c>
      <c r="X132" s="508">
        <f>F132+I132+L132+O132+R132</f>
        <v>100000000</v>
      </c>
      <c r="Y132" s="508">
        <f>G132+J132+M132+P132+S132+V132</f>
        <v>0</v>
      </c>
      <c r="Z132" s="508">
        <f>H132+K132+N132+Q132+T132+W132</f>
        <v>0</v>
      </c>
    </row>
    <row r="133" spans="1:26" ht="24" customHeight="1" x14ac:dyDescent="0.2">
      <c r="A133" s="145"/>
      <c r="B133" s="131">
        <f>'SGTO POAI -MARZO-2021'!B273</f>
        <v>2</v>
      </c>
      <c r="C133" s="74" t="str">
        <f>'SGTO POAI -MARZO-2021'!D273</f>
        <v>PRODUCTIVIDAD Y COMPETITIVIDAD</v>
      </c>
      <c r="D133" s="74"/>
      <c r="E133" s="515"/>
      <c r="F133" s="502">
        <f t="shared" ref="F133:Y134" si="161">F134</f>
        <v>0</v>
      </c>
      <c r="G133" s="502">
        <f t="shared" si="161"/>
        <v>0</v>
      </c>
      <c r="H133" s="502">
        <f t="shared" si="161"/>
        <v>0</v>
      </c>
      <c r="I133" s="502">
        <f t="shared" si="161"/>
        <v>0</v>
      </c>
      <c r="J133" s="502">
        <f t="shared" si="161"/>
        <v>0</v>
      </c>
      <c r="K133" s="502">
        <f t="shared" si="161"/>
        <v>0</v>
      </c>
      <c r="L133" s="502">
        <f t="shared" si="161"/>
        <v>0</v>
      </c>
      <c r="M133" s="502">
        <f t="shared" si="161"/>
        <v>0</v>
      </c>
      <c r="N133" s="502">
        <f t="shared" si="161"/>
        <v>0</v>
      </c>
      <c r="O133" s="502">
        <f t="shared" si="161"/>
        <v>0</v>
      </c>
      <c r="P133" s="502">
        <f t="shared" si="161"/>
        <v>0</v>
      </c>
      <c r="Q133" s="502">
        <f t="shared" si="161"/>
        <v>0</v>
      </c>
      <c r="R133" s="502">
        <f t="shared" si="161"/>
        <v>7500000</v>
      </c>
      <c r="S133" s="502">
        <f t="shared" si="161"/>
        <v>0</v>
      </c>
      <c r="T133" s="502">
        <f t="shared" si="161"/>
        <v>0</v>
      </c>
      <c r="U133" s="502">
        <f t="shared" si="161"/>
        <v>0</v>
      </c>
      <c r="V133" s="502">
        <f t="shared" si="161"/>
        <v>0</v>
      </c>
      <c r="W133" s="502">
        <f t="shared" si="161"/>
        <v>0</v>
      </c>
      <c r="X133" s="502">
        <f t="shared" si="161"/>
        <v>7500000</v>
      </c>
      <c r="Y133" s="502">
        <f t="shared" si="161"/>
        <v>0</v>
      </c>
      <c r="Z133" s="502">
        <f t="shared" ref="Y133:Z134" si="162">Z134</f>
        <v>0</v>
      </c>
    </row>
    <row r="134" spans="1:26" ht="24" customHeight="1" x14ac:dyDescent="0.2">
      <c r="A134" s="145"/>
      <c r="B134" s="338"/>
      <c r="C134" s="77">
        <f>'SGTO POAI -MARZO-2021'!D274</f>
        <v>39</v>
      </c>
      <c r="D134" s="75" t="str">
        <f>'SGTO POAI -MARZO-2021'!E274</f>
        <v>Ciencia, Tecnología e Innovación</v>
      </c>
      <c r="E134" s="75"/>
      <c r="F134" s="505">
        <f t="shared" si="161"/>
        <v>0</v>
      </c>
      <c r="G134" s="505">
        <f t="shared" si="161"/>
        <v>0</v>
      </c>
      <c r="H134" s="505">
        <f t="shared" si="161"/>
        <v>0</v>
      </c>
      <c r="I134" s="505">
        <f t="shared" si="161"/>
        <v>0</v>
      </c>
      <c r="J134" s="505">
        <f t="shared" si="161"/>
        <v>0</v>
      </c>
      <c r="K134" s="505">
        <f t="shared" si="161"/>
        <v>0</v>
      </c>
      <c r="L134" s="505">
        <f t="shared" si="161"/>
        <v>0</v>
      </c>
      <c r="M134" s="505">
        <f t="shared" si="161"/>
        <v>0</v>
      </c>
      <c r="N134" s="505">
        <f t="shared" si="161"/>
        <v>0</v>
      </c>
      <c r="O134" s="505">
        <f t="shared" si="161"/>
        <v>0</v>
      </c>
      <c r="P134" s="505">
        <f t="shared" si="161"/>
        <v>0</v>
      </c>
      <c r="Q134" s="505">
        <f t="shared" si="161"/>
        <v>0</v>
      </c>
      <c r="R134" s="505">
        <f t="shared" si="161"/>
        <v>7500000</v>
      </c>
      <c r="S134" s="505">
        <f t="shared" si="161"/>
        <v>0</v>
      </c>
      <c r="T134" s="505">
        <f t="shared" si="161"/>
        <v>0</v>
      </c>
      <c r="U134" s="505">
        <f t="shared" si="161"/>
        <v>0</v>
      </c>
      <c r="V134" s="505">
        <f t="shared" si="161"/>
        <v>0</v>
      </c>
      <c r="W134" s="505">
        <f t="shared" si="161"/>
        <v>0</v>
      </c>
      <c r="X134" s="505">
        <f t="shared" si="161"/>
        <v>7500000</v>
      </c>
      <c r="Y134" s="505">
        <f t="shared" si="162"/>
        <v>0</v>
      </c>
      <c r="Z134" s="505">
        <f t="shared" si="162"/>
        <v>0</v>
      </c>
    </row>
    <row r="135" spans="1:26" s="44" customFormat="1" ht="45.75" customHeight="1" x14ac:dyDescent="0.2">
      <c r="A135" s="337"/>
      <c r="B135" s="338"/>
      <c r="C135" s="338"/>
      <c r="D135" s="338">
        <f>'SGTO POAI -MARZO-2021'!F275</f>
        <v>3904</v>
      </c>
      <c r="E135" s="358" t="str">
        <f>'SGTO POAI -MARZO-2021'!G275</f>
        <v>Generación de una cultura qué valora y gestiona en conocimiento y la innovación.</v>
      </c>
      <c r="F135" s="507">
        <f>'SGTO POAI -MARZO-2021'!AF275</f>
        <v>0</v>
      </c>
      <c r="G135" s="507">
        <f>'SGTO POAI -MARZO-2021'!AG275</f>
        <v>0</v>
      </c>
      <c r="H135" s="507">
        <f>'SGTO POAI -MARZO-2021'!AH275</f>
        <v>0</v>
      </c>
      <c r="I135" s="508">
        <f>'SGTO POAI -MARZO-2021'!AO275</f>
        <v>0</v>
      </c>
      <c r="J135" s="508">
        <f>'SGTO POAI -MARZO-2021'!AP275</f>
        <v>0</v>
      </c>
      <c r="K135" s="508">
        <f>'SGTO POAI -MARZO-2021'!AQ275</f>
        <v>0</v>
      </c>
      <c r="L135" s="508">
        <f>'SGTO POAI -MARZO-2021'!AR275</f>
        <v>0</v>
      </c>
      <c r="M135" s="508">
        <f>'SGTO POAI -MARZO-2021'!AS275</f>
        <v>0</v>
      </c>
      <c r="N135" s="508">
        <f>'SGTO POAI -MARZO-2021'!AT275</f>
        <v>0</v>
      </c>
      <c r="O135" s="508">
        <f>'SGTO POAI -MARZO-2021'!AU275</f>
        <v>0</v>
      </c>
      <c r="P135" s="508">
        <f>'SGTO POAI -MARZO-2021'!AV275</f>
        <v>0</v>
      </c>
      <c r="Q135" s="508">
        <f>'SGTO POAI -MARZO-2021'!AW275</f>
        <v>0</v>
      </c>
      <c r="R135" s="551">
        <f>'SGTO POAI -MARZO-2021'!BA275</f>
        <v>7500000</v>
      </c>
      <c r="S135" s="551">
        <f>'SGTO POAI -MARZO-2021'!BB275</f>
        <v>0</v>
      </c>
      <c r="T135" s="551">
        <f>'SGTO POAI -MARZO-2021'!BC275</f>
        <v>0</v>
      </c>
      <c r="U135" s="551">
        <f>'SGTO POAI -MARZO-2021'!BG276</f>
        <v>0</v>
      </c>
      <c r="V135" s="551">
        <f>'SGTO POAI -MARZO-2021'!BH276</f>
        <v>0</v>
      </c>
      <c r="W135" s="551">
        <f>'SGTO POAI -MARZO-2021'!BI276</f>
        <v>0</v>
      </c>
      <c r="X135" s="508">
        <f>F135+I135+L135+O135+R135</f>
        <v>7500000</v>
      </c>
      <c r="Y135" s="508">
        <f>G135+J135+M135+P135+S135</f>
        <v>0</v>
      </c>
      <c r="Z135" s="508">
        <f>H135+K135+N135+Q135+T135</f>
        <v>0</v>
      </c>
    </row>
    <row r="136" spans="1:26" s="11" customFormat="1" x14ac:dyDescent="0.2">
      <c r="A136" s="58"/>
      <c r="B136" s="509"/>
      <c r="C136" s="509"/>
      <c r="D136" s="509"/>
      <c r="E136" s="545"/>
      <c r="F136" s="510"/>
      <c r="G136" s="51"/>
      <c r="H136" s="18"/>
      <c r="I136" s="18"/>
      <c r="J136" s="18"/>
      <c r="K136" s="18"/>
      <c r="L136" s="57"/>
    </row>
    <row r="137" spans="1:26" ht="27.75" customHeight="1" x14ac:dyDescent="0.2">
      <c r="A137" s="544" t="s">
        <v>5</v>
      </c>
      <c r="B137" s="378" t="s">
        <v>6</v>
      </c>
      <c r="C137" s="378" t="s">
        <v>7</v>
      </c>
      <c r="D137" s="378" t="s">
        <v>1394</v>
      </c>
      <c r="E137" s="543" t="s">
        <v>8</v>
      </c>
      <c r="F137" s="951" t="s">
        <v>1556</v>
      </c>
      <c r="G137" s="945"/>
      <c r="H137" s="946"/>
      <c r="I137" s="951" t="s">
        <v>1395</v>
      </c>
      <c r="J137" s="945"/>
      <c r="K137" s="946"/>
      <c r="L137" s="951" t="s">
        <v>15</v>
      </c>
      <c r="M137" s="945"/>
      <c r="N137" s="946"/>
      <c r="O137" s="4"/>
      <c r="P137" s="53"/>
    </row>
    <row r="138" spans="1:26" ht="27.75" customHeight="1" x14ac:dyDescent="0.2">
      <c r="A138" s="663"/>
      <c r="B138" s="661"/>
      <c r="C138" s="661"/>
      <c r="D138" s="661"/>
      <c r="E138" s="662"/>
      <c r="F138" s="654" t="s">
        <v>1545</v>
      </c>
      <c r="G138" s="654" t="s">
        <v>1539</v>
      </c>
      <c r="H138" s="654" t="s">
        <v>1540</v>
      </c>
      <c r="I138" s="654" t="s">
        <v>1545</v>
      </c>
      <c r="J138" s="654" t="s">
        <v>1539</v>
      </c>
      <c r="K138" s="654" t="s">
        <v>1540</v>
      </c>
      <c r="L138" s="654" t="s">
        <v>1545</v>
      </c>
      <c r="M138" s="654" t="s">
        <v>1539</v>
      </c>
      <c r="N138" s="654" t="s">
        <v>1540</v>
      </c>
      <c r="O138" s="4"/>
      <c r="P138" s="53"/>
    </row>
    <row r="139" spans="1:26" s="11" customFormat="1" ht="24.75" customHeight="1" x14ac:dyDescent="0.2">
      <c r="A139" s="41" t="s">
        <v>792</v>
      </c>
      <c r="B139" s="42"/>
      <c r="C139" s="42"/>
      <c r="D139" s="42"/>
      <c r="E139" s="78"/>
      <c r="F139" s="47">
        <f>F140+F149+F154</f>
        <v>3526539574</v>
      </c>
      <c r="G139" s="47">
        <f t="shared" ref="G139:H139" si="163">G140+G149+G154</f>
        <v>0</v>
      </c>
      <c r="H139" s="47">
        <f t="shared" si="163"/>
        <v>0</v>
      </c>
      <c r="I139" s="47">
        <f>I140+I149+I154</f>
        <v>1656250000</v>
      </c>
      <c r="J139" s="47">
        <f t="shared" ref="J139:K139" si="164">J140+J149+J154</f>
        <v>509780000</v>
      </c>
      <c r="K139" s="47">
        <f t="shared" si="164"/>
        <v>49915000</v>
      </c>
      <c r="L139" s="47">
        <f>L140+L149+L154</f>
        <v>5182789574</v>
      </c>
      <c r="M139" s="47">
        <f t="shared" ref="M139:N139" si="165">M140+M149+M154</f>
        <v>509780000</v>
      </c>
      <c r="N139" s="47">
        <f t="shared" si="165"/>
        <v>49915000</v>
      </c>
      <c r="O139" s="18"/>
      <c r="P139" s="57"/>
    </row>
    <row r="140" spans="1:26" s="11" customFormat="1" ht="20.25" customHeight="1" x14ac:dyDescent="0.2">
      <c r="A140" s="517"/>
      <c r="B140" s="131">
        <f>'SGTO POAI -MARZO-2021'!B279</f>
        <v>1</v>
      </c>
      <c r="C140" s="74" t="str">
        <f>'SGTO POAI -MARZO-2021'!D279</f>
        <v xml:space="preserve">INCLUSIÓN SOCIAL Y EQUIDAD </v>
      </c>
      <c r="D140" s="74"/>
      <c r="E140" s="515"/>
      <c r="F140" s="502">
        <f>F141+F143+F145</f>
        <v>3526539574</v>
      </c>
      <c r="G140" s="502">
        <f t="shared" ref="G140:H140" si="166">G141+G143+G145</f>
        <v>0</v>
      </c>
      <c r="H140" s="502">
        <f t="shared" si="166"/>
        <v>0</v>
      </c>
      <c r="I140" s="502">
        <f t="shared" ref="I140:L140" si="167">I141+I143+I145</f>
        <v>1265250000</v>
      </c>
      <c r="J140" s="502">
        <f t="shared" ref="J140:K140" si="168">J141+J143+J145</f>
        <v>333530000</v>
      </c>
      <c r="K140" s="502">
        <f t="shared" si="168"/>
        <v>38895000</v>
      </c>
      <c r="L140" s="502">
        <f t="shared" si="167"/>
        <v>4791789574</v>
      </c>
      <c r="M140" s="502">
        <f t="shared" ref="M140:N140" si="169">M141+M143+M145</f>
        <v>333530000</v>
      </c>
      <c r="N140" s="502">
        <f t="shared" si="169"/>
        <v>38895000</v>
      </c>
      <c r="O140" s="18"/>
      <c r="P140" s="57"/>
    </row>
    <row r="141" spans="1:26" s="11" customFormat="1" ht="20.25" customHeight="1" x14ac:dyDescent="0.2">
      <c r="A141" s="517"/>
      <c r="B141" s="338"/>
      <c r="C141" s="77">
        <f>'SGTO POAI -MARZO-2021'!D280</f>
        <v>19</v>
      </c>
      <c r="D141" s="75" t="str">
        <f>'SGTO POAI -MARZO-2021'!E280</f>
        <v>Salud y protección social</v>
      </c>
      <c r="E141" s="504"/>
      <c r="F141" s="505">
        <f>F142</f>
        <v>0</v>
      </c>
      <c r="G141" s="505">
        <f t="shared" ref="G141:H141" si="170">G142</f>
        <v>0</v>
      </c>
      <c r="H141" s="505">
        <f t="shared" si="170"/>
        <v>0</v>
      </c>
      <c r="I141" s="505">
        <f>I142</f>
        <v>175000000</v>
      </c>
      <c r="J141" s="505">
        <f t="shared" ref="J141:K141" si="171">J142</f>
        <v>75070000</v>
      </c>
      <c r="K141" s="505">
        <f t="shared" si="171"/>
        <v>6485000</v>
      </c>
      <c r="L141" s="505">
        <f>L142</f>
        <v>175000000</v>
      </c>
      <c r="M141" s="505">
        <f t="shared" ref="M141:N141" si="172">M142</f>
        <v>75070000</v>
      </c>
      <c r="N141" s="505">
        <f t="shared" si="172"/>
        <v>6485000</v>
      </c>
      <c r="O141" s="18"/>
      <c r="P141" s="57"/>
    </row>
    <row r="142" spans="1:26" s="50" customFormat="1" ht="32.25" customHeight="1" x14ac:dyDescent="0.2">
      <c r="A142" s="518"/>
      <c r="B142" s="338"/>
      <c r="C142" s="338"/>
      <c r="D142" s="338">
        <f>'SGTO POAI -MARZO-2021'!F281</f>
        <v>1905</v>
      </c>
      <c r="E142" s="519" t="str">
        <f>'SGTO POAI -MARZO-2021'!G281</f>
        <v>Salud Pública, "Tú y yo con salud de calidad"</v>
      </c>
      <c r="F142" s="507">
        <f>'SGTO POAI -MARZO-2021'!W281</f>
        <v>0</v>
      </c>
      <c r="G142" s="507">
        <f>'SGTO POAI -MARZO-2021'!X281</f>
        <v>0</v>
      </c>
      <c r="H142" s="507">
        <f>'SGTO POAI -MARZO-2021'!Y281</f>
        <v>0</v>
      </c>
      <c r="I142" s="507">
        <f>'SGTO POAI -MARZO-2021'!BA281</f>
        <v>175000000</v>
      </c>
      <c r="J142" s="507">
        <f>'SGTO POAI -MARZO-2021'!BB281</f>
        <v>75070000</v>
      </c>
      <c r="K142" s="507">
        <f>'SGTO POAI -MARZO-2021'!BC281</f>
        <v>6485000</v>
      </c>
      <c r="L142" s="507">
        <f>F142+I142</f>
        <v>175000000</v>
      </c>
      <c r="M142" s="507">
        <f t="shared" ref="M142:N142" si="173">G142+J142</f>
        <v>75070000</v>
      </c>
      <c r="N142" s="507">
        <f t="shared" si="173"/>
        <v>6485000</v>
      </c>
      <c r="P142" s="60"/>
    </row>
    <row r="143" spans="1:26" s="50" customFormat="1" ht="32.25" customHeight="1" x14ac:dyDescent="0.2">
      <c r="A143" s="518"/>
      <c r="B143" s="338"/>
      <c r="C143" s="77">
        <f>'SGTO POAI -MARZO-2021'!D284</f>
        <v>33</v>
      </c>
      <c r="D143" s="511" t="str">
        <f>'SGTO POAI -MARZO-2021'!E284</f>
        <v>Cultura</v>
      </c>
      <c r="E143" s="512"/>
      <c r="F143" s="505">
        <f>F144</f>
        <v>0</v>
      </c>
      <c r="G143" s="505">
        <f t="shared" ref="G143:H143" si="174">G144</f>
        <v>0</v>
      </c>
      <c r="H143" s="505">
        <f t="shared" si="174"/>
        <v>0</v>
      </c>
      <c r="I143" s="505">
        <f>I144</f>
        <v>14250000</v>
      </c>
      <c r="J143" s="505">
        <f t="shared" ref="J143:K143" si="175">J144</f>
        <v>7420000</v>
      </c>
      <c r="K143" s="505">
        <f t="shared" si="175"/>
        <v>0</v>
      </c>
      <c r="L143" s="505">
        <f>L144</f>
        <v>14250000</v>
      </c>
      <c r="M143" s="505">
        <f t="shared" ref="M143:N143" si="176">M144</f>
        <v>7420000</v>
      </c>
      <c r="N143" s="505">
        <f t="shared" si="176"/>
        <v>0</v>
      </c>
      <c r="P143" s="60"/>
    </row>
    <row r="144" spans="1:26" s="50" customFormat="1" ht="48" customHeight="1" x14ac:dyDescent="0.2">
      <c r="A144" s="518"/>
      <c r="B144" s="338"/>
      <c r="C144" s="338"/>
      <c r="D144" s="338">
        <f>'SGTO POAI -MARZO-2021'!F285</f>
        <v>3301</v>
      </c>
      <c r="E144" s="358" t="str">
        <f>'SGTO POAI -MARZO-2021'!G285</f>
        <v>Promoción y acceso efectivo a procesos culturales y artísticos. "Tú y yo somos cultura Quindiana"</v>
      </c>
      <c r="F144" s="507">
        <f>'SGTO POAI -MARZO-2021'!W285</f>
        <v>0</v>
      </c>
      <c r="G144" s="507">
        <f>'SGTO POAI -MARZO-2021'!X285</f>
        <v>0</v>
      </c>
      <c r="H144" s="507">
        <f>'SGTO POAI -MARZO-2021'!Y285</f>
        <v>0</v>
      </c>
      <c r="I144" s="507">
        <f>'SGTO POAI -MARZO-2021'!BA285</f>
        <v>14250000</v>
      </c>
      <c r="J144" s="507">
        <f>'SGTO POAI -MARZO-2021'!BB285</f>
        <v>7420000</v>
      </c>
      <c r="K144" s="507">
        <f>'SGTO POAI -MARZO-2021'!BC285</f>
        <v>0</v>
      </c>
      <c r="L144" s="507">
        <f>F144+I144</f>
        <v>14250000</v>
      </c>
      <c r="M144" s="507">
        <f t="shared" ref="M144:N144" si="177">G144+J144</f>
        <v>7420000</v>
      </c>
      <c r="N144" s="507">
        <f t="shared" si="177"/>
        <v>0</v>
      </c>
      <c r="P144" s="60"/>
    </row>
    <row r="145" spans="1:27" s="50" customFormat="1" ht="28.5" customHeight="1" x14ac:dyDescent="0.2">
      <c r="A145" s="518"/>
      <c r="B145" s="338"/>
      <c r="C145" s="77">
        <f>'SGTO POAI -MARZO-2021'!D287</f>
        <v>41</v>
      </c>
      <c r="D145" s="75" t="str">
        <f>'SGTO POAI -MARZO-2021'!E287</f>
        <v>Inclusión social y Reconciliación</v>
      </c>
      <c r="E145" s="504"/>
      <c r="F145" s="505">
        <f>SUM(F146:F148)</f>
        <v>3526539574</v>
      </c>
      <c r="G145" s="505">
        <f t="shared" ref="G145:H145" si="178">SUM(G146:G148)</f>
        <v>0</v>
      </c>
      <c r="H145" s="505">
        <f t="shared" si="178"/>
        <v>0</v>
      </c>
      <c r="I145" s="505">
        <f>SUM(I146:I148)</f>
        <v>1076000000</v>
      </c>
      <c r="J145" s="505">
        <f t="shared" ref="J145:K145" si="179">SUM(J146:J148)</f>
        <v>251040000</v>
      </c>
      <c r="K145" s="505">
        <f t="shared" si="179"/>
        <v>32410000</v>
      </c>
      <c r="L145" s="505">
        <f>SUM(L146:L148)</f>
        <v>4602539574</v>
      </c>
      <c r="M145" s="505">
        <f t="shared" ref="M145:N145" si="180">SUM(M146:M148)</f>
        <v>251040000</v>
      </c>
      <c r="N145" s="505">
        <f t="shared" si="180"/>
        <v>32410000</v>
      </c>
      <c r="P145" s="60"/>
    </row>
    <row r="146" spans="1:27" s="50" customFormat="1" ht="54" customHeight="1" x14ac:dyDescent="0.2">
      <c r="A146" s="518"/>
      <c r="B146" s="338"/>
      <c r="C146" s="338"/>
      <c r="D146" s="338">
        <f>'SGTO POAI -MARZO-2021'!F288</f>
        <v>4102</v>
      </c>
      <c r="E146" s="358" t="str">
        <f>'SGTO POAI -MARZO-2021'!G288</f>
        <v>Desarrollo Integral de Niños, Niñas, Adolescentes y sus Familias. "Tú y yo niños, niñas y adolescentes con desarrollo integral"</v>
      </c>
      <c r="F146" s="507">
        <f>'SGTO POAI -MARZO-2021'!W288</f>
        <v>0</v>
      </c>
      <c r="G146" s="507">
        <f>'SGTO POAI -MARZO-2021'!X288</f>
        <v>0</v>
      </c>
      <c r="H146" s="507">
        <f>'SGTO POAI -MARZO-2021'!Y288</f>
        <v>0</v>
      </c>
      <c r="I146" s="507">
        <f>'SGTO POAI -MARZO-2021'!BA288</f>
        <v>748000000</v>
      </c>
      <c r="J146" s="507">
        <f>'SGTO POAI -MARZO-2021'!BB288</f>
        <v>178260000</v>
      </c>
      <c r="K146" s="507">
        <f>'SGTO POAI -MARZO-2021'!BC288</f>
        <v>16650000</v>
      </c>
      <c r="L146" s="507">
        <f>F146+I146</f>
        <v>748000000</v>
      </c>
      <c r="M146" s="507">
        <f t="shared" ref="M146:N148" si="181">G146+J146</f>
        <v>178260000</v>
      </c>
      <c r="N146" s="507">
        <f t="shared" si="181"/>
        <v>16650000</v>
      </c>
      <c r="P146" s="60"/>
    </row>
    <row r="147" spans="1:27" s="50" customFormat="1" ht="54" customHeight="1" x14ac:dyDescent="0.2">
      <c r="A147" s="518"/>
      <c r="B147" s="338"/>
      <c r="C147" s="338"/>
      <c r="D147" s="338">
        <f>'SGTO POAI -MARZO-2021'!F299</f>
        <v>4103</v>
      </c>
      <c r="E147" s="358" t="str">
        <f>'SGTO POAI -MARZO-2021'!G299</f>
        <v>Inclusión social y productiva para la población en situación de vulnerabilidad. "Tú y yo, población vulnerable incluida"</v>
      </c>
      <c r="F147" s="507">
        <f>'SGTO POAI -MARZO-2021'!W299</f>
        <v>0</v>
      </c>
      <c r="G147" s="507">
        <f>'SGTO POAI -MARZO-2021'!X299</f>
        <v>0</v>
      </c>
      <c r="H147" s="507">
        <f>'SGTO POAI -MARZO-2021'!Y299</f>
        <v>0</v>
      </c>
      <c r="I147" s="507">
        <f>'SGTO POAI -MARZO-2021'!BA299</f>
        <v>175000000</v>
      </c>
      <c r="J147" s="507">
        <f>'SGTO POAI -MARZO-2021'!BB299</f>
        <v>36510000</v>
      </c>
      <c r="K147" s="507">
        <f>'SGTO POAI -MARZO-2021'!BC299</f>
        <v>8135000</v>
      </c>
      <c r="L147" s="507">
        <f>F147+I147</f>
        <v>175000000</v>
      </c>
      <c r="M147" s="507">
        <f t="shared" si="181"/>
        <v>36510000</v>
      </c>
      <c r="N147" s="507">
        <f t="shared" si="181"/>
        <v>8135000</v>
      </c>
      <c r="P147" s="60"/>
    </row>
    <row r="148" spans="1:27" s="50" customFormat="1" ht="54" customHeight="1" x14ac:dyDescent="0.2">
      <c r="A148" s="518"/>
      <c r="B148" s="338"/>
      <c r="C148" s="338"/>
      <c r="D148" s="338">
        <f>'SGTO POAI -MARZO-2021'!F307</f>
        <v>4104</v>
      </c>
      <c r="E148" s="358" t="str">
        <f>'SGTO POAI -MARZO-2021'!G307</f>
        <v>Atención integral de población en situación permanente de desprotección social y/o familiar "Tú y yo con atención integral"</v>
      </c>
      <c r="F148" s="507">
        <f>'SGTO POAI -MARZO-2021'!W307</f>
        <v>3526539574</v>
      </c>
      <c r="G148" s="507">
        <f>'SGTO POAI -MARZO-2021'!X307</f>
        <v>0</v>
      </c>
      <c r="H148" s="507">
        <f>'SGTO POAI -MARZO-2021'!Y307</f>
        <v>0</v>
      </c>
      <c r="I148" s="507">
        <f>'SGTO POAI -MARZO-2021'!BA307</f>
        <v>153000000</v>
      </c>
      <c r="J148" s="507">
        <f>'SGTO POAI -MARZO-2021'!BB307</f>
        <v>36270000</v>
      </c>
      <c r="K148" s="507">
        <f>'SGTO POAI -MARZO-2021'!BC307</f>
        <v>7625000</v>
      </c>
      <c r="L148" s="507">
        <f>F148+I148</f>
        <v>3679539574</v>
      </c>
      <c r="M148" s="507">
        <f t="shared" si="181"/>
        <v>36270000</v>
      </c>
      <c r="N148" s="507">
        <f t="shared" si="181"/>
        <v>7625000</v>
      </c>
      <c r="P148" s="60"/>
    </row>
    <row r="149" spans="1:27" s="11" customFormat="1" ht="20.25" customHeight="1" x14ac:dyDescent="0.2">
      <c r="A149" s="517"/>
      <c r="B149" s="131">
        <f>'SGTO POAI -MARZO-2021'!B313</f>
        <v>2</v>
      </c>
      <c r="C149" s="74" t="str">
        <f>'SGTO POAI -MARZO-2021'!D313</f>
        <v>PRODUCTIVIDAD Y COMPETITIVIDAD</v>
      </c>
      <c r="D149" s="74"/>
      <c r="E149" s="515"/>
      <c r="F149" s="502">
        <f>F150+F152</f>
        <v>0</v>
      </c>
      <c r="G149" s="502">
        <f t="shared" ref="G149:H149" si="182">G150+G152</f>
        <v>0</v>
      </c>
      <c r="H149" s="502">
        <f t="shared" si="182"/>
        <v>0</v>
      </c>
      <c r="I149" s="502">
        <f>I150+I152</f>
        <v>36000000</v>
      </c>
      <c r="J149" s="502">
        <f t="shared" ref="J149:K149" si="183">J150+J152</f>
        <v>20440000</v>
      </c>
      <c r="K149" s="502">
        <f t="shared" si="183"/>
        <v>0</v>
      </c>
      <c r="L149" s="502">
        <f>L150+L152</f>
        <v>36000000</v>
      </c>
      <c r="M149" s="502">
        <f t="shared" ref="M149:N149" si="184">M150+M152</f>
        <v>20440000</v>
      </c>
      <c r="N149" s="502">
        <f t="shared" si="184"/>
        <v>0</v>
      </c>
      <c r="O149" s="18"/>
      <c r="P149" s="57"/>
    </row>
    <row r="150" spans="1:27" s="11" customFormat="1" ht="20.25" customHeight="1" x14ac:dyDescent="0.2">
      <c r="A150" s="517"/>
      <c r="B150" s="338"/>
      <c r="C150" s="77">
        <f>'SGTO POAI -MARZO-2021'!D314</f>
        <v>17</v>
      </c>
      <c r="D150" s="75" t="str">
        <f>'SGTO POAI -MARZO-2021'!E314</f>
        <v>Agricultura y desarrollo rural</v>
      </c>
      <c r="E150" s="504"/>
      <c r="F150" s="505">
        <f>F151</f>
        <v>0</v>
      </c>
      <c r="G150" s="505">
        <f t="shared" ref="G150:H150" si="185">G151</f>
        <v>0</v>
      </c>
      <c r="H150" s="505">
        <f t="shared" si="185"/>
        <v>0</v>
      </c>
      <c r="I150" s="505">
        <f>I151</f>
        <v>18000000</v>
      </c>
      <c r="J150" s="505">
        <f t="shared" ref="J150:K150" si="186">J151</f>
        <v>11540000</v>
      </c>
      <c r="K150" s="505">
        <f t="shared" si="186"/>
        <v>0</v>
      </c>
      <c r="L150" s="505">
        <f>L151</f>
        <v>18000000</v>
      </c>
      <c r="M150" s="505">
        <f t="shared" ref="M150:N150" si="187">M151</f>
        <v>11540000</v>
      </c>
      <c r="N150" s="505">
        <f t="shared" si="187"/>
        <v>0</v>
      </c>
      <c r="O150" s="18"/>
      <c r="P150" s="57"/>
    </row>
    <row r="151" spans="1:27" s="50" customFormat="1" ht="60" customHeight="1" x14ac:dyDescent="0.2">
      <c r="A151" s="518"/>
      <c r="B151" s="338"/>
      <c r="C151" s="338"/>
      <c r="D151" s="338">
        <f>'SGTO POAI -MARZO-2021'!F315</f>
        <v>1702</v>
      </c>
      <c r="E151" s="358" t="str">
        <f>'SGTO POAI -MARZO-2021'!G315</f>
        <v>Inclusión productiva de pequeños productores rurales. "Tú y yo con oportunidades para el pequeño campesino"</v>
      </c>
      <c r="F151" s="507">
        <f>'SGTO POAI -MARZO-2021'!W315</f>
        <v>0</v>
      </c>
      <c r="G151" s="507">
        <f>'SGTO POAI -MARZO-2021'!X315</f>
        <v>0</v>
      </c>
      <c r="H151" s="507">
        <f>'SGTO POAI -MARZO-2021'!Y315</f>
        <v>0</v>
      </c>
      <c r="I151" s="507">
        <f>'SGTO POAI -MARZO-2021'!BA315</f>
        <v>18000000</v>
      </c>
      <c r="J151" s="507">
        <f>'SGTO POAI -MARZO-2021'!BB315</f>
        <v>11540000</v>
      </c>
      <c r="K151" s="507">
        <f>'SGTO POAI -MARZO-2021'!BC315</f>
        <v>0</v>
      </c>
      <c r="L151" s="507">
        <f>F151+I151</f>
        <v>18000000</v>
      </c>
      <c r="M151" s="507">
        <f t="shared" ref="M151:N151" si="188">G151+J151</f>
        <v>11540000</v>
      </c>
      <c r="N151" s="507">
        <f t="shared" si="188"/>
        <v>0</v>
      </c>
      <c r="P151" s="60"/>
    </row>
    <row r="152" spans="1:27" s="50" customFormat="1" ht="25.5" customHeight="1" x14ac:dyDescent="0.2">
      <c r="A152" s="518"/>
      <c r="B152" s="338"/>
      <c r="C152" s="77">
        <f>'SGTO POAI -MARZO-2021'!D317</f>
        <v>36</v>
      </c>
      <c r="D152" s="511" t="str">
        <f>'SGTO POAI -MARZO-2021'!E317</f>
        <v>Trabajo</v>
      </c>
      <c r="E152" s="512"/>
      <c r="F152" s="505">
        <f>F153</f>
        <v>0</v>
      </c>
      <c r="G152" s="505">
        <f t="shared" ref="G152:H152" si="189">G153</f>
        <v>0</v>
      </c>
      <c r="H152" s="505">
        <f t="shared" si="189"/>
        <v>0</v>
      </c>
      <c r="I152" s="505">
        <f>I153</f>
        <v>18000000</v>
      </c>
      <c r="J152" s="505">
        <f t="shared" ref="J152:K152" si="190">J153</f>
        <v>8900000</v>
      </c>
      <c r="K152" s="505">
        <f t="shared" si="190"/>
        <v>0</v>
      </c>
      <c r="L152" s="505">
        <f>L153</f>
        <v>18000000</v>
      </c>
      <c r="M152" s="505">
        <f t="shared" ref="M152:N152" si="191">M153</f>
        <v>8900000</v>
      </c>
      <c r="N152" s="505">
        <f t="shared" si="191"/>
        <v>0</v>
      </c>
      <c r="P152" s="60"/>
    </row>
    <row r="153" spans="1:27" s="50" customFormat="1" ht="54" customHeight="1" x14ac:dyDescent="0.2">
      <c r="A153" s="518"/>
      <c r="B153" s="338"/>
      <c r="C153" s="338"/>
      <c r="D153" s="338">
        <f>'SGTO POAI -MARZO-2021'!F318</f>
        <v>3604</v>
      </c>
      <c r="E153" s="358" t="str">
        <f>'SGTO POAI -MARZO-2021'!G318</f>
        <v>Derechos fundamentales del trabajo y fortalecimiento del diálogo social. "Tú y yo con una niñez protegida"</v>
      </c>
      <c r="F153" s="507">
        <f>'SGTO POAI -MARZO-2021'!W318</f>
        <v>0</v>
      </c>
      <c r="G153" s="507">
        <f>'SGTO POAI -MARZO-2021'!X318</f>
        <v>0</v>
      </c>
      <c r="H153" s="507">
        <f>'SGTO POAI -MARZO-2021'!Y318</f>
        <v>0</v>
      </c>
      <c r="I153" s="507">
        <f>'SGTO POAI -MARZO-2021'!BA318</f>
        <v>18000000</v>
      </c>
      <c r="J153" s="507">
        <f>'SGTO POAI -MARZO-2021'!BB318</f>
        <v>8900000</v>
      </c>
      <c r="K153" s="507">
        <f>'SGTO POAI -MARZO-2021'!BC318</f>
        <v>0</v>
      </c>
      <c r="L153" s="507">
        <f>F153+I153</f>
        <v>18000000</v>
      </c>
      <c r="M153" s="507">
        <f t="shared" ref="M153:N153" si="192">G153+J153</f>
        <v>8900000</v>
      </c>
      <c r="N153" s="507">
        <f t="shared" si="192"/>
        <v>0</v>
      </c>
      <c r="P153" s="60"/>
    </row>
    <row r="154" spans="1:27" s="11" customFormat="1" ht="21" customHeight="1" x14ac:dyDescent="0.2">
      <c r="A154" s="517"/>
      <c r="B154" s="131">
        <f>'SGTO POAI -MARZO-2021'!B320</f>
        <v>4</v>
      </c>
      <c r="C154" s="74" t="str">
        <f>'SGTO POAI -MARZO-2021'!D320</f>
        <v xml:space="preserve">LIDERAZGO, GOBERNABILIDAD Y TRANSPARENCIA </v>
      </c>
      <c r="D154" s="74"/>
      <c r="E154" s="515"/>
      <c r="F154" s="502">
        <f t="shared" ref="F154:N155" si="193">F155</f>
        <v>0</v>
      </c>
      <c r="G154" s="502">
        <f t="shared" si="193"/>
        <v>0</v>
      </c>
      <c r="H154" s="502">
        <f t="shared" si="193"/>
        <v>0</v>
      </c>
      <c r="I154" s="502">
        <f t="shared" si="193"/>
        <v>355000000</v>
      </c>
      <c r="J154" s="502">
        <f t="shared" si="193"/>
        <v>155810000</v>
      </c>
      <c r="K154" s="502">
        <f t="shared" si="193"/>
        <v>11020000</v>
      </c>
      <c r="L154" s="502">
        <f t="shared" si="193"/>
        <v>355000000</v>
      </c>
      <c r="M154" s="502">
        <f t="shared" si="193"/>
        <v>155810000</v>
      </c>
      <c r="N154" s="502">
        <f t="shared" si="193"/>
        <v>11020000</v>
      </c>
      <c r="O154" s="18"/>
      <c r="P154" s="57"/>
    </row>
    <row r="155" spans="1:27" s="11" customFormat="1" ht="21" customHeight="1" x14ac:dyDescent="0.2">
      <c r="A155" s="517"/>
      <c r="B155" s="338"/>
      <c r="C155" s="77">
        <f>'SGTO POAI -MARZO-2021'!D321</f>
        <v>45</v>
      </c>
      <c r="D155" s="75" t="str">
        <f>'SGTO POAI -MARZO-2021'!E321</f>
        <v>Gobierno Territorial</v>
      </c>
      <c r="E155" s="504"/>
      <c r="F155" s="505">
        <f t="shared" si="193"/>
        <v>0</v>
      </c>
      <c r="G155" s="505">
        <f t="shared" si="193"/>
        <v>0</v>
      </c>
      <c r="H155" s="505">
        <f t="shared" si="193"/>
        <v>0</v>
      </c>
      <c r="I155" s="505">
        <f>SUM(I156:I157)</f>
        <v>355000000</v>
      </c>
      <c r="J155" s="505">
        <f t="shared" ref="J155:K155" si="194">SUM(J156:J157)</f>
        <v>155810000</v>
      </c>
      <c r="K155" s="505">
        <f t="shared" si="194"/>
        <v>11020000</v>
      </c>
      <c r="L155" s="505">
        <f>SUM(L156:L157)</f>
        <v>355000000</v>
      </c>
      <c r="M155" s="505">
        <f t="shared" ref="M155:N155" si="195">SUM(M156:M157)</f>
        <v>155810000</v>
      </c>
      <c r="N155" s="505">
        <f t="shared" si="195"/>
        <v>11020000</v>
      </c>
      <c r="O155" s="18"/>
      <c r="P155" s="57"/>
    </row>
    <row r="156" spans="1:27" s="50" customFormat="1" ht="67.5" customHeight="1" x14ac:dyDescent="0.2">
      <c r="A156" s="518"/>
      <c r="B156" s="338"/>
      <c r="C156" s="338"/>
      <c r="D156" s="338">
        <f>'SGTO POAI -MARZO-2021'!F322</f>
        <v>4502</v>
      </c>
      <c r="E156" s="358" t="str">
        <f>'SGTO POAI -MARZO-2021'!G322</f>
        <v>Fortalecimiento del buen gobierno para el respeto y garantía de los derechos humanos. "Quindío integrado y participativo"</v>
      </c>
      <c r="F156" s="507">
        <f>'SGTO POAI -MARZO-2021'!W322</f>
        <v>0</v>
      </c>
      <c r="G156" s="507">
        <f>'SGTO POAI -MARZO-2021'!X322</f>
        <v>0</v>
      </c>
      <c r="H156" s="507">
        <f>'SGTO POAI -MARZO-2021'!Y322</f>
        <v>0</v>
      </c>
      <c r="I156" s="507">
        <f>'SGTO POAI -MARZO-2021'!BA322</f>
        <v>251000000</v>
      </c>
      <c r="J156" s="507">
        <f>'SGTO POAI -MARZO-2021'!BB322</f>
        <v>126130000</v>
      </c>
      <c r="K156" s="507">
        <f>'SGTO POAI -MARZO-2021'!BC322</f>
        <v>8135000</v>
      </c>
      <c r="L156" s="507">
        <f>F156+I156</f>
        <v>251000000</v>
      </c>
      <c r="M156" s="507">
        <f t="shared" ref="M156:N157" si="196">G156+J156</f>
        <v>126130000</v>
      </c>
      <c r="N156" s="507">
        <f t="shared" si="196"/>
        <v>8135000</v>
      </c>
      <c r="P156" s="60"/>
    </row>
    <row r="157" spans="1:27" s="50" customFormat="1" ht="84.75" customHeight="1" x14ac:dyDescent="0.2">
      <c r="A157" s="518"/>
      <c r="B157" s="338"/>
      <c r="C157" s="338"/>
      <c r="D157" s="338">
        <f>'SGTO POAI -MARZO-2021'!F328</f>
        <v>4599</v>
      </c>
      <c r="E157" s="538" t="str">
        <f>'SGTO POAI -MARZO-2021'!G328</f>
        <v>Fortalecimiento a la gestión y dirección de la administración pública territorial "Quindío con una administración al servicio de la ciudadanía"</v>
      </c>
      <c r="F157" s="507">
        <f>'SGTO POAI -MARZO-2021'!W323</f>
        <v>0</v>
      </c>
      <c r="G157" s="507">
        <f>'SGTO POAI -MARZO-2021'!X323</f>
        <v>0</v>
      </c>
      <c r="H157" s="507">
        <f>'SGTO POAI -MARZO-2021'!Y323</f>
        <v>0</v>
      </c>
      <c r="I157" s="507">
        <f>'SGTO POAI -MARZO-2021'!BJ328</f>
        <v>104000000</v>
      </c>
      <c r="J157" s="507">
        <f>'SGTO POAI -MARZO-2021'!BK328</f>
        <v>29680000</v>
      </c>
      <c r="K157" s="507">
        <f>'SGTO POAI -MARZO-2021'!BL328</f>
        <v>2885000</v>
      </c>
      <c r="L157" s="507">
        <f>F157+I157</f>
        <v>104000000</v>
      </c>
      <c r="M157" s="507">
        <f t="shared" si="196"/>
        <v>29680000</v>
      </c>
      <c r="N157" s="507">
        <f t="shared" si="196"/>
        <v>2885000</v>
      </c>
      <c r="P157" s="60"/>
    </row>
    <row r="158" spans="1:27" s="11" customFormat="1" x14ac:dyDescent="0.2">
      <c r="A158" s="58"/>
      <c r="B158" s="509"/>
      <c r="C158" s="509"/>
      <c r="D158" s="509"/>
      <c r="E158" s="545"/>
      <c r="F158" s="510"/>
      <c r="G158" s="51"/>
      <c r="H158" s="18"/>
      <c r="I158" s="18"/>
      <c r="J158" s="18"/>
      <c r="K158" s="18"/>
      <c r="L158" s="57"/>
    </row>
    <row r="159" spans="1:27" s="11" customFormat="1" ht="24" customHeight="1" x14ac:dyDescent="0.2">
      <c r="A159" s="935" t="s">
        <v>5</v>
      </c>
      <c r="B159" s="935" t="s">
        <v>6</v>
      </c>
      <c r="C159" s="935" t="s">
        <v>7</v>
      </c>
      <c r="D159" s="935" t="s">
        <v>1394</v>
      </c>
      <c r="E159" s="930" t="s">
        <v>8</v>
      </c>
      <c r="F159" s="945" t="s">
        <v>1406</v>
      </c>
      <c r="G159" s="945"/>
      <c r="H159" s="946"/>
      <c r="I159" s="951" t="s">
        <v>1577</v>
      </c>
      <c r="J159" s="945"/>
      <c r="K159" s="946"/>
      <c r="L159" s="951" t="s">
        <v>1578</v>
      </c>
      <c r="M159" s="945"/>
      <c r="N159" s="946"/>
      <c r="O159" s="951" t="s">
        <v>1395</v>
      </c>
      <c r="P159" s="945"/>
      <c r="Q159" s="946"/>
      <c r="R159" s="951" t="s">
        <v>1557</v>
      </c>
      <c r="S159" s="945"/>
      <c r="T159" s="946"/>
      <c r="U159" s="951" t="s">
        <v>15</v>
      </c>
      <c r="V159" s="945"/>
      <c r="W159" s="946"/>
      <c r="X159" s="382"/>
      <c r="Y159" s="383"/>
      <c r="AA159" s="382"/>
    </row>
    <row r="160" spans="1:27" s="11" customFormat="1" ht="24" customHeight="1" x14ac:dyDescent="0.2">
      <c r="A160" s="935"/>
      <c r="B160" s="935"/>
      <c r="C160" s="935"/>
      <c r="D160" s="935"/>
      <c r="E160" s="930"/>
      <c r="F160" s="653" t="s">
        <v>1545</v>
      </c>
      <c r="G160" s="654" t="s">
        <v>1539</v>
      </c>
      <c r="H160" s="654" t="s">
        <v>1540</v>
      </c>
      <c r="I160" s="654" t="s">
        <v>1545</v>
      </c>
      <c r="J160" s="654" t="s">
        <v>1539</v>
      </c>
      <c r="K160" s="654" t="s">
        <v>1540</v>
      </c>
      <c r="L160" s="654" t="s">
        <v>1545</v>
      </c>
      <c r="M160" s="654" t="s">
        <v>1539</v>
      </c>
      <c r="N160" s="654" t="s">
        <v>1540</v>
      </c>
      <c r="O160" s="654" t="s">
        <v>1545</v>
      </c>
      <c r="P160" s="654" t="s">
        <v>1539</v>
      </c>
      <c r="Q160" s="654" t="s">
        <v>1540</v>
      </c>
      <c r="R160" s="654" t="s">
        <v>1545</v>
      </c>
      <c r="S160" s="654" t="s">
        <v>1539</v>
      </c>
      <c r="T160" s="654" t="s">
        <v>1540</v>
      </c>
      <c r="U160" s="654" t="s">
        <v>1545</v>
      </c>
      <c r="V160" s="654" t="s">
        <v>1539</v>
      </c>
      <c r="W160" s="654" t="s">
        <v>1540</v>
      </c>
      <c r="X160" s="382"/>
      <c r="Y160" s="383"/>
      <c r="AA160" s="382"/>
    </row>
    <row r="161" spans="1:25" ht="24" customHeight="1" x14ac:dyDescent="0.2">
      <c r="A161" s="45" t="s">
        <v>1013</v>
      </c>
      <c r="B161" s="46"/>
      <c r="C161" s="46"/>
      <c r="D161" s="46"/>
      <c r="E161" s="80"/>
      <c r="F161" s="43">
        <f t="shared" ref="F161:N162" si="197">F162</f>
        <v>6893527853.4899998</v>
      </c>
      <c r="G161" s="43">
        <f t="shared" si="197"/>
        <v>1923180036</v>
      </c>
      <c r="H161" s="43">
        <f t="shared" si="197"/>
        <v>183157000</v>
      </c>
      <c r="I161" s="43">
        <f t="shared" si="197"/>
        <v>400000000</v>
      </c>
      <c r="J161" s="43">
        <f t="shared" si="197"/>
        <v>0</v>
      </c>
      <c r="K161" s="43">
        <f t="shared" si="197"/>
        <v>0</v>
      </c>
      <c r="L161" s="43">
        <f t="shared" si="197"/>
        <v>35242837560</v>
      </c>
      <c r="M161" s="43">
        <f t="shared" si="197"/>
        <v>31380939122</v>
      </c>
      <c r="N161" s="43">
        <f t="shared" si="197"/>
        <v>9093990335.3199997</v>
      </c>
      <c r="O161" s="43">
        <f t="shared" ref="O161:W162" si="198">O162</f>
        <v>2034618945</v>
      </c>
      <c r="P161" s="43">
        <f t="shared" si="198"/>
        <v>535843945</v>
      </c>
      <c r="Q161" s="43">
        <f t="shared" si="198"/>
        <v>48414376</v>
      </c>
      <c r="R161" s="43">
        <f t="shared" si="198"/>
        <v>2632245289</v>
      </c>
      <c r="S161" s="43">
        <f t="shared" si="198"/>
        <v>168889789.32999998</v>
      </c>
      <c r="T161" s="43">
        <f t="shared" si="198"/>
        <v>113711497.33</v>
      </c>
      <c r="U161" s="43">
        <f t="shared" si="198"/>
        <v>47203229647.489998</v>
      </c>
      <c r="V161" s="43">
        <f t="shared" si="198"/>
        <v>34008852892.330002</v>
      </c>
      <c r="W161" s="43">
        <f t="shared" si="198"/>
        <v>9439273208.6499996</v>
      </c>
      <c r="Y161" s="20"/>
    </row>
    <row r="162" spans="1:25" ht="24" customHeight="1" x14ac:dyDescent="0.2">
      <c r="A162" s="145"/>
      <c r="B162" s="131">
        <f>'SGTO POAI -MARZO-2021'!B334</f>
        <v>1</v>
      </c>
      <c r="C162" s="74" t="str">
        <f>'SGTO POAI -MARZO-2021'!D334</f>
        <v xml:space="preserve">INCLUSIÓN SOCIAL Y EQUIDAD </v>
      </c>
      <c r="D162" s="74"/>
      <c r="E162" s="515"/>
      <c r="F162" s="502">
        <f t="shared" si="197"/>
        <v>6893527853.4899998</v>
      </c>
      <c r="G162" s="502">
        <f t="shared" si="197"/>
        <v>1923180036</v>
      </c>
      <c r="H162" s="502">
        <f t="shared" si="197"/>
        <v>183157000</v>
      </c>
      <c r="I162" s="502">
        <f t="shared" si="197"/>
        <v>400000000</v>
      </c>
      <c r="J162" s="502">
        <f t="shared" si="197"/>
        <v>0</v>
      </c>
      <c r="K162" s="502">
        <f t="shared" si="197"/>
        <v>0</v>
      </c>
      <c r="L162" s="502">
        <f t="shared" si="197"/>
        <v>35242837560</v>
      </c>
      <c r="M162" s="502">
        <f t="shared" si="197"/>
        <v>31380939122</v>
      </c>
      <c r="N162" s="502">
        <f t="shared" si="197"/>
        <v>9093990335.3199997</v>
      </c>
      <c r="O162" s="502">
        <f t="shared" si="198"/>
        <v>2034618945</v>
      </c>
      <c r="P162" s="502">
        <f t="shared" si="198"/>
        <v>535843945</v>
      </c>
      <c r="Q162" s="502">
        <f t="shared" si="198"/>
        <v>48414376</v>
      </c>
      <c r="R162" s="502">
        <f t="shared" si="198"/>
        <v>2632245289</v>
      </c>
      <c r="S162" s="502">
        <f t="shared" si="198"/>
        <v>168889789.32999998</v>
      </c>
      <c r="T162" s="502">
        <f t="shared" si="198"/>
        <v>113711497.33</v>
      </c>
      <c r="U162" s="502">
        <f>U163</f>
        <v>47203229647.489998</v>
      </c>
      <c r="V162" s="502">
        <f t="shared" si="198"/>
        <v>34008852892.330002</v>
      </c>
      <c r="W162" s="502">
        <f t="shared" si="198"/>
        <v>9439273208.6499996</v>
      </c>
    </row>
    <row r="163" spans="1:25" ht="24" customHeight="1" x14ac:dyDescent="0.2">
      <c r="A163" s="145"/>
      <c r="B163" s="338"/>
      <c r="C163" s="77">
        <f>'SGTO POAI -MARZO-2021'!D335</f>
        <v>19</v>
      </c>
      <c r="D163" s="75" t="str">
        <f>'SGTO POAI -MARZO-2021'!E335</f>
        <v>Salud y protección social</v>
      </c>
      <c r="E163" s="504"/>
      <c r="F163" s="505">
        <f t="shared" ref="F163:U163" si="199">SUM(F164:F166)</f>
        <v>6893527853.4899998</v>
      </c>
      <c r="G163" s="505">
        <f t="shared" ref="G163:H163" si="200">SUM(G164:G166)</f>
        <v>1923180036</v>
      </c>
      <c r="H163" s="505">
        <f t="shared" si="200"/>
        <v>183157000</v>
      </c>
      <c r="I163" s="505">
        <f t="shared" si="199"/>
        <v>400000000</v>
      </c>
      <c r="J163" s="505">
        <f t="shared" ref="J163:K163" si="201">SUM(J164:J166)</f>
        <v>0</v>
      </c>
      <c r="K163" s="505">
        <f t="shared" si="201"/>
        <v>0</v>
      </c>
      <c r="L163" s="505">
        <f t="shared" si="199"/>
        <v>35242837560</v>
      </c>
      <c r="M163" s="505">
        <f t="shared" ref="M163:N163" si="202">SUM(M164:M166)</f>
        <v>31380939122</v>
      </c>
      <c r="N163" s="505">
        <f t="shared" si="202"/>
        <v>9093990335.3199997</v>
      </c>
      <c r="O163" s="505">
        <f t="shared" si="199"/>
        <v>2034618945</v>
      </c>
      <c r="P163" s="505">
        <f t="shared" ref="P163:Q163" si="203">SUM(P164:P166)</f>
        <v>535843945</v>
      </c>
      <c r="Q163" s="505">
        <f t="shared" si="203"/>
        <v>48414376</v>
      </c>
      <c r="R163" s="505">
        <f t="shared" si="199"/>
        <v>2632245289</v>
      </c>
      <c r="S163" s="505">
        <f t="shared" ref="S163:T163" si="204">SUM(S164:S166)</f>
        <v>168889789.32999998</v>
      </c>
      <c r="T163" s="505">
        <f t="shared" si="204"/>
        <v>113711497.33</v>
      </c>
      <c r="U163" s="505">
        <f t="shared" si="199"/>
        <v>47203229647.489998</v>
      </c>
      <c r="V163" s="505">
        <f t="shared" ref="V163:W163" si="205">SUM(V164:V166)</f>
        <v>34008852892.330002</v>
      </c>
      <c r="W163" s="505">
        <f t="shared" si="205"/>
        <v>9439273208.6499996</v>
      </c>
    </row>
    <row r="164" spans="1:25" s="44" customFormat="1" ht="35.25" customHeight="1" x14ac:dyDescent="0.2">
      <c r="A164" s="337"/>
      <c r="B164" s="338"/>
      <c r="C164" s="338"/>
      <c r="D164" s="338">
        <f>'SGTO POAI -MARZO-2021'!F336</f>
        <v>1903</v>
      </c>
      <c r="E164" s="358" t="str">
        <f>'SGTO POAI -MARZO-2021'!G336</f>
        <v xml:space="preserve">Inspección, vigilancia y control. "Tú y yo con salud certificada" </v>
      </c>
      <c r="F164" s="507">
        <f>'SGTO POAI -MARZO-2021'!AI336</f>
        <v>1389901448</v>
      </c>
      <c r="G164" s="507">
        <f>'SGTO POAI -MARZO-2021'!AJ336</f>
        <v>486756000</v>
      </c>
      <c r="H164" s="507">
        <f>'SGTO POAI -MARZO-2021'!AK336</f>
        <v>85207000</v>
      </c>
      <c r="I164" s="507">
        <f>'SGTO POAI -MARZO-2021'!AF336</f>
        <v>0</v>
      </c>
      <c r="J164" s="507">
        <f>'SGTO POAI -MARZO-2021'!AG336</f>
        <v>0</v>
      </c>
      <c r="K164" s="507">
        <f>'SGTO POAI -MARZO-2021'!AH336</f>
        <v>0</v>
      </c>
      <c r="L164" s="507">
        <f>'SGTO POAI -MARZO-2021'!AL336</f>
        <v>91081005</v>
      </c>
      <c r="M164" s="507">
        <f>'SGTO POAI -MARZO-2021'!AM336</f>
        <v>29680000</v>
      </c>
      <c r="N164" s="507">
        <f>'SGTO POAI -MARZO-2021'!AN336</f>
        <v>5770000</v>
      </c>
      <c r="O164" s="507">
        <f>'SGTO POAI -MARZO-2021'!BA336</f>
        <v>252324569</v>
      </c>
      <c r="P164" s="507">
        <f>'SGTO POAI -MARZO-2021'!BB336</f>
        <v>157834569</v>
      </c>
      <c r="Q164" s="507">
        <f>'SGTO POAI -MARZO-2021'!BC336</f>
        <v>5770000</v>
      </c>
      <c r="R164" s="507">
        <f>'SGTO POAI -MARZO-2021'!BG336</f>
        <v>877778292</v>
      </c>
      <c r="S164" s="507">
        <f>'SGTO POAI -MARZO-2021'!BH336</f>
        <v>86287980.329999998</v>
      </c>
      <c r="T164" s="507">
        <f>'SGTO POAI -MARZO-2021'!BI336</f>
        <v>31109688.329999998</v>
      </c>
      <c r="U164" s="507">
        <f>F164+I164+L164+O164+R164</f>
        <v>2611085314</v>
      </c>
      <c r="V164" s="507">
        <f>G164+J164+M164+P164+S164</f>
        <v>760558549.33000004</v>
      </c>
      <c r="W164" s="507">
        <f t="shared" ref="V164:W166" si="206">H164+K164+N164+Q164+T164</f>
        <v>127856688.33</v>
      </c>
    </row>
    <row r="165" spans="1:25" s="44" customFormat="1" ht="31.5" customHeight="1" x14ac:dyDescent="0.2">
      <c r="A165" s="337"/>
      <c r="B165" s="338"/>
      <c r="C165" s="338"/>
      <c r="D165" s="338">
        <f>'SGTO POAI -MARZO-2021'!F359</f>
        <v>1905</v>
      </c>
      <c r="E165" s="358" t="str">
        <f>'SGTO POAI -MARZO-2021'!G359</f>
        <v>Salud Pública, "Tú y yo con salud de calidad"</v>
      </c>
      <c r="F165" s="507">
        <f>'SGTO POAI -MARZO-2021'!AI359</f>
        <v>3279598376.4899998</v>
      </c>
      <c r="G165" s="507">
        <f>'SGTO POAI -MARZO-2021'!AJ359</f>
        <v>1436424036</v>
      </c>
      <c r="H165" s="507">
        <f>'SGTO POAI -MARZO-2021'!AK359</f>
        <v>97950000</v>
      </c>
      <c r="I165" s="507">
        <f>'SGTO POAI -MARZO-2021'!AF359</f>
        <v>0</v>
      </c>
      <c r="J165" s="507">
        <f>'SGTO POAI -MARZO-2021'!AG359</f>
        <v>0</v>
      </c>
      <c r="K165" s="507">
        <f>'SGTO POAI -MARZO-2021'!AH359</f>
        <v>0</v>
      </c>
      <c r="L165" s="507">
        <f>'SGTO POAI -MARZO-2021'!AL359</f>
        <v>0</v>
      </c>
      <c r="M165" s="507">
        <f>'SGTO POAI -MARZO-2021'!AM359</f>
        <v>0</v>
      </c>
      <c r="N165" s="507">
        <f>'SGTO POAI -MARZO-2021'!AN359</f>
        <v>0</v>
      </c>
      <c r="O165" s="507">
        <f>'SGTO POAI -MARZO-2021'!BA359</f>
        <v>1551904376</v>
      </c>
      <c r="P165" s="507">
        <f>'SGTO POAI -MARZO-2021'!BB359</f>
        <v>291309376</v>
      </c>
      <c r="Q165" s="507">
        <f>'SGTO POAI -MARZO-2021'!BC359</f>
        <v>29989376</v>
      </c>
      <c r="R165" s="507">
        <f>'SGTO POAI -MARZO-2021'!BG359</f>
        <v>392854357</v>
      </c>
      <c r="S165" s="507">
        <f>'SGTO POAI -MARZO-2021'!BH359</f>
        <v>82601809</v>
      </c>
      <c r="T165" s="507">
        <f>'SGTO POAI -MARZO-2021'!BI359</f>
        <v>82601809</v>
      </c>
      <c r="U165" s="507">
        <f>F165+I165+L165+O165+R165</f>
        <v>5224357109.4899998</v>
      </c>
      <c r="V165" s="507">
        <f t="shared" si="206"/>
        <v>1810335221</v>
      </c>
      <c r="W165" s="507">
        <f t="shared" si="206"/>
        <v>210541185</v>
      </c>
    </row>
    <row r="166" spans="1:25" s="44" customFormat="1" ht="57.75" customHeight="1" x14ac:dyDescent="0.2">
      <c r="A166" s="337"/>
      <c r="B166" s="338"/>
      <c r="C166" s="338"/>
      <c r="D166" s="338">
        <f>'SGTO POAI -MARZO-2021'!F389</f>
        <v>1906</v>
      </c>
      <c r="E166" s="358" t="str">
        <f>'SGTO POAI -MARZO-2021'!G389</f>
        <v>Aseguramiento y Prestación integral de servicios de salud "Tú y yo con servicios de salud"</v>
      </c>
      <c r="F166" s="507">
        <f>'SGTO POAI -MARZO-2021'!AI389</f>
        <v>2224028029</v>
      </c>
      <c r="G166" s="507">
        <f>'SGTO POAI -MARZO-2021'!AJ389</f>
        <v>0</v>
      </c>
      <c r="H166" s="507">
        <f>'SGTO POAI -MARZO-2021'!AK389</f>
        <v>0</v>
      </c>
      <c r="I166" s="507">
        <f>'SGTO POAI -MARZO-2021'!AF389</f>
        <v>400000000</v>
      </c>
      <c r="J166" s="507">
        <f>'SGTO POAI -MARZO-2021'!AG389</f>
        <v>0</v>
      </c>
      <c r="K166" s="507">
        <f>'SGTO POAI -MARZO-2021'!AH389</f>
        <v>0</v>
      </c>
      <c r="L166" s="507">
        <f>'SGTO POAI -MARZO-2021'!AL389</f>
        <v>35151756555</v>
      </c>
      <c r="M166" s="507">
        <f>'SGTO POAI -MARZO-2021'!AM389</f>
        <v>31351259122</v>
      </c>
      <c r="N166" s="507">
        <f>'SGTO POAI -MARZO-2021'!AN389</f>
        <v>9088220335.3199997</v>
      </c>
      <c r="O166" s="507">
        <f>'SGTO POAI -MARZO-2021'!BA389</f>
        <v>230390000</v>
      </c>
      <c r="P166" s="507">
        <f>'SGTO POAI -MARZO-2021'!BB389</f>
        <v>86700000</v>
      </c>
      <c r="Q166" s="507">
        <f>'SGTO POAI -MARZO-2021'!BC389</f>
        <v>12655000</v>
      </c>
      <c r="R166" s="507">
        <f>'SGTO POAI -MARZO-2021'!BG389</f>
        <v>1361612640</v>
      </c>
      <c r="S166" s="507">
        <f>'SGTO POAI -MARZO-2021'!BH389</f>
        <v>0</v>
      </c>
      <c r="T166" s="507">
        <f>'SGTO POAI -MARZO-2021'!BI389</f>
        <v>0</v>
      </c>
      <c r="U166" s="507">
        <f>F166+I166+L166+O166+R166</f>
        <v>39367787224</v>
      </c>
      <c r="V166" s="507">
        <f t="shared" si="206"/>
        <v>31437959122</v>
      </c>
      <c r="W166" s="507">
        <f t="shared" si="206"/>
        <v>9100875335.3199997</v>
      </c>
    </row>
    <row r="167" spans="1:25" s="11" customFormat="1" x14ac:dyDescent="0.2">
      <c r="A167" s="58"/>
      <c r="B167" s="509"/>
      <c r="C167" s="509"/>
      <c r="D167" s="509"/>
      <c r="E167" s="545"/>
      <c r="F167" s="510"/>
      <c r="G167" s="51"/>
      <c r="H167" s="18"/>
      <c r="I167" s="18"/>
      <c r="J167" s="18"/>
      <c r="K167" s="18"/>
      <c r="L167" s="57"/>
    </row>
    <row r="168" spans="1:25" s="11" customFormat="1" ht="24" customHeight="1" x14ac:dyDescent="0.2">
      <c r="A168" s="73" t="s">
        <v>5</v>
      </c>
      <c r="B168" s="73" t="s">
        <v>6</v>
      </c>
      <c r="C168" s="378" t="s">
        <v>7</v>
      </c>
      <c r="D168" s="378" t="s">
        <v>1394</v>
      </c>
      <c r="E168" s="543" t="s">
        <v>8</v>
      </c>
      <c r="F168" s="952" t="s">
        <v>1395</v>
      </c>
      <c r="G168" s="953"/>
      <c r="H168" s="954"/>
      <c r="I168" s="18"/>
      <c r="J168" s="18"/>
      <c r="K168" s="18"/>
      <c r="L168" s="57"/>
    </row>
    <row r="169" spans="1:25" s="11" customFormat="1" ht="24" customHeight="1" x14ac:dyDescent="0.2">
      <c r="A169" s="656"/>
      <c r="B169" s="656"/>
      <c r="C169" s="661"/>
      <c r="D169" s="661"/>
      <c r="E169" s="662"/>
      <c r="F169" s="654" t="s">
        <v>1545</v>
      </c>
      <c r="G169" s="654" t="s">
        <v>1539</v>
      </c>
      <c r="H169" s="654" t="s">
        <v>1540</v>
      </c>
      <c r="I169" s="18"/>
      <c r="J169" s="18"/>
      <c r="K169" s="18"/>
      <c r="L169" s="57"/>
    </row>
    <row r="170" spans="1:25" s="9" customFormat="1" ht="24" customHeight="1" x14ac:dyDescent="0.25">
      <c r="A170" s="41" t="s">
        <v>1231</v>
      </c>
      <c r="B170" s="42"/>
      <c r="C170" s="42"/>
      <c r="D170" s="42"/>
      <c r="E170" s="78"/>
      <c r="F170" s="47">
        <f>F171+F175+F179</f>
        <v>896000000</v>
      </c>
      <c r="G170" s="47">
        <f t="shared" ref="G170:H170" si="207">G171+G175+G179</f>
        <v>256750334</v>
      </c>
      <c r="H170" s="47">
        <f t="shared" si="207"/>
        <v>18140000</v>
      </c>
      <c r="I170" s="8"/>
      <c r="J170" s="8"/>
      <c r="K170" s="8"/>
      <c r="L170" s="55"/>
    </row>
    <row r="171" spans="1:25" s="9" customFormat="1" ht="24" customHeight="1" x14ac:dyDescent="0.25">
      <c r="A171" s="130"/>
      <c r="B171" s="131">
        <f>'SGTO POAI -MARZO-2021'!B402</f>
        <v>1</v>
      </c>
      <c r="C171" s="74" t="str">
        <f>'SGTO POAI -MARZO-2021'!D402</f>
        <v xml:space="preserve">INCLUSIÓN SOCIAL Y EQUIDAD </v>
      </c>
      <c r="D171" s="74"/>
      <c r="E171" s="515"/>
      <c r="F171" s="502">
        <f>F172</f>
        <v>520000000</v>
      </c>
      <c r="G171" s="502">
        <f t="shared" ref="G171:H171" si="208">G172</f>
        <v>142970334</v>
      </c>
      <c r="H171" s="502">
        <f t="shared" si="208"/>
        <v>8655000</v>
      </c>
      <c r="I171" s="8"/>
      <c r="J171" s="8"/>
      <c r="K171" s="8"/>
      <c r="L171" s="55"/>
    </row>
    <row r="172" spans="1:25" s="9" customFormat="1" ht="24" customHeight="1" x14ac:dyDescent="0.25">
      <c r="A172" s="130"/>
      <c r="B172" s="338"/>
      <c r="C172" s="77">
        <f>'SGTO POAI -MARZO-2021'!D403</f>
        <v>23</v>
      </c>
      <c r="D172" s="75" t="str">
        <f>'SGTO POAI -MARZO-2021'!E403</f>
        <v>Tecnologías de la información y las comunicaciones</v>
      </c>
      <c r="E172" s="504"/>
      <c r="F172" s="505">
        <f>SUM(F173:F174)</f>
        <v>520000000</v>
      </c>
      <c r="G172" s="505">
        <f t="shared" ref="G172:H172" si="209">SUM(G173:G174)</f>
        <v>142970334</v>
      </c>
      <c r="H172" s="505">
        <f t="shared" si="209"/>
        <v>8655000</v>
      </c>
      <c r="I172" s="8"/>
      <c r="J172" s="8"/>
      <c r="K172" s="8"/>
      <c r="L172" s="55"/>
    </row>
    <row r="173" spans="1:25" s="49" customFormat="1" ht="57" customHeight="1" x14ac:dyDescent="0.25">
      <c r="A173" s="508"/>
      <c r="B173" s="338"/>
      <c r="C173" s="338"/>
      <c r="D173" s="353">
        <f>'SGTO POAI -MARZO-2021'!F404</f>
        <v>2301</v>
      </c>
      <c r="E173" s="358" t="str">
        <f>'SGTO POAI -MARZO-2021'!G404</f>
        <v>Facilitar en acceso y uso de las Tecnologías de la Información y las Comunicaciones (TIC)  en todo el territorio nacional.  "Tú y yo somos ciudadanos TIC"</v>
      </c>
      <c r="F173" s="507">
        <f>'SGTO POAI -MARZO-2021'!BA404</f>
        <v>374000000</v>
      </c>
      <c r="G173" s="507">
        <f>'SGTO POAI -MARZO-2021'!BB404</f>
        <v>76080000</v>
      </c>
      <c r="H173" s="507">
        <f>'SGTO POAI -MARZO-2021'!BC404</f>
        <v>8655000</v>
      </c>
      <c r="L173" s="59"/>
    </row>
    <row r="174" spans="1:25" s="49" customFormat="1" ht="90.75" customHeight="1" x14ac:dyDescent="0.25">
      <c r="A174" s="508"/>
      <c r="B174" s="338"/>
      <c r="C174" s="338"/>
      <c r="D174" s="353">
        <f>'SGTO POAI -MARZO-2021'!F414</f>
        <v>2302</v>
      </c>
      <c r="E174" s="358" t="str">
        <f>'SGTO POAI -MARZO-2021'!G414</f>
        <v>Fomento del desarrollo de aplicaciones, software y contenidos para impulsar la apropiación de las Tecnologías de la Información y las Comunicaciones (TIC) "Quindío paraíso empresarial TIC-Quindío TIC"</v>
      </c>
      <c r="F174" s="507">
        <f>'SGTO POAI -MARZO-2021'!BA414</f>
        <v>146000000</v>
      </c>
      <c r="G174" s="507">
        <f>'SGTO POAI -MARZO-2021'!BB414</f>
        <v>66890334</v>
      </c>
      <c r="H174" s="507">
        <f>'SGTO POAI -MARZO-2021'!BC414</f>
        <v>0</v>
      </c>
      <c r="L174" s="59"/>
    </row>
    <row r="175" spans="1:25" s="9" customFormat="1" ht="24" customHeight="1" x14ac:dyDescent="0.25">
      <c r="A175" s="130"/>
      <c r="B175" s="131">
        <f>'SGTO POAI -MARZO-2021'!B420</f>
        <v>2</v>
      </c>
      <c r="C175" s="74" t="str">
        <f>'SGTO POAI -MARZO-2021'!D420</f>
        <v>PRODUCTIVIDAD Y COMPETITIVIDAD</v>
      </c>
      <c r="D175" s="74"/>
      <c r="E175" s="515"/>
      <c r="F175" s="502">
        <f>F176</f>
        <v>78000000</v>
      </c>
      <c r="G175" s="502">
        <f t="shared" ref="G175:H175" si="210">G176</f>
        <v>23080000</v>
      </c>
      <c r="H175" s="502">
        <f t="shared" si="210"/>
        <v>0</v>
      </c>
      <c r="I175" s="8"/>
      <c r="J175" s="8"/>
      <c r="K175" s="8"/>
      <c r="L175" s="55"/>
    </row>
    <row r="176" spans="1:25" s="9" customFormat="1" ht="24" customHeight="1" x14ac:dyDescent="0.25">
      <c r="A176" s="130"/>
      <c r="B176" s="338"/>
      <c r="C176" s="77">
        <f>'SGTO POAI -MARZO-2021'!D421</f>
        <v>39</v>
      </c>
      <c r="D176" s="75" t="str">
        <f>'SGTO POAI -MARZO-2021'!E421</f>
        <v>Ciencia, Tecnología e Innovación</v>
      </c>
      <c r="E176" s="504"/>
      <c r="F176" s="505">
        <f>SUM(F177:F178)</f>
        <v>78000000</v>
      </c>
      <c r="G176" s="505">
        <f t="shared" ref="G176:H176" si="211">SUM(G177:G178)</f>
        <v>23080000</v>
      </c>
      <c r="H176" s="505">
        <f t="shared" si="211"/>
        <v>0</v>
      </c>
      <c r="I176" s="8"/>
      <c r="J176" s="8"/>
      <c r="K176" s="8"/>
      <c r="L176" s="55"/>
    </row>
    <row r="177" spans="1:20" s="49" customFormat="1" ht="46.5" customHeight="1" x14ac:dyDescent="0.25">
      <c r="A177" s="508"/>
      <c r="B177" s="338"/>
      <c r="C177" s="338"/>
      <c r="D177" s="353" t="str">
        <f>'SGTO POAI -MARZO-2021'!F422</f>
        <v>3903</v>
      </c>
      <c r="E177" s="358" t="str">
        <f>'SGTO POAI -MARZO-2021'!G422</f>
        <v xml:space="preserve">Desarrollo tecnológico e innovación para el crecimiento empresarial </v>
      </c>
      <c r="F177" s="507">
        <f>'SGTO POAI -MARZO-2021'!BA422</f>
        <v>60000000</v>
      </c>
      <c r="G177" s="507">
        <f>'SGTO POAI -MARZO-2021'!BB422</f>
        <v>23080000</v>
      </c>
      <c r="H177" s="507">
        <f>'SGTO POAI -MARZO-2021'!BC422</f>
        <v>0</v>
      </c>
      <c r="L177" s="59"/>
    </row>
    <row r="178" spans="1:20" s="49" customFormat="1" ht="41.25" customHeight="1" x14ac:dyDescent="0.25">
      <c r="A178" s="508"/>
      <c r="B178" s="338"/>
      <c r="C178" s="338"/>
      <c r="D178" s="353">
        <f>'SGTO POAI -MARZO-2021'!F426</f>
        <v>3904</v>
      </c>
      <c r="E178" s="358" t="str">
        <f>'SGTO POAI -MARZO-2021'!G426</f>
        <v>Generación de una cultura qué valora y gestiona en conocimiento y la innovación.</v>
      </c>
      <c r="F178" s="507">
        <f>'SGTO POAI -MARZO-2021'!BA426</f>
        <v>18000000</v>
      </c>
      <c r="G178" s="507">
        <f>'SGTO POAI -MARZO-2021'!BB426</f>
        <v>0</v>
      </c>
      <c r="H178" s="507">
        <f>'SGTO POAI -MARZO-2021'!BC426</f>
        <v>0</v>
      </c>
      <c r="L178" s="59"/>
    </row>
    <row r="179" spans="1:20" s="9" customFormat="1" ht="24" customHeight="1" x14ac:dyDescent="0.25">
      <c r="A179" s="130"/>
      <c r="B179" s="131">
        <f>'SGTO POAI -MARZO-2021'!B428</f>
        <v>4</v>
      </c>
      <c r="C179" s="74" t="str">
        <f>'SGTO POAI -MARZO-2021'!D428</f>
        <v xml:space="preserve">LIDERAZGO, GOBERNABILIDAD Y TRANSPARENCIA </v>
      </c>
      <c r="D179" s="74"/>
      <c r="E179" s="515"/>
      <c r="F179" s="502">
        <f>F180</f>
        <v>298000000</v>
      </c>
      <c r="G179" s="502">
        <f t="shared" ref="G179:H180" si="212">G180</f>
        <v>90700000</v>
      </c>
      <c r="H179" s="502">
        <f t="shared" si="212"/>
        <v>9485000</v>
      </c>
      <c r="I179" s="8"/>
      <c r="J179" s="8"/>
      <c r="K179" s="8"/>
      <c r="L179" s="55"/>
    </row>
    <row r="180" spans="1:20" s="9" customFormat="1" ht="24" customHeight="1" x14ac:dyDescent="0.25">
      <c r="A180" s="130"/>
      <c r="B180" s="338"/>
      <c r="C180" s="77">
        <f>'SGTO POAI -MARZO-2021'!D429</f>
        <v>23</v>
      </c>
      <c r="D180" s="75" t="str">
        <f>'SGTO POAI -MARZO-2021'!E429</f>
        <v>Tecnologías de la información y las comunicaciones</v>
      </c>
      <c r="E180" s="75"/>
      <c r="F180" s="505">
        <f>F181</f>
        <v>298000000</v>
      </c>
      <c r="G180" s="505">
        <f t="shared" si="212"/>
        <v>90700000</v>
      </c>
      <c r="H180" s="505">
        <f t="shared" si="212"/>
        <v>9485000</v>
      </c>
      <c r="I180" s="8"/>
      <c r="J180" s="8"/>
      <c r="K180" s="8"/>
      <c r="L180" s="55"/>
    </row>
    <row r="181" spans="1:20" s="49" customFormat="1" ht="72" customHeight="1" x14ac:dyDescent="0.25">
      <c r="A181" s="508"/>
      <c r="B181" s="338"/>
      <c r="C181" s="338"/>
      <c r="D181" s="353">
        <f>'SGTO POAI -MARZO-2021'!F430</f>
        <v>2302</v>
      </c>
      <c r="E181" s="358" t="str">
        <f>'SGTO POAI -MARZO-2021'!G430</f>
        <v>Fomento del desarrollo de aplicaciones, software y contenidos para impulsar la apropiación de las Tecnologías de la Información y las Comunicaciones (TIC) "Quindío paraíso empresarial TIC-Quindío TIC"</v>
      </c>
      <c r="F181" s="507">
        <f>'SGTO POAI -MARZO-2021'!BA430</f>
        <v>298000000</v>
      </c>
      <c r="G181" s="507">
        <f>'SGTO POAI -MARZO-2021'!BB430</f>
        <v>90700000</v>
      </c>
      <c r="H181" s="507">
        <f>'SGTO POAI -MARZO-2021'!BC430</f>
        <v>9485000</v>
      </c>
      <c r="L181" s="59"/>
    </row>
    <row r="182" spans="1:20" s="11" customFormat="1" ht="18.75" customHeight="1" x14ac:dyDescent="0.2">
      <c r="A182" s="58"/>
      <c r="B182" s="509"/>
      <c r="C182" s="509"/>
      <c r="D182" s="509"/>
      <c r="E182" s="545"/>
      <c r="F182" s="510"/>
      <c r="G182" s="51"/>
      <c r="H182" s="18"/>
      <c r="I182" s="18"/>
      <c r="J182" s="18"/>
      <c r="K182" s="18"/>
      <c r="L182" s="57"/>
    </row>
    <row r="183" spans="1:20" s="28" customFormat="1" ht="30" customHeight="1" x14ac:dyDescent="0.25">
      <c r="A183" s="533" t="s">
        <v>1308</v>
      </c>
      <c r="B183" s="534"/>
      <c r="C183" s="664" t="s">
        <v>1498</v>
      </c>
      <c r="D183" s="665"/>
      <c r="E183" s="666"/>
      <c r="F183" s="536">
        <f>F170+U161+L139+X128+F120+F98+L89+O81+L57+R30+L23+F15+F7</f>
        <v>266871471112.01999</v>
      </c>
      <c r="G183" s="536">
        <f t="shared" ref="G183:H183" si="213">G170+V161+M139+Y128+G120+G98+M89+P81+M57+S30+M23+G15+G7</f>
        <v>92048341829.910004</v>
      </c>
      <c r="H183" s="536">
        <f t="shared" si="213"/>
        <v>47534651951.650002</v>
      </c>
      <c r="I183" s="27"/>
      <c r="J183" s="27"/>
      <c r="K183" s="27"/>
      <c r="L183" s="61"/>
    </row>
    <row r="184" spans="1:20" s="11" customFormat="1" ht="24" customHeight="1" x14ac:dyDescent="0.2">
      <c r="A184" s="58"/>
      <c r="B184" s="509"/>
      <c r="C184" s="509"/>
      <c r="D184" s="509"/>
      <c r="E184" s="545"/>
      <c r="F184" s="510"/>
      <c r="G184" s="51"/>
      <c r="H184" s="18"/>
      <c r="I184" s="18"/>
      <c r="J184" s="18"/>
      <c r="K184" s="18"/>
      <c r="L184" s="57"/>
    </row>
    <row r="185" spans="1:20" ht="24" customHeight="1" x14ac:dyDescent="0.2">
      <c r="A185" s="935" t="s">
        <v>5</v>
      </c>
      <c r="B185" s="935" t="s">
        <v>6</v>
      </c>
      <c r="C185" s="935" t="s">
        <v>7</v>
      </c>
      <c r="D185" s="935" t="s">
        <v>1394</v>
      </c>
      <c r="E185" s="930" t="s">
        <v>8</v>
      </c>
      <c r="F185" s="945" t="s">
        <v>1395</v>
      </c>
      <c r="G185" s="945"/>
      <c r="H185" s="946"/>
      <c r="I185" s="947" t="s">
        <v>1407</v>
      </c>
      <c r="J185" s="948"/>
      <c r="K185" s="949"/>
      <c r="L185" s="947" t="s">
        <v>1408</v>
      </c>
      <c r="M185" s="948"/>
      <c r="N185" s="949"/>
      <c r="O185" s="947" t="s">
        <v>15</v>
      </c>
      <c r="P185" s="948"/>
      <c r="Q185" s="949"/>
      <c r="R185" s="4"/>
      <c r="S185" s="53"/>
    </row>
    <row r="186" spans="1:20" ht="24" customHeight="1" x14ac:dyDescent="0.2">
      <c r="A186" s="935"/>
      <c r="B186" s="935"/>
      <c r="C186" s="935"/>
      <c r="D186" s="935"/>
      <c r="E186" s="930"/>
      <c r="F186" s="653" t="s">
        <v>1545</v>
      </c>
      <c r="G186" s="654" t="s">
        <v>1539</v>
      </c>
      <c r="H186" s="654" t="s">
        <v>1540</v>
      </c>
      <c r="I186" s="654" t="s">
        <v>1545</v>
      </c>
      <c r="J186" s="654" t="s">
        <v>1539</v>
      </c>
      <c r="K186" s="654" t="s">
        <v>1540</v>
      </c>
      <c r="L186" s="654" t="s">
        <v>1545</v>
      </c>
      <c r="M186" s="654" t="s">
        <v>1539</v>
      </c>
      <c r="N186" s="654" t="s">
        <v>1540</v>
      </c>
      <c r="O186" s="654" t="s">
        <v>1545</v>
      </c>
      <c r="P186" s="654" t="s">
        <v>1539</v>
      </c>
      <c r="Q186" s="654" t="s">
        <v>1540</v>
      </c>
      <c r="R186" s="4"/>
      <c r="S186" s="53"/>
    </row>
    <row r="187" spans="1:20" ht="24" customHeight="1" x14ac:dyDescent="0.2">
      <c r="A187" s="45" t="s">
        <v>1309</v>
      </c>
      <c r="B187" s="46"/>
      <c r="C187" s="46"/>
      <c r="D187" s="46"/>
      <c r="E187" s="80"/>
      <c r="F187" s="43">
        <f t="shared" ref="F187:Q188" si="214">F188</f>
        <v>855248186</v>
      </c>
      <c r="G187" s="43">
        <f t="shared" si="214"/>
        <v>74240000</v>
      </c>
      <c r="H187" s="43">
        <f t="shared" si="214"/>
        <v>15210000</v>
      </c>
      <c r="I187" s="43">
        <f t="shared" si="214"/>
        <v>4312107593.5499992</v>
      </c>
      <c r="J187" s="43">
        <f t="shared" si="214"/>
        <v>804989500</v>
      </c>
      <c r="K187" s="43">
        <f t="shared" si="214"/>
        <v>166059500</v>
      </c>
      <c r="L187" s="43">
        <f t="shared" si="214"/>
        <v>1000000000</v>
      </c>
      <c r="M187" s="43">
        <f t="shared" si="214"/>
        <v>0</v>
      </c>
      <c r="N187" s="43">
        <f t="shared" si="214"/>
        <v>0</v>
      </c>
      <c r="O187" s="43">
        <f t="shared" si="214"/>
        <v>6167355779.5499992</v>
      </c>
      <c r="P187" s="43">
        <f t="shared" si="214"/>
        <v>879229500</v>
      </c>
      <c r="Q187" s="43">
        <f t="shared" si="214"/>
        <v>181269500</v>
      </c>
      <c r="R187" s="4"/>
      <c r="S187" s="53"/>
    </row>
    <row r="188" spans="1:20" ht="24" customHeight="1" x14ac:dyDescent="0.2">
      <c r="A188" s="145"/>
      <c r="B188" s="131">
        <f>'SGTO POAI -MARZO-2021'!B452</f>
        <v>1</v>
      </c>
      <c r="C188" s="74" t="str">
        <f>'SGTO POAI -MARZO-2021'!D452</f>
        <v xml:space="preserve">INCLUSIÓN SOCIAL Y EQUIDAD </v>
      </c>
      <c r="D188" s="74"/>
      <c r="E188" s="515"/>
      <c r="F188" s="502">
        <f t="shared" si="214"/>
        <v>855248186</v>
      </c>
      <c r="G188" s="502">
        <f t="shared" si="214"/>
        <v>74240000</v>
      </c>
      <c r="H188" s="502">
        <f t="shared" si="214"/>
        <v>15210000</v>
      </c>
      <c r="I188" s="502">
        <f t="shared" si="214"/>
        <v>4312107593.5499992</v>
      </c>
      <c r="J188" s="502">
        <f t="shared" si="214"/>
        <v>804989500</v>
      </c>
      <c r="K188" s="502">
        <f t="shared" si="214"/>
        <v>166059500</v>
      </c>
      <c r="L188" s="502">
        <f t="shared" si="214"/>
        <v>1000000000</v>
      </c>
      <c r="M188" s="502">
        <f t="shared" si="214"/>
        <v>0</v>
      </c>
      <c r="N188" s="502">
        <f t="shared" si="214"/>
        <v>0</v>
      </c>
      <c r="O188" s="502">
        <f t="shared" si="214"/>
        <v>6167355779.5499992</v>
      </c>
      <c r="P188" s="502">
        <f t="shared" si="214"/>
        <v>879229500</v>
      </c>
      <c r="Q188" s="502">
        <f t="shared" si="214"/>
        <v>181269500</v>
      </c>
      <c r="R188" s="4"/>
      <c r="S188" s="4"/>
      <c r="T188" s="4"/>
    </row>
    <row r="189" spans="1:20" ht="24" customHeight="1" x14ac:dyDescent="0.2">
      <c r="A189" s="145"/>
      <c r="B189" s="338"/>
      <c r="C189" s="77">
        <f>'SGTO POAI -MARZO-2021'!D453</f>
        <v>43</v>
      </c>
      <c r="D189" s="75" t="str">
        <f>'SGTO POAI -MARZO-2021'!E453</f>
        <v>Deporte y recreación</v>
      </c>
      <c r="E189" s="504"/>
      <c r="F189" s="505">
        <f>SUM(F190:F191)</f>
        <v>855248186</v>
      </c>
      <c r="G189" s="505">
        <f t="shared" ref="G189:H189" si="215">SUM(G190:G191)</f>
        <v>74240000</v>
      </c>
      <c r="H189" s="505">
        <f t="shared" si="215"/>
        <v>15210000</v>
      </c>
      <c r="I189" s="505">
        <f>SUM(I190:I191)</f>
        <v>4312107593.5499992</v>
      </c>
      <c r="J189" s="505">
        <f t="shared" ref="J189:K189" si="216">SUM(J190:J191)</f>
        <v>804989500</v>
      </c>
      <c r="K189" s="505">
        <f t="shared" si="216"/>
        <v>166059500</v>
      </c>
      <c r="L189" s="505">
        <f>SUM(L190:L191)</f>
        <v>1000000000</v>
      </c>
      <c r="M189" s="505">
        <f t="shared" ref="M189:N189" si="217">SUM(M190:M191)</f>
        <v>0</v>
      </c>
      <c r="N189" s="505">
        <f t="shared" si="217"/>
        <v>0</v>
      </c>
      <c r="O189" s="505">
        <f>SUM(O190:O191)</f>
        <v>6167355779.5499992</v>
      </c>
      <c r="P189" s="505">
        <f t="shared" ref="P189:Q189" si="218">SUM(P190:P191)</f>
        <v>879229500</v>
      </c>
      <c r="Q189" s="505">
        <f t="shared" si="218"/>
        <v>181269500</v>
      </c>
      <c r="R189" s="4"/>
      <c r="S189" s="53"/>
    </row>
    <row r="190" spans="1:20" s="44" customFormat="1" ht="60" customHeight="1" x14ac:dyDescent="0.2">
      <c r="A190" s="337"/>
      <c r="B190" s="338"/>
      <c r="C190" s="338"/>
      <c r="D190" s="338">
        <f>'SGTO POAI -MARZO-2021'!F454</f>
        <v>4301</v>
      </c>
      <c r="E190" s="364" t="str">
        <f>'SGTO POAI -MARZO-2021'!G454</f>
        <v>Fomento a la recreación, la actividad física y el deporte para desarrollar entornos de convivencia y paz "Tú y yo en la recreación y en deporte"</v>
      </c>
      <c r="F190" s="507">
        <f>'SGTO POAI -MARZO-2021'!BA442</f>
        <v>136127636</v>
      </c>
      <c r="G190" s="507">
        <f>'SGTO POAI -MARZO-2021'!BB442</f>
        <v>9800000</v>
      </c>
      <c r="H190" s="507">
        <f>'SGTO POAI -MARZO-2021'!BC442</f>
        <v>4100000</v>
      </c>
      <c r="I190" s="507">
        <f>'SGTO POAI -MARZO-2021'!BD442</f>
        <v>1978796087.1399999</v>
      </c>
      <c r="J190" s="507">
        <f>'SGTO POAI -MARZO-2021'!BE442</f>
        <v>123000000</v>
      </c>
      <c r="K190" s="507">
        <f>'SGTO POAI -MARZO-2021'!BF442</f>
        <v>200000</v>
      </c>
      <c r="L190" s="507">
        <f>'SGTO POAI -MARZO-2021'!BG442</f>
        <v>1000000000</v>
      </c>
      <c r="M190" s="507">
        <f>'SGTO POAI -MARZO-2021'!BH442</f>
        <v>0</v>
      </c>
      <c r="N190" s="507">
        <f>'SGTO POAI -MARZO-2021'!BI442</f>
        <v>0</v>
      </c>
      <c r="O190" s="507">
        <f>F190+I190+L190</f>
        <v>3114923723.1399999</v>
      </c>
      <c r="P190" s="507">
        <f t="shared" ref="P190:Q191" si="219">G190+J190+M190</f>
        <v>132800000</v>
      </c>
      <c r="Q190" s="507">
        <f t="shared" si="219"/>
        <v>4300000</v>
      </c>
      <c r="S190" s="56"/>
    </row>
    <row r="191" spans="1:20" s="44" customFormat="1" ht="37.5" customHeight="1" x14ac:dyDescent="0.2">
      <c r="A191" s="337"/>
      <c r="B191" s="338"/>
      <c r="C191" s="338"/>
      <c r="D191" s="338">
        <f>'SGTO POAI -MARZO-2021'!F447</f>
        <v>4302</v>
      </c>
      <c r="E191" s="364" t="str">
        <f>'SGTO POAI -MARZO-2021'!G447</f>
        <v>Formación y preparación de deportistas. "Tú y yo campeones"</v>
      </c>
      <c r="F191" s="507">
        <f>'SGTO POAI -MARZO-2021'!BA447</f>
        <v>719120550</v>
      </c>
      <c r="G191" s="507">
        <f>'SGTO POAI -MARZO-2021'!BB447</f>
        <v>64440000</v>
      </c>
      <c r="H191" s="507">
        <f>'SGTO POAI -MARZO-2021'!BC447</f>
        <v>11110000</v>
      </c>
      <c r="I191" s="507">
        <f>'SGTO POAI -MARZO-2021'!BD447</f>
        <v>2333311506.4099998</v>
      </c>
      <c r="J191" s="507">
        <f>'SGTO POAI -MARZO-2021'!BE447</f>
        <v>681989500</v>
      </c>
      <c r="K191" s="507">
        <f>'SGTO POAI -MARZO-2021'!BF447</f>
        <v>165859500</v>
      </c>
      <c r="L191" s="507"/>
      <c r="M191" s="507"/>
      <c r="N191" s="507"/>
      <c r="O191" s="507">
        <f>F191+I191+L191</f>
        <v>3052432056.4099998</v>
      </c>
      <c r="P191" s="507">
        <f t="shared" si="219"/>
        <v>746429500</v>
      </c>
      <c r="Q191" s="507">
        <f t="shared" si="219"/>
        <v>176969500</v>
      </c>
      <c r="S191" s="56"/>
    </row>
    <row r="192" spans="1:20" s="11" customFormat="1" ht="18.75" customHeight="1" x14ac:dyDescent="0.2">
      <c r="A192" s="58"/>
      <c r="B192" s="509"/>
      <c r="C192" s="509"/>
      <c r="D192" s="509"/>
      <c r="E192" s="545"/>
      <c r="F192" s="510"/>
      <c r="G192" s="51"/>
      <c r="H192" s="18"/>
      <c r="I192" s="18"/>
      <c r="J192" s="18"/>
      <c r="K192" s="18"/>
      <c r="L192" s="57"/>
    </row>
    <row r="193" spans="1:16" ht="24" customHeight="1" x14ac:dyDescent="0.2">
      <c r="A193" s="935" t="s">
        <v>5</v>
      </c>
      <c r="B193" s="935" t="s">
        <v>6</v>
      </c>
      <c r="C193" s="935" t="s">
        <v>7</v>
      </c>
      <c r="D193" s="935" t="s">
        <v>1394</v>
      </c>
      <c r="E193" s="930" t="s">
        <v>8</v>
      </c>
      <c r="F193" s="945" t="s">
        <v>1558</v>
      </c>
      <c r="G193" s="945"/>
      <c r="H193" s="946"/>
      <c r="I193" s="947" t="s">
        <v>1407</v>
      </c>
      <c r="J193" s="948"/>
      <c r="K193" s="949"/>
      <c r="L193" s="947" t="s">
        <v>15</v>
      </c>
      <c r="M193" s="948"/>
      <c r="N193" s="949"/>
      <c r="O193" s="4"/>
      <c r="P193" s="53"/>
    </row>
    <row r="194" spans="1:16" ht="24" customHeight="1" x14ac:dyDescent="0.2">
      <c r="A194" s="935"/>
      <c r="B194" s="935"/>
      <c r="C194" s="935"/>
      <c r="D194" s="935"/>
      <c r="E194" s="930"/>
      <c r="F194" s="653" t="s">
        <v>1545</v>
      </c>
      <c r="G194" s="654" t="s">
        <v>1539</v>
      </c>
      <c r="H194" s="654" t="s">
        <v>1540</v>
      </c>
      <c r="I194" s="654" t="s">
        <v>1545</v>
      </c>
      <c r="J194" s="654" t="s">
        <v>1539</v>
      </c>
      <c r="K194" s="654" t="s">
        <v>1540</v>
      </c>
      <c r="L194" s="654" t="s">
        <v>1545</v>
      </c>
      <c r="M194" s="654" t="s">
        <v>1539</v>
      </c>
      <c r="N194" s="654" t="s">
        <v>1540</v>
      </c>
      <c r="O194" s="4"/>
      <c r="P194" s="53"/>
    </row>
    <row r="195" spans="1:16" s="11" customFormat="1" ht="24" customHeight="1" x14ac:dyDescent="0.2">
      <c r="A195" s="45" t="s">
        <v>1336</v>
      </c>
      <c r="B195" s="46"/>
      <c r="C195" s="46"/>
      <c r="D195" s="46"/>
      <c r="E195" s="80"/>
      <c r="F195" s="43">
        <f>F196+F200</f>
        <v>1027674743</v>
      </c>
      <c r="G195" s="43">
        <f t="shared" ref="G195:H195" si="220">G196+G200</f>
        <v>0</v>
      </c>
      <c r="H195" s="43">
        <f t="shared" si="220"/>
        <v>0</v>
      </c>
      <c r="I195" s="43">
        <f>I196+I200</f>
        <v>997308456</v>
      </c>
      <c r="J195" s="43">
        <f t="shared" ref="J195:K195" si="221">J196+J200</f>
        <v>0</v>
      </c>
      <c r="K195" s="43">
        <f t="shared" si="221"/>
        <v>0</v>
      </c>
      <c r="L195" s="43">
        <f>L196+L200</f>
        <v>2024983199</v>
      </c>
      <c r="M195" s="43">
        <f t="shared" ref="M195:N195" si="222">M196+M200</f>
        <v>0</v>
      </c>
      <c r="N195" s="43">
        <f t="shared" si="222"/>
        <v>0</v>
      </c>
      <c r="O195" s="18"/>
      <c r="P195" s="57"/>
    </row>
    <row r="196" spans="1:16" s="11" customFormat="1" ht="24" customHeight="1" x14ac:dyDescent="0.2">
      <c r="A196" s="517"/>
      <c r="B196" s="131">
        <f>'SGTO POAI -MARZO-2021'!B452</f>
        <v>1</v>
      </c>
      <c r="C196" s="74" t="str">
        <f>'SGTO POAI -MARZO-2021'!D452</f>
        <v xml:space="preserve">INCLUSIÓN SOCIAL Y EQUIDAD </v>
      </c>
      <c r="D196" s="74"/>
      <c r="E196" s="515"/>
      <c r="F196" s="502">
        <f>F197</f>
        <v>616604845.79999995</v>
      </c>
      <c r="G196" s="502">
        <f t="shared" ref="G196:H196" si="223">G197</f>
        <v>0</v>
      </c>
      <c r="H196" s="502">
        <f t="shared" si="223"/>
        <v>0</v>
      </c>
      <c r="I196" s="502">
        <f>I197</f>
        <v>0</v>
      </c>
      <c r="J196" s="502">
        <f t="shared" ref="J196:K196" si="224">J197</f>
        <v>0</v>
      </c>
      <c r="K196" s="502">
        <f t="shared" si="224"/>
        <v>0</v>
      </c>
      <c r="L196" s="502">
        <f>L197</f>
        <v>616604845.79999995</v>
      </c>
      <c r="M196" s="502">
        <f t="shared" ref="M196:N196" si="225">M197</f>
        <v>0</v>
      </c>
      <c r="N196" s="502">
        <f t="shared" si="225"/>
        <v>0</v>
      </c>
      <c r="O196" s="18"/>
      <c r="P196" s="57"/>
    </row>
    <row r="197" spans="1:16" s="11" customFormat="1" ht="24" customHeight="1" x14ac:dyDescent="0.2">
      <c r="A197" s="517"/>
      <c r="B197" s="338"/>
      <c r="C197" s="77">
        <f>'SGTO POAI -MARZO-2021'!D453</f>
        <v>43</v>
      </c>
      <c r="D197" s="75" t="str">
        <f>'SGTO POAI -MARZO-2021'!E453</f>
        <v>Deporte y recreación</v>
      </c>
      <c r="E197" s="504"/>
      <c r="F197" s="505">
        <f>SUM(F198:F199)</f>
        <v>616604845.79999995</v>
      </c>
      <c r="G197" s="505">
        <f t="shared" ref="G197:H197" si="226">SUM(G198:G199)</f>
        <v>0</v>
      </c>
      <c r="H197" s="505">
        <f t="shared" si="226"/>
        <v>0</v>
      </c>
      <c r="I197" s="505">
        <f>SUM(I198:I199)</f>
        <v>0</v>
      </c>
      <c r="J197" s="505">
        <f t="shared" ref="J197:K197" si="227">SUM(J198:J199)</f>
        <v>0</v>
      </c>
      <c r="K197" s="505">
        <f t="shared" si="227"/>
        <v>0</v>
      </c>
      <c r="L197" s="505">
        <f>SUM(L198:L199)</f>
        <v>616604845.79999995</v>
      </c>
      <c r="M197" s="505">
        <f t="shared" ref="M197:N197" si="228">SUM(M198:M199)</f>
        <v>0</v>
      </c>
      <c r="N197" s="505">
        <f t="shared" si="228"/>
        <v>0</v>
      </c>
      <c r="O197" s="18"/>
      <c r="P197" s="57"/>
    </row>
    <row r="198" spans="1:16" s="50" customFormat="1" ht="63.75" customHeight="1" x14ac:dyDescent="0.2">
      <c r="A198" s="518"/>
      <c r="B198" s="353"/>
      <c r="C198" s="353"/>
      <c r="D198" s="338">
        <f>'SGTO POAI -MARZO-2021'!F454</f>
        <v>4301</v>
      </c>
      <c r="E198" s="358" t="str">
        <f>'SGTO POAI -MARZO-2021'!G454</f>
        <v>Fomento a la recreación, la actividad física y el deporte para desarrollar entornos de convivencia y paz "Tú y yo en la recreación y en deporte"</v>
      </c>
      <c r="F198" s="507">
        <f>'SGTO POAI -MARZO-2021'!W454</f>
        <v>308302422.89999998</v>
      </c>
      <c r="G198" s="507">
        <f>'SGTO POAI -MARZO-2021'!X454</f>
        <v>0</v>
      </c>
      <c r="H198" s="507">
        <f>'SGTO POAI -MARZO-2021'!Y454</f>
        <v>0</v>
      </c>
      <c r="I198" s="507">
        <f>'SGTO POAI -MARZO-2021'!BD454</f>
        <v>0</v>
      </c>
      <c r="J198" s="507">
        <f>'SGTO POAI -MARZO-2021'!BE454</f>
        <v>0</v>
      </c>
      <c r="K198" s="507">
        <f>'SGTO POAI -MARZO-2021'!BF454</f>
        <v>0</v>
      </c>
      <c r="L198" s="507">
        <f>I198+F198</f>
        <v>308302422.89999998</v>
      </c>
      <c r="M198" s="507">
        <f t="shared" ref="M198:N199" si="229">J198+G198</f>
        <v>0</v>
      </c>
      <c r="N198" s="507">
        <f t="shared" si="229"/>
        <v>0</v>
      </c>
      <c r="P198" s="60"/>
    </row>
    <row r="199" spans="1:16" s="50" customFormat="1" ht="66.75" customHeight="1" x14ac:dyDescent="0.2">
      <c r="A199" s="518"/>
      <c r="B199" s="353"/>
      <c r="C199" s="353"/>
      <c r="D199" s="338">
        <f>'SGTO POAI -MARZO-2021'!F457</f>
        <v>2201</v>
      </c>
      <c r="E199" s="358" t="str">
        <f>'SGTO POAI -MARZO-2021'!G457</f>
        <v>Calidad, cobertura y fortalecimiento de la educación inicial, prescolar, básica y media." Tú y yo con educación y de calidad"</v>
      </c>
      <c r="F199" s="507">
        <f>'SGTO POAI -MARZO-2021'!W457</f>
        <v>308302422.89999998</v>
      </c>
      <c r="G199" s="507">
        <f>'SGTO POAI -MARZO-2021'!X457</f>
        <v>0</v>
      </c>
      <c r="H199" s="507">
        <f>'SGTO POAI -MARZO-2021'!Y457</f>
        <v>0</v>
      </c>
      <c r="I199" s="507">
        <f>'SGTO POAI -MARZO-2021'!BD457</f>
        <v>0</v>
      </c>
      <c r="J199" s="507">
        <f>'SGTO POAI -MARZO-2021'!BE457</f>
        <v>0</v>
      </c>
      <c r="K199" s="507">
        <f>'SGTO POAI -MARZO-2021'!BF457</f>
        <v>0</v>
      </c>
      <c r="L199" s="507">
        <f>I199+F199</f>
        <v>308302422.89999998</v>
      </c>
      <c r="M199" s="507">
        <f t="shared" si="229"/>
        <v>0</v>
      </c>
      <c r="N199" s="507">
        <f t="shared" si="229"/>
        <v>0</v>
      </c>
      <c r="P199" s="60"/>
    </row>
    <row r="200" spans="1:16" s="11" customFormat="1" ht="24" customHeight="1" x14ac:dyDescent="0.2">
      <c r="A200" s="517"/>
      <c r="B200" s="131">
        <f>'SGTO POAI -MARZO-2021'!B459</f>
        <v>3</v>
      </c>
      <c r="C200" s="74" t="str">
        <f>'SGTO POAI -MARZO-2021'!D459</f>
        <v xml:space="preserve">TERRITORIO, AMBIENTE Y DESARROLLO SOSTENIBLE </v>
      </c>
      <c r="D200" s="74"/>
      <c r="E200" s="515"/>
      <c r="F200" s="502">
        <f>F201+F203</f>
        <v>411069897.20000005</v>
      </c>
      <c r="G200" s="502">
        <f t="shared" ref="G200:H200" si="230">G201+G203</f>
        <v>0</v>
      </c>
      <c r="H200" s="502">
        <f t="shared" si="230"/>
        <v>0</v>
      </c>
      <c r="I200" s="502">
        <f>I201+I203</f>
        <v>997308456</v>
      </c>
      <c r="J200" s="502">
        <f t="shared" ref="J200:K200" si="231">J201+J203</f>
        <v>0</v>
      </c>
      <c r="K200" s="502">
        <f t="shared" si="231"/>
        <v>0</v>
      </c>
      <c r="L200" s="502">
        <f>L201+L203</f>
        <v>1408378353.2</v>
      </c>
      <c r="M200" s="502">
        <f t="shared" ref="M200:N200" si="232">M201+M203</f>
        <v>0</v>
      </c>
      <c r="N200" s="502">
        <f t="shared" si="232"/>
        <v>0</v>
      </c>
      <c r="O200" s="18"/>
      <c r="P200" s="57"/>
    </row>
    <row r="201" spans="1:16" s="11" customFormat="1" ht="24" customHeight="1" x14ac:dyDescent="0.2">
      <c r="A201" s="517"/>
      <c r="B201" s="338"/>
      <c r="C201" s="513">
        <f>'SGTO POAI -MARZO-2021'!D460</f>
        <v>24</v>
      </c>
      <c r="D201" s="75" t="str">
        <f>'SGTO POAI -MARZO-2021'!E460</f>
        <v>Transporte</v>
      </c>
      <c r="E201" s="512"/>
      <c r="F201" s="505">
        <f>F202</f>
        <v>0</v>
      </c>
      <c r="G201" s="505">
        <f t="shared" ref="G201:H201" si="233">G202</f>
        <v>0</v>
      </c>
      <c r="H201" s="505">
        <f t="shared" si="233"/>
        <v>0</v>
      </c>
      <c r="I201" s="505">
        <f>I202</f>
        <v>199461691.20000002</v>
      </c>
      <c r="J201" s="505">
        <f t="shared" ref="J201:K201" si="234">J202</f>
        <v>0</v>
      </c>
      <c r="K201" s="505">
        <f t="shared" si="234"/>
        <v>0</v>
      </c>
      <c r="L201" s="505">
        <f>L202</f>
        <v>199461691.20000002</v>
      </c>
      <c r="M201" s="505">
        <f t="shared" ref="M201:N201" si="235">M202</f>
        <v>0</v>
      </c>
      <c r="N201" s="505">
        <f t="shared" si="235"/>
        <v>0</v>
      </c>
      <c r="O201" s="18"/>
      <c r="P201" s="57"/>
    </row>
    <row r="202" spans="1:16" s="11" customFormat="1" ht="46.5" customHeight="1" x14ac:dyDescent="0.2">
      <c r="A202" s="517"/>
      <c r="B202" s="250"/>
      <c r="C202" s="250"/>
      <c r="D202" s="338">
        <f>'SGTO POAI -MARZO-2021'!F461</f>
        <v>2402</v>
      </c>
      <c r="E202" s="539" t="str">
        <f>'SGTO POAI -MARZO-2021'!G461</f>
        <v>Infraestructura red vial regional. "Tú y yo con movilidad vial"</v>
      </c>
      <c r="F202" s="257">
        <f>'SGTO POAI -MARZO-2021'!W461</f>
        <v>0</v>
      </c>
      <c r="G202" s="257">
        <f>'SGTO POAI -MARZO-2021'!X461</f>
        <v>0</v>
      </c>
      <c r="H202" s="257">
        <f>'SGTO POAI -MARZO-2021'!Y461</f>
        <v>0</v>
      </c>
      <c r="I202" s="257">
        <f>'SGTO POAI -MARZO-2021'!BD461</f>
        <v>199461691.20000002</v>
      </c>
      <c r="J202" s="257">
        <f>'SGTO POAI -MARZO-2021'!BE461</f>
        <v>0</v>
      </c>
      <c r="K202" s="257">
        <f>'SGTO POAI -MARZO-2021'!BF461</f>
        <v>0</v>
      </c>
      <c r="L202" s="507">
        <f>I202+F202</f>
        <v>199461691.20000002</v>
      </c>
      <c r="M202" s="507">
        <f t="shared" ref="M202:N202" si="236">J202+G202</f>
        <v>0</v>
      </c>
      <c r="N202" s="507">
        <f t="shared" si="236"/>
        <v>0</v>
      </c>
      <c r="O202" s="18"/>
      <c r="P202" s="57"/>
    </row>
    <row r="203" spans="1:16" s="11" customFormat="1" ht="24" customHeight="1" x14ac:dyDescent="0.2">
      <c r="A203" s="517"/>
      <c r="B203" s="250"/>
      <c r="C203" s="511">
        <f>'SGTO POAI -MARZO-2021'!D463</f>
        <v>40</v>
      </c>
      <c r="D203" s="75" t="str">
        <f>'SGTO POAI -MARZO-2021'!E463</f>
        <v>Vivienda, Ciudad y Territorio</v>
      </c>
      <c r="E203" s="512"/>
      <c r="F203" s="505">
        <f>F204</f>
        <v>411069897.20000005</v>
      </c>
      <c r="G203" s="505">
        <f t="shared" ref="G203:H203" si="237">G204</f>
        <v>0</v>
      </c>
      <c r="H203" s="505">
        <f t="shared" si="237"/>
        <v>0</v>
      </c>
      <c r="I203" s="505">
        <f>I204</f>
        <v>797846764.79999995</v>
      </c>
      <c r="J203" s="505">
        <f t="shared" ref="J203:K203" si="238">J204</f>
        <v>0</v>
      </c>
      <c r="K203" s="505">
        <f t="shared" si="238"/>
        <v>0</v>
      </c>
      <c r="L203" s="505">
        <f>L204</f>
        <v>1208916662</v>
      </c>
      <c r="M203" s="505">
        <f t="shared" ref="M203:N203" si="239">M204</f>
        <v>0</v>
      </c>
      <c r="N203" s="505">
        <f t="shared" si="239"/>
        <v>0</v>
      </c>
      <c r="O203" s="18"/>
      <c r="P203" s="57"/>
    </row>
    <row r="204" spans="1:16" s="11" customFormat="1" ht="44.25" customHeight="1" x14ac:dyDescent="0.2">
      <c r="A204" s="517"/>
      <c r="B204" s="250"/>
      <c r="C204" s="250"/>
      <c r="D204" s="338">
        <f>'SGTO POAI -MARZO-2021'!F464</f>
        <v>4001</v>
      </c>
      <c r="E204" s="539" t="str">
        <f>'SGTO POAI -MARZO-2021'!G464</f>
        <v>Acceso a soluciones de vivienda. "Tú y yo con vivienda digna"</v>
      </c>
      <c r="F204" s="257">
        <f>'SGTO POAI -MARZO-2021'!W464</f>
        <v>411069897.20000005</v>
      </c>
      <c r="G204" s="257">
        <f>'SGTO POAI -MARZO-2021'!X464</f>
        <v>0</v>
      </c>
      <c r="H204" s="257">
        <f>'SGTO POAI -MARZO-2021'!Y464</f>
        <v>0</v>
      </c>
      <c r="I204" s="257">
        <f>'SGTO POAI -MARZO-2021'!BD464</f>
        <v>797846764.79999995</v>
      </c>
      <c r="J204" s="257">
        <f>'SGTO POAI -MARZO-2021'!BE464</f>
        <v>0</v>
      </c>
      <c r="K204" s="257">
        <f>'SGTO POAI -MARZO-2021'!BF464</f>
        <v>0</v>
      </c>
      <c r="L204" s="507">
        <f>I204+F204</f>
        <v>1208916662</v>
      </c>
      <c r="M204" s="507">
        <f t="shared" ref="M204:N204" si="240">J204+G204</f>
        <v>0</v>
      </c>
      <c r="N204" s="507">
        <f t="shared" si="240"/>
        <v>0</v>
      </c>
      <c r="O204" s="18"/>
      <c r="P204" s="57"/>
    </row>
    <row r="205" spans="1:16" s="11" customFormat="1" ht="18.75" customHeight="1" x14ac:dyDescent="0.2">
      <c r="A205" s="58"/>
      <c r="B205" s="509"/>
      <c r="C205" s="509"/>
      <c r="D205" s="509"/>
      <c r="E205" s="545"/>
      <c r="F205" s="510"/>
      <c r="G205" s="51"/>
      <c r="H205" s="18"/>
      <c r="I205" s="18"/>
      <c r="J205" s="18"/>
      <c r="K205" s="18"/>
      <c r="L205" s="57"/>
    </row>
    <row r="206" spans="1:16" ht="24" customHeight="1" x14ac:dyDescent="0.2">
      <c r="A206" s="935" t="s">
        <v>5</v>
      </c>
      <c r="B206" s="935" t="s">
        <v>6</v>
      </c>
      <c r="C206" s="935" t="s">
        <v>7</v>
      </c>
      <c r="D206" s="935" t="s">
        <v>1394</v>
      </c>
      <c r="E206" s="930" t="s">
        <v>8</v>
      </c>
      <c r="F206" s="950" t="s">
        <v>1409</v>
      </c>
      <c r="G206" s="948"/>
      <c r="H206" s="949"/>
    </row>
    <row r="207" spans="1:16" ht="24" customHeight="1" x14ac:dyDescent="0.2">
      <c r="A207" s="935"/>
      <c r="B207" s="935"/>
      <c r="C207" s="935"/>
      <c r="D207" s="935"/>
      <c r="E207" s="930"/>
      <c r="F207" s="653" t="s">
        <v>1545</v>
      </c>
      <c r="G207" s="654" t="s">
        <v>1539</v>
      </c>
      <c r="H207" s="654" t="s">
        <v>1540</v>
      </c>
    </row>
    <row r="208" spans="1:16" ht="24" customHeight="1" x14ac:dyDescent="0.2">
      <c r="A208" s="45" t="s">
        <v>1371</v>
      </c>
      <c r="B208" s="46"/>
      <c r="C208" s="46"/>
      <c r="D208" s="46"/>
      <c r="E208" s="80"/>
      <c r="F208" s="43">
        <f>F209</f>
        <v>110210000</v>
      </c>
      <c r="G208" s="43">
        <f t="shared" ref="G208:H210" si="241">G209</f>
        <v>39360000</v>
      </c>
      <c r="H208" s="43">
        <f t="shared" si="241"/>
        <v>5030000</v>
      </c>
    </row>
    <row r="209" spans="1:12" ht="24" customHeight="1" x14ac:dyDescent="0.2">
      <c r="A209" s="145"/>
      <c r="B209" s="131">
        <f>'SGTO POAI -MARZO-2021'!B474</f>
        <v>3</v>
      </c>
      <c r="C209" s="74" t="str">
        <f>'SGTO POAI -MARZO-2021'!C474</f>
        <v xml:space="preserve">TERRITORIO, AMBIENTE Y DESARROLLO SOSTENIBLE </v>
      </c>
      <c r="D209" s="74"/>
      <c r="E209" s="515"/>
      <c r="F209" s="502">
        <f>F210</f>
        <v>110210000</v>
      </c>
      <c r="G209" s="502">
        <f t="shared" si="241"/>
        <v>39360000</v>
      </c>
      <c r="H209" s="502">
        <f t="shared" si="241"/>
        <v>5030000</v>
      </c>
    </row>
    <row r="210" spans="1:12" ht="24" customHeight="1" x14ac:dyDescent="0.2">
      <c r="A210" s="145"/>
      <c r="B210" s="338"/>
      <c r="C210" s="77">
        <f>'SGTO POAI -MARZO-2021'!D475</f>
        <v>24</v>
      </c>
      <c r="D210" s="540" t="str">
        <f>'SGTO POAI -MARZO-2021'!E475</f>
        <v>Transporte</v>
      </c>
      <c r="E210" s="512"/>
      <c r="F210" s="547">
        <f>F211</f>
        <v>110210000</v>
      </c>
      <c r="G210" s="547">
        <f t="shared" si="241"/>
        <v>39360000</v>
      </c>
      <c r="H210" s="547">
        <f t="shared" si="241"/>
        <v>5030000</v>
      </c>
    </row>
    <row r="211" spans="1:12" s="44" customFormat="1" ht="47.25" customHeight="1" x14ac:dyDescent="0.2">
      <c r="A211" s="337"/>
      <c r="B211" s="338"/>
      <c r="C211" s="338"/>
      <c r="D211" s="338">
        <f>'SGTO POAI -MARZO-2021'!F476</f>
        <v>2409</v>
      </c>
      <c r="E211" s="364" t="str">
        <f>'SGTO POAI -MARZO-2021'!G476</f>
        <v>Seguridad de Transporte. "Tú y yo seguros en la vía"</v>
      </c>
      <c r="F211" s="507">
        <f>'SGTO POAI -MARZO-2021'!BD476</f>
        <v>110210000</v>
      </c>
      <c r="G211" s="507">
        <f>'SGTO POAI -MARZO-2021'!BE476</f>
        <v>39360000</v>
      </c>
      <c r="H211" s="507">
        <f>'SGTO POAI -MARZO-2021'!BF476</f>
        <v>5030000</v>
      </c>
      <c r="L211" s="56"/>
    </row>
    <row r="212" spans="1:12" s="52" customFormat="1" ht="23.25" customHeight="1" x14ac:dyDescent="0.2">
      <c r="A212" s="1"/>
      <c r="B212" s="13"/>
      <c r="C212" s="13"/>
      <c r="D212" s="13"/>
      <c r="E212" s="14"/>
      <c r="F212" s="14"/>
      <c r="G212" s="51"/>
      <c r="H212" s="18"/>
      <c r="I212" s="18"/>
      <c r="J212" s="18"/>
      <c r="K212" s="18"/>
      <c r="L212" s="57"/>
    </row>
    <row r="213" spans="1:12" s="36" customFormat="1" ht="30" customHeight="1" x14ac:dyDescent="0.25">
      <c r="A213" s="552" t="s">
        <v>1389</v>
      </c>
      <c r="B213" s="553"/>
      <c r="C213" s="553"/>
      <c r="D213" s="553"/>
      <c r="E213" s="553"/>
      <c r="F213" s="667">
        <f>O187+L195+F208</f>
        <v>8302548978.5499992</v>
      </c>
      <c r="G213" s="554">
        <f>P187+M195+G208</f>
        <v>918589500</v>
      </c>
      <c r="H213" s="554">
        <f>Q187+N195+H208</f>
        <v>186299500</v>
      </c>
      <c r="L213" s="62"/>
    </row>
    <row r="214" spans="1:12" s="36" customFormat="1" ht="16.5" thickBot="1" x14ac:dyDescent="0.3">
      <c r="A214" s="33"/>
      <c r="B214" s="34"/>
      <c r="C214" s="34"/>
      <c r="D214" s="34"/>
      <c r="E214" s="35"/>
      <c r="F214" s="35"/>
      <c r="G214" s="35"/>
      <c r="H214" s="35"/>
      <c r="L214" s="62"/>
    </row>
    <row r="215" spans="1:12" s="44" customFormat="1" ht="30" customHeight="1" thickBot="1" x14ac:dyDescent="0.25">
      <c r="A215" s="359" t="s">
        <v>1390</v>
      </c>
      <c r="B215" s="360"/>
      <c r="C215" s="360"/>
      <c r="D215" s="361"/>
      <c r="E215" s="362"/>
      <c r="F215" s="363">
        <f>F213+F183</f>
        <v>275174020090.57001</v>
      </c>
      <c r="G215" s="363">
        <f t="shared" ref="G215:H215" si="242">G213+G183</f>
        <v>92966931329.910004</v>
      </c>
      <c r="H215" s="363">
        <f t="shared" si="242"/>
        <v>47720951451.650002</v>
      </c>
      <c r="L215" s="56"/>
    </row>
  </sheetData>
  <sheetProtection password="A60F" sheet="1" objects="1" scenarios="1"/>
  <mergeCells count="118">
    <mergeCell ref="B5:B6"/>
    <mergeCell ref="C5:C6"/>
    <mergeCell ref="D5:D6"/>
    <mergeCell ref="E5:E6"/>
    <mergeCell ref="F5:H5"/>
    <mergeCell ref="L21:N21"/>
    <mergeCell ref="I21:K21"/>
    <mergeCell ref="F21:H21"/>
    <mergeCell ref="L28:N28"/>
    <mergeCell ref="C13:C14"/>
    <mergeCell ref="D13:D14"/>
    <mergeCell ref="E13:E14"/>
    <mergeCell ref="F13:H13"/>
    <mergeCell ref="A55:A56"/>
    <mergeCell ref="B55:B56"/>
    <mergeCell ref="C55:C56"/>
    <mergeCell ref="D55:D56"/>
    <mergeCell ref="A13:A14"/>
    <mergeCell ref="R28:T28"/>
    <mergeCell ref="E28:E29"/>
    <mergeCell ref="D28:D29"/>
    <mergeCell ref="C28:C29"/>
    <mergeCell ref="B28:B29"/>
    <mergeCell ref="O28:Q28"/>
    <mergeCell ref="F28:H28"/>
    <mergeCell ref="I28:K28"/>
    <mergeCell ref="O79:Q79"/>
    <mergeCell ref="E79:E80"/>
    <mergeCell ref="D79:D80"/>
    <mergeCell ref="C79:C80"/>
    <mergeCell ref="B79:B80"/>
    <mergeCell ref="E55:E56"/>
    <mergeCell ref="F55:H55"/>
    <mergeCell ref="I55:K55"/>
    <mergeCell ref="L55:N55"/>
    <mergeCell ref="L79:N79"/>
    <mergeCell ref="I79:K79"/>
    <mergeCell ref="F79:H79"/>
    <mergeCell ref="A5:A6"/>
    <mergeCell ref="A1:N3"/>
    <mergeCell ref="E96:E97"/>
    <mergeCell ref="D96:D97"/>
    <mergeCell ref="C96:C97"/>
    <mergeCell ref="B96:B97"/>
    <mergeCell ref="A96:A97"/>
    <mergeCell ref="F96:H96"/>
    <mergeCell ref="E87:E88"/>
    <mergeCell ref="F87:H87"/>
    <mergeCell ref="I87:K87"/>
    <mergeCell ref="L87:N87"/>
    <mergeCell ref="A21:A22"/>
    <mergeCell ref="B21:B22"/>
    <mergeCell ref="C21:C22"/>
    <mergeCell ref="D21:D22"/>
    <mergeCell ref="E21:E22"/>
    <mergeCell ref="A79:A80"/>
    <mergeCell ref="A87:A88"/>
    <mergeCell ref="B87:B88"/>
    <mergeCell ref="C87:C88"/>
    <mergeCell ref="D87:D88"/>
    <mergeCell ref="A28:A29"/>
    <mergeCell ref="B13:B14"/>
    <mergeCell ref="I126:K126"/>
    <mergeCell ref="L126:N126"/>
    <mergeCell ref="O126:Q126"/>
    <mergeCell ref="R126:T126"/>
    <mergeCell ref="X126:Z126"/>
    <mergeCell ref="U126:W126"/>
    <mergeCell ref="F118:H118"/>
    <mergeCell ref="A126:A127"/>
    <mergeCell ref="B126:B127"/>
    <mergeCell ref="C126:C127"/>
    <mergeCell ref="D126:D127"/>
    <mergeCell ref="E126:E127"/>
    <mergeCell ref="F126:H126"/>
    <mergeCell ref="A118:A119"/>
    <mergeCell ref="B118:B119"/>
    <mergeCell ref="C118:C119"/>
    <mergeCell ref="D118:D119"/>
    <mergeCell ref="E118:E119"/>
    <mergeCell ref="O159:Q159"/>
    <mergeCell ref="R159:T159"/>
    <mergeCell ref="U159:W159"/>
    <mergeCell ref="F168:H168"/>
    <mergeCell ref="F137:H137"/>
    <mergeCell ref="I137:K137"/>
    <mergeCell ref="L137:N137"/>
    <mergeCell ref="A159:A160"/>
    <mergeCell ref="B159:B160"/>
    <mergeCell ref="C159:C160"/>
    <mergeCell ref="D159:D160"/>
    <mergeCell ref="E159:E160"/>
    <mergeCell ref="F159:H159"/>
    <mergeCell ref="I159:K159"/>
    <mergeCell ref="L159:N159"/>
    <mergeCell ref="O185:Q185"/>
    <mergeCell ref="L185:N185"/>
    <mergeCell ref="I185:K185"/>
    <mergeCell ref="E206:E207"/>
    <mergeCell ref="E193:E194"/>
    <mergeCell ref="F193:H193"/>
    <mergeCell ref="I193:K193"/>
    <mergeCell ref="L193:N193"/>
    <mergeCell ref="F206:H206"/>
    <mergeCell ref="E185:E186"/>
    <mergeCell ref="A206:A207"/>
    <mergeCell ref="B206:B207"/>
    <mergeCell ref="C206:C207"/>
    <mergeCell ref="D206:D207"/>
    <mergeCell ref="A193:A194"/>
    <mergeCell ref="B193:B194"/>
    <mergeCell ref="C193:C194"/>
    <mergeCell ref="D193:D194"/>
    <mergeCell ref="F185:H185"/>
    <mergeCell ref="A185:A186"/>
    <mergeCell ref="B185:B186"/>
    <mergeCell ref="C185:C186"/>
    <mergeCell ref="D185:D186"/>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H62"/>
  <sheetViews>
    <sheetView showGridLines="0" zoomScale="70" zoomScaleNormal="70" workbookViewId="0">
      <selection activeCell="I14" sqref="I14"/>
    </sheetView>
  </sheetViews>
  <sheetFormatPr baseColWidth="10" defaultColWidth="11.42578125" defaultRowHeight="15" x14ac:dyDescent="0.25"/>
  <cols>
    <col min="3" max="3" width="64.42578125" customWidth="1"/>
    <col min="4" max="4" width="30.85546875" customWidth="1"/>
    <col min="5" max="5" width="27.28515625" customWidth="1"/>
    <col min="6" max="6" width="23" customWidth="1"/>
    <col min="7" max="7" width="27.28515625" customWidth="1"/>
    <col min="8" max="8" width="14.42578125" customWidth="1"/>
  </cols>
  <sheetData>
    <row r="1" spans="2:8" ht="69.75" customHeight="1" x14ac:dyDescent="0.25">
      <c r="B1" s="965" t="s">
        <v>1581</v>
      </c>
      <c r="C1" s="966"/>
      <c r="D1" s="966"/>
      <c r="E1" s="966"/>
      <c r="F1" s="966"/>
      <c r="G1" s="966"/>
      <c r="H1" s="966"/>
    </row>
    <row r="2" spans="2:8" ht="15.75" x14ac:dyDescent="0.25">
      <c r="B2" s="419" t="s">
        <v>1571</v>
      </c>
      <c r="C2" s="418" t="s">
        <v>7</v>
      </c>
      <c r="D2" s="419" t="s">
        <v>1545</v>
      </c>
      <c r="E2" s="419" t="s">
        <v>1539</v>
      </c>
      <c r="F2" s="419" t="s">
        <v>1561</v>
      </c>
      <c r="G2" s="419" t="s">
        <v>1540</v>
      </c>
      <c r="H2" s="419" t="s">
        <v>1565</v>
      </c>
    </row>
    <row r="3" spans="2:8" ht="15.75" x14ac:dyDescent="0.25">
      <c r="B3" s="131">
        <f>'UNIDADES + FUENTE'!B171</f>
        <v>1</v>
      </c>
      <c r="C3" s="74" t="str">
        <f>'RESUMEN POR UNIDAD'!C50</f>
        <v xml:space="preserve">INCLUSIÓN SOCIAL Y EQUIDAD </v>
      </c>
      <c r="D3" s="425">
        <f>SUM(D4:D21)</f>
        <v>251581979419.16003</v>
      </c>
      <c r="E3" s="425">
        <f t="shared" ref="E3:G3" si="0">SUM(E4:E21)</f>
        <v>88654882153.910004</v>
      </c>
      <c r="F3" s="672">
        <f>E3/D3</f>
        <v>0.35238963600887468</v>
      </c>
      <c r="G3" s="425">
        <f t="shared" si="0"/>
        <v>47094541164.650002</v>
      </c>
      <c r="H3" s="676">
        <f>G3/F3</f>
        <v>133643377535.26883</v>
      </c>
    </row>
    <row r="4" spans="2:8" ht="21" customHeight="1" x14ac:dyDescent="0.25">
      <c r="B4" s="422">
        <v>1202</v>
      </c>
      <c r="C4" s="427" t="str">
        <f>'RESUMEN POR UNIDAD'!E27</f>
        <v>Promoción al acceso a la justicia. "Tú y yo con justicia"</v>
      </c>
      <c r="D4" s="424">
        <f>'RESUMEN POR UNIDAD'!F27+'RESUMEN POR UNIDAD'!F52</f>
        <v>138750000</v>
      </c>
      <c r="E4" s="424">
        <f>'RESUMEN POR UNIDAD'!G27+'RESUMEN POR UNIDAD'!G52</f>
        <v>72632000</v>
      </c>
      <c r="F4" s="673">
        <f>E4/D4</f>
        <v>0.5234738738738739</v>
      </c>
      <c r="G4" s="424">
        <f>'RESUMEN POR UNIDAD'!H27+'RESUMEN POR UNIDAD'!H52</f>
        <v>10655000</v>
      </c>
      <c r="H4" s="673">
        <f>G4/E4</f>
        <v>0.14669842493666704</v>
      </c>
    </row>
    <row r="5" spans="2:8" ht="36.75" customHeight="1" x14ac:dyDescent="0.25">
      <c r="B5" s="422">
        <v>1203</v>
      </c>
      <c r="C5" s="427" t="str">
        <f>'RESUMEN POR UNIDAD'!E53</f>
        <v>Promoción de los métodos de resolución de conflictos. "Tú y yo resolvemos los conflictos"</v>
      </c>
      <c r="D5" s="424">
        <f>'RESUMEN POR UNIDAD'!F53</f>
        <v>36000000</v>
      </c>
      <c r="E5" s="424">
        <f>'RESUMEN POR UNIDAD'!G53</f>
        <v>25540000</v>
      </c>
      <c r="F5" s="673">
        <f t="shared" ref="F5:F46" si="1">E5/D5</f>
        <v>0.70944444444444443</v>
      </c>
      <c r="G5" s="424">
        <f>'RESUMEN POR UNIDAD'!H53</f>
        <v>0</v>
      </c>
      <c r="H5" s="673">
        <f>G5/E5</f>
        <v>0</v>
      </c>
    </row>
    <row r="6" spans="2:8" ht="40.5" customHeight="1" x14ac:dyDescent="0.25">
      <c r="B6" s="422">
        <v>1206</v>
      </c>
      <c r="C6" s="428" t="str">
        <f>'RESUMEN POR UNIDAD'!E54</f>
        <v>Sistema penitenciario y carcelario en el marco de los derechos humanos. "Quindío respeta derechos penitenciarios"</v>
      </c>
      <c r="D6" s="424">
        <f>'RESUMEN POR UNIDAD'!F54</f>
        <v>36000000</v>
      </c>
      <c r="E6" s="424">
        <f>'RESUMEN POR UNIDAD'!G54</f>
        <v>10000000</v>
      </c>
      <c r="F6" s="673">
        <f t="shared" si="1"/>
        <v>0.27777777777777779</v>
      </c>
      <c r="G6" s="424">
        <f>'RESUMEN POR UNIDAD'!H54</f>
        <v>2885000</v>
      </c>
      <c r="H6" s="673">
        <f t="shared" ref="H6:H21" si="2">G6/E6</f>
        <v>0.28849999999999998</v>
      </c>
    </row>
    <row r="7" spans="2:8" ht="27.75" customHeight="1" x14ac:dyDescent="0.25">
      <c r="B7" s="422">
        <v>1903</v>
      </c>
      <c r="C7" s="427" t="str">
        <f>'UNIDADES + FUENTE'!E164</f>
        <v xml:space="preserve">Inspección, vigilancia y control. "Tú y yo con salud certificada" </v>
      </c>
      <c r="D7" s="424">
        <f>'RESUMEN POR UNIDAD'!F142</f>
        <v>2611085314</v>
      </c>
      <c r="E7" s="424">
        <f>'RESUMEN POR UNIDAD'!G142</f>
        <v>760558549.32999992</v>
      </c>
      <c r="F7" s="673">
        <f t="shared" si="1"/>
        <v>0.29128062007475253</v>
      </c>
      <c r="G7" s="424">
        <f>'RESUMEN POR UNIDAD'!H142</f>
        <v>127856688.33</v>
      </c>
      <c r="H7" s="673">
        <f t="shared" si="2"/>
        <v>0.16810893578493463</v>
      </c>
    </row>
    <row r="8" spans="2:8" ht="25.5" customHeight="1" x14ac:dyDescent="0.25">
      <c r="B8" s="422">
        <v>1905</v>
      </c>
      <c r="C8" s="427" t="str">
        <f>'RESUMEN POR UNIDAD'!E122</f>
        <v>Salud Pública, "Tú y yo con salud de calidad"</v>
      </c>
      <c r="D8" s="424">
        <f>'RESUMEN POR UNIDAD'!F122+'RESUMEN POR UNIDAD'!F143</f>
        <v>5399357109.4899998</v>
      </c>
      <c r="E8" s="424">
        <f>'RESUMEN POR UNIDAD'!G122+'RESUMEN POR UNIDAD'!G143</f>
        <v>1885405221</v>
      </c>
      <c r="F8" s="673">
        <f t="shared" si="1"/>
        <v>0.34919068747762216</v>
      </c>
      <c r="G8" s="424">
        <f>'RESUMEN POR UNIDAD'!H122+'RESUMEN POR UNIDAD'!H143</f>
        <v>217026185</v>
      </c>
      <c r="H8" s="673">
        <f t="shared" si="2"/>
        <v>0.11510850960988189</v>
      </c>
    </row>
    <row r="9" spans="2:8" ht="38.25" customHeight="1" x14ac:dyDescent="0.25">
      <c r="B9" s="422">
        <v>1906</v>
      </c>
      <c r="C9" s="428" t="str">
        <f>'RESUMEN POR UNIDAD'!E29</f>
        <v>Aseguramiento y Prestación integral de servicios de salud "Tú y yo con servicios de salud"</v>
      </c>
      <c r="D9" s="424">
        <f>'RESUMEN POR UNIDAD'!F29+'RESUMEN POR UNIDAD'!F144</f>
        <v>39405787224</v>
      </c>
      <c r="E9" s="424">
        <f>'RESUMEN POR UNIDAD'!G29+'RESUMEN POR UNIDAD'!G144</f>
        <v>31442059122</v>
      </c>
      <c r="F9" s="673">
        <f t="shared" si="1"/>
        <v>0.79790460582019007</v>
      </c>
      <c r="G9" s="424">
        <f>'RESUMEN POR UNIDAD'!H29+'RESUMEN POR UNIDAD'!H144</f>
        <v>9100875335.3199997</v>
      </c>
      <c r="H9" s="673">
        <f t="shared" si="2"/>
        <v>0.28944908792414681</v>
      </c>
    </row>
    <row r="10" spans="2:8" ht="39" customHeight="1" x14ac:dyDescent="0.25">
      <c r="B10" s="422">
        <v>2201</v>
      </c>
      <c r="C10" s="427" t="str">
        <f>'RESUMEN POR UNIDAD'!E31</f>
        <v>Calidad, cobertura y fortalecimiento de la educación inicial, prescolar, básica y media." Tú y yo con educación y  calidad"</v>
      </c>
      <c r="D10" s="424">
        <f>'RESUMEN POR UNIDAD'!F31+'RESUMEN POR UNIDAD'!F56+'RESUMEN POR UNIDAD'!F113</f>
        <v>190716332217.32007</v>
      </c>
      <c r="E10" s="424">
        <f>'RESUMEN POR UNIDAD'!G31+'RESUMEN POR UNIDAD'!G56+'RESUMEN POR UNIDAD'!G113</f>
        <v>53607685507.25</v>
      </c>
      <c r="F10" s="673">
        <f t="shared" si="1"/>
        <v>0.28108597142149511</v>
      </c>
      <c r="G10" s="424">
        <f>'RESUMEN POR UNIDAD'!H31+'RESUMEN POR UNIDAD'!H56+'RESUMEN POR UNIDAD'!H113</f>
        <v>37530066785</v>
      </c>
      <c r="H10" s="673">
        <f t="shared" si="2"/>
        <v>0.70008743018618791</v>
      </c>
    </row>
    <row r="11" spans="2:8" ht="37.5" customHeight="1" x14ac:dyDescent="0.25">
      <c r="B11" s="422">
        <v>2202</v>
      </c>
      <c r="C11" s="428" t="str">
        <f>'RESUMEN POR UNIDAD'!E114</f>
        <v>Calidad y fomento de la Educación "Tú y yo preparados para la educación superior"</v>
      </c>
      <c r="D11" s="424">
        <f>'RESUMEN POR UNIDAD'!F114</f>
        <v>100000000</v>
      </c>
      <c r="E11" s="424">
        <f>'RESUMEN POR UNIDAD'!G114</f>
        <v>0</v>
      </c>
      <c r="F11" s="673">
        <f t="shared" si="1"/>
        <v>0</v>
      </c>
      <c r="G11" s="424">
        <f>'RESUMEN POR UNIDAD'!H114</f>
        <v>0</v>
      </c>
      <c r="H11" s="673">
        <v>0</v>
      </c>
    </row>
    <row r="12" spans="2:8" ht="49.5" customHeight="1" x14ac:dyDescent="0.25">
      <c r="B12" s="422">
        <v>2301</v>
      </c>
      <c r="C12" s="427" t="str">
        <f>'RESUMEN POR UNIDAD'!E149</f>
        <v>Facilitar en acceso y uso de las Tecnologías de la Información y las Comunicaciones (TIC)  en todo el territorio nacional.  "Tú y yo somos ciudadanos TIC"</v>
      </c>
      <c r="D12" s="424">
        <f>'RESUMEN POR UNIDAD'!F149</f>
        <v>374000000</v>
      </c>
      <c r="E12" s="424">
        <f>'RESUMEN POR UNIDAD'!G149</f>
        <v>76080000</v>
      </c>
      <c r="F12" s="673">
        <f t="shared" si="1"/>
        <v>0.20342245989304814</v>
      </c>
      <c r="G12" s="424">
        <f>'RESUMEN POR UNIDAD'!H149</f>
        <v>8655000</v>
      </c>
      <c r="H12" s="673">
        <f t="shared" si="2"/>
        <v>0.11376182965299685</v>
      </c>
    </row>
    <row r="13" spans="2:8" ht="63" customHeight="1" x14ac:dyDescent="0.25">
      <c r="B13" s="422">
        <v>2302</v>
      </c>
      <c r="C13" s="428" t="str">
        <f>'RESUMEN POR UNIDAD'!E150</f>
        <v>Fomento del desarrollo de aplicaciones, software y contenidos para impulsar la apropiación de las Tecnologías de la Información y las Comunicaciones (TIC) "Quindío paraíso empresarial TIC-Quindío TIC"</v>
      </c>
      <c r="D13" s="424">
        <f>'RESUMEN POR UNIDAD'!F150</f>
        <v>146000000</v>
      </c>
      <c r="E13" s="424">
        <f>'RESUMEN POR UNIDAD'!G150</f>
        <v>66890334</v>
      </c>
      <c r="F13" s="673">
        <f t="shared" si="1"/>
        <v>0.45815297260273974</v>
      </c>
      <c r="G13" s="424">
        <f>'RESUMEN POR UNIDAD'!H150</f>
        <v>0</v>
      </c>
      <c r="H13" s="673">
        <f t="shared" si="2"/>
        <v>0</v>
      </c>
    </row>
    <row r="14" spans="2:8" ht="39" customHeight="1" x14ac:dyDescent="0.25">
      <c r="B14" s="422">
        <v>3301</v>
      </c>
      <c r="C14" s="428" t="str">
        <f>'RESUMEN POR UNIDAD'!E33</f>
        <v>Promoción y acceso efectivo a procesos culturales y artísticos. "Tú y yo somos cultura Quindiana"</v>
      </c>
      <c r="D14" s="424">
        <f>'RESUMEN POR UNIDAD'!F33+'RESUMEN POR UNIDAD'!F74+'RESUMEN POR UNIDAD'!F124</f>
        <v>3686569083.02</v>
      </c>
      <c r="E14" s="424">
        <f>'RESUMEN POR UNIDAD'!G33+'RESUMEN POR UNIDAD'!G74+'RESUMEN POR UNIDAD'!G124</f>
        <v>77655000</v>
      </c>
      <c r="F14" s="673">
        <f t="shared" si="1"/>
        <v>2.106430077702106E-2</v>
      </c>
      <c r="G14" s="424">
        <f>'RESUMEN POR UNIDAD'!H33+'RESUMEN POR UNIDAD'!H74+'RESUMEN POR UNIDAD'!H124</f>
        <v>0</v>
      </c>
      <c r="H14" s="673">
        <f t="shared" si="2"/>
        <v>0</v>
      </c>
    </row>
    <row r="15" spans="2:8" ht="37.5" customHeight="1" x14ac:dyDescent="0.25">
      <c r="B15" s="422">
        <v>3302</v>
      </c>
      <c r="C15" s="428" t="str">
        <f>'RESUMEN POR UNIDAD'!E75</f>
        <v>Gestión, protección y salvaguardia del patrimonio cultural colombiano. "Tú y yo protectores del patrimonio cultural"</v>
      </c>
      <c r="D15" s="424">
        <f>'RESUMEN POR UNIDAD'!F75</f>
        <v>396038142</v>
      </c>
      <c r="E15" s="424">
        <f>'RESUMEN POR UNIDAD'!G75</f>
        <v>19660000</v>
      </c>
      <c r="F15" s="673">
        <f t="shared" si="1"/>
        <v>4.9641683249791631E-2</v>
      </c>
      <c r="G15" s="424">
        <f>'RESUMEN POR UNIDAD'!H75</f>
        <v>0</v>
      </c>
      <c r="H15" s="673">
        <f t="shared" si="2"/>
        <v>0</v>
      </c>
    </row>
    <row r="16" spans="2:8" ht="38.25" customHeight="1" x14ac:dyDescent="0.25">
      <c r="B16" s="422">
        <v>4101</v>
      </c>
      <c r="C16" s="428" t="str">
        <f>'RESUMEN POR UNIDAD'!E58</f>
        <v>Atención, asistencia y reparación integral a las víctimas. "Tú y yo con reparación integral"</v>
      </c>
      <c r="D16" s="424">
        <f>'RESUMEN POR UNIDAD'!F58</f>
        <v>206000000</v>
      </c>
      <c r="E16" s="424">
        <f>'RESUMEN POR UNIDAD'!G58</f>
        <v>62719410</v>
      </c>
      <c r="F16" s="673">
        <f t="shared" si="1"/>
        <v>0.30446315533980584</v>
      </c>
      <c r="G16" s="424">
        <f>'RESUMEN POR UNIDAD'!H58</f>
        <v>16960171</v>
      </c>
      <c r="H16" s="673">
        <f t="shared" si="2"/>
        <v>0.27041343341718299</v>
      </c>
    </row>
    <row r="17" spans="2:8" ht="57.75" customHeight="1" x14ac:dyDescent="0.25">
      <c r="B17" s="422">
        <v>4102</v>
      </c>
      <c r="C17" s="428" t="str">
        <f>'RESUMEN POR UNIDAD'!E126</f>
        <v>Desarrollo Integral de Niños, Niñas, Adolescentes y sus Familias. "Tú y yo niños, niñas y adolescentes con desarrollo integral"</v>
      </c>
      <c r="D17" s="424">
        <f>'RESUMEN POR UNIDAD'!F126</f>
        <v>748000000</v>
      </c>
      <c r="E17" s="424">
        <f>'RESUMEN POR UNIDAD'!G126</f>
        <v>178260000</v>
      </c>
      <c r="F17" s="673">
        <f t="shared" si="1"/>
        <v>0.23831550802139037</v>
      </c>
      <c r="G17" s="424">
        <f>'RESUMEN POR UNIDAD'!H126</f>
        <v>16650000</v>
      </c>
      <c r="H17" s="673">
        <f t="shared" si="2"/>
        <v>9.340289464826658E-2</v>
      </c>
    </row>
    <row r="18" spans="2:8" ht="42.75" customHeight="1" x14ac:dyDescent="0.25">
      <c r="B18" s="422">
        <v>4103</v>
      </c>
      <c r="C18" s="428" t="str">
        <f>'RESUMEN POR UNIDAD'!E127</f>
        <v>Inclusión social y productiva para la población en situación de vulnerabilidad. "Tú y yo, población vulnerable incluida"</v>
      </c>
      <c r="D18" s="424">
        <f>'RESUMEN POR UNIDAD'!F59+'RESUMEN POR UNIDAD'!F127</f>
        <v>193000000</v>
      </c>
      <c r="E18" s="424">
        <f>'RESUMEN POR UNIDAD'!G59+'RESUMEN POR UNIDAD'!G127</f>
        <v>37510000</v>
      </c>
      <c r="F18" s="673">
        <f t="shared" si="1"/>
        <v>0.19435233160621762</v>
      </c>
      <c r="G18" s="424">
        <f>'RESUMEN POR UNIDAD'!H59+'RESUMEN POR UNIDAD'!H127</f>
        <v>8135000</v>
      </c>
      <c r="H18" s="673">
        <f t="shared" si="2"/>
        <v>0.21687549986670221</v>
      </c>
    </row>
    <row r="19" spans="2:8" ht="45" x14ac:dyDescent="0.25">
      <c r="B19" s="422">
        <v>4104</v>
      </c>
      <c r="C19" s="428" t="str">
        <f>'RESUMEN POR UNIDAD'!E128</f>
        <v>Atención integral de población en situación permanente de desprotección social y/o familiar "Tú y yo con atención integral"</v>
      </c>
      <c r="D19" s="424">
        <f>'RESUMEN POR UNIDAD'!F128</f>
        <v>3679539574</v>
      </c>
      <c r="E19" s="424">
        <f>'RESUMEN POR UNIDAD'!G128</f>
        <v>36270000</v>
      </c>
      <c r="F19" s="673">
        <f t="shared" si="1"/>
        <v>9.8572115533931207E-3</v>
      </c>
      <c r="G19" s="424">
        <f>'RESUMEN POR UNIDAD'!H128</f>
        <v>7625000</v>
      </c>
      <c r="H19" s="673">
        <f t="shared" si="2"/>
        <v>0.21022883926109734</v>
      </c>
    </row>
    <row r="20" spans="2:8" ht="52.5" customHeight="1" x14ac:dyDescent="0.25">
      <c r="B20" s="422">
        <v>4301</v>
      </c>
      <c r="C20" s="428" t="str">
        <f>'RESUMEN POR UNIDAD'!E35</f>
        <v>Fomento a la recreación, la actividad física y el deporte para desarrollar entornos de convivencia y paz "Tú y yo en la recreación y en deporte"</v>
      </c>
      <c r="D20" s="424">
        <f>'RESUMEN POR UNIDAD'!F35</f>
        <v>1836073375</v>
      </c>
      <c r="E20" s="424">
        <f>'RESUMEN POR UNIDAD'!G35</f>
        <v>170000000</v>
      </c>
      <c r="F20" s="673">
        <f t="shared" si="1"/>
        <v>9.2588892314829196E-2</v>
      </c>
      <c r="G20" s="424">
        <f>'RESUMEN POR UNIDAD'!H35</f>
        <v>44266000</v>
      </c>
      <c r="H20" s="673">
        <f t="shared" si="2"/>
        <v>0.26038823529411764</v>
      </c>
    </row>
    <row r="21" spans="2:8" ht="41.25" customHeight="1" x14ac:dyDescent="0.25">
      <c r="B21" s="422">
        <v>4501</v>
      </c>
      <c r="C21" s="428" t="str">
        <f>'RESUMEN POR UNIDAD'!E61</f>
        <v>Fortalecimiento de la convivencia y la seguridad ciudadana. "Tú y yo seguros"</v>
      </c>
      <c r="D21" s="424">
        <f>'RESUMEN POR UNIDAD'!F61</f>
        <v>1873447380.3299999</v>
      </c>
      <c r="E21" s="424">
        <f>'RESUMEN POR UNIDAD'!G61</f>
        <v>125957010.33</v>
      </c>
      <c r="F21" s="673">
        <f t="shared" si="1"/>
        <v>6.7232745180071829E-2</v>
      </c>
      <c r="G21" s="424">
        <f>'RESUMEN POR UNIDAD'!H61</f>
        <v>2885000</v>
      </c>
      <c r="H21" s="673">
        <f t="shared" si="2"/>
        <v>2.2904640181927696E-2</v>
      </c>
    </row>
    <row r="22" spans="2:8" ht="15.75" x14ac:dyDescent="0.25">
      <c r="B22" s="131">
        <f>'UNIDADES + FUENTE'!B90</f>
        <v>2</v>
      </c>
      <c r="C22" s="74" t="str">
        <f>'UNIDADES + FUENTE'!C90</f>
        <v>PRODUCTIVIDAD Y COMPETITIVIDAD</v>
      </c>
      <c r="D22" s="425">
        <f>SUM(D23:D34)</f>
        <v>4273728339.7600002</v>
      </c>
      <c r="E22" s="425">
        <f t="shared" ref="E22:G22" si="3">SUM(E23:E34)</f>
        <v>638140000</v>
      </c>
      <c r="F22" s="672">
        <f>E22/D22</f>
        <v>0.14931693108875424</v>
      </c>
      <c r="G22" s="425">
        <f t="shared" si="3"/>
        <v>72795000</v>
      </c>
      <c r="H22" s="672">
        <f>G22/E22</f>
        <v>0.11407371423198671</v>
      </c>
    </row>
    <row r="23" spans="2:8" ht="41.25" customHeight="1" x14ac:dyDescent="0.25">
      <c r="B23" s="422">
        <v>1702</v>
      </c>
      <c r="C23" s="428" t="str">
        <f>'RESUMEN POR UNIDAD'!E87</f>
        <v>Inclusión productiva de pequeños productores rurales. "Tú y yo con oportunidades para el pequeño campesino"</v>
      </c>
      <c r="D23" s="424">
        <f>'RESUMEN POR UNIDAD'!F87</f>
        <v>834000000</v>
      </c>
      <c r="E23" s="424">
        <f>'RESUMEN POR UNIDAD'!G87</f>
        <v>220780000</v>
      </c>
      <c r="F23" s="673">
        <f t="shared" si="1"/>
        <v>0.26472422062350121</v>
      </c>
      <c r="G23" s="424">
        <f>'RESUMEN POR UNIDAD'!H87</f>
        <v>23985000</v>
      </c>
      <c r="H23" s="673">
        <f>G23/E23</f>
        <v>0.10863755774979618</v>
      </c>
    </row>
    <row r="24" spans="2:8" ht="36.75" customHeight="1" x14ac:dyDescent="0.25">
      <c r="B24" s="422">
        <v>1702</v>
      </c>
      <c r="C24" s="428" t="str">
        <f>'RESUMEN POR UNIDAD'!E88</f>
        <v>Servicios financieros y gestión del riesgo para las actividades agropecuarias y rurales. "Tú y yo con un campo protegido"</v>
      </c>
      <c r="D24" s="424">
        <f>'RESUMEN POR UNIDAD'!F88+'RESUMEN POR UNIDAD'!F131</f>
        <v>93000000</v>
      </c>
      <c r="E24" s="424">
        <f>'RESUMEN POR UNIDAD'!G88+'RESUMEN POR UNIDAD'!G131</f>
        <v>69240000</v>
      </c>
      <c r="F24" s="673">
        <f t="shared" si="1"/>
        <v>0.74451612903225806</v>
      </c>
      <c r="G24" s="424">
        <f>'RESUMEN POR UNIDAD'!H88+'RESUMEN POR UNIDAD'!H131</f>
        <v>11540000</v>
      </c>
      <c r="H24" s="673">
        <f t="shared" ref="H24:H33" si="4">G24/E24</f>
        <v>0.16666666666666666</v>
      </c>
    </row>
    <row r="25" spans="2:8" ht="36.75" customHeight="1" x14ac:dyDescent="0.25">
      <c r="B25" s="422">
        <v>1704</v>
      </c>
      <c r="C25" s="428" t="str">
        <f>'RESUMEN POR UNIDAD'!E89</f>
        <v>Ordenamiento social y uso productivo del territorio rural. "Tú y yo con un campo planificado"</v>
      </c>
      <c r="D25" s="424">
        <f>'RESUMEN POR UNIDAD'!F89</f>
        <v>70000000</v>
      </c>
      <c r="E25" s="424">
        <f>'RESUMEN POR UNIDAD'!G89</f>
        <v>30500000</v>
      </c>
      <c r="F25" s="673">
        <f t="shared" si="1"/>
        <v>0.43571428571428572</v>
      </c>
      <c r="G25" s="424">
        <f>'RESUMEN POR UNIDAD'!H89</f>
        <v>5770000</v>
      </c>
      <c r="H25" s="673">
        <f t="shared" si="4"/>
        <v>0.18918032786885247</v>
      </c>
    </row>
    <row r="26" spans="2:8" ht="43.5" customHeight="1" x14ac:dyDescent="0.25">
      <c r="B26" s="422">
        <v>1706</v>
      </c>
      <c r="C26" s="428" t="str">
        <f>'RESUMEN POR UNIDAD'!E90</f>
        <v>Aprovechamiento de mercados externos. "Tú y yo a los mercados internacionales"</v>
      </c>
      <c r="D26" s="424">
        <f>'RESUMEN POR UNIDAD'!F90</f>
        <v>20000000</v>
      </c>
      <c r="E26" s="424">
        <f>'RESUMEN POR UNIDAD'!G90</f>
        <v>0</v>
      </c>
      <c r="F26" s="673">
        <f t="shared" si="1"/>
        <v>0</v>
      </c>
      <c r="G26" s="424">
        <f>'RESUMEN POR UNIDAD'!H90</f>
        <v>0</v>
      </c>
      <c r="H26" s="673">
        <v>0</v>
      </c>
    </row>
    <row r="27" spans="2:8" ht="39.75" customHeight="1" x14ac:dyDescent="0.25">
      <c r="B27" s="422">
        <v>1707</v>
      </c>
      <c r="C27" s="428" t="str">
        <f>'RESUMEN POR UNIDAD'!E91</f>
        <v>Sanidad agropecuaria e inocuidad agroalimentaria. "Tú y yo con un agro saludable"</v>
      </c>
      <c r="D27" s="424">
        <f>'RESUMEN POR UNIDAD'!F91</f>
        <v>43000000</v>
      </c>
      <c r="E27" s="424">
        <f>'RESUMEN POR UNIDAD'!G91</f>
        <v>0</v>
      </c>
      <c r="F27" s="673">
        <f t="shared" si="1"/>
        <v>0</v>
      </c>
      <c r="G27" s="424">
        <f>'RESUMEN POR UNIDAD'!H91</f>
        <v>0</v>
      </c>
      <c r="H27" s="673">
        <v>0</v>
      </c>
    </row>
    <row r="28" spans="2:8" ht="40.5" customHeight="1" x14ac:dyDescent="0.25">
      <c r="B28" s="422">
        <v>1708</v>
      </c>
      <c r="C28" s="428" t="str">
        <f>'RESUMEN POR UNIDAD'!E92</f>
        <v>Ciencia, tecnología e innovación agropecuaria. "Tú y yo con un agro interconectado"</v>
      </c>
      <c r="D28" s="424">
        <f>'RESUMEN POR UNIDAD'!F92</f>
        <v>40000000</v>
      </c>
      <c r="E28" s="424">
        <f>'RESUMEN POR UNIDAD'!G92</f>
        <v>8900000</v>
      </c>
      <c r="F28" s="673">
        <f t="shared" si="1"/>
        <v>0.2225</v>
      </c>
      <c r="G28" s="424">
        <f>'RESUMEN POR UNIDAD'!H92</f>
        <v>0</v>
      </c>
      <c r="H28" s="673">
        <f t="shared" si="4"/>
        <v>0</v>
      </c>
    </row>
    <row r="29" spans="2:8" ht="38.25" customHeight="1" x14ac:dyDescent="0.25">
      <c r="B29" s="422">
        <v>1709</v>
      </c>
      <c r="C29" s="428" t="str">
        <f>'RESUMEN POR UNIDAD'!E93</f>
        <v>Infraestructura productiva y comercialización. "Tú y yo con agro competitivo"</v>
      </c>
      <c r="D29" s="424">
        <f>'RESUMEN POR UNIDAD'!F93</f>
        <v>108000000</v>
      </c>
      <c r="E29" s="424">
        <f>'RESUMEN POR UNIDAD'!G93</f>
        <v>23080000</v>
      </c>
      <c r="F29" s="673">
        <f t="shared" si="1"/>
        <v>0.2137037037037037</v>
      </c>
      <c r="G29" s="424">
        <f>'RESUMEN POR UNIDAD'!H93</f>
        <v>2885000</v>
      </c>
      <c r="H29" s="673">
        <f t="shared" si="4"/>
        <v>0.125</v>
      </c>
    </row>
    <row r="30" spans="2:8" ht="39" customHeight="1" x14ac:dyDescent="0.25">
      <c r="B30" s="422">
        <v>3502</v>
      </c>
      <c r="C30" s="428" t="str">
        <f>'RESUMEN POR UNIDAD'!E80</f>
        <v xml:space="preserve">Productividad y competitividad de las empresas colombianas. "Tú y yo con empresas competitivas" </v>
      </c>
      <c r="D30" s="424">
        <f>'RESUMEN POR UNIDAD'!F80+'RESUMEN POR UNIDAD'!F95</f>
        <v>2724728339.7600002</v>
      </c>
      <c r="E30" s="424">
        <f>'RESUMEN POR UNIDAD'!G80+'RESUMEN POR UNIDAD'!G95</f>
        <v>210780000</v>
      </c>
      <c r="F30" s="673">
        <f t="shared" si="1"/>
        <v>7.7358170693290457E-2</v>
      </c>
      <c r="G30" s="424">
        <f>'RESUMEN POR UNIDAD'!H80+'RESUMEN POR UNIDAD'!H95</f>
        <v>24080000</v>
      </c>
      <c r="H30" s="673">
        <f t="shared" si="4"/>
        <v>0.11424233798273081</v>
      </c>
    </row>
    <row r="31" spans="2:8" ht="39" customHeight="1" x14ac:dyDescent="0.25">
      <c r="B31" s="422">
        <v>3602</v>
      </c>
      <c r="C31" s="428" t="str">
        <f>'RESUMEN POR UNIDAD'!E82</f>
        <v>Generación y formalización del empleo. "Tú y yo con empleo de calidad"</v>
      </c>
      <c r="D31" s="424">
        <f>'RESUMEN POR UNIDAD'!F82</f>
        <v>237500000</v>
      </c>
      <c r="E31" s="424">
        <f>'RESUMEN POR UNIDAD'!G82</f>
        <v>42880000</v>
      </c>
      <c r="F31" s="673">
        <f t="shared" si="1"/>
        <v>0.18054736842105262</v>
      </c>
      <c r="G31" s="424">
        <f>'RESUMEN POR UNIDAD'!H82</f>
        <v>4535000</v>
      </c>
      <c r="H31" s="673">
        <f t="shared" si="4"/>
        <v>0.10576026119402986</v>
      </c>
    </row>
    <row r="32" spans="2:8" ht="35.25" customHeight="1" x14ac:dyDescent="0.25">
      <c r="B32" s="422">
        <v>3604</v>
      </c>
      <c r="C32" s="427" t="str">
        <f>'RESUMEN POR UNIDAD'!E133</f>
        <v>Derechos fundamentales del trabajo y fortalecimiento del diálogo social. "Tú y yo con una niñez protegida"</v>
      </c>
      <c r="D32" s="424">
        <f>'RESUMEN POR UNIDAD'!F133</f>
        <v>18000000</v>
      </c>
      <c r="E32" s="424">
        <f>'RESUMEN POR UNIDAD'!G133</f>
        <v>8900000</v>
      </c>
      <c r="F32" s="673">
        <f t="shared" si="1"/>
        <v>0.49444444444444446</v>
      </c>
      <c r="G32" s="424">
        <f>'RESUMEN POR UNIDAD'!H133</f>
        <v>0</v>
      </c>
      <c r="H32" s="673">
        <f t="shared" si="4"/>
        <v>0</v>
      </c>
    </row>
    <row r="33" spans="2:8" ht="37.5" customHeight="1" x14ac:dyDescent="0.25">
      <c r="B33" s="422">
        <v>3903</v>
      </c>
      <c r="C33" s="428" t="str">
        <f>'RESUMEN POR UNIDAD'!E153</f>
        <v xml:space="preserve">Desarrollo tecnológico e innovación para el crecimiento empresarial </v>
      </c>
      <c r="D33" s="424">
        <f>'RESUMEN POR UNIDAD'!F153</f>
        <v>60000000</v>
      </c>
      <c r="E33" s="424">
        <f>'RESUMEN POR UNIDAD'!G153</f>
        <v>23080000</v>
      </c>
      <c r="F33" s="673">
        <f t="shared" si="1"/>
        <v>0.38466666666666666</v>
      </c>
      <c r="G33" s="424">
        <f>'RESUMEN POR UNIDAD'!H153</f>
        <v>0</v>
      </c>
      <c r="H33" s="673">
        <f t="shared" si="4"/>
        <v>0</v>
      </c>
    </row>
    <row r="34" spans="2:8" ht="41.25" customHeight="1" x14ac:dyDescent="0.25">
      <c r="B34" s="422">
        <v>3904</v>
      </c>
      <c r="C34" s="428" t="str">
        <f>'RESUMEN POR UNIDAD'!E154</f>
        <v>Generación de una cultura qué valora y gestiona en conocimiento y la innovación.</v>
      </c>
      <c r="D34" s="424">
        <f>'RESUMEN POR UNIDAD'!F154+'RESUMEN POR UNIDAD'!F117</f>
        <v>25500000</v>
      </c>
      <c r="E34" s="424">
        <f>'RESUMEN POR UNIDAD'!G154+'RESUMEN POR UNIDAD'!G117</f>
        <v>0</v>
      </c>
      <c r="F34" s="673">
        <f t="shared" si="1"/>
        <v>0</v>
      </c>
      <c r="G34" s="424">
        <f>'RESUMEN POR UNIDAD'!H154+'RESUMEN POR UNIDAD'!H117</f>
        <v>0</v>
      </c>
      <c r="H34" s="673">
        <v>0</v>
      </c>
    </row>
    <row r="35" spans="2:8" ht="15.75" x14ac:dyDescent="0.25">
      <c r="B35" s="131">
        <f>'UNIDADES + FUENTE'!B42</f>
        <v>3</v>
      </c>
      <c r="C35" s="74" t="str">
        <f>'UNIDADES + FUENTE'!C42</f>
        <v xml:space="preserve">TERRITORIO, AMBIENTE Y DESARROLLO SOSTENIBLE </v>
      </c>
      <c r="D35" s="425">
        <f>SUM(D36:D44)</f>
        <v>5524367474.1000004</v>
      </c>
      <c r="E35" s="425">
        <f t="shared" ref="E35:G35" si="5">SUM(E36:E44)</f>
        <v>668545036</v>
      </c>
      <c r="F35" s="672">
        <f>E35/D35</f>
        <v>0.12101748103006411</v>
      </c>
      <c r="G35" s="425">
        <f t="shared" si="5"/>
        <v>86015787</v>
      </c>
      <c r="H35" s="672">
        <f>G35/E35</f>
        <v>0.12866117070383873</v>
      </c>
    </row>
    <row r="36" spans="2:8" ht="21.75" customHeight="1" x14ac:dyDescent="0.25">
      <c r="B36" s="422">
        <v>2402</v>
      </c>
      <c r="C36" s="428" t="str">
        <f>'RESUMEN POR UNIDAD'!E38</f>
        <v>Infraestructura red vial regional. "Tú y yo con movilidad vial"</v>
      </c>
      <c r="D36" s="424">
        <f>'RESUMEN POR UNIDAD'!F38</f>
        <v>390000000</v>
      </c>
      <c r="E36" s="424">
        <f>'RESUMEN POR UNIDAD'!G38</f>
        <v>161100000</v>
      </c>
      <c r="F36" s="673">
        <f t="shared" si="1"/>
        <v>0.41307692307692306</v>
      </c>
      <c r="G36" s="424">
        <f>'RESUMEN POR UNIDAD'!H38</f>
        <v>35450000</v>
      </c>
      <c r="H36" s="673">
        <f>G36/E36</f>
        <v>0.22004965859714462</v>
      </c>
    </row>
    <row r="37" spans="2:8" ht="36" customHeight="1" x14ac:dyDescent="0.25">
      <c r="B37" s="422">
        <v>3201</v>
      </c>
      <c r="C37" s="428" t="str">
        <f>'RESUMEN POR UNIDAD'!E98</f>
        <v>Fortalecimiento del desempeño ambiental de los sectores productivos. "Tú y yo guardianes de la biodiversidad.</v>
      </c>
      <c r="D37" s="424">
        <f>'RESUMEN POR UNIDAD'!F98</f>
        <v>82000000</v>
      </c>
      <c r="E37" s="424">
        <f>'RESUMEN POR UNIDAD'!G98</f>
        <v>22467500</v>
      </c>
      <c r="F37" s="673">
        <f t="shared" si="1"/>
        <v>0.27399390243902438</v>
      </c>
      <c r="G37" s="424">
        <f>'RESUMEN POR UNIDAD'!H98</f>
        <v>0</v>
      </c>
      <c r="H37" s="673">
        <f t="shared" ref="H37:H44" si="6">G37/E37</f>
        <v>0</v>
      </c>
    </row>
    <row r="38" spans="2:8" ht="35.25" customHeight="1" x14ac:dyDescent="0.25">
      <c r="B38" s="422">
        <v>3202</v>
      </c>
      <c r="C38" s="428" t="str">
        <f>'RESUMEN POR UNIDAD'!E99</f>
        <v>Conservación de la biodiversidad y sus servicios ecosistémicos. "Tú y yo en territorios biodiversos"</v>
      </c>
      <c r="D38" s="424">
        <f>'RESUMEN POR UNIDAD'!F99</f>
        <v>945248186</v>
      </c>
      <c r="E38" s="424">
        <f>'RESUMEN POR UNIDAD'!G99</f>
        <v>201860000</v>
      </c>
      <c r="F38" s="673">
        <f t="shared" si="1"/>
        <v>0.21355238019996581</v>
      </c>
      <c r="G38" s="424">
        <f>'RESUMEN POR UNIDAD'!H99</f>
        <v>10060000</v>
      </c>
      <c r="H38" s="673">
        <f t="shared" si="6"/>
        <v>4.9836520360645994E-2</v>
      </c>
    </row>
    <row r="39" spans="2:8" ht="43.5" customHeight="1" x14ac:dyDescent="0.25">
      <c r="B39" s="422">
        <v>3204</v>
      </c>
      <c r="C39" s="428" t="str">
        <f>'RESUMEN POR UNIDAD'!E100</f>
        <v>Gestión de la información y en conocimiento ambiental. "Tú y yo conscientes con la naturaleza"</v>
      </c>
      <c r="D39" s="424">
        <f>'RESUMEN POR UNIDAD'!F100</f>
        <v>120000000</v>
      </c>
      <c r="E39" s="424">
        <f>'RESUMEN POR UNIDAD'!G100</f>
        <v>24740000</v>
      </c>
      <c r="F39" s="673">
        <f t="shared" si="1"/>
        <v>0.20616666666666666</v>
      </c>
      <c r="G39" s="424">
        <f>'RESUMEN POR UNIDAD'!H100</f>
        <v>6185000</v>
      </c>
      <c r="H39" s="673">
        <f t="shared" si="6"/>
        <v>0.25</v>
      </c>
    </row>
    <row r="40" spans="2:8" ht="36" customHeight="1" x14ac:dyDescent="0.25">
      <c r="B40" s="422">
        <v>3205</v>
      </c>
      <c r="C40" s="428" t="str">
        <f>'RESUMEN POR UNIDAD'!E101</f>
        <v>Ordenamiento Ambiental Territorial. "Tú y yo planificamos con sentido ambiental"</v>
      </c>
      <c r="D40" s="424">
        <f>'RESUMEN POR UNIDAD'!F101+'RESUMEN POR UNIDAD'!F40+'RESUMEN POR UNIDAD'!F64</f>
        <v>398108067</v>
      </c>
      <c r="E40" s="424">
        <f>'RESUMEN POR UNIDAD'!G101+'RESUMEN POR UNIDAD'!G40+'RESUMEN POR UNIDAD'!G64</f>
        <v>193928067</v>
      </c>
      <c r="F40" s="673">
        <f t="shared" si="1"/>
        <v>0.4871241832936784</v>
      </c>
      <c r="G40" s="424">
        <f>'RESUMEN POR UNIDAD'!H101+'RESUMEN POR UNIDAD'!H40+'RESUMEN POR UNIDAD'!H64</f>
        <v>21680787</v>
      </c>
      <c r="H40" s="673">
        <f t="shared" si="6"/>
        <v>0.11179808748364413</v>
      </c>
    </row>
    <row r="41" spans="2:8" ht="45" x14ac:dyDescent="0.25">
      <c r="B41" s="422">
        <v>3206</v>
      </c>
      <c r="C41" s="428" t="str">
        <f>'RESUMEN POR UNIDAD'!E102</f>
        <v>Gestión del cambio climático para un desarrollo bajo en carbono y resiliente al clima. "Tú y yo preparados para el cambio climático"</v>
      </c>
      <c r="D41" s="424">
        <f>'RESUMEN POR UNIDAD'!F102</f>
        <v>118000000</v>
      </c>
      <c r="E41" s="424">
        <f>'RESUMEN POR UNIDAD'!G102</f>
        <v>0</v>
      </c>
      <c r="F41" s="673">
        <f t="shared" si="1"/>
        <v>0</v>
      </c>
      <c r="G41" s="424">
        <f>'RESUMEN POR UNIDAD'!H102</f>
        <v>0</v>
      </c>
      <c r="H41" s="673">
        <v>0</v>
      </c>
    </row>
    <row r="42" spans="2:8" ht="24" customHeight="1" x14ac:dyDescent="0.25">
      <c r="B42" s="422">
        <v>4001</v>
      </c>
      <c r="C42" s="428" t="str">
        <f>'RESUMEN POR UNIDAD'!E42</f>
        <v>Acceso a soluciones de vivienda. "Tú y yo con vivienda digna"</v>
      </c>
      <c r="D42" s="424">
        <f>'RESUMEN POR UNIDAD'!F42</f>
        <v>120000000.09999999</v>
      </c>
      <c r="E42" s="424">
        <f>'RESUMEN POR UNIDAD'!G42</f>
        <v>0</v>
      </c>
      <c r="F42" s="673">
        <f t="shared" si="1"/>
        <v>0</v>
      </c>
      <c r="G42" s="424">
        <f>'RESUMEN POR UNIDAD'!H42</f>
        <v>0</v>
      </c>
      <c r="H42" s="673">
        <v>0</v>
      </c>
    </row>
    <row r="43" spans="2:8" ht="34.5" customHeight="1" x14ac:dyDescent="0.25">
      <c r="B43" s="422">
        <v>4003</v>
      </c>
      <c r="C43" s="428" t="str">
        <f>'RESUMEN POR UNIDAD'!E43</f>
        <v>Acceso de la población a los servicios de agua potable y saneamiento básico. "Tú y yo con calidad del agua"</v>
      </c>
      <c r="D43" s="424">
        <f>'RESUMEN POR UNIDAD'!F43</f>
        <v>3203011221</v>
      </c>
      <c r="E43" s="424">
        <f>'RESUMEN POR UNIDAD'!G43</f>
        <v>0</v>
      </c>
      <c r="F43" s="673">
        <f t="shared" si="1"/>
        <v>0</v>
      </c>
      <c r="G43" s="424">
        <f>'RESUMEN POR UNIDAD'!H43</f>
        <v>0</v>
      </c>
      <c r="H43" s="673">
        <v>0</v>
      </c>
    </row>
    <row r="44" spans="2:8" ht="33" customHeight="1" x14ac:dyDescent="0.25">
      <c r="B44" s="422">
        <v>4503</v>
      </c>
      <c r="C44" s="428" t="str">
        <f>'RESUMEN POR UNIDAD'!E66</f>
        <v>Gestión del riesgo de desastres y emergencias. "Tú y yo preparados en gestión del riesgo"</v>
      </c>
      <c r="D44" s="424">
        <f>'RESUMEN POR UNIDAD'!F66</f>
        <v>148000000</v>
      </c>
      <c r="E44" s="424">
        <f>'RESUMEN POR UNIDAD'!G66</f>
        <v>64449469</v>
      </c>
      <c r="F44" s="673">
        <f t="shared" si="1"/>
        <v>0.43546938513513511</v>
      </c>
      <c r="G44" s="424">
        <f>'RESUMEN POR UNIDAD'!H66</f>
        <v>12640000</v>
      </c>
      <c r="H44" s="673">
        <f t="shared" si="6"/>
        <v>0.19612263989327824</v>
      </c>
    </row>
    <row r="45" spans="2:8" ht="15.75" x14ac:dyDescent="0.25">
      <c r="B45" s="131">
        <f>'UNIDADES + FUENTE'!B8</f>
        <v>4</v>
      </c>
      <c r="C45" s="74" t="str">
        <f>'UNIDADES + FUENTE'!C154</f>
        <v xml:space="preserve">LIDERAZGO, GOBERNABILIDAD Y TRANSPARENCIA </v>
      </c>
      <c r="D45" s="425">
        <f>SUM(D46:D48)</f>
        <v>5491395879</v>
      </c>
      <c r="E45" s="425">
        <f t="shared" ref="E45:G45" si="7">SUM(E46:E48)</f>
        <v>2086774640</v>
      </c>
      <c r="F45" s="672">
        <f>E45/D45</f>
        <v>0.38000805004428273</v>
      </c>
      <c r="G45" s="425">
        <f t="shared" si="7"/>
        <v>281300000</v>
      </c>
      <c r="H45" s="672">
        <f>G45/E45</f>
        <v>0.13480133149404191</v>
      </c>
    </row>
    <row r="46" spans="2:8" ht="74.25" customHeight="1" x14ac:dyDescent="0.25">
      <c r="B46" s="422">
        <v>2302</v>
      </c>
      <c r="C46" s="428" t="str">
        <f>'RESUMEN POR UNIDAD'!E157</f>
        <v>Fomento del desarrollo de aplicaciones, software y contenidos para impulsar la apropiación de las Tecnologías de la Información y las Comunicaciones (TIC) "Quindío paraíso empresarial TIC-Quindío TIC"</v>
      </c>
      <c r="D46" s="424">
        <f>'RESUMEN POR UNIDAD'!F157</f>
        <v>298000000</v>
      </c>
      <c r="E46" s="424">
        <f>'RESUMEN POR UNIDAD'!G157</f>
        <v>90700000</v>
      </c>
      <c r="F46" s="673">
        <f t="shared" si="1"/>
        <v>0.30436241610738257</v>
      </c>
      <c r="G46" s="424">
        <f>'RESUMEN POR UNIDAD'!H157</f>
        <v>9485000</v>
      </c>
      <c r="H46" s="673">
        <f>G46/E46</f>
        <v>0.10457552370452039</v>
      </c>
    </row>
    <row r="47" spans="2:8" ht="39.75" customHeight="1" x14ac:dyDescent="0.25">
      <c r="B47" s="422">
        <v>4502</v>
      </c>
      <c r="C47" s="428" t="str">
        <f>'RESUMEN POR UNIDAD'!E11</f>
        <v>Fortalecimiento del buen gobierno para el respeto y garantía de los derechos humanos. "Quindío integrado y participativo"</v>
      </c>
      <c r="D47" s="424">
        <f>'RESUMEN POR UNIDAD'!F11+'RESUMEN POR UNIDAD'!F16+'RESUMEN POR UNIDAD'!F47+'RESUMEN POR UNIDAD'!F69+'RESUMEN POR UNIDAD'!F108+'RESUMEN POR UNIDAD'!F136</f>
        <v>962000000</v>
      </c>
      <c r="E47" s="424">
        <f>'RESUMEN POR UNIDAD'!G11+'RESUMEN POR UNIDAD'!G16+'RESUMEN POR UNIDAD'!G47+'RESUMEN POR UNIDAD'!G69+'RESUMEN POR UNIDAD'!G108+'RESUMEN POR UNIDAD'!G136</f>
        <v>324800761</v>
      </c>
      <c r="F47" s="673">
        <f>E47/D47</f>
        <v>0.3376307286902287</v>
      </c>
      <c r="G47" s="424">
        <f>'RESUMEN POR UNIDAD'!H11+'RESUMEN POR UNIDAD'!H16+'RESUMEN POR UNIDAD'!H47+'RESUMEN POR UNIDAD'!H69+'RESUMEN POR UNIDAD'!H108+'RESUMEN POR UNIDAD'!H136</f>
        <v>48170000</v>
      </c>
      <c r="H47" s="673">
        <f>G47/E47</f>
        <v>0.14830630276756032</v>
      </c>
    </row>
    <row r="48" spans="2:8" ht="54.75" customHeight="1" x14ac:dyDescent="0.25">
      <c r="B48" s="422">
        <v>4599</v>
      </c>
      <c r="C48" s="427" t="str">
        <f>'RESUMEN POR UNIDAD'!E10</f>
        <v>Fortalecimiento a la gestión y dirección de la administración pública territorial "Quindío con una administración al servicio de la ciudadanía "</v>
      </c>
      <c r="D48" s="424">
        <f>'RESUMEN POR UNIDAD'!F10+'RESUMEN POR UNIDAD'!F17+'RESUMEN POR UNIDAD'!F22+'RESUMEN POR UNIDAD'!F46+'RESUMEN POR UNIDAD'!F107+'RESUMEN POR UNIDAD'!F137</f>
        <v>4231395879</v>
      </c>
      <c r="E48" s="424">
        <f>'RESUMEN POR UNIDAD'!G10+'RESUMEN POR UNIDAD'!G17+'RESUMEN POR UNIDAD'!G22+'RESUMEN POR UNIDAD'!G46+'RESUMEN POR UNIDAD'!G107+'RESUMEN POR UNIDAD'!G137</f>
        <v>1671273879</v>
      </c>
      <c r="F48" s="673">
        <f>E48/D48</f>
        <v>0.39496986970525905</v>
      </c>
      <c r="G48" s="424">
        <f>'RESUMEN POR UNIDAD'!H10+'RESUMEN POR UNIDAD'!H17+'RESUMEN POR UNIDAD'!H22+'RESUMEN POR UNIDAD'!H46+'RESUMEN POR UNIDAD'!H107+'RESUMEN POR UNIDAD'!H137</f>
        <v>223645000</v>
      </c>
      <c r="H48" s="673">
        <f>G48/E48</f>
        <v>0.13381708576323653</v>
      </c>
    </row>
    <row r="49" spans="2:8" ht="15.75" x14ac:dyDescent="0.25">
      <c r="B49" s="390"/>
      <c r="C49" s="40" t="s">
        <v>1411</v>
      </c>
      <c r="D49" s="420">
        <f>D45+D35+D22+D3</f>
        <v>266871471112.02002</v>
      </c>
      <c r="E49" s="420">
        <f t="shared" ref="E49:G49" si="8">E45+E35+E22+E3</f>
        <v>92048341829.910004</v>
      </c>
      <c r="F49" s="675">
        <f>E49/D49</f>
        <v>0.34491638033228539</v>
      </c>
      <c r="G49" s="420">
        <f t="shared" si="8"/>
        <v>47534651951.650002</v>
      </c>
      <c r="H49" s="675">
        <f>G49/E49</f>
        <v>0.51640964961091984</v>
      </c>
    </row>
    <row r="51" spans="2:8" ht="45.75" customHeight="1" x14ac:dyDescent="0.25">
      <c r="B51" s="965" t="s">
        <v>1580</v>
      </c>
      <c r="C51" s="966"/>
      <c r="D51" s="966"/>
      <c r="E51" s="966"/>
      <c r="F51" s="966"/>
      <c r="G51" s="966"/>
      <c r="H51" s="966"/>
    </row>
    <row r="52" spans="2:8" ht="15.75" x14ac:dyDescent="0.25">
      <c r="B52" s="131">
        <v>1</v>
      </c>
      <c r="C52" s="74" t="s">
        <v>149</v>
      </c>
      <c r="D52" s="425">
        <f>SUM(D53:D55)</f>
        <v>6783960625.3500004</v>
      </c>
      <c r="E52" s="425">
        <f t="shared" ref="E52:G52" si="9">SUM(E53:E55)</f>
        <v>879229500</v>
      </c>
      <c r="F52" s="672">
        <f>E52/D52</f>
        <v>0.12960415729928246</v>
      </c>
      <c r="G52" s="425">
        <f t="shared" si="9"/>
        <v>181269500</v>
      </c>
      <c r="H52" s="672">
        <f>G52/E52</f>
        <v>0.20616858283303732</v>
      </c>
    </row>
    <row r="53" spans="2:8" ht="45" x14ac:dyDescent="0.25">
      <c r="B53" s="422">
        <f>'RESUMEN POR UNIDAD'!D172</f>
        <v>2201</v>
      </c>
      <c r="C53" s="427" t="str">
        <f>'RESUMEN POR UNIDAD'!E172</f>
        <v>Calidad, cobertura y fortalecimiento de la educación inicial, prescolar, básica y media." Tú y yo con educación y de calidad"</v>
      </c>
      <c r="D53" s="424">
        <f>'RESUMEN POR UNIDAD'!F172</f>
        <v>308302422.89999998</v>
      </c>
      <c r="E53" s="424">
        <f>'RESUMEN POR UNIDAD'!G172</f>
        <v>0</v>
      </c>
      <c r="F53" s="673">
        <f t="shared" ref="F53:F58" si="10">E53/D53</f>
        <v>0</v>
      </c>
      <c r="G53" s="424">
        <f>'RESUMEN POR UNIDAD'!H172</f>
        <v>0</v>
      </c>
      <c r="H53" s="673">
        <v>0</v>
      </c>
    </row>
    <row r="54" spans="2:8" ht="51.75" customHeight="1" x14ac:dyDescent="0.25">
      <c r="B54" s="422">
        <f>'RESUMEN POR UNIDAD'!D170</f>
        <v>4301</v>
      </c>
      <c r="C54" s="427" t="str">
        <f>'RESUMEN POR UNIDAD'!E170</f>
        <v>Fomento a la recreación, la actividad física y el deporte para desarrollar entornos de convivencia y paz "Tú y yo en la recreación y en deporte"</v>
      </c>
      <c r="D54" s="424">
        <f>'RESUMEN POR UNIDAD'!F170+'RESUMEN POR UNIDAD'!F164</f>
        <v>3423226146.04</v>
      </c>
      <c r="E54" s="424">
        <f>'RESUMEN POR UNIDAD'!G170+'RESUMEN POR UNIDAD'!G164</f>
        <v>132800000</v>
      </c>
      <c r="F54" s="673">
        <f t="shared" si="10"/>
        <v>3.8793814470488172E-2</v>
      </c>
      <c r="G54" s="424">
        <f>'RESUMEN POR UNIDAD'!H170+'RESUMEN POR UNIDAD'!H164</f>
        <v>4300000</v>
      </c>
      <c r="H54" s="673">
        <f t="shared" ref="H54:H55" si="11">G54/E54</f>
        <v>3.2379518072289157E-2</v>
      </c>
    </row>
    <row r="55" spans="2:8" ht="32.25" customHeight="1" x14ac:dyDescent="0.25">
      <c r="B55" s="422">
        <f>'RESUMEN POR UNIDAD'!D165</f>
        <v>4302</v>
      </c>
      <c r="C55" s="427" t="str">
        <f>'RESUMEN POR UNIDAD'!E165</f>
        <v>Formación y preparación de deportistas. "Tú y yo campeones"</v>
      </c>
      <c r="D55" s="424">
        <f>'RESUMEN POR UNIDAD'!F165</f>
        <v>3052432056.4099998</v>
      </c>
      <c r="E55" s="424">
        <f>'RESUMEN POR UNIDAD'!G165</f>
        <v>746429500</v>
      </c>
      <c r="F55" s="673">
        <f t="shared" si="10"/>
        <v>0.24453599169636694</v>
      </c>
      <c r="G55" s="424">
        <f>'RESUMEN POR UNIDAD'!H165</f>
        <v>176969500</v>
      </c>
      <c r="H55" s="673">
        <f t="shared" si="11"/>
        <v>0.23708803041680426</v>
      </c>
    </row>
    <row r="56" spans="2:8" ht="15.75" x14ac:dyDescent="0.25">
      <c r="B56" s="131">
        <v>3</v>
      </c>
      <c r="C56" s="74" t="s">
        <v>200</v>
      </c>
      <c r="D56" s="425">
        <f>SUM(D57:D59)</f>
        <v>1518588353.2</v>
      </c>
      <c r="E56" s="425">
        <f t="shared" ref="E56:G56" si="12">SUM(E57:E59)</f>
        <v>39360000</v>
      </c>
      <c r="F56" s="672">
        <f>E56/D56</f>
        <v>2.5918808027902897E-2</v>
      </c>
      <c r="G56" s="425">
        <f t="shared" si="12"/>
        <v>5030000</v>
      </c>
      <c r="H56" s="672">
        <f>G56/E56</f>
        <v>0.12779471544715448</v>
      </c>
    </row>
    <row r="57" spans="2:8" ht="24" customHeight="1" x14ac:dyDescent="0.25">
      <c r="B57" s="422">
        <f>'RESUMEN POR UNIDAD'!D175</f>
        <v>2402</v>
      </c>
      <c r="C57" s="426" t="str">
        <f>'RESUMEN POR UNIDAD'!E175</f>
        <v>Infraestructura red vial regional. "Tú y yo con movilidad vial"</v>
      </c>
      <c r="D57" s="424">
        <f>'RESUMEN POR UNIDAD'!F175</f>
        <v>199461691.20000002</v>
      </c>
      <c r="E57" s="424">
        <f>'RESUMEN POR UNIDAD'!G175</f>
        <v>0</v>
      </c>
      <c r="F57" s="673">
        <f t="shared" si="10"/>
        <v>0</v>
      </c>
      <c r="G57" s="424">
        <f>'RESUMEN POR UNIDAD'!H175</f>
        <v>0</v>
      </c>
      <c r="H57" s="673">
        <v>0</v>
      </c>
    </row>
    <row r="58" spans="2:8" ht="23.25" customHeight="1" x14ac:dyDescent="0.25">
      <c r="B58" s="422">
        <f>'RESUMEN POR UNIDAD'!D182</f>
        <v>2409</v>
      </c>
      <c r="C58" s="423" t="str">
        <f>'RESUMEN POR UNIDAD'!E182</f>
        <v>Seguridad de Transporte. "Tú y yo seguros en la vía"</v>
      </c>
      <c r="D58" s="424">
        <f>'RESUMEN POR UNIDAD'!F182</f>
        <v>110210000</v>
      </c>
      <c r="E58" s="424">
        <f>'RESUMEN POR UNIDAD'!G182</f>
        <v>39360000</v>
      </c>
      <c r="F58" s="673">
        <f t="shared" si="10"/>
        <v>0.35713637600943654</v>
      </c>
      <c r="G58" s="424">
        <f>'RESUMEN POR UNIDAD'!H182</f>
        <v>5030000</v>
      </c>
      <c r="H58" s="673">
        <f t="shared" ref="H58" si="13">G58/E58</f>
        <v>0.12779471544715448</v>
      </c>
    </row>
    <row r="59" spans="2:8" ht="23.25" customHeight="1" x14ac:dyDescent="0.25">
      <c r="B59" s="422">
        <f>'RESUMEN POR UNIDAD'!D177</f>
        <v>4001</v>
      </c>
      <c r="C59" s="423" t="str">
        <f>'RESUMEN POR UNIDAD'!E177</f>
        <v>Acceso a soluciones de vivienda. "Tú y yo con vivienda digna"</v>
      </c>
      <c r="D59" s="424">
        <f>'RESUMEN POR UNIDAD'!F177</f>
        <v>1208916662</v>
      </c>
      <c r="E59" s="424">
        <f>'RESUMEN POR UNIDAD'!G177</f>
        <v>0</v>
      </c>
      <c r="F59" s="424"/>
      <c r="G59" s="424">
        <f>'RESUMEN POR UNIDAD'!H177</f>
        <v>0</v>
      </c>
      <c r="H59" s="673">
        <v>0</v>
      </c>
    </row>
    <row r="60" spans="2:8" ht="15.75" x14ac:dyDescent="0.25">
      <c r="B60" s="390"/>
      <c r="C60" s="40" t="s">
        <v>1412</v>
      </c>
      <c r="D60" s="420">
        <f>D52+D56</f>
        <v>8302548978.5500002</v>
      </c>
      <c r="E60" s="420">
        <f t="shared" ref="E60:G60" si="14">E52+E56</f>
        <v>918589500</v>
      </c>
      <c r="F60" s="675">
        <f>E60/D60</f>
        <v>0.11063945571091677</v>
      </c>
      <c r="G60" s="420">
        <f t="shared" si="14"/>
        <v>186299500</v>
      </c>
      <c r="H60" s="675">
        <f>G60/E60</f>
        <v>0.20281039572083068</v>
      </c>
    </row>
    <row r="62" spans="2:8" ht="15.75" x14ac:dyDescent="0.25">
      <c r="B62" s="963" t="s">
        <v>1413</v>
      </c>
      <c r="C62" s="964"/>
      <c r="D62" s="429">
        <f>D60+D49</f>
        <v>275174020090.57001</v>
      </c>
      <c r="E62" s="429">
        <f t="shared" ref="E62:G62" si="15">E60+E49</f>
        <v>92966931329.910004</v>
      </c>
      <c r="F62" s="674">
        <f>E62/D62</f>
        <v>0.33784777828703133</v>
      </c>
      <c r="G62" s="429">
        <f t="shared" si="15"/>
        <v>47720951451.650002</v>
      </c>
      <c r="H62" s="674">
        <f>G62/E62</f>
        <v>0.51331103187975047</v>
      </c>
    </row>
  </sheetData>
  <sheetProtection password="A60F" sheet="1" objects="1" scenarios="1"/>
  <mergeCells count="3">
    <mergeCell ref="B62:C62"/>
    <mergeCell ref="B1:H1"/>
    <mergeCell ref="B51:H51"/>
  </mergeCells>
  <pageMargins left="0.7" right="0.7" top="0.75" bottom="0.75" header="0.3" footer="0.3"/>
  <pageSetup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H36"/>
  <sheetViews>
    <sheetView showGridLines="0" topLeftCell="A5" zoomScale="70" zoomScaleNormal="70" workbookViewId="0">
      <selection activeCell="I14" sqref="I14"/>
    </sheetView>
  </sheetViews>
  <sheetFormatPr baseColWidth="10" defaultColWidth="11.42578125" defaultRowHeight="15" x14ac:dyDescent="0.25"/>
  <cols>
    <col min="3" max="3" width="64.42578125" customWidth="1"/>
    <col min="4" max="4" width="32.7109375" customWidth="1"/>
    <col min="5" max="5" width="31.7109375" customWidth="1"/>
    <col min="6" max="6" width="25.42578125" customWidth="1"/>
    <col min="7" max="7" width="31.85546875" customWidth="1"/>
    <col min="8" max="8" width="24.140625" customWidth="1"/>
  </cols>
  <sheetData>
    <row r="1" spans="2:8" ht="67.5" customHeight="1" x14ac:dyDescent="0.25">
      <c r="B1" s="967" t="s">
        <v>1562</v>
      </c>
      <c r="C1" s="967"/>
      <c r="D1" s="967"/>
      <c r="E1" s="967"/>
      <c r="F1" s="967"/>
      <c r="G1" s="967"/>
      <c r="H1" s="967"/>
    </row>
    <row r="2" spans="2:8" ht="15.75" x14ac:dyDescent="0.25">
      <c r="B2" s="419" t="s">
        <v>1410</v>
      </c>
      <c r="C2" s="418" t="s">
        <v>1392</v>
      </c>
      <c r="D2" s="419" t="s">
        <v>1545</v>
      </c>
      <c r="E2" s="419" t="s">
        <v>1539</v>
      </c>
      <c r="F2" s="418" t="s">
        <v>1561</v>
      </c>
      <c r="G2" s="419" t="s">
        <v>1540</v>
      </c>
      <c r="H2" s="418" t="s">
        <v>1560</v>
      </c>
    </row>
    <row r="3" spans="2:8" ht="15.75" x14ac:dyDescent="0.25">
      <c r="B3" s="555">
        <f>'UNIDADES + FUENTE'!B171</f>
        <v>1</v>
      </c>
      <c r="C3" s="556" t="str">
        <f>'RESUMEN POR UNIDAD'!C50</f>
        <v xml:space="preserve">INCLUSIÓN SOCIAL Y EQUIDAD </v>
      </c>
      <c r="D3" s="670">
        <f>PROGRAMAS!D3</f>
        <v>251581979419.16003</v>
      </c>
      <c r="E3" s="670">
        <f>PROGRAMAS!E3</f>
        <v>88654882153.910004</v>
      </c>
      <c r="F3" s="557">
        <f>E3/D3</f>
        <v>0.35238963600887468</v>
      </c>
      <c r="G3" s="670">
        <f>PROGRAMAS!G3</f>
        <v>47094541164.650002</v>
      </c>
      <c r="H3" s="557">
        <f>G3/E3</f>
        <v>0.53121204405744016</v>
      </c>
    </row>
    <row r="4" spans="2:8" ht="15.75" x14ac:dyDescent="0.25">
      <c r="B4" s="555">
        <f>'UNIDADES + FUENTE'!B90</f>
        <v>2</v>
      </c>
      <c r="C4" s="556" t="str">
        <f>'UNIDADES + FUENTE'!C90</f>
        <v>PRODUCTIVIDAD Y COMPETITIVIDAD</v>
      </c>
      <c r="D4" s="670">
        <f>PROGRAMAS!D22</f>
        <v>4273728339.7600002</v>
      </c>
      <c r="E4" s="670">
        <f>PROGRAMAS!E22</f>
        <v>638140000</v>
      </c>
      <c r="F4" s="557">
        <f>E4/D4</f>
        <v>0.14931693108875424</v>
      </c>
      <c r="G4" s="670">
        <f>PROGRAMAS!G22</f>
        <v>72795000</v>
      </c>
      <c r="H4" s="557">
        <f t="shared" ref="H4:H6" si="0">G4/E4</f>
        <v>0.11407371423198671</v>
      </c>
    </row>
    <row r="5" spans="2:8" ht="15.75" x14ac:dyDescent="0.25">
      <c r="B5" s="555">
        <f>'UNIDADES + FUENTE'!B42</f>
        <v>3</v>
      </c>
      <c r="C5" s="556" t="str">
        <f>'UNIDADES + FUENTE'!C42</f>
        <v xml:space="preserve">TERRITORIO, AMBIENTE Y DESARROLLO SOSTENIBLE </v>
      </c>
      <c r="D5" s="670">
        <f>PROGRAMAS!D35</f>
        <v>5524367474.1000004</v>
      </c>
      <c r="E5" s="670">
        <f>PROGRAMAS!E35</f>
        <v>668545036</v>
      </c>
      <c r="F5" s="557">
        <f>E5/D5</f>
        <v>0.12101748103006411</v>
      </c>
      <c r="G5" s="670">
        <f>PROGRAMAS!G35</f>
        <v>86015787</v>
      </c>
      <c r="H5" s="557">
        <f t="shared" si="0"/>
        <v>0.12866117070383873</v>
      </c>
    </row>
    <row r="6" spans="2:8" ht="15.75" x14ac:dyDescent="0.25">
      <c r="B6" s="555">
        <f>'UNIDADES + FUENTE'!B8</f>
        <v>4</v>
      </c>
      <c r="C6" s="556" t="str">
        <f>PROGRAMAS!C45</f>
        <v xml:space="preserve">LIDERAZGO, GOBERNABILIDAD Y TRANSPARENCIA </v>
      </c>
      <c r="D6" s="670">
        <f>PROGRAMAS!D45</f>
        <v>5491395879</v>
      </c>
      <c r="E6" s="670">
        <f>PROGRAMAS!E45</f>
        <v>2086774640</v>
      </c>
      <c r="F6" s="557">
        <f>E6/D6</f>
        <v>0.38000805004428273</v>
      </c>
      <c r="G6" s="670">
        <f>PROGRAMAS!G45</f>
        <v>281300000</v>
      </c>
      <c r="H6" s="557">
        <f t="shared" si="0"/>
        <v>0.13480133149404191</v>
      </c>
    </row>
    <row r="7" spans="2:8" ht="15.75" x14ac:dyDescent="0.25">
      <c r="B7" s="390"/>
      <c r="C7" s="40" t="s">
        <v>1414</v>
      </c>
      <c r="D7" s="671">
        <f>SUM(D3:D6)</f>
        <v>266871471112.02005</v>
      </c>
      <c r="E7" s="671">
        <f>SUM(E3:E6)</f>
        <v>92048341829.910004</v>
      </c>
      <c r="F7" s="669">
        <f>E7/D7</f>
        <v>0.34491638033228533</v>
      </c>
      <c r="G7" s="671">
        <f>SUM(G3:G6)</f>
        <v>47534651951.650002</v>
      </c>
      <c r="H7" s="669">
        <f>G7/E7</f>
        <v>0.51640964961091984</v>
      </c>
    </row>
    <row r="14" spans="2:8" ht="57" customHeight="1" x14ac:dyDescent="0.25">
      <c r="B14" s="967" t="s">
        <v>1563</v>
      </c>
      <c r="C14" s="967"/>
      <c r="D14" s="967"/>
      <c r="E14" s="967"/>
      <c r="F14" s="967"/>
      <c r="G14" s="967"/>
      <c r="H14" s="967"/>
    </row>
    <row r="15" spans="2:8" ht="15.75" x14ac:dyDescent="0.25">
      <c r="B15" s="419" t="s">
        <v>1410</v>
      </c>
      <c r="C15" s="418" t="s">
        <v>1392</v>
      </c>
      <c r="D15" s="419" t="s">
        <v>1545</v>
      </c>
      <c r="E15" s="419" t="s">
        <v>1539</v>
      </c>
      <c r="F15" s="418" t="s">
        <v>1561</v>
      </c>
      <c r="G15" s="419" t="s">
        <v>1540</v>
      </c>
      <c r="H15" s="418" t="s">
        <v>1560</v>
      </c>
    </row>
    <row r="16" spans="2:8" ht="15.75" x14ac:dyDescent="0.25">
      <c r="B16" s="555">
        <v>1</v>
      </c>
      <c r="C16" s="556" t="s">
        <v>149</v>
      </c>
      <c r="D16" s="670">
        <f>PROGRAMAS!D52</f>
        <v>6783960625.3500004</v>
      </c>
      <c r="E16" s="670">
        <f>PROGRAMAS!E52</f>
        <v>879229500</v>
      </c>
      <c r="F16" s="557">
        <f>E16/D16</f>
        <v>0.12960415729928246</v>
      </c>
      <c r="G16" s="670">
        <f>PROGRAMAS!G52</f>
        <v>181269500</v>
      </c>
      <c r="H16" s="557">
        <f t="shared" ref="H16:H17" si="1">G16/E16</f>
        <v>0.20616858283303732</v>
      </c>
    </row>
    <row r="17" spans="2:8" ht="15.75" x14ac:dyDescent="0.25">
      <c r="B17" s="555">
        <v>3</v>
      </c>
      <c r="C17" s="556" t="s">
        <v>200</v>
      </c>
      <c r="D17" s="670">
        <f>PROGRAMAS!D56</f>
        <v>1518588353.2</v>
      </c>
      <c r="E17" s="670">
        <f>PROGRAMAS!E56</f>
        <v>39360000</v>
      </c>
      <c r="F17" s="557">
        <f>E17/D17</f>
        <v>2.5918808027902897E-2</v>
      </c>
      <c r="G17" s="670">
        <f>PROGRAMAS!G56</f>
        <v>5030000</v>
      </c>
      <c r="H17" s="557">
        <f t="shared" si="1"/>
        <v>0.12779471544715448</v>
      </c>
    </row>
    <row r="18" spans="2:8" ht="15.75" x14ac:dyDescent="0.25">
      <c r="B18" s="390"/>
      <c r="C18" s="40" t="s">
        <v>1414</v>
      </c>
      <c r="D18" s="671">
        <f>SUM(D16:D17)</f>
        <v>8302548978.5500002</v>
      </c>
      <c r="E18" s="671">
        <f>SUM(E16:E17)</f>
        <v>918589500</v>
      </c>
      <c r="F18" s="421">
        <f>E18/D18</f>
        <v>0.11063945571091677</v>
      </c>
      <c r="G18" s="671">
        <f>SUM(G16:G17)</f>
        <v>186299500</v>
      </c>
      <c r="H18" s="669">
        <f>G18/E18</f>
        <v>0.20281039572083068</v>
      </c>
    </row>
    <row r="30" spans="2:8" ht="60.75" customHeight="1" x14ac:dyDescent="0.25">
      <c r="B30" s="967" t="s">
        <v>1559</v>
      </c>
      <c r="C30" s="967"/>
      <c r="D30" s="967"/>
      <c r="E30" s="967"/>
      <c r="F30" s="967"/>
      <c r="G30" s="967"/>
      <c r="H30" s="967"/>
    </row>
    <row r="31" spans="2:8" ht="15.75" x14ac:dyDescent="0.25">
      <c r="B31" s="419" t="s">
        <v>1410</v>
      </c>
      <c r="C31" s="418" t="s">
        <v>1392</v>
      </c>
      <c r="D31" s="419" t="s">
        <v>1545</v>
      </c>
      <c r="E31" s="419" t="s">
        <v>1539</v>
      </c>
      <c r="F31" s="418" t="s">
        <v>1561</v>
      </c>
      <c r="G31" s="419" t="s">
        <v>1540</v>
      </c>
      <c r="H31" s="418" t="s">
        <v>1560</v>
      </c>
    </row>
    <row r="32" spans="2:8" ht="15.75" x14ac:dyDescent="0.25">
      <c r="B32" s="555">
        <v>1</v>
      </c>
      <c r="C32" s="556" t="s">
        <v>149</v>
      </c>
      <c r="D32" s="670">
        <f>D3+D16</f>
        <v>258365940044.51004</v>
      </c>
      <c r="E32" s="670">
        <f>E3+E16</f>
        <v>89534111653.910004</v>
      </c>
      <c r="F32" s="557">
        <f>E32/D32</f>
        <v>0.34653991791056321</v>
      </c>
      <c r="G32" s="670">
        <f>G3+G16</f>
        <v>47275810664.650002</v>
      </c>
      <c r="H32" s="557">
        <f>G32/E32</f>
        <v>0.52802010084594886</v>
      </c>
    </row>
    <row r="33" spans="2:8" ht="15.75" x14ac:dyDescent="0.25">
      <c r="B33" s="555">
        <v>2</v>
      </c>
      <c r="C33" s="556" t="s">
        <v>418</v>
      </c>
      <c r="D33" s="670">
        <f>D4</f>
        <v>4273728339.7600002</v>
      </c>
      <c r="E33" s="670">
        <f>E4</f>
        <v>638140000</v>
      </c>
      <c r="F33" s="557">
        <f>E33/D33</f>
        <v>0.14931693108875424</v>
      </c>
      <c r="G33" s="670">
        <f>G4</f>
        <v>72795000</v>
      </c>
      <c r="H33" s="557">
        <f t="shared" ref="H33:H35" si="2">G33/E33</f>
        <v>0.11407371423198671</v>
      </c>
    </row>
    <row r="34" spans="2:8" ht="15.75" x14ac:dyDescent="0.25">
      <c r="B34" s="555">
        <v>3</v>
      </c>
      <c r="C34" s="556" t="s">
        <v>200</v>
      </c>
      <c r="D34" s="670">
        <f>D5+D17</f>
        <v>7042955827.3000002</v>
      </c>
      <c r="E34" s="670">
        <f>E5+E17</f>
        <v>707905036</v>
      </c>
      <c r="F34" s="557">
        <f>E34/D34</f>
        <v>0.10051249125488036</v>
      </c>
      <c r="G34" s="670">
        <f>G5+G17</f>
        <v>91045787</v>
      </c>
      <c r="H34" s="557">
        <f t="shared" si="2"/>
        <v>0.12861299520406294</v>
      </c>
    </row>
    <row r="35" spans="2:8" ht="15.75" x14ac:dyDescent="0.25">
      <c r="B35" s="555">
        <v>4</v>
      </c>
      <c r="C35" s="556" t="s">
        <v>43</v>
      </c>
      <c r="D35" s="670">
        <f>D6</f>
        <v>5491395879</v>
      </c>
      <c r="E35" s="670">
        <f>E6</f>
        <v>2086774640</v>
      </c>
      <c r="F35" s="557">
        <f>E35/D35</f>
        <v>0.38000805004428273</v>
      </c>
      <c r="G35" s="670">
        <f>G6</f>
        <v>281300000</v>
      </c>
      <c r="H35" s="557">
        <f t="shared" si="2"/>
        <v>0.13480133149404191</v>
      </c>
    </row>
    <row r="36" spans="2:8" ht="15.75" x14ac:dyDescent="0.25">
      <c r="B36" s="390"/>
      <c r="C36" s="40" t="s">
        <v>1414</v>
      </c>
      <c r="D36" s="671">
        <f>SUM(D32:D35)</f>
        <v>275174020090.57007</v>
      </c>
      <c r="E36" s="671">
        <f>SUM(E32:E35)</f>
        <v>92966931329.910004</v>
      </c>
      <c r="F36" s="669">
        <f>E36/D36</f>
        <v>0.33784777828703128</v>
      </c>
      <c r="G36" s="671">
        <f>SUM(G32:G35)</f>
        <v>47720951451.650002</v>
      </c>
      <c r="H36" s="669">
        <f>G36/E36</f>
        <v>0.51331103187975047</v>
      </c>
    </row>
  </sheetData>
  <sheetProtection password="A60F" sheet="1" objects="1" scenarios="1"/>
  <mergeCells count="3">
    <mergeCell ref="B14:H14"/>
    <mergeCell ref="B30:H30"/>
    <mergeCell ref="B1:H1"/>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G168"/>
  <sheetViews>
    <sheetView showGridLines="0" zoomScale="70" zoomScaleNormal="70" workbookViewId="0">
      <selection activeCell="I14" sqref="I14"/>
    </sheetView>
  </sheetViews>
  <sheetFormatPr baseColWidth="10" defaultColWidth="11.42578125" defaultRowHeight="15" x14ac:dyDescent="0.2"/>
  <cols>
    <col min="1" max="1" width="20.5703125" style="11" customWidth="1"/>
    <col min="2" max="2" width="70.7109375" style="11" customWidth="1"/>
    <col min="3" max="3" width="25.7109375" style="500" customWidth="1"/>
    <col min="4" max="4" width="28.140625" style="11" customWidth="1"/>
    <col min="5" max="5" width="23.85546875" style="11" customWidth="1"/>
    <col min="6" max="6" width="29.140625" style="11" customWidth="1"/>
    <col min="7" max="7" width="22.85546875" style="11" customWidth="1"/>
    <col min="8" max="16384" width="11.42578125" style="11"/>
  </cols>
  <sheetData>
    <row r="1" spans="1:7" ht="42" customHeight="1" thickBot="1" x14ac:dyDescent="0.25">
      <c r="A1" s="977" t="s">
        <v>1567</v>
      </c>
      <c r="B1" s="978"/>
      <c r="C1" s="978"/>
      <c r="D1" s="978"/>
      <c r="E1" s="978"/>
      <c r="F1" s="978"/>
      <c r="G1" s="979"/>
    </row>
    <row r="2" spans="1:7" ht="24" customHeight="1" x14ac:dyDescent="0.2">
      <c r="A2" s="970" t="s">
        <v>27</v>
      </c>
      <c r="B2" s="972" t="s">
        <v>28</v>
      </c>
      <c r="C2" s="974" t="s">
        <v>1415</v>
      </c>
      <c r="D2" s="975"/>
      <c r="E2" s="975"/>
      <c r="F2" s="975"/>
      <c r="G2" s="976"/>
    </row>
    <row r="3" spans="1:7" ht="24" customHeight="1" thickBot="1" x14ac:dyDescent="0.25">
      <c r="A3" s="971"/>
      <c r="B3" s="973"/>
      <c r="C3" s="679" t="s">
        <v>1545</v>
      </c>
      <c r="D3" s="679" t="s">
        <v>1539</v>
      </c>
      <c r="E3" s="684" t="s">
        <v>1566</v>
      </c>
      <c r="F3" s="679" t="s">
        <v>1540</v>
      </c>
      <c r="G3" s="679" t="s">
        <v>1564</v>
      </c>
    </row>
    <row r="4" spans="1:7" ht="20.100000000000001" customHeight="1" thickBot="1" x14ac:dyDescent="0.25">
      <c r="A4" s="986" t="s">
        <v>42</v>
      </c>
      <c r="B4" s="987"/>
      <c r="C4" s="496">
        <f>SUM(C5:C8)</f>
        <v>176000000</v>
      </c>
      <c r="D4" s="496">
        <f t="shared" ref="D4:F4" si="0">SUM(D5:D8)</f>
        <v>64260000</v>
      </c>
      <c r="E4" s="680">
        <f>D4/C4</f>
        <v>0.36511363636363636</v>
      </c>
      <c r="F4" s="496">
        <f t="shared" si="0"/>
        <v>18535000</v>
      </c>
      <c r="G4" s="680">
        <f>F4/D4</f>
        <v>0.28843759726112667</v>
      </c>
    </row>
    <row r="5" spans="1:7" ht="90" customHeight="1" thickBot="1" x14ac:dyDescent="0.25">
      <c r="A5" s="483" t="s">
        <v>53</v>
      </c>
      <c r="B5" s="490" t="s">
        <v>1416</v>
      </c>
      <c r="C5" s="497">
        <f>'SGTO POAI -MARZO-2021'!BJ13</f>
        <v>36000000</v>
      </c>
      <c r="D5" s="497">
        <f>'SGTO POAI -MARZO-2021'!BK13</f>
        <v>29640000</v>
      </c>
      <c r="E5" s="681">
        <f>D5/C5</f>
        <v>0.82333333333333336</v>
      </c>
      <c r="F5" s="497">
        <f>'SGTO POAI -MARZO-2021'!BL13</f>
        <v>9880000</v>
      </c>
      <c r="G5" s="681">
        <f>F5/D5</f>
        <v>0.33333333333333331</v>
      </c>
    </row>
    <row r="6" spans="1:7" ht="90" customHeight="1" thickBot="1" x14ac:dyDescent="0.25">
      <c r="A6" s="483" t="s">
        <v>61</v>
      </c>
      <c r="B6" s="490" t="s">
        <v>62</v>
      </c>
      <c r="C6" s="497">
        <f>'SGTO POAI -MARZO-2021'!BJ14</f>
        <v>50000000</v>
      </c>
      <c r="D6" s="497">
        <f>'SGTO POAI -MARZO-2021'!BK14</f>
        <v>11540000</v>
      </c>
      <c r="E6" s="681">
        <f t="shared" ref="E6:E69" si="1">D6/C6</f>
        <v>0.23080000000000001</v>
      </c>
      <c r="F6" s="497">
        <f>'SGTO POAI -MARZO-2021'!BL14</f>
        <v>2885000</v>
      </c>
      <c r="G6" s="681">
        <f t="shared" ref="G6:G8" si="2">F6/D6</f>
        <v>0.25</v>
      </c>
    </row>
    <row r="7" spans="1:7" ht="90" customHeight="1" thickBot="1" x14ac:dyDescent="0.25">
      <c r="A7" s="484" t="s">
        <v>69</v>
      </c>
      <c r="B7" s="490" t="s">
        <v>1417</v>
      </c>
      <c r="C7" s="497">
        <f>'SGTO POAI -MARZO-2021'!BJ15</f>
        <v>50000000</v>
      </c>
      <c r="D7" s="497">
        <f>'SGTO POAI -MARZO-2021'!BK15</f>
        <v>0</v>
      </c>
      <c r="E7" s="681">
        <f t="shared" si="1"/>
        <v>0</v>
      </c>
      <c r="F7" s="497">
        <f>'SGTO POAI -MARZO-2021'!BL15</f>
        <v>0</v>
      </c>
      <c r="G7" s="681">
        <v>0</v>
      </c>
    </row>
    <row r="8" spans="1:7" ht="90" customHeight="1" thickBot="1" x14ac:dyDescent="0.25">
      <c r="A8" s="485" t="s">
        <v>77</v>
      </c>
      <c r="B8" s="490" t="s">
        <v>78</v>
      </c>
      <c r="C8" s="497">
        <f>'SGTO POAI -MARZO-2021'!BJ17</f>
        <v>40000000</v>
      </c>
      <c r="D8" s="497">
        <f>'SGTO POAI -MARZO-2021'!BK17</f>
        <v>23080000</v>
      </c>
      <c r="E8" s="681">
        <f t="shared" si="1"/>
        <v>0.57699999999999996</v>
      </c>
      <c r="F8" s="497">
        <f>'SGTO POAI -MARZO-2021'!BL17</f>
        <v>5770000</v>
      </c>
      <c r="G8" s="681">
        <f t="shared" si="2"/>
        <v>0.25</v>
      </c>
    </row>
    <row r="9" spans="1:7" ht="16.5" thickBot="1" x14ac:dyDescent="0.25">
      <c r="A9" s="968" t="s">
        <v>80</v>
      </c>
      <c r="B9" s="969"/>
      <c r="C9" s="496">
        <f>SUM(C10:C16)</f>
        <v>983000000</v>
      </c>
      <c r="D9" s="496">
        <f t="shared" ref="D9:F9" si="3">SUM(D10:D16)</f>
        <v>299295000</v>
      </c>
      <c r="E9" s="680">
        <f>D9/C9</f>
        <v>0.30447100712105801</v>
      </c>
      <c r="F9" s="496">
        <f t="shared" si="3"/>
        <v>61120000</v>
      </c>
      <c r="G9" s="680">
        <f>F9/D9</f>
        <v>0.20421323443425382</v>
      </c>
    </row>
    <row r="10" spans="1:7" ht="90" customHeight="1" thickBot="1" x14ac:dyDescent="0.25">
      <c r="A10" s="485" t="s">
        <v>86</v>
      </c>
      <c r="B10" s="490" t="s">
        <v>1418</v>
      </c>
      <c r="C10" s="497">
        <f>'SGTO POAI -MARZO-2021'!BJ23</f>
        <v>140000000</v>
      </c>
      <c r="D10" s="497">
        <f>'SGTO POAI -MARZO-2021'!BK23</f>
        <v>0</v>
      </c>
      <c r="E10" s="681">
        <f t="shared" si="1"/>
        <v>0</v>
      </c>
      <c r="F10" s="497">
        <f>'SGTO POAI -MARZO-2021'!BL23</f>
        <v>0</v>
      </c>
      <c r="G10" s="681">
        <v>0</v>
      </c>
    </row>
    <row r="11" spans="1:7" ht="90" customHeight="1" thickBot="1" x14ac:dyDescent="0.25">
      <c r="A11" s="485" t="s">
        <v>92</v>
      </c>
      <c r="B11" s="490" t="s">
        <v>1419</v>
      </c>
      <c r="C11" s="497">
        <f>'SGTO POAI -MARZO-2021'!BJ24</f>
        <v>35000000</v>
      </c>
      <c r="D11" s="497">
        <f>'SGTO POAI -MARZO-2021'!BK24</f>
        <v>8655000</v>
      </c>
      <c r="E11" s="681">
        <f t="shared" si="1"/>
        <v>0.24728571428571428</v>
      </c>
      <c r="F11" s="497">
        <f>'SGTO POAI -MARZO-2021'!BL24</f>
        <v>0</v>
      </c>
      <c r="G11" s="681">
        <f t="shared" ref="G11:G16" si="4">F11/D11</f>
        <v>0</v>
      </c>
    </row>
    <row r="12" spans="1:7" ht="90" customHeight="1" thickBot="1" x14ac:dyDescent="0.25">
      <c r="A12" s="485" t="s">
        <v>99</v>
      </c>
      <c r="B12" s="490" t="s">
        <v>1420</v>
      </c>
      <c r="C12" s="497">
        <f>'SGTO POAI -MARZO-2021'!BJ26</f>
        <v>144000000</v>
      </c>
      <c r="D12" s="497">
        <f>'SGTO POAI -MARZO-2021'!BK26</f>
        <v>46840000</v>
      </c>
      <c r="E12" s="681">
        <f t="shared" si="1"/>
        <v>0.32527777777777778</v>
      </c>
      <c r="F12" s="497">
        <f>'SGTO POAI -MARZO-2021'!BL26</f>
        <v>11710000</v>
      </c>
      <c r="G12" s="681">
        <f t="shared" si="4"/>
        <v>0.25</v>
      </c>
    </row>
    <row r="13" spans="1:7" ht="90" customHeight="1" thickBot="1" x14ac:dyDescent="0.25">
      <c r="A13" s="485" t="s">
        <v>106</v>
      </c>
      <c r="B13" s="490" t="s">
        <v>1421</v>
      </c>
      <c r="C13" s="497">
        <f>'SGTO POAI -MARZO-2021'!BJ27</f>
        <v>72000000</v>
      </c>
      <c r="D13" s="497">
        <f>'SGTO POAI -MARZO-2021'!BK27</f>
        <v>23080000</v>
      </c>
      <c r="E13" s="681">
        <f t="shared" si="1"/>
        <v>0.32055555555555554</v>
      </c>
      <c r="F13" s="497">
        <f>'SGTO POAI -MARZO-2021'!BL27</f>
        <v>2885000</v>
      </c>
      <c r="G13" s="681">
        <f t="shared" si="4"/>
        <v>0.125</v>
      </c>
    </row>
    <row r="14" spans="1:7" ht="90" customHeight="1" thickBot="1" x14ac:dyDescent="0.25">
      <c r="A14" s="485" t="s">
        <v>110</v>
      </c>
      <c r="B14" s="490" t="s">
        <v>1422</v>
      </c>
      <c r="C14" s="497">
        <f>'SGTO POAI -MARZO-2021'!BJ28</f>
        <v>280000000</v>
      </c>
      <c r="D14" s="497">
        <f>'SGTO POAI -MARZO-2021'!BK28</f>
        <v>124620000</v>
      </c>
      <c r="E14" s="681">
        <f t="shared" si="1"/>
        <v>0.44507142857142856</v>
      </c>
      <c r="F14" s="497">
        <f>'SGTO POAI -MARZO-2021'!BL28</f>
        <v>28270000</v>
      </c>
      <c r="G14" s="681">
        <f t="shared" si="4"/>
        <v>0.22684962285347457</v>
      </c>
    </row>
    <row r="15" spans="1:7" ht="90" customHeight="1" thickBot="1" x14ac:dyDescent="0.25">
      <c r="A15" s="485" t="s">
        <v>118</v>
      </c>
      <c r="B15" s="490" t="s">
        <v>1423</v>
      </c>
      <c r="C15" s="497">
        <f>'SGTO POAI -MARZO-2021'!BJ29+'SGTO POAI -MARZO-2021'!BJ30+'SGTO POAI -MARZO-2021'!BJ31+'SGTO POAI -MARZO-2021'!BJ32+'SGTO POAI -MARZO-2021'!BJ33+'SGTO POAI -MARZO-2021'!BJ34</f>
        <v>240000000</v>
      </c>
      <c r="D15" s="497">
        <f>'SGTO POAI -MARZO-2021'!BK29+'SGTO POAI -MARZO-2021'!BK30+'SGTO POAI -MARZO-2021'!BK31+'SGTO POAI -MARZO-2021'!BK32+'SGTO POAI -MARZO-2021'!BK33+'SGTO POAI -MARZO-2021'!BK34</f>
        <v>69700000</v>
      </c>
      <c r="E15" s="681">
        <f t="shared" si="1"/>
        <v>0.29041666666666666</v>
      </c>
      <c r="F15" s="497">
        <f>'SGTO POAI -MARZO-2021'!BL29+'SGTO POAI -MARZO-2021'!BL30+'SGTO POAI -MARZO-2021'!BL31+'SGTO POAI -MARZO-2021'!BL32+'SGTO POAI -MARZO-2021'!BL33+'SGTO POAI -MARZO-2021'!BL34</f>
        <v>11655000</v>
      </c>
      <c r="G15" s="681">
        <f t="shared" si="4"/>
        <v>0.16721664275466283</v>
      </c>
    </row>
    <row r="16" spans="1:7" ht="90" customHeight="1" thickBot="1" x14ac:dyDescent="0.25">
      <c r="A16" s="484" t="s">
        <v>130</v>
      </c>
      <c r="B16" s="490" t="s">
        <v>1424</v>
      </c>
      <c r="C16" s="497">
        <f>'SGTO POAI -MARZO-2021'!BJ35</f>
        <v>72000000</v>
      </c>
      <c r="D16" s="497">
        <f>'SGTO POAI -MARZO-2021'!BK35</f>
        <v>26400000</v>
      </c>
      <c r="E16" s="681">
        <f t="shared" si="1"/>
        <v>0.36666666666666664</v>
      </c>
      <c r="F16" s="497">
        <f>'SGTO POAI -MARZO-2021'!BL35</f>
        <v>6600000</v>
      </c>
      <c r="G16" s="681">
        <f t="shared" si="4"/>
        <v>0.25</v>
      </c>
    </row>
    <row r="17" spans="1:7" ht="20.100000000000001" customHeight="1" thickBot="1" x14ac:dyDescent="0.25">
      <c r="A17" s="968" t="s">
        <v>133</v>
      </c>
      <c r="B17" s="969"/>
      <c r="C17" s="496">
        <f>SUM(C18:C19)</f>
        <v>2593395879</v>
      </c>
      <c r="D17" s="496">
        <f t="shared" ref="D17:F17" si="5">SUM(D18:D19)</f>
        <v>1073015879</v>
      </c>
      <c r="E17" s="680">
        <f>D17/C17</f>
        <v>0.41374935762362258</v>
      </c>
      <c r="F17" s="496">
        <f t="shared" si="5"/>
        <v>96880000</v>
      </c>
      <c r="G17" s="680">
        <f>F17/D17</f>
        <v>9.0287573460970189E-2</v>
      </c>
    </row>
    <row r="18" spans="1:7" ht="90" customHeight="1" thickBot="1" x14ac:dyDescent="0.25">
      <c r="A18" s="485" t="s">
        <v>138</v>
      </c>
      <c r="B18" s="491" t="s">
        <v>139</v>
      </c>
      <c r="C18" s="497">
        <f>'SGTO POAI -MARZO-2021'!BJ41</f>
        <v>2315395879</v>
      </c>
      <c r="D18" s="497">
        <f>'SGTO POAI -MARZO-2021'!BK41</f>
        <v>984385879</v>
      </c>
      <c r="E18" s="681">
        <f t="shared" si="1"/>
        <v>0.42514797919790198</v>
      </c>
      <c r="F18" s="497">
        <f>'SGTO POAI -MARZO-2021'!BL41</f>
        <v>83070000</v>
      </c>
      <c r="G18" s="681">
        <f>F18/D18</f>
        <v>8.4387638803177109E-2</v>
      </c>
    </row>
    <row r="19" spans="1:7" ht="90" customHeight="1" thickBot="1" x14ac:dyDescent="0.25">
      <c r="A19" s="485" t="s">
        <v>145</v>
      </c>
      <c r="B19" s="491" t="s">
        <v>1425</v>
      </c>
      <c r="C19" s="497">
        <f>'SGTO POAI -MARZO-2021'!BJ42</f>
        <v>278000000</v>
      </c>
      <c r="D19" s="497">
        <f>'SGTO POAI -MARZO-2021'!BK42</f>
        <v>88630000</v>
      </c>
      <c r="E19" s="681">
        <f t="shared" si="1"/>
        <v>0.31881294964028778</v>
      </c>
      <c r="F19" s="497">
        <f>'SGTO POAI -MARZO-2021'!BL42</f>
        <v>13810000</v>
      </c>
      <c r="G19" s="681">
        <f t="shared" ref="G19" si="6">F19/D19</f>
        <v>0.15581631501748844</v>
      </c>
    </row>
    <row r="20" spans="1:7" ht="20.100000000000001" customHeight="1" thickBot="1" x14ac:dyDescent="0.25">
      <c r="A20" s="968" t="s">
        <v>148</v>
      </c>
      <c r="B20" s="969"/>
      <c r="C20" s="496">
        <f>SUM(C21:C33)</f>
        <v>8074199883.1000004</v>
      </c>
      <c r="D20" s="496">
        <f t="shared" ref="D20:F20" si="7">SUM(D21:D33)</f>
        <v>701592067</v>
      </c>
      <c r="E20" s="680">
        <f>D20/C20</f>
        <v>8.6893076361472421E-2</v>
      </c>
      <c r="F20" s="496">
        <f t="shared" si="7"/>
        <v>95796787</v>
      </c>
      <c r="G20" s="680">
        <f>F20/D20</f>
        <v>0.13654200425843754</v>
      </c>
    </row>
    <row r="21" spans="1:7" ht="90" customHeight="1" thickBot="1" x14ac:dyDescent="0.25">
      <c r="A21" s="483" t="s">
        <v>157</v>
      </c>
      <c r="B21" s="492" t="s">
        <v>1426</v>
      </c>
      <c r="C21" s="497">
        <f>'SGTO POAI -MARZO-2021'!BJ48</f>
        <v>24750000</v>
      </c>
      <c r="D21" s="497">
        <f>'SGTO POAI -MARZO-2021'!BK48</f>
        <v>3932000</v>
      </c>
      <c r="E21" s="681">
        <f t="shared" si="1"/>
        <v>0.15886868686868688</v>
      </c>
      <c r="F21" s="497">
        <f>'SGTO POAI -MARZO-2021'!BL48</f>
        <v>0</v>
      </c>
      <c r="G21" s="681">
        <f>F21/D21</f>
        <v>0</v>
      </c>
    </row>
    <row r="22" spans="1:7" ht="90" customHeight="1" thickBot="1" x14ac:dyDescent="0.25">
      <c r="A22" s="483" t="s">
        <v>167</v>
      </c>
      <c r="B22" s="490" t="s">
        <v>1427</v>
      </c>
      <c r="C22" s="497">
        <f>'SGTO POAI -MARZO-2021'!BJ51</f>
        <v>38000000</v>
      </c>
      <c r="D22" s="497">
        <f>'SGTO POAI -MARZO-2021'!BK51</f>
        <v>4100000</v>
      </c>
      <c r="E22" s="681">
        <f t="shared" si="1"/>
        <v>0.10789473684210527</v>
      </c>
      <c r="F22" s="497">
        <f>'SGTO POAI -MARZO-2021'!BL51</f>
        <v>0</v>
      </c>
      <c r="G22" s="681">
        <f t="shared" ref="G22:G32" si="8">F22/D22</f>
        <v>0</v>
      </c>
    </row>
    <row r="23" spans="1:7" ht="90" customHeight="1" thickBot="1" x14ac:dyDescent="0.25">
      <c r="A23" s="485" t="s">
        <v>177</v>
      </c>
      <c r="B23" s="490" t="s">
        <v>1428</v>
      </c>
      <c r="C23" s="497">
        <f>'SGTO POAI -MARZO-2021'!BJ54</f>
        <v>2083257220</v>
      </c>
      <c r="D23" s="497">
        <f>'SGTO POAI -MARZO-2021'!BK54</f>
        <v>183764000</v>
      </c>
      <c r="E23" s="681">
        <f t="shared" si="1"/>
        <v>8.8209942697330485E-2</v>
      </c>
      <c r="F23" s="497">
        <f>'SGTO POAI -MARZO-2021'!BL54</f>
        <v>0</v>
      </c>
      <c r="G23" s="681">
        <f t="shared" si="8"/>
        <v>0</v>
      </c>
    </row>
    <row r="24" spans="1:7" ht="90" customHeight="1" thickBot="1" x14ac:dyDescent="0.25">
      <c r="A24" s="485" t="s">
        <v>187</v>
      </c>
      <c r="B24" s="490" t="s">
        <v>188</v>
      </c>
      <c r="C24" s="497">
        <f>'SGTO POAI -MARZO-2021'!BJ57</f>
        <v>30000000</v>
      </c>
      <c r="D24" s="497">
        <f>'SGTO POAI -MARZO-2021'!BK57</f>
        <v>8900000</v>
      </c>
      <c r="E24" s="681">
        <f t="shared" si="1"/>
        <v>0.29666666666666669</v>
      </c>
      <c r="F24" s="497">
        <f>'SGTO POAI -MARZO-2021'!BL57</f>
        <v>0</v>
      </c>
      <c r="G24" s="681">
        <f t="shared" si="8"/>
        <v>0</v>
      </c>
    </row>
    <row r="25" spans="1:7" ht="90" customHeight="1" thickBot="1" x14ac:dyDescent="0.25">
      <c r="A25" s="485" t="s">
        <v>197</v>
      </c>
      <c r="B25" s="490" t="s">
        <v>1429</v>
      </c>
      <c r="C25" s="497">
        <f>'SGTO POAI -MARZO-2021'!BJ60</f>
        <v>1836073375</v>
      </c>
      <c r="D25" s="497">
        <f>'SGTO POAI -MARZO-2021'!BK60</f>
        <v>170000000</v>
      </c>
      <c r="E25" s="681">
        <f t="shared" si="1"/>
        <v>9.2588892314829196E-2</v>
      </c>
      <c r="F25" s="497">
        <f>'SGTO POAI -MARZO-2021'!BL60</f>
        <v>44266000</v>
      </c>
      <c r="G25" s="681">
        <f t="shared" si="8"/>
        <v>0.26038823529411764</v>
      </c>
    </row>
    <row r="26" spans="1:7" ht="90" customHeight="1" thickBot="1" x14ac:dyDescent="0.25">
      <c r="A26" s="485" t="s">
        <v>208</v>
      </c>
      <c r="B26" s="490" t="s">
        <v>1430</v>
      </c>
      <c r="C26" s="497">
        <f>'SGTO POAI -MARZO-2021'!BJ64+'SGTO POAI -MARZO-2021'!BJ65</f>
        <v>350000000</v>
      </c>
      <c r="D26" s="497">
        <f>'SGTO POAI -MARZO-2021'!BK64+'SGTO POAI -MARZO-2021'!BK65</f>
        <v>152100000</v>
      </c>
      <c r="E26" s="681">
        <f t="shared" si="1"/>
        <v>0.43457142857142855</v>
      </c>
      <c r="F26" s="497">
        <f>'SGTO POAI -MARZO-2021'!BL64+'SGTO POAI -MARZO-2021'!BL65</f>
        <v>35450000</v>
      </c>
      <c r="G26" s="681">
        <f t="shared" si="8"/>
        <v>0.23307034845496383</v>
      </c>
    </row>
    <row r="27" spans="1:7" ht="90" customHeight="1" thickBot="1" x14ac:dyDescent="0.25">
      <c r="A27" s="485" t="s">
        <v>219</v>
      </c>
      <c r="B27" s="490" t="s">
        <v>220</v>
      </c>
      <c r="C27" s="497">
        <f>'SGTO POAI -MARZO-2021'!BJ66</f>
        <v>40000000</v>
      </c>
      <c r="D27" s="497">
        <f>'SGTO POAI -MARZO-2021'!BK66</f>
        <v>9000000</v>
      </c>
      <c r="E27" s="681">
        <f t="shared" si="1"/>
        <v>0.22500000000000001</v>
      </c>
      <c r="F27" s="497">
        <f>'SGTO POAI -MARZO-2021'!BL66</f>
        <v>0</v>
      </c>
      <c r="G27" s="681">
        <f t="shared" si="8"/>
        <v>0</v>
      </c>
    </row>
    <row r="28" spans="1:7" ht="90" customHeight="1" thickBot="1" x14ac:dyDescent="0.25">
      <c r="A28" s="485" t="s">
        <v>228</v>
      </c>
      <c r="B28" s="490" t="s">
        <v>1431</v>
      </c>
      <c r="C28" s="497">
        <f>'SGTO POAI -MARZO-2021'!BJ69</f>
        <v>100000000</v>
      </c>
      <c r="D28" s="497">
        <f>'SGTO POAI -MARZO-2021'!BK69</f>
        <v>44400000</v>
      </c>
      <c r="E28" s="681">
        <f t="shared" si="1"/>
        <v>0.44400000000000001</v>
      </c>
      <c r="F28" s="497">
        <f>'SGTO POAI -MARZO-2021'!BL69</f>
        <v>2800000</v>
      </c>
      <c r="G28" s="681">
        <f t="shared" si="8"/>
        <v>6.3063063063063057E-2</v>
      </c>
    </row>
    <row r="29" spans="1:7" ht="90" customHeight="1" thickBot="1" x14ac:dyDescent="0.25">
      <c r="A29" s="485" t="s">
        <v>234</v>
      </c>
      <c r="B29" s="490" t="s">
        <v>1432</v>
      </c>
      <c r="C29" s="497">
        <f>'SGTO POAI -MARZO-2021'!BJ70</f>
        <v>171108067</v>
      </c>
      <c r="D29" s="497">
        <f>'SGTO POAI -MARZO-2021'!BK70</f>
        <v>124328067</v>
      </c>
      <c r="E29" s="681">
        <f t="shared" si="1"/>
        <v>0.72660552585168292</v>
      </c>
      <c r="F29" s="497">
        <f>'SGTO POAI -MARZO-2021'!BL70</f>
        <v>13280787</v>
      </c>
      <c r="G29" s="681">
        <f t="shared" si="8"/>
        <v>0.10682050578329992</v>
      </c>
    </row>
    <row r="30" spans="1:7" ht="90" customHeight="1" thickBot="1" x14ac:dyDescent="0.25">
      <c r="A30" s="485" t="s">
        <v>243</v>
      </c>
      <c r="B30" s="490" t="s">
        <v>244</v>
      </c>
      <c r="C30" s="497">
        <f>'SGTO POAI -MARZO-2021'!BJ73</f>
        <v>120000000.09999999</v>
      </c>
      <c r="D30" s="497">
        <f>'SGTO POAI -MARZO-2021'!BK73</f>
        <v>0</v>
      </c>
      <c r="E30" s="681">
        <f t="shared" si="1"/>
        <v>0</v>
      </c>
      <c r="F30" s="497">
        <f>'SGTO POAI -MARZO-2021'!BL73</f>
        <v>0</v>
      </c>
      <c r="G30" s="681">
        <v>0</v>
      </c>
    </row>
    <row r="31" spans="1:7" ht="90" customHeight="1" thickBot="1" x14ac:dyDescent="0.25">
      <c r="A31" s="483" t="s">
        <v>252</v>
      </c>
      <c r="B31" s="492" t="s">
        <v>253</v>
      </c>
      <c r="C31" s="497">
        <f>'SGTO POAI -MARZO-2021'!BJ75+'SGTO POAI -MARZO-2021'!BJ76+'SGTO POAI -MARZO-2021'!BJ77+'SGTO POAI -MARZO-2021'!BJ78+'SGTO POAI -MARZO-2021'!BJ79+'SGTO POAI -MARZO-2021'!BJ80</f>
        <v>3203011221</v>
      </c>
      <c r="D31" s="497">
        <f>'SGTO POAI -MARZO-2021'!BK75+'SGTO POAI -MARZO-2021'!BK76+'SGTO POAI -MARZO-2021'!BK77+'SGTO POAI -MARZO-2021'!BK78+'SGTO POAI -MARZO-2021'!BK79+'SGTO POAI -MARZO-2021'!BK80</f>
        <v>0</v>
      </c>
      <c r="E31" s="681">
        <f t="shared" si="1"/>
        <v>0</v>
      </c>
      <c r="F31" s="497">
        <f>'SGTO POAI -MARZO-2021'!BL75+'SGTO POAI -MARZO-2021'!BL76+'SGTO POAI -MARZO-2021'!BL77+'SGTO POAI -MARZO-2021'!BL78+'SGTO POAI -MARZO-2021'!BL79+'SGTO POAI -MARZO-2021'!BL80</f>
        <v>0</v>
      </c>
      <c r="G31" s="681">
        <v>0</v>
      </c>
    </row>
    <row r="32" spans="1:7" ht="90" customHeight="1" thickBot="1" x14ac:dyDescent="0.25">
      <c r="A32" s="485" t="s">
        <v>270</v>
      </c>
      <c r="B32" s="490" t="s">
        <v>1433</v>
      </c>
      <c r="C32" s="497">
        <f>'SGTO POAI -MARZO-2021'!BJ84</f>
        <v>40000000</v>
      </c>
      <c r="D32" s="497">
        <f>'SGTO POAI -MARZO-2021'!BK84</f>
        <v>1068000</v>
      </c>
      <c r="E32" s="681">
        <f t="shared" si="1"/>
        <v>2.6700000000000002E-2</v>
      </c>
      <c r="F32" s="497">
        <f>'SGTO POAI -MARZO-2021'!BL84</f>
        <v>0</v>
      </c>
      <c r="G32" s="681">
        <f t="shared" si="8"/>
        <v>0</v>
      </c>
    </row>
    <row r="33" spans="1:7" ht="90" customHeight="1" thickBot="1" x14ac:dyDescent="0.25">
      <c r="A33" s="485" t="s">
        <v>274</v>
      </c>
      <c r="B33" s="490" t="s">
        <v>275</v>
      </c>
      <c r="C33" s="497">
        <f>'SGTO POAI -MARZO-2021'!BJ86</f>
        <v>38000000</v>
      </c>
      <c r="D33" s="497">
        <f>'SGTO POAI -MARZO-2021'!BK86</f>
        <v>0</v>
      </c>
      <c r="E33" s="681">
        <f t="shared" si="1"/>
        <v>0</v>
      </c>
      <c r="F33" s="497">
        <f>'SGTO POAI -MARZO-2021'!BL86</f>
        <v>0</v>
      </c>
      <c r="G33" s="681">
        <v>0</v>
      </c>
    </row>
    <row r="34" spans="1:7" ht="20.100000000000001" customHeight="1" thickBot="1" x14ac:dyDescent="0.25">
      <c r="A34" s="968" t="s">
        <v>1434</v>
      </c>
      <c r="B34" s="969"/>
      <c r="C34" s="496">
        <f>SUM(C35:C46)</f>
        <v>2819447380.3299999</v>
      </c>
      <c r="D34" s="496">
        <f t="shared" ref="D34:F34" si="9">SUM(D35:D46)</f>
        <v>532279150.32999998</v>
      </c>
      <c r="E34" s="685">
        <f t="shared" si="1"/>
        <v>0.18878846757115211</v>
      </c>
      <c r="F34" s="496">
        <f t="shared" si="9"/>
        <v>77820171</v>
      </c>
      <c r="G34" s="680">
        <f>F34/D34</f>
        <v>0.14620180210281281</v>
      </c>
    </row>
    <row r="35" spans="1:7" ht="90" customHeight="1" thickBot="1" x14ac:dyDescent="0.25">
      <c r="A35" s="485" t="s">
        <v>279</v>
      </c>
      <c r="B35" s="492" t="s">
        <v>1435</v>
      </c>
      <c r="C35" s="497">
        <f>'SGTO POAI -MARZO-2021'!BJ92</f>
        <v>114000000</v>
      </c>
      <c r="D35" s="497">
        <f>'SGTO POAI -MARZO-2021'!BK92</f>
        <v>68700000</v>
      </c>
      <c r="E35" s="681">
        <f t="shared" si="1"/>
        <v>0.60263157894736841</v>
      </c>
      <c r="F35" s="497">
        <f>'SGTO POAI -MARZO-2021'!BL92</f>
        <v>10655000</v>
      </c>
      <c r="G35" s="681">
        <f>F35/D35</f>
        <v>0.15509461426491994</v>
      </c>
    </row>
    <row r="36" spans="1:7" ht="90" customHeight="1" thickBot="1" x14ac:dyDescent="0.25">
      <c r="A36" s="485" t="s">
        <v>285</v>
      </c>
      <c r="B36" s="492" t="s">
        <v>1436</v>
      </c>
      <c r="C36" s="497">
        <f>'SGTO POAI -MARZO-2021'!BJ94</f>
        <v>36000000</v>
      </c>
      <c r="D36" s="497">
        <f>'SGTO POAI -MARZO-2021'!BK94</f>
        <v>25540000</v>
      </c>
      <c r="E36" s="681">
        <f t="shared" si="1"/>
        <v>0.70944444444444443</v>
      </c>
      <c r="F36" s="497">
        <f>'SGTO POAI -MARZO-2021'!BL94</f>
        <v>0</v>
      </c>
      <c r="G36" s="681">
        <f t="shared" ref="G36:G46" si="10">F36/D36</f>
        <v>0</v>
      </c>
    </row>
    <row r="37" spans="1:7" ht="90" customHeight="1" thickBot="1" x14ac:dyDescent="0.25">
      <c r="A37" s="485" t="s">
        <v>291</v>
      </c>
      <c r="B37" s="492" t="s">
        <v>1437</v>
      </c>
      <c r="C37" s="497">
        <f>'SGTO POAI -MARZO-2021'!BJ96</f>
        <v>36000000</v>
      </c>
      <c r="D37" s="497">
        <f>'SGTO POAI -MARZO-2021'!BK96</f>
        <v>10000000</v>
      </c>
      <c r="E37" s="681">
        <f t="shared" si="1"/>
        <v>0.27777777777777779</v>
      </c>
      <c r="F37" s="497">
        <f>'SGTO POAI -MARZO-2021'!BL96</f>
        <v>2885000</v>
      </c>
      <c r="G37" s="681">
        <f t="shared" si="10"/>
        <v>0.28849999999999998</v>
      </c>
    </row>
    <row r="38" spans="1:7" ht="90" customHeight="1" thickBot="1" x14ac:dyDescent="0.25">
      <c r="A38" s="485" t="s">
        <v>298</v>
      </c>
      <c r="B38" s="490" t="s">
        <v>1438</v>
      </c>
      <c r="C38" s="497">
        <f>'SGTO POAI -MARZO-2021'!BJ99</f>
        <v>30000000</v>
      </c>
      <c r="D38" s="497">
        <f>'SGTO POAI -MARZO-2021'!BK99</f>
        <v>27042500</v>
      </c>
      <c r="E38" s="681">
        <f t="shared" si="1"/>
        <v>0.90141666666666664</v>
      </c>
      <c r="F38" s="497">
        <f>'SGTO POAI -MARZO-2021'!BL99</f>
        <v>1855000</v>
      </c>
      <c r="G38" s="681">
        <f t="shared" si="10"/>
        <v>6.8595728945178888E-2</v>
      </c>
    </row>
    <row r="39" spans="1:7" ht="90" customHeight="1" thickBot="1" x14ac:dyDescent="0.25">
      <c r="A39" s="485" t="s">
        <v>306</v>
      </c>
      <c r="B39" s="491" t="s">
        <v>307</v>
      </c>
      <c r="C39" s="497">
        <f>'SGTO POAI -MARZO-2021'!BJ102+'SGTO POAI -MARZO-2021'!BJ103+'SGTO POAI -MARZO-2021'!BJ104+'SGTO POAI -MARZO-2021'!BJ105+'SGTO POAI -MARZO-2021'!BJ106</f>
        <v>206000000</v>
      </c>
      <c r="D39" s="497">
        <f>'SGTO POAI -MARZO-2021'!BK102+'SGTO POAI -MARZO-2021'!BK103+'SGTO POAI -MARZO-2021'!BK104+'SGTO POAI -MARZO-2021'!BK105+'SGTO POAI -MARZO-2021'!BK106</f>
        <v>62719410</v>
      </c>
      <c r="E39" s="681">
        <f t="shared" si="1"/>
        <v>0.30446315533980584</v>
      </c>
      <c r="F39" s="497">
        <f>'SGTO POAI -MARZO-2021'!BL102+'SGTO POAI -MARZO-2021'!BL103+'SGTO POAI -MARZO-2021'!BL104+'SGTO POAI -MARZO-2021'!BL105+'SGTO POAI -MARZO-2021'!BL106</f>
        <v>16960171</v>
      </c>
      <c r="G39" s="681">
        <f t="shared" si="10"/>
        <v>0.27041343341718299</v>
      </c>
    </row>
    <row r="40" spans="1:7" ht="90" customHeight="1" thickBot="1" x14ac:dyDescent="0.25">
      <c r="A40" s="485" t="s">
        <v>325</v>
      </c>
      <c r="B40" s="490" t="s">
        <v>1439</v>
      </c>
      <c r="C40" s="497">
        <f>'SGTO POAI -MARZO-2021'!BJ108</f>
        <v>18000000</v>
      </c>
      <c r="D40" s="497">
        <f>'SGTO POAI -MARZO-2021'!BK108</f>
        <v>1000000</v>
      </c>
      <c r="E40" s="681">
        <f t="shared" si="1"/>
        <v>5.5555555555555552E-2</v>
      </c>
      <c r="F40" s="497">
        <f>'SGTO POAI -MARZO-2021'!BL108</f>
        <v>0</v>
      </c>
      <c r="G40" s="681">
        <f t="shared" si="10"/>
        <v>0</v>
      </c>
    </row>
    <row r="41" spans="1:7" ht="90" customHeight="1" thickBot="1" x14ac:dyDescent="0.25">
      <c r="A41" s="485" t="s">
        <v>333</v>
      </c>
      <c r="B41" s="490" t="s">
        <v>1440</v>
      </c>
      <c r="C41" s="497">
        <f>'SGTO POAI -MARZO-2021'!BJ111</f>
        <v>1837447380.3299999</v>
      </c>
      <c r="D41" s="497">
        <f>'SGTO POAI -MARZO-2021'!BK111</f>
        <v>121957010.33</v>
      </c>
      <c r="E41" s="681">
        <f t="shared" si="1"/>
        <v>6.6373062780223341E-2</v>
      </c>
      <c r="F41" s="497">
        <f>'SGTO POAI -MARZO-2021'!BL111</f>
        <v>2885000</v>
      </c>
      <c r="G41" s="681">
        <f t="shared" si="10"/>
        <v>2.3655876707649365E-2</v>
      </c>
    </row>
    <row r="42" spans="1:7" ht="90" customHeight="1" thickBot="1" x14ac:dyDescent="0.25">
      <c r="A42" s="485" t="s">
        <v>360</v>
      </c>
      <c r="B42" s="490" t="s">
        <v>1441</v>
      </c>
      <c r="C42" s="497">
        <f>'SGTO POAI -MARZO-2021'!BJ125</f>
        <v>50000000</v>
      </c>
      <c r="D42" s="497">
        <f>'SGTO POAI -MARZO-2021'!BK125</f>
        <v>27310761</v>
      </c>
      <c r="E42" s="681">
        <f t="shared" si="1"/>
        <v>0.54621522</v>
      </c>
      <c r="F42" s="497">
        <f>'SGTO POAI -MARZO-2021'!BL125</f>
        <v>3300000</v>
      </c>
      <c r="G42" s="681">
        <f t="shared" si="10"/>
        <v>0.12083149202616507</v>
      </c>
    </row>
    <row r="43" spans="1:7" ht="90" customHeight="1" thickBot="1" x14ac:dyDescent="0.25">
      <c r="A43" s="485" t="s">
        <v>337</v>
      </c>
      <c r="B43" s="490" t="s">
        <v>1442</v>
      </c>
      <c r="C43" s="497">
        <f>'SGTO POAI -MARZO-2021'!BJ112</f>
        <v>36000000</v>
      </c>
      <c r="D43" s="497">
        <f>'SGTO POAI -MARZO-2021'!BK112</f>
        <v>4000000</v>
      </c>
      <c r="E43" s="681">
        <f t="shared" si="1"/>
        <v>0.1111111111111111</v>
      </c>
      <c r="F43" s="497">
        <f>'SGTO POAI -MARZO-2021'!BL112</f>
        <v>0</v>
      </c>
      <c r="G43" s="681">
        <f t="shared" si="10"/>
        <v>0</v>
      </c>
    </row>
    <row r="44" spans="1:7" ht="90" customHeight="1" thickBot="1" x14ac:dyDescent="0.25">
      <c r="A44" s="485" t="s">
        <v>342</v>
      </c>
      <c r="B44" s="491" t="s">
        <v>1443</v>
      </c>
      <c r="C44" s="497">
        <f>'SGTO POAI -MARZO-2021'!BJ116</f>
        <v>45000000</v>
      </c>
      <c r="D44" s="497">
        <f>'SGTO POAI -MARZO-2021'!BK116</f>
        <v>25200000</v>
      </c>
      <c r="E44" s="681">
        <f t="shared" si="1"/>
        <v>0.56000000000000005</v>
      </c>
      <c r="F44" s="497">
        <f>'SGTO POAI -MARZO-2021'!BL116</f>
        <v>5600000</v>
      </c>
      <c r="G44" s="681">
        <f t="shared" si="10"/>
        <v>0.22222222222222221</v>
      </c>
    </row>
    <row r="45" spans="1:7" ht="90" customHeight="1" thickBot="1" x14ac:dyDescent="0.25">
      <c r="A45" s="485" t="s">
        <v>348</v>
      </c>
      <c r="B45" s="491" t="s">
        <v>349</v>
      </c>
      <c r="C45" s="497">
        <f>'SGTO POAI -MARZO-2021'!BJ119+'SGTO POAI -MARZO-2021'!BJ120+'SGTO POAI -MARZO-2021'!BJ121</f>
        <v>148000000</v>
      </c>
      <c r="D45" s="497">
        <f>'SGTO POAI -MARZO-2021'!BK119+'SGTO POAI -MARZO-2021'!BK120+'SGTO POAI -MARZO-2021'!BK121</f>
        <v>64449469</v>
      </c>
      <c r="E45" s="681">
        <f t="shared" si="1"/>
        <v>0.43546938513513511</v>
      </c>
      <c r="F45" s="497">
        <f>'SGTO POAI -MARZO-2021'!BL119+'SGTO POAI -MARZO-2021'!BL120+'SGTO POAI -MARZO-2021'!BL121</f>
        <v>12640000</v>
      </c>
      <c r="G45" s="681">
        <f t="shared" si="10"/>
        <v>0.19612263989327824</v>
      </c>
    </row>
    <row r="46" spans="1:7" ht="90" customHeight="1" thickBot="1" x14ac:dyDescent="0.25">
      <c r="A46" s="485" t="s">
        <v>364</v>
      </c>
      <c r="B46" s="492" t="s">
        <v>1444</v>
      </c>
      <c r="C46" s="497">
        <f>'SGTO POAI -MARZO-2021'!BJ126+'SGTO POAI -MARZO-2021'!BJ127+'SGTO POAI -MARZO-2021'!BJ128+'SGTO POAI -MARZO-2021'!BJ129</f>
        <v>263000000</v>
      </c>
      <c r="D46" s="497">
        <f>'SGTO POAI -MARZO-2021'!BK126+'SGTO POAI -MARZO-2021'!BK127+'SGTO POAI -MARZO-2021'!BK128+'SGTO POAI -MARZO-2021'!BK129</f>
        <v>94360000</v>
      </c>
      <c r="E46" s="681">
        <f t="shared" si="1"/>
        <v>0.35878326996197718</v>
      </c>
      <c r="F46" s="497">
        <f>'SGTO POAI -MARZO-2021'!BL126+'SGTO POAI -MARZO-2021'!BL127+'SGTO POAI -MARZO-2021'!BL128+'SGTO POAI -MARZO-2021'!BL129</f>
        <v>21040000</v>
      </c>
      <c r="G46" s="681">
        <f t="shared" si="10"/>
        <v>0.22297583721916067</v>
      </c>
    </row>
    <row r="47" spans="1:7" ht="20.100000000000001" customHeight="1" thickBot="1" x14ac:dyDescent="0.25">
      <c r="A47" s="968" t="s">
        <v>376</v>
      </c>
      <c r="B47" s="969"/>
      <c r="C47" s="496">
        <f>SUM(C48:C51)</f>
        <v>4038357225.02</v>
      </c>
      <c r="D47" s="496">
        <f t="shared" ref="D47:F47" si="11">SUM(D48:D51)</f>
        <v>80995000</v>
      </c>
      <c r="E47" s="685">
        <f t="shared" si="1"/>
        <v>2.0056422819206856E-2</v>
      </c>
      <c r="F47" s="496">
        <f t="shared" si="11"/>
        <v>0</v>
      </c>
      <c r="G47" s="680">
        <f>F47/D47</f>
        <v>0</v>
      </c>
    </row>
    <row r="48" spans="1:7" ht="90" customHeight="1" thickBot="1" x14ac:dyDescent="0.25">
      <c r="A48" s="483" t="s">
        <v>379</v>
      </c>
      <c r="B48" s="490" t="s">
        <v>1445</v>
      </c>
      <c r="C48" s="497">
        <f>'SGTO POAI -MARZO-2021'!BJ135+'SGTO POAI -MARZO-2021'!BJ136+'SGTO POAI -MARZO-2021'!BJ137+'SGTO POAI -MARZO-2021'!BJ138+'SGTO POAI -MARZO-2021'!BJ139</f>
        <v>1884078703.8999999</v>
      </c>
      <c r="D48" s="497">
        <f>'SGTO POAI -MARZO-2021'!BK135+'SGTO POAI -MARZO-2021'!BK136+'SGTO POAI -MARZO-2021'!BK137+'SGTO POAI -MARZO-2021'!BK138+'SGTO POAI -MARZO-2021'!BK139</f>
        <v>49795000</v>
      </c>
      <c r="E48" s="681">
        <f t="shared" si="1"/>
        <v>2.6429363007461147E-2</v>
      </c>
      <c r="F48" s="497">
        <f>'SGTO POAI -MARZO-2021'!BL135+'SGTO POAI -MARZO-2021'!BL136+'SGTO POAI -MARZO-2021'!BL137+'SGTO POAI -MARZO-2021'!BL138+'SGTO POAI -MARZO-2021'!BL139</f>
        <v>0</v>
      </c>
      <c r="G48" s="681">
        <f>F48/D48</f>
        <v>0</v>
      </c>
    </row>
    <row r="49" spans="1:7" ht="90" customHeight="1" thickBot="1" x14ac:dyDescent="0.25">
      <c r="A49" s="483" t="s">
        <v>395</v>
      </c>
      <c r="B49" s="491" t="s">
        <v>1446</v>
      </c>
      <c r="C49" s="497">
        <f>'SGTO POAI -MARZO-2021'!BJ140+'SGTO POAI -MARZO-2021'!BJ141</f>
        <v>337013297.60000002</v>
      </c>
      <c r="D49" s="497">
        <f>'SGTO POAI -MARZO-2021'!BK140+'SGTO POAI -MARZO-2021'!BK141</f>
        <v>11540000</v>
      </c>
      <c r="E49" s="681">
        <f t="shared" si="1"/>
        <v>3.4241972296585127E-2</v>
      </c>
      <c r="F49" s="497">
        <f>'SGTO POAI -MARZO-2021'!BL140+'SGTO POAI -MARZO-2021'!BL141</f>
        <v>0</v>
      </c>
      <c r="G49" s="681">
        <f t="shared" ref="G49:G51" si="12">F49/D49</f>
        <v>0</v>
      </c>
    </row>
    <row r="50" spans="1:7" ht="90" customHeight="1" thickBot="1" x14ac:dyDescent="0.25">
      <c r="A50" s="485" t="s">
        <v>404</v>
      </c>
      <c r="B50" s="492" t="s">
        <v>1447</v>
      </c>
      <c r="C50" s="497">
        <f>'SGTO POAI -MARZO-2021'!BJ142</f>
        <v>1421227081.52</v>
      </c>
      <c r="D50" s="497">
        <f>'SGTO POAI -MARZO-2021'!BK142</f>
        <v>0</v>
      </c>
      <c r="E50" s="681">
        <f t="shared" si="1"/>
        <v>0</v>
      </c>
      <c r="F50" s="497">
        <f>'SGTO POAI -MARZO-2021'!BL142</f>
        <v>0</v>
      </c>
      <c r="G50" s="681">
        <v>0</v>
      </c>
    </row>
    <row r="51" spans="1:7" ht="90" customHeight="1" thickBot="1" x14ac:dyDescent="0.25">
      <c r="A51" s="485" t="s">
        <v>412</v>
      </c>
      <c r="B51" s="492" t="s">
        <v>413</v>
      </c>
      <c r="C51" s="497">
        <f>'SGTO POAI -MARZO-2021'!BJ144+'SGTO POAI -MARZO-2021'!BJ145</f>
        <v>396038142</v>
      </c>
      <c r="D51" s="497">
        <f>'SGTO POAI -MARZO-2021'!BK144+'SGTO POAI -MARZO-2021'!BK145</f>
        <v>19660000</v>
      </c>
      <c r="E51" s="681">
        <f t="shared" si="1"/>
        <v>4.9641683249791631E-2</v>
      </c>
      <c r="F51" s="497">
        <f>'SGTO POAI -MARZO-2021'!BL144+'SGTO POAI -MARZO-2021'!BL145</f>
        <v>0</v>
      </c>
      <c r="G51" s="681">
        <f t="shared" si="12"/>
        <v>0</v>
      </c>
    </row>
    <row r="52" spans="1:7" ht="20.100000000000001" customHeight="1" thickBot="1" x14ac:dyDescent="0.25">
      <c r="A52" s="968" t="s">
        <v>417</v>
      </c>
      <c r="B52" s="969"/>
      <c r="C52" s="496">
        <f>SUM(C53:C57)</f>
        <v>2926228339.7600002</v>
      </c>
      <c r="D52" s="496">
        <f t="shared" ref="D52:F52" si="13">SUM(D53:D57)</f>
        <v>253660000</v>
      </c>
      <c r="E52" s="685">
        <f t="shared" si="1"/>
        <v>8.6684964585096044E-2</v>
      </c>
      <c r="F52" s="496">
        <f t="shared" si="13"/>
        <v>28615000</v>
      </c>
      <c r="G52" s="680">
        <f>F52/D52</f>
        <v>0.11280848379720886</v>
      </c>
    </row>
    <row r="53" spans="1:7" ht="90" customHeight="1" thickBot="1" x14ac:dyDescent="0.25">
      <c r="A53" s="485" t="s">
        <v>425</v>
      </c>
      <c r="B53" s="492" t="s">
        <v>1448</v>
      </c>
      <c r="C53" s="497">
        <f>'SGTO POAI -MARZO-2021'!BJ151+'SGTO POAI -MARZO-2021'!BJ152</f>
        <v>77000000</v>
      </c>
      <c r="D53" s="497">
        <f>'SGTO POAI -MARZO-2021'!BK151+'SGTO POAI -MARZO-2021'!BK152</f>
        <v>24740000</v>
      </c>
      <c r="E53" s="681">
        <f t="shared" si="1"/>
        <v>0.32129870129870131</v>
      </c>
      <c r="F53" s="497">
        <f>'SGTO POAI -MARZO-2021'!BL151+'SGTO POAI -MARZO-2021'!BL152</f>
        <v>0</v>
      </c>
      <c r="G53" s="681">
        <f>F53/D53</f>
        <v>0</v>
      </c>
    </row>
    <row r="54" spans="1:7" ht="90" customHeight="1" thickBot="1" x14ac:dyDescent="0.25">
      <c r="A54" s="485" t="s">
        <v>434</v>
      </c>
      <c r="B54" s="490" t="s">
        <v>1449</v>
      </c>
      <c r="C54" s="497">
        <f>'SGTO POAI -MARZO-2021'!BJ153+'SGTO POAI -MARZO-2021'!BJ154</f>
        <v>250000000</v>
      </c>
      <c r="D54" s="497">
        <f>'SGTO POAI -MARZO-2021'!BK153+'SGTO POAI -MARZO-2021'!BK154</f>
        <v>37940000</v>
      </c>
      <c r="E54" s="681">
        <f t="shared" si="1"/>
        <v>0.15176000000000001</v>
      </c>
      <c r="F54" s="497">
        <f>'SGTO POAI -MARZO-2021'!BL153+'SGTO POAI -MARZO-2021'!BL154</f>
        <v>3300000</v>
      </c>
      <c r="G54" s="681">
        <f t="shared" ref="G54:G57" si="14">F54/D54</f>
        <v>8.6979441222983664E-2</v>
      </c>
    </row>
    <row r="55" spans="1:7" ht="90" customHeight="1" thickBot="1" x14ac:dyDescent="0.25">
      <c r="A55" s="485" t="s">
        <v>442</v>
      </c>
      <c r="B55" s="490" t="s">
        <v>1450</v>
      </c>
      <c r="C55" s="497">
        <f>'SGTO POAI -MARZO-2021'!BJ155+'SGTO POAI -MARZO-2021'!BJ156+'SGTO POAI -MARZO-2021'!BJ157</f>
        <v>1696856036</v>
      </c>
      <c r="D55" s="497">
        <f>'SGTO POAI -MARZO-2021'!BK155+'SGTO POAI -MARZO-2021'!BK156+'SGTO POAI -MARZO-2021'!BK157</f>
        <v>73280000</v>
      </c>
      <c r="E55" s="681">
        <f t="shared" si="1"/>
        <v>4.3185749671930333E-2</v>
      </c>
      <c r="F55" s="497">
        <f>'SGTO POAI -MARZO-2021'!BL155+'SGTO POAI -MARZO-2021'!BL156+'SGTO POAI -MARZO-2021'!BL157</f>
        <v>14595000</v>
      </c>
      <c r="G55" s="681">
        <f t="shared" si="14"/>
        <v>0.19916757641921398</v>
      </c>
    </row>
    <row r="56" spans="1:7" ht="90" customHeight="1" thickBot="1" x14ac:dyDescent="0.25">
      <c r="A56" s="485" t="s">
        <v>449</v>
      </c>
      <c r="B56" s="490" t="s">
        <v>1451</v>
      </c>
      <c r="C56" s="497">
        <f>'SGTO POAI -MARZO-2021'!BJ158</f>
        <v>664872303.75999999</v>
      </c>
      <c r="D56" s="497">
        <f>'SGTO POAI -MARZO-2021'!BK158</f>
        <v>74820000</v>
      </c>
      <c r="E56" s="681">
        <f t="shared" si="1"/>
        <v>0.11253288725801383</v>
      </c>
      <c r="F56" s="497">
        <f>'SGTO POAI -MARZO-2021'!BL158</f>
        <v>6185000</v>
      </c>
      <c r="G56" s="681">
        <f t="shared" si="14"/>
        <v>8.2665062817428497E-2</v>
      </c>
    </row>
    <row r="57" spans="1:7" ht="90" customHeight="1" thickBot="1" x14ac:dyDescent="0.25">
      <c r="A57" s="485" t="s">
        <v>457</v>
      </c>
      <c r="B57" s="491" t="s">
        <v>458</v>
      </c>
      <c r="C57" s="497">
        <f>'SGTO POAI -MARZO-2021'!BJ161+'SGTO POAI -MARZO-2021'!BJ162+'SGTO POAI -MARZO-2021'!BJ163+'SGTO POAI -MARZO-2021'!BJ164</f>
        <v>237500000</v>
      </c>
      <c r="D57" s="497">
        <f>'SGTO POAI -MARZO-2021'!BK161+'SGTO POAI -MARZO-2021'!BK162+'SGTO POAI -MARZO-2021'!BK163+'SGTO POAI -MARZO-2021'!BK164</f>
        <v>42880000</v>
      </c>
      <c r="E57" s="681">
        <f t="shared" si="1"/>
        <v>0.18054736842105262</v>
      </c>
      <c r="F57" s="497">
        <f>'SGTO POAI -MARZO-2021'!BL161+'SGTO POAI -MARZO-2021'!BL162+'SGTO POAI -MARZO-2021'!BL163+'SGTO POAI -MARZO-2021'!BL164</f>
        <v>4535000</v>
      </c>
      <c r="G57" s="681">
        <f t="shared" si="14"/>
        <v>0.10576026119402986</v>
      </c>
    </row>
    <row r="58" spans="1:7" ht="20.100000000000001" customHeight="1" thickBot="1" x14ac:dyDescent="0.25">
      <c r="A58" s="968" t="s">
        <v>469</v>
      </c>
      <c r="B58" s="969"/>
      <c r="C58" s="496">
        <f>SUM(C59:C77)</f>
        <v>2573248186</v>
      </c>
      <c r="D58" s="496">
        <f t="shared" ref="D58:F58" si="15">SUM(D59:D77)</f>
        <v>590027500</v>
      </c>
      <c r="E58" s="685">
        <f t="shared" si="1"/>
        <v>0.22929288484884605</v>
      </c>
      <c r="F58" s="496">
        <f t="shared" si="15"/>
        <v>60425000</v>
      </c>
      <c r="G58" s="680">
        <f>F58/D58</f>
        <v>0.10241048086741719</v>
      </c>
    </row>
    <row r="59" spans="1:7" ht="90" customHeight="1" thickBot="1" x14ac:dyDescent="0.25">
      <c r="A59" s="485" t="s">
        <v>476</v>
      </c>
      <c r="B59" s="491" t="s">
        <v>477</v>
      </c>
      <c r="C59" s="497">
        <f>'SGTO POAI -MARZO-2021'!BJ170+'SGTO POAI -MARZO-2021'!BJ171+'SGTO POAI -MARZO-2021'!BJ172</f>
        <v>439000000</v>
      </c>
      <c r="D59" s="497">
        <f>'SGTO POAI -MARZO-2021'!BK170+'SGTO POAI -MARZO-2021'!BK171+'SGTO POAI -MARZO-2021'!BK172</f>
        <v>62620000</v>
      </c>
      <c r="E59" s="681">
        <f t="shared" si="1"/>
        <v>0.14264236902050115</v>
      </c>
      <c r="F59" s="497">
        <f>'SGTO POAI -MARZO-2021'!BL170+'SGTO POAI -MARZO-2021'!BL171+'SGTO POAI -MARZO-2021'!BL172</f>
        <v>8655000</v>
      </c>
      <c r="G59" s="681">
        <f>F59/D59</f>
        <v>0.13821462791440434</v>
      </c>
    </row>
    <row r="60" spans="1:7" ht="90" customHeight="1" thickBot="1" x14ac:dyDescent="0.25">
      <c r="A60" s="483" t="s">
        <v>490</v>
      </c>
      <c r="B60" s="491" t="s">
        <v>491</v>
      </c>
      <c r="C60" s="497">
        <f>'SGTO POAI -MARZO-2021'!BJ173+'SGTO POAI -MARZO-2021'!BJ174+'SGTO POAI -MARZO-2021'!BJ175</f>
        <v>195000000</v>
      </c>
      <c r="D60" s="497">
        <f>'SGTO POAI -MARZO-2021'!BK173+'SGTO POAI -MARZO-2021'!BK174+'SGTO POAI -MARZO-2021'!BK175</f>
        <v>37920000</v>
      </c>
      <c r="E60" s="681">
        <f t="shared" si="1"/>
        <v>0.19446153846153846</v>
      </c>
      <c r="F60" s="497">
        <f>'SGTO POAI -MARZO-2021'!BL173+'SGTO POAI -MARZO-2021'!BL174+'SGTO POAI -MARZO-2021'!BL175</f>
        <v>0</v>
      </c>
      <c r="G60" s="681">
        <f t="shared" ref="G60:G86" si="16">F60/D60</f>
        <v>0</v>
      </c>
    </row>
    <row r="61" spans="1:7" ht="90" customHeight="1" thickBot="1" x14ac:dyDescent="0.25">
      <c r="A61" s="485" t="s">
        <v>502</v>
      </c>
      <c r="B61" s="491" t="s">
        <v>1452</v>
      </c>
      <c r="C61" s="497">
        <f>'SGTO POAI -MARZO-2021'!BJ176+'SGTO POAI -MARZO-2021'!BJ177</f>
        <v>83000000</v>
      </c>
      <c r="D61" s="497">
        <f>'SGTO POAI -MARZO-2021'!BK176+'SGTO POAI -MARZO-2021'!BK177</f>
        <v>29340000</v>
      </c>
      <c r="E61" s="681">
        <f t="shared" si="1"/>
        <v>0.35349397590361448</v>
      </c>
      <c r="F61" s="497">
        <f>'SGTO POAI -MARZO-2021'!BL176+'SGTO POAI -MARZO-2021'!BL177</f>
        <v>4450000</v>
      </c>
      <c r="G61" s="681">
        <f t="shared" si="16"/>
        <v>0.15167007498295842</v>
      </c>
    </row>
    <row r="62" spans="1:7" ht="90" customHeight="1" thickBot="1" x14ac:dyDescent="0.25">
      <c r="A62" s="483" t="s">
        <v>509</v>
      </c>
      <c r="B62" s="490" t="s">
        <v>510</v>
      </c>
      <c r="C62" s="497">
        <f>'SGTO POAI -MARZO-2021'!BJ178+'SGTO POAI -MARZO-2021'!BJ179</f>
        <v>90000000</v>
      </c>
      <c r="D62" s="497">
        <f>'SGTO POAI -MARZO-2021'!BK178+'SGTO POAI -MARZO-2021'!BK179</f>
        <v>63960000</v>
      </c>
      <c r="E62" s="681">
        <f t="shared" si="1"/>
        <v>0.71066666666666667</v>
      </c>
      <c r="F62" s="497">
        <f>'SGTO POAI -MARZO-2021'!BL178+'SGTO POAI -MARZO-2021'!BL179</f>
        <v>10880000</v>
      </c>
      <c r="G62" s="681">
        <f t="shared" si="16"/>
        <v>0.17010631644777988</v>
      </c>
    </row>
    <row r="63" spans="1:7" ht="90" customHeight="1" thickBot="1" x14ac:dyDescent="0.25">
      <c r="A63" s="485" t="s">
        <v>518</v>
      </c>
      <c r="B63" s="491" t="s">
        <v>1453</v>
      </c>
      <c r="C63" s="497">
        <f>'SGTO POAI -MARZO-2021'!BJ180</f>
        <v>27000000</v>
      </c>
      <c r="D63" s="497">
        <f>'SGTO POAI -MARZO-2021'!BK180</f>
        <v>26940000</v>
      </c>
      <c r="E63" s="681">
        <f t="shared" si="1"/>
        <v>0.99777777777777776</v>
      </c>
      <c r="F63" s="497">
        <f>'SGTO POAI -MARZO-2021'!BL180</f>
        <v>0</v>
      </c>
      <c r="G63" s="681">
        <f t="shared" si="16"/>
        <v>0</v>
      </c>
    </row>
    <row r="64" spans="1:7" ht="90" customHeight="1" thickBot="1" x14ac:dyDescent="0.25">
      <c r="A64" s="485" t="s">
        <v>525</v>
      </c>
      <c r="B64" s="490" t="s">
        <v>526</v>
      </c>
      <c r="C64" s="497">
        <f>'SGTO POAI -MARZO-2021'!BJ182</f>
        <v>75000000</v>
      </c>
      <c r="D64" s="497">
        <f>'SGTO POAI -MARZO-2021'!BK182</f>
        <v>57700000</v>
      </c>
      <c r="E64" s="681">
        <f t="shared" si="1"/>
        <v>0.76933333333333331</v>
      </c>
      <c r="F64" s="497">
        <f>'SGTO POAI -MARZO-2021'!BL182</f>
        <v>11540000</v>
      </c>
      <c r="G64" s="681">
        <f t="shared" si="16"/>
        <v>0.2</v>
      </c>
    </row>
    <row r="65" spans="1:7" ht="90" customHeight="1" thickBot="1" x14ac:dyDescent="0.25">
      <c r="A65" s="483" t="s">
        <v>531</v>
      </c>
      <c r="B65" s="491" t="s">
        <v>532</v>
      </c>
      <c r="C65" s="497">
        <f>'SGTO POAI -MARZO-2021'!BJ184+'SGTO POAI -MARZO-2021'!BJ185</f>
        <v>70000000</v>
      </c>
      <c r="D65" s="497">
        <f>'SGTO POAI -MARZO-2021'!BK184+'SGTO POAI -MARZO-2021'!BK185</f>
        <v>30500000</v>
      </c>
      <c r="E65" s="681">
        <f t="shared" si="1"/>
        <v>0.43571428571428572</v>
      </c>
      <c r="F65" s="497">
        <f>'SGTO POAI -MARZO-2021'!BL184+'SGTO POAI -MARZO-2021'!BL185</f>
        <v>5770000</v>
      </c>
      <c r="G65" s="681">
        <f t="shared" si="16"/>
        <v>0.18918032786885247</v>
      </c>
    </row>
    <row r="66" spans="1:7" ht="90" customHeight="1" thickBot="1" x14ac:dyDescent="0.25">
      <c r="A66" s="485" t="s">
        <v>541</v>
      </c>
      <c r="B66" s="491" t="s">
        <v>1454</v>
      </c>
      <c r="C66" s="497">
        <f>'SGTO POAI -MARZO-2021'!BJ187</f>
        <v>20000000</v>
      </c>
      <c r="D66" s="497">
        <f>'SGTO POAI -MARZO-2021'!BK187</f>
        <v>0</v>
      </c>
      <c r="E66" s="681">
        <f t="shared" si="1"/>
        <v>0</v>
      </c>
      <c r="F66" s="497">
        <f>'SGTO POAI -MARZO-2021'!BL187</f>
        <v>0</v>
      </c>
      <c r="G66" s="681">
        <v>0</v>
      </c>
    </row>
    <row r="67" spans="1:7" ht="90" customHeight="1" thickBot="1" x14ac:dyDescent="0.25">
      <c r="A67" s="485" t="s">
        <v>548</v>
      </c>
      <c r="B67" s="490" t="s">
        <v>1455</v>
      </c>
      <c r="C67" s="497">
        <f>'SGTO POAI -MARZO-2021'!BJ189</f>
        <v>43000000</v>
      </c>
      <c r="D67" s="497">
        <f>'SGTO POAI -MARZO-2021'!BK189</f>
        <v>0</v>
      </c>
      <c r="E67" s="681">
        <f t="shared" si="1"/>
        <v>0</v>
      </c>
      <c r="F67" s="497">
        <f>'SGTO POAI -MARZO-2021'!BL189</f>
        <v>0</v>
      </c>
      <c r="G67" s="681">
        <v>0</v>
      </c>
    </row>
    <row r="68" spans="1:7" ht="90" customHeight="1" thickBot="1" x14ac:dyDescent="0.25">
      <c r="A68" s="483" t="s">
        <v>554</v>
      </c>
      <c r="B68" s="491" t="s">
        <v>555</v>
      </c>
      <c r="C68" s="497">
        <f>'SGTO POAI -MARZO-2021'!BJ191+'SGTO POAI -MARZO-2021'!BJ192</f>
        <v>40000000</v>
      </c>
      <c r="D68" s="497">
        <f>'SGTO POAI -MARZO-2021'!BK191+'SGTO POAI -MARZO-2021'!BK192</f>
        <v>8900000</v>
      </c>
      <c r="E68" s="681">
        <f t="shared" si="1"/>
        <v>0.2225</v>
      </c>
      <c r="F68" s="497">
        <f>'SGTO POAI -MARZO-2021'!BL191+'SGTO POAI -MARZO-2021'!BL192</f>
        <v>0</v>
      </c>
      <c r="G68" s="681">
        <f t="shared" si="16"/>
        <v>0</v>
      </c>
    </row>
    <row r="69" spans="1:7" ht="90" customHeight="1" thickBot="1" x14ac:dyDescent="0.25">
      <c r="A69" s="486" t="s">
        <v>562</v>
      </c>
      <c r="B69" s="490" t="s">
        <v>563</v>
      </c>
      <c r="C69" s="497">
        <f>'SGTO POAI -MARZO-2021'!BJ194+'SGTO POAI -MARZO-2021'!BJ195+'SGTO POAI -MARZO-2021'!BJ196</f>
        <v>108000000</v>
      </c>
      <c r="D69" s="497">
        <f>'SGTO POAI -MARZO-2021'!BK194+'SGTO POAI -MARZO-2021'!BK195+'SGTO POAI -MARZO-2021'!BK196</f>
        <v>23080000</v>
      </c>
      <c r="E69" s="681">
        <f t="shared" si="1"/>
        <v>0.2137037037037037</v>
      </c>
      <c r="F69" s="497">
        <f>'SGTO POAI -MARZO-2021'!BL194+'SGTO POAI -MARZO-2021'!BL195+'SGTO POAI -MARZO-2021'!BL196</f>
        <v>2885000</v>
      </c>
      <c r="G69" s="681">
        <f t="shared" si="16"/>
        <v>0.125</v>
      </c>
    </row>
    <row r="70" spans="1:7" ht="90" customHeight="1" thickBot="1" x14ac:dyDescent="0.25">
      <c r="A70" s="485" t="s">
        <v>574</v>
      </c>
      <c r="B70" s="491" t="s">
        <v>1456</v>
      </c>
      <c r="C70" s="497">
        <f>'SGTO POAI -MARZO-2021'!BJ199+'SGTO POAI -MARZO-2021'!BJ200</f>
        <v>36000000</v>
      </c>
      <c r="D70" s="497">
        <f>'SGTO POAI -MARZO-2021'!BK199+'SGTO POAI -MARZO-2021'!BK200</f>
        <v>0</v>
      </c>
      <c r="E70" s="681">
        <f t="shared" ref="E70:E133" si="17">D70/C70</f>
        <v>0</v>
      </c>
      <c r="F70" s="497">
        <f>'SGTO POAI -MARZO-2021'!BL199+'SGTO POAI -MARZO-2021'!BL200</f>
        <v>0</v>
      </c>
      <c r="G70" s="681">
        <v>0</v>
      </c>
    </row>
    <row r="71" spans="1:7" ht="90" customHeight="1" thickBot="1" x14ac:dyDescent="0.25">
      <c r="A71" s="486" t="s">
        <v>583</v>
      </c>
      <c r="B71" s="491" t="s">
        <v>1457</v>
      </c>
      <c r="C71" s="497">
        <f>'SGTO POAI -MARZO-2021'!BJ204+'SGTO POAI -MARZO-2021'!BJ205</f>
        <v>82000000</v>
      </c>
      <c r="D71" s="497">
        <f>'SGTO POAI -MARZO-2021'!BK204+'SGTO POAI -MARZO-2021'!BK205</f>
        <v>22467500</v>
      </c>
      <c r="E71" s="681">
        <f t="shared" si="17"/>
        <v>0.27399390243902438</v>
      </c>
      <c r="F71" s="497">
        <f>'SGTO POAI -MARZO-2021'!BL204+'SGTO POAI -MARZO-2021'!BL205</f>
        <v>0</v>
      </c>
      <c r="G71" s="681">
        <f t="shared" si="16"/>
        <v>0</v>
      </c>
    </row>
    <row r="72" spans="1:7" ht="90" customHeight="1" thickBot="1" x14ac:dyDescent="0.25">
      <c r="A72" s="485" t="s">
        <v>594</v>
      </c>
      <c r="B72" s="491" t="s">
        <v>595</v>
      </c>
      <c r="C72" s="497">
        <f>'SGTO POAI -MARZO-2021'!BJ207+'SGTO POAI -MARZO-2021'!BJ208+'SGTO POAI -MARZO-2021'!BJ209+'SGTO POAI -MARZO-2021'!BJ210</f>
        <v>855248186</v>
      </c>
      <c r="D72" s="497">
        <f>'SGTO POAI -MARZO-2021'!BK207+'SGTO POAI -MARZO-2021'!BK208+'SGTO POAI -MARZO-2021'!BK209+'SGTO POAI -MARZO-2021'!BK210</f>
        <v>174820000</v>
      </c>
      <c r="E72" s="681">
        <f t="shared" si="17"/>
        <v>0.20440850137038466</v>
      </c>
      <c r="F72" s="497">
        <f>'SGTO POAI -MARZO-2021'!BL207+'SGTO POAI -MARZO-2021'!BL208+'SGTO POAI -MARZO-2021'!BL209+'SGTO POAI -MARZO-2021'!BL210</f>
        <v>7835000</v>
      </c>
      <c r="G72" s="681">
        <f t="shared" si="16"/>
        <v>4.4817526598787322E-2</v>
      </c>
    </row>
    <row r="73" spans="1:7" ht="90" customHeight="1" thickBot="1" x14ac:dyDescent="0.25">
      <c r="A73" s="483" t="s">
        <v>611</v>
      </c>
      <c r="B73" s="491" t="s">
        <v>1458</v>
      </c>
      <c r="C73" s="497">
        <f>'SGTO POAI -MARZO-2021'!BJ211</f>
        <v>36000000</v>
      </c>
      <c r="D73" s="497">
        <f>'SGTO POAI -MARZO-2021'!BK211</f>
        <v>8900000</v>
      </c>
      <c r="E73" s="681">
        <f t="shared" si="17"/>
        <v>0.24722222222222223</v>
      </c>
      <c r="F73" s="497">
        <f>'SGTO POAI -MARZO-2021'!BL211</f>
        <v>2225000</v>
      </c>
      <c r="G73" s="681">
        <f t="shared" si="16"/>
        <v>0.25</v>
      </c>
    </row>
    <row r="74" spans="1:7" ht="90" customHeight="1" thickBot="1" x14ac:dyDescent="0.25">
      <c r="A74" s="483" t="s">
        <v>616</v>
      </c>
      <c r="B74" s="491" t="s">
        <v>1459</v>
      </c>
      <c r="C74" s="497">
        <f>'SGTO POAI -MARZO-2021'!BJ212</f>
        <v>54000000</v>
      </c>
      <c r="D74" s="497">
        <f>'SGTO POAI -MARZO-2021'!BK212</f>
        <v>18140000</v>
      </c>
      <c r="E74" s="681">
        <f t="shared" si="17"/>
        <v>0.33592592592592591</v>
      </c>
      <c r="F74" s="497">
        <f>'SGTO POAI -MARZO-2021'!BL212</f>
        <v>0</v>
      </c>
      <c r="G74" s="681">
        <f t="shared" si="16"/>
        <v>0</v>
      </c>
    </row>
    <row r="75" spans="1:7" ht="90" customHeight="1" thickBot="1" x14ac:dyDescent="0.25">
      <c r="A75" s="483" t="s">
        <v>624</v>
      </c>
      <c r="B75" s="491" t="s">
        <v>625</v>
      </c>
      <c r="C75" s="497">
        <f>'SGTO POAI -MARZO-2021'!BJ214</f>
        <v>120000000</v>
      </c>
      <c r="D75" s="497">
        <f>'SGTO POAI -MARZO-2021'!BK214</f>
        <v>24740000</v>
      </c>
      <c r="E75" s="681">
        <f t="shared" si="17"/>
        <v>0.20616666666666666</v>
      </c>
      <c r="F75" s="497">
        <f>'SGTO POAI -MARZO-2021'!BL214</f>
        <v>6185000</v>
      </c>
      <c r="G75" s="681">
        <f t="shared" si="16"/>
        <v>0.25</v>
      </c>
    </row>
    <row r="76" spans="1:7" ht="90" customHeight="1" thickBot="1" x14ac:dyDescent="0.25">
      <c r="A76" s="483" t="s">
        <v>631</v>
      </c>
      <c r="B76" s="491" t="s">
        <v>632</v>
      </c>
      <c r="C76" s="497">
        <f>'SGTO POAI -MARZO-2021'!BJ216+'SGTO POAI -MARZO-2021'!BJ217+'SGTO POAI -MARZO-2021'!BJ218</f>
        <v>82000000</v>
      </c>
      <c r="D76" s="497">
        <f>'SGTO POAI -MARZO-2021'!BK216+'SGTO POAI -MARZO-2021'!BK217+'SGTO POAI -MARZO-2021'!BK218</f>
        <v>0</v>
      </c>
      <c r="E76" s="681">
        <f t="shared" si="17"/>
        <v>0</v>
      </c>
      <c r="F76" s="497">
        <f>'SGTO POAI -MARZO-2021'!BL216+'SGTO POAI -MARZO-2021'!BL217+'SGTO POAI -MARZO-2021'!BL218</f>
        <v>0</v>
      </c>
      <c r="G76" s="681">
        <v>0</v>
      </c>
    </row>
    <row r="77" spans="1:7" ht="90" customHeight="1" thickBot="1" x14ac:dyDescent="0.25">
      <c r="A77" s="485" t="s">
        <v>644</v>
      </c>
      <c r="B77" s="491" t="s">
        <v>1460</v>
      </c>
      <c r="C77" s="497">
        <f>'SGTO POAI -MARZO-2021'!BJ220+'SGTO POAI -MARZO-2021'!BJ221+'SGTO POAI -MARZO-2021'!BJ222</f>
        <v>118000000</v>
      </c>
      <c r="D77" s="497">
        <f>'SGTO POAI -MARZO-2021'!BK220+'SGTO POAI -MARZO-2021'!BK221+'SGTO POAI -MARZO-2021'!BK222</f>
        <v>0</v>
      </c>
      <c r="E77" s="681">
        <f t="shared" si="17"/>
        <v>0</v>
      </c>
      <c r="F77" s="497">
        <f>'SGTO POAI -MARZO-2021'!BL220+'SGTO POAI -MARZO-2021'!BL221+'SGTO POAI -MARZO-2021'!BL222</f>
        <v>0</v>
      </c>
      <c r="G77" s="681">
        <v>0</v>
      </c>
    </row>
    <row r="78" spans="1:7" ht="20.100000000000001" customHeight="1" thickBot="1" x14ac:dyDescent="0.25">
      <c r="A78" s="968" t="s">
        <v>654</v>
      </c>
      <c r="B78" s="969"/>
      <c r="C78" s="496">
        <f>SUM(C79:C81)</f>
        <v>695000000</v>
      </c>
      <c r="D78" s="496">
        <f t="shared" ref="D78:F78" si="18">SUM(D79:D81)</f>
        <v>280955000</v>
      </c>
      <c r="E78" s="685">
        <f t="shared" si="17"/>
        <v>0.40425179856115107</v>
      </c>
      <c r="F78" s="496">
        <f t="shared" si="18"/>
        <v>59920000</v>
      </c>
      <c r="G78" s="680">
        <f>F78/D78</f>
        <v>0.21327258813689026</v>
      </c>
    </row>
    <row r="79" spans="1:7" ht="90" customHeight="1" thickBot="1" x14ac:dyDescent="0.25">
      <c r="A79" s="485" t="s">
        <v>659</v>
      </c>
      <c r="B79" s="493" t="s">
        <v>1461</v>
      </c>
      <c r="C79" s="497">
        <f>'SGTO POAI -MARZO-2021'!BJ228</f>
        <v>250000000</v>
      </c>
      <c r="D79" s="497">
        <f>'SGTO POAI -MARZO-2021'!BK228</f>
        <v>97940000</v>
      </c>
      <c r="E79" s="681">
        <f t="shared" si="17"/>
        <v>0.39176</v>
      </c>
      <c r="F79" s="497">
        <f>'SGTO POAI -MARZO-2021'!BL228</f>
        <v>21485000</v>
      </c>
      <c r="G79" s="681">
        <f t="shared" si="16"/>
        <v>0.2193690014294466</v>
      </c>
    </row>
    <row r="80" spans="1:7" ht="90" customHeight="1" thickBot="1" x14ac:dyDescent="0.25">
      <c r="A80" s="485" t="s">
        <v>665</v>
      </c>
      <c r="B80" s="491" t="s">
        <v>1462</v>
      </c>
      <c r="C80" s="497">
        <f>'SGTO POAI -MARZO-2021'!BJ229</f>
        <v>300000000</v>
      </c>
      <c r="D80" s="497">
        <f>'SGTO POAI -MARZO-2021'!BK229</f>
        <v>137750000</v>
      </c>
      <c r="E80" s="681">
        <f t="shared" si="17"/>
        <v>0.45916666666666667</v>
      </c>
      <c r="F80" s="497">
        <f>'SGTO POAI -MARZO-2021'!BL229</f>
        <v>28510000</v>
      </c>
      <c r="G80" s="681">
        <f t="shared" si="16"/>
        <v>0.20696914700544464</v>
      </c>
    </row>
    <row r="81" spans="1:7" ht="90" customHeight="1" thickBot="1" x14ac:dyDescent="0.25">
      <c r="A81" s="486" t="s">
        <v>670</v>
      </c>
      <c r="B81" s="490" t="s">
        <v>1463</v>
      </c>
      <c r="C81" s="497">
        <f>'SGTO POAI -MARZO-2021'!BJ231</f>
        <v>145000000</v>
      </c>
      <c r="D81" s="497">
        <f>'SGTO POAI -MARZO-2021'!BK231</f>
        <v>45265000</v>
      </c>
      <c r="E81" s="681">
        <f t="shared" si="17"/>
        <v>0.31217241379310345</v>
      </c>
      <c r="F81" s="497">
        <f>'SGTO POAI -MARZO-2021'!BL231</f>
        <v>9925000</v>
      </c>
      <c r="G81" s="681">
        <f t="shared" si="16"/>
        <v>0.21926433226554734</v>
      </c>
    </row>
    <row r="82" spans="1:7" ht="20.100000000000001" customHeight="1" thickBot="1" x14ac:dyDescent="0.25">
      <c r="A82" s="968" t="s">
        <v>673</v>
      </c>
      <c r="B82" s="969"/>
      <c r="C82" s="496">
        <f>SUM(C83:C91)</f>
        <v>188710574997.31998</v>
      </c>
      <c r="D82" s="496">
        <f t="shared" ref="D82:F82" si="19">SUM(D83:D91)</f>
        <v>53396879007.25</v>
      </c>
      <c r="E82" s="685">
        <f t="shared" si="17"/>
        <v>0.2829564745272401</v>
      </c>
      <c r="F82" s="496">
        <f t="shared" si="19"/>
        <v>37528211785</v>
      </c>
      <c r="G82" s="680">
        <f>F82/D82</f>
        <v>0.70281657809821774</v>
      </c>
    </row>
    <row r="83" spans="1:7" ht="90" customHeight="1" thickBot="1" x14ac:dyDescent="0.25">
      <c r="A83" s="485" t="s">
        <v>677</v>
      </c>
      <c r="B83" s="492" t="s">
        <v>678</v>
      </c>
      <c r="C83" s="497">
        <f>'SGTO POAI -MARZO-2021'!BJ237+'SGTO POAI -MARZO-2021'!BJ238+'SGTO POAI -MARZO-2021'!BJ239+'SGTO POAI -MARZO-2021'!BJ240+'SGTO POAI -MARZO-2021'!BJ241+'SGTO POAI -MARZO-2021'!BJ242+'SGTO POAI -MARZO-2021'!BJ243+'SGTO POAI -MARZO-2021'!BJ244+'SGTO POAI -MARZO-2021'!BJ245+'SGTO POAI -MARZO-2021'!BJ246</f>
        <v>13780197191.07</v>
      </c>
      <c r="D83" s="497">
        <f>'SGTO POAI -MARZO-2021'!BK237+'SGTO POAI -MARZO-2021'!BK238+'SGTO POAI -MARZO-2021'!BK239+'SGTO POAI -MARZO-2021'!BK240+'SGTO POAI -MARZO-2021'!BK241+'SGTO POAI -MARZO-2021'!BK242+'SGTO POAI -MARZO-2021'!BK243+'SGTO POAI -MARZO-2021'!BK244+'SGTO POAI -MARZO-2021'!BK245+'SGTO POAI -MARZO-2021'!BK246</f>
        <v>10893597683</v>
      </c>
      <c r="E83" s="681">
        <f t="shared" si="17"/>
        <v>0.79052552963896583</v>
      </c>
      <c r="F83" s="497">
        <f>'SGTO POAI -MARZO-2021'!BL237+'SGTO POAI -MARZO-2021'!BL238+'SGTO POAI -MARZO-2021'!BL239+'SGTO POAI -MARZO-2021'!BL240+'SGTO POAI -MARZO-2021'!BL241+'SGTO POAI -MARZO-2021'!BL242+'SGTO POAI -MARZO-2021'!BL243+'SGTO POAI -MARZO-2021'!BL244+'SGTO POAI -MARZO-2021'!BL245+'SGTO POAI -MARZO-2021'!BL246</f>
        <v>137958650</v>
      </c>
      <c r="G83" s="681">
        <f t="shared" si="16"/>
        <v>1.2664195430614381E-2</v>
      </c>
    </row>
    <row r="84" spans="1:7" ht="90" customHeight="1" thickBot="1" x14ac:dyDescent="0.25">
      <c r="A84" s="485" t="s">
        <v>708</v>
      </c>
      <c r="B84" s="492" t="s">
        <v>709</v>
      </c>
      <c r="C84" s="497">
        <f>'SGTO POAI -MARZO-2021'!BJ247+'SGTO POAI -MARZO-2021'!BJ248</f>
        <v>16000000</v>
      </c>
      <c r="D84" s="497">
        <f>'SGTO POAI -MARZO-2021'!BK247+'SGTO POAI -MARZO-2021'!BK248</f>
        <v>0</v>
      </c>
      <c r="E84" s="681">
        <f t="shared" si="17"/>
        <v>0</v>
      </c>
      <c r="F84" s="497">
        <f>'SGTO POAI -MARZO-2021'!BL247+'SGTO POAI -MARZO-2021'!BL248</f>
        <v>0</v>
      </c>
      <c r="G84" s="681">
        <v>0</v>
      </c>
    </row>
    <row r="85" spans="1:7" ht="90" customHeight="1" thickBot="1" x14ac:dyDescent="0.25">
      <c r="A85" s="485" t="s">
        <v>717</v>
      </c>
      <c r="B85" s="492" t="s">
        <v>718</v>
      </c>
      <c r="C85" s="497">
        <f>'SGTO POAI -MARZO-2021'!BJ249+'SGTO POAI -MARZO-2021'!BJ250+'SGTO POAI -MARZO-2021'!BJ251+'SGTO POAI -MARZO-2021'!BJ252+'SGTO POAI -MARZO-2021'!BJ253+'SGTO POAI -MARZO-2021'!BJ254+'SGTO POAI -MARZO-2021'!BJ255+'SGTO POAI -MARZO-2021'!BJ256+'SGTO POAI -MARZO-2021'!BJ257+'SGTO POAI -MARZO-2021'!BJ258</f>
        <v>161433653.47999999</v>
      </c>
      <c r="D85" s="497">
        <f>'SGTO POAI -MARZO-2021'!BK249+'SGTO POAI -MARZO-2021'!BK250+'SGTO POAI -MARZO-2021'!BK251+'SGTO POAI -MARZO-2021'!BK252+'SGTO POAI -MARZO-2021'!BK253+'SGTO POAI -MARZO-2021'!BK254+'SGTO POAI -MARZO-2021'!BK255+'SGTO POAI -MARZO-2021'!BK256+'SGTO POAI -MARZO-2021'!BK257+'SGTO POAI -MARZO-2021'!BK258</f>
        <v>13509000</v>
      </c>
      <c r="E85" s="681">
        <f t="shared" si="17"/>
        <v>8.368143635969702E-2</v>
      </c>
      <c r="F85" s="497">
        <f>'SGTO POAI -MARZO-2021'!BL249+'SGTO POAI -MARZO-2021'!BL250+'SGTO POAI -MARZO-2021'!BL251+'SGTO POAI -MARZO-2021'!BL252+'SGTO POAI -MARZO-2021'!BL253+'SGTO POAI -MARZO-2021'!BL254+'SGTO POAI -MARZO-2021'!BL255+'SGTO POAI -MARZO-2021'!BL256+'SGTO POAI -MARZO-2021'!BL257+'SGTO POAI -MARZO-2021'!BL258</f>
        <v>1969000</v>
      </c>
      <c r="G85" s="681">
        <f t="shared" si="16"/>
        <v>0.14575468206380932</v>
      </c>
    </row>
    <row r="86" spans="1:7" ht="90" customHeight="1" thickBot="1" x14ac:dyDescent="0.25">
      <c r="A86" s="483" t="s">
        <v>743</v>
      </c>
      <c r="B86" s="492" t="s">
        <v>744</v>
      </c>
      <c r="C86" s="497">
        <f>'SGTO POAI -MARZO-2021'!BJ259+'SGTO POAI -MARZO-2021'!BJ260+'SGTO POAI -MARZO-2021'!BJ261+'SGTO POAI -MARZO-2021'!BJ262</f>
        <v>173985498545.75</v>
      </c>
      <c r="D86" s="497">
        <f>'SGTO POAI -MARZO-2021'!BK259+'SGTO POAI -MARZO-2021'!BK260+'SGTO POAI -MARZO-2021'!BK261+'SGTO POAI -MARZO-2021'!BK262</f>
        <v>42489772324.25</v>
      </c>
      <c r="E86" s="681">
        <f t="shared" si="17"/>
        <v>0.24421444706253601</v>
      </c>
      <c r="F86" s="497">
        <f>'SGTO POAI -MARZO-2021'!BL259+'SGTO POAI -MARZO-2021'!BL260+'SGTO POAI -MARZO-2021'!BL261+'SGTO POAI -MARZO-2021'!BL262</f>
        <v>37388284135</v>
      </c>
      <c r="G86" s="681">
        <f t="shared" si="16"/>
        <v>0.87993609025910335</v>
      </c>
    </row>
    <row r="87" spans="1:7" ht="90" customHeight="1" thickBot="1" x14ac:dyDescent="0.25">
      <c r="A87" s="485" t="s">
        <v>755</v>
      </c>
      <c r="B87" s="491" t="s">
        <v>1464</v>
      </c>
      <c r="C87" s="497">
        <f>'SGTO POAI -MARZO-2021'!BJ263+'SGTO POAI -MARZO-2021'!BJ264+'SGTO POAI -MARZO-2021'!BJ265</f>
        <v>611945607.01999998</v>
      </c>
      <c r="D87" s="497">
        <f>'SGTO POAI -MARZO-2021'!BK263+'SGTO POAI -MARZO-2021'!BK264+'SGTO POAI -MARZO-2021'!BK265</f>
        <v>0</v>
      </c>
      <c r="E87" s="681">
        <f t="shared" si="17"/>
        <v>0</v>
      </c>
      <c r="F87" s="497">
        <f>'SGTO POAI -MARZO-2021'!BL263+'SGTO POAI -MARZO-2021'!BL264+'SGTO POAI -MARZO-2021'!BL265</f>
        <v>0</v>
      </c>
      <c r="G87" s="681">
        <v>0</v>
      </c>
    </row>
    <row r="88" spans="1:7" ht="90" customHeight="1" thickBot="1" x14ac:dyDescent="0.25">
      <c r="A88" s="483" t="s">
        <v>765</v>
      </c>
      <c r="B88" s="492" t="s">
        <v>766</v>
      </c>
      <c r="C88" s="497">
        <f>'SGTO POAI -MARZO-2021'!BJ266+'SGTO POAI -MARZO-2021'!BJ267+'SGTO POAI -MARZO-2021'!BJ268</f>
        <v>30000000</v>
      </c>
      <c r="D88" s="497">
        <f>'SGTO POAI -MARZO-2021'!BK266+'SGTO POAI -MARZO-2021'!BK267+'SGTO POAI -MARZO-2021'!BK268</f>
        <v>0</v>
      </c>
      <c r="E88" s="681">
        <f t="shared" si="17"/>
        <v>0</v>
      </c>
      <c r="F88" s="497">
        <f>'SGTO POAI -MARZO-2021'!BL266+'SGTO POAI -MARZO-2021'!BL267+'SGTO POAI -MARZO-2021'!BL268</f>
        <v>0</v>
      </c>
      <c r="G88" s="681">
        <v>0</v>
      </c>
    </row>
    <row r="89" spans="1:7" ht="90" customHeight="1" thickBot="1" x14ac:dyDescent="0.25">
      <c r="A89" s="485" t="s">
        <v>772</v>
      </c>
      <c r="B89" s="492" t="s">
        <v>773</v>
      </c>
      <c r="C89" s="497">
        <f>'SGTO POAI -MARZO-2021'!BJ269+'SGTO POAI -MARZO-2021'!BJ270</f>
        <v>18000000</v>
      </c>
      <c r="D89" s="497">
        <f>'SGTO POAI -MARZO-2021'!BK269+'SGTO POAI -MARZO-2021'!BK270</f>
        <v>0</v>
      </c>
      <c r="E89" s="681">
        <f t="shared" si="17"/>
        <v>0</v>
      </c>
      <c r="F89" s="497">
        <f>'SGTO POAI -MARZO-2021'!BL269+'SGTO POAI -MARZO-2021'!BL270</f>
        <v>0</v>
      </c>
      <c r="G89" s="681">
        <v>0</v>
      </c>
    </row>
    <row r="90" spans="1:7" ht="90" customHeight="1" thickBot="1" x14ac:dyDescent="0.25">
      <c r="A90" s="485" t="s">
        <v>781</v>
      </c>
      <c r="B90" s="492" t="s">
        <v>1465</v>
      </c>
      <c r="C90" s="497">
        <f>'SGTO POAI -MARZO-2021'!BJ272</f>
        <v>100000000</v>
      </c>
      <c r="D90" s="497">
        <f>'SGTO POAI -MARZO-2021'!BK272</f>
        <v>0</v>
      </c>
      <c r="E90" s="681">
        <f t="shared" si="17"/>
        <v>0</v>
      </c>
      <c r="F90" s="497">
        <f>'SGTO POAI -MARZO-2021'!BL272</f>
        <v>0</v>
      </c>
      <c r="G90" s="681">
        <v>0</v>
      </c>
    </row>
    <row r="91" spans="1:7" ht="90" customHeight="1" thickBot="1" x14ac:dyDescent="0.25">
      <c r="A91" s="485" t="s">
        <v>789</v>
      </c>
      <c r="B91" s="492" t="s">
        <v>1466</v>
      </c>
      <c r="C91" s="497">
        <f>'SGTO POAI -MARZO-2021'!BJ276</f>
        <v>7500000</v>
      </c>
      <c r="D91" s="497">
        <f>'SGTO POAI -MARZO-2021'!BK276</f>
        <v>0</v>
      </c>
      <c r="E91" s="681">
        <f t="shared" si="17"/>
        <v>0</v>
      </c>
      <c r="F91" s="497">
        <f>'SGTO POAI -MARZO-2021'!BL276</f>
        <v>0</v>
      </c>
      <c r="G91" s="681">
        <v>0</v>
      </c>
    </row>
    <row r="92" spans="1:7" ht="20.100000000000001" customHeight="1" thickBot="1" x14ac:dyDescent="0.25">
      <c r="A92" s="968" t="s">
        <v>792</v>
      </c>
      <c r="B92" s="969"/>
      <c r="C92" s="496">
        <f>SUM(C93:C120)</f>
        <v>5182789574</v>
      </c>
      <c r="D92" s="496">
        <f t="shared" ref="D92:F92" si="20">SUM(D93:D120)</f>
        <v>509780000</v>
      </c>
      <c r="E92" s="685">
        <f t="shared" si="17"/>
        <v>9.8360157733851303E-2</v>
      </c>
      <c r="F92" s="496">
        <f t="shared" si="20"/>
        <v>49915000</v>
      </c>
      <c r="G92" s="680">
        <f>F92/D92</f>
        <v>9.7914786770763859E-2</v>
      </c>
    </row>
    <row r="93" spans="1:7" ht="90" customHeight="1" thickBot="1" x14ac:dyDescent="0.25">
      <c r="A93" s="484" t="s">
        <v>797</v>
      </c>
      <c r="B93" s="492" t="s">
        <v>1467</v>
      </c>
      <c r="C93" s="497">
        <f>'SGTO POAI -MARZO-2021'!BJ282+'SGTO POAI -MARZO-2021'!BJ283</f>
        <v>175000000</v>
      </c>
      <c r="D93" s="497">
        <f>'SGTO POAI -MARZO-2021'!BK282+'SGTO POAI -MARZO-2021'!BK283</f>
        <v>75070000</v>
      </c>
      <c r="E93" s="681">
        <f t="shared" si="17"/>
        <v>0.42897142857142856</v>
      </c>
      <c r="F93" s="497">
        <f>'SGTO POAI -MARZO-2021'!BL282+'SGTO POAI -MARZO-2021'!BL283</f>
        <v>6485000</v>
      </c>
      <c r="G93" s="681">
        <f t="shared" ref="G93:G120" si="21">F93/D93</f>
        <v>8.6386039696283473E-2</v>
      </c>
    </row>
    <row r="94" spans="1:7" ht="90" customHeight="1" thickBot="1" x14ac:dyDescent="0.25">
      <c r="A94" s="485" t="s">
        <v>808</v>
      </c>
      <c r="B94" s="491" t="s">
        <v>1468</v>
      </c>
      <c r="C94" s="497">
        <f>'SGTO POAI -MARZO-2021'!BJ286</f>
        <v>14250000</v>
      </c>
      <c r="D94" s="497">
        <f>'SGTO POAI -MARZO-2021'!BK286</f>
        <v>7420000</v>
      </c>
      <c r="E94" s="681">
        <f t="shared" si="17"/>
        <v>0.52070175438596489</v>
      </c>
      <c r="F94" s="497">
        <f>'SGTO POAI -MARZO-2021'!BL286</f>
        <v>0</v>
      </c>
      <c r="G94" s="681">
        <f t="shared" si="21"/>
        <v>0</v>
      </c>
    </row>
    <row r="95" spans="1:7" ht="90" customHeight="1" thickBot="1" x14ac:dyDescent="0.25">
      <c r="A95" s="485" t="s">
        <v>816</v>
      </c>
      <c r="B95" s="491" t="s">
        <v>1469</v>
      </c>
      <c r="C95" s="497">
        <f>'SGTO POAI -MARZO-2021'!BJ289+'SGTO POAI -MARZO-2021'!BJ290</f>
        <v>70000000</v>
      </c>
      <c r="D95" s="497">
        <f>'SGTO POAI -MARZO-2021'!BK289+'SGTO POAI -MARZO-2021'!BK290</f>
        <v>28850000</v>
      </c>
      <c r="E95" s="681">
        <f t="shared" si="17"/>
        <v>0.41214285714285714</v>
      </c>
      <c r="F95" s="497">
        <f>'SGTO POAI -MARZO-2021'!BL289+'SGTO POAI -MARZO-2021'!BL290</f>
        <v>2885000</v>
      </c>
      <c r="G95" s="681">
        <f t="shared" si="21"/>
        <v>0.1</v>
      </c>
    </row>
    <row r="96" spans="1:7" ht="90" customHeight="1" thickBot="1" x14ac:dyDescent="0.25">
      <c r="A96" s="485" t="s">
        <v>830</v>
      </c>
      <c r="B96" s="491" t="s">
        <v>1470</v>
      </c>
      <c r="C96" s="497">
        <f>'SGTO POAI -MARZO-2021'!BJ291</f>
        <v>135000000</v>
      </c>
      <c r="D96" s="497">
        <f>'SGTO POAI -MARZO-2021'!BK291</f>
        <v>27140000</v>
      </c>
      <c r="E96" s="681">
        <f t="shared" si="17"/>
        <v>0.20103703703703704</v>
      </c>
      <c r="F96" s="497">
        <f>'SGTO POAI -MARZO-2021'!BL291</f>
        <v>0</v>
      </c>
      <c r="G96" s="681">
        <f t="shared" si="21"/>
        <v>0</v>
      </c>
    </row>
    <row r="97" spans="1:7" ht="90" customHeight="1" thickBot="1" x14ac:dyDescent="0.25">
      <c r="A97" s="485" t="s">
        <v>839</v>
      </c>
      <c r="B97" s="491" t="s">
        <v>1471</v>
      </c>
      <c r="C97" s="497">
        <f>'SGTO POAI -MARZO-2021'!BJ292+'SGTO POAI -MARZO-2021'!BJ293</f>
        <v>240000000</v>
      </c>
      <c r="D97" s="497">
        <f>'SGTO POAI -MARZO-2021'!BK292+'SGTO POAI -MARZO-2021'!BK293</f>
        <v>47970000</v>
      </c>
      <c r="E97" s="681">
        <f t="shared" si="17"/>
        <v>0.199875</v>
      </c>
      <c r="F97" s="497">
        <f>'SGTO POAI -MARZO-2021'!BL292+'SGTO POAI -MARZO-2021'!BL293</f>
        <v>10880000</v>
      </c>
      <c r="G97" s="681">
        <f t="shared" si="21"/>
        <v>0.22680842193037315</v>
      </c>
    </row>
    <row r="98" spans="1:7" ht="90" customHeight="1" thickBot="1" x14ac:dyDescent="0.25">
      <c r="A98" s="485" t="s">
        <v>850</v>
      </c>
      <c r="B98" s="491" t="s">
        <v>1472</v>
      </c>
      <c r="C98" s="497">
        <f>'SGTO POAI -MARZO-2021'!BJ294</f>
        <v>210000000</v>
      </c>
      <c r="D98" s="497">
        <f>'SGTO POAI -MARZO-2021'!BK294</f>
        <v>50260000</v>
      </c>
      <c r="E98" s="681">
        <f t="shared" si="17"/>
        <v>0.23933333333333334</v>
      </c>
      <c r="F98" s="497">
        <f>'SGTO POAI -MARZO-2021'!BL294</f>
        <v>2885000</v>
      </c>
      <c r="G98" s="681">
        <f t="shared" si="21"/>
        <v>5.7401512136888183E-2</v>
      </c>
    </row>
    <row r="99" spans="1:7" ht="90" customHeight="1" thickBot="1" x14ac:dyDescent="0.25">
      <c r="A99" s="485" t="s">
        <v>858</v>
      </c>
      <c r="B99" s="491" t="s">
        <v>1473</v>
      </c>
      <c r="C99" s="497">
        <f>'SGTO POAI -MARZO-2021'!BJ295</f>
        <v>18000000</v>
      </c>
      <c r="D99" s="497">
        <f>'SGTO POAI -MARZO-2021'!BK295</f>
        <v>10000000</v>
      </c>
      <c r="E99" s="681">
        <f t="shared" si="17"/>
        <v>0.55555555555555558</v>
      </c>
      <c r="F99" s="497">
        <f>'SGTO POAI -MARZO-2021'!BL295</f>
        <v>0</v>
      </c>
      <c r="G99" s="681">
        <f t="shared" si="21"/>
        <v>0</v>
      </c>
    </row>
    <row r="100" spans="1:7" ht="90" customHeight="1" thickBot="1" x14ac:dyDescent="0.25">
      <c r="A100" s="485" t="s">
        <v>866</v>
      </c>
      <c r="B100" s="491" t="s">
        <v>867</v>
      </c>
      <c r="C100" s="497">
        <f>'SGTO POAI -MARZO-2021'!BJ296+'SGTO POAI -MARZO-2021'!BJ297</f>
        <v>38000000</v>
      </c>
      <c r="D100" s="497">
        <f>'SGTO POAI -MARZO-2021'!BK296+'SGTO POAI -MARZO-2021'!BK297</f>
        <v>11540000</v>
      </c>
      <c r="E100" s="681">
        <f t="shared" si="17"/>
        <v>0.30368421052631578</v>
      </c>
      <c r="F100" s="497">
        <f>'SGTO POAI -MARZO-2021'!BL296+'SGTO POAI -MARZO-2021'!BL297</f>
        <v>0</v>
      </c>
      <c r="G100" s="681">
        <f t="shared" si="21"/>
        <v>0</v>
      </c>
    </row>
    <row r="101" spans="1:7" ht="90" customHeight="1" thickBot="1" x14ac:dyDescent="0.25">
      <c r="A101" s="485" t="s">
        <v>878</v>
      </c>
      <c r="B101" s="491" t="s">
        <v>1474</v>
      </c>
      <c r="C101" s="497">
        <f>'SGTO POAI -MARZO-2021'!BJ298</f>
        <v>37000000</v>
      </c>
      <c r="D101" s="497">
        <f>'SGTO POAI -MARZO-2021'!BK298</f>
        <v>2500000</v>
      </c>
      <c r="E101" s="681">
        <f t="shared" si="17"/>
        <v>6.7567567567567571E-2</v>
      </c>
      <c r="F101" s="497">
        <f>'SGTO POAI -MARZO-2021'!BL298</f>
        <v>0</v>
      </c>
      <c r="G101" s="681">
        <f t="shared" si="21"/>
        <v>0</v>
      </c>
    </row>
    <row r="102" spans="1:7" ht="90" customHeight="1" thickBot="1" x14ac:dyDescent="0.25">
      <c r="A102" s="485" t="s">
        <v>884</v>
      </c>
      <c r="B102" s="490" t="s">
        <v>1475</v>
      </c>
      <c r="C102" s="497">
        <f>'SGTO POAI -MARZO-2021'!BJ300</f>
        <v>15000000</v>
      </c>
      <c r="D102" s="497">
        <f>'SGTO POAI -MARZO-2021'!BK300</f>
        <v>6600000</v>
      </c>
      <c r="E102" s="681">
        <f t="shared" si="17"/>
        <v>0.44</v>
      </c>
      <c r="F102" s="497">
        <f>'SGTO POAI -MARZO-2021'!BL300</f>
        <v>0</v>
      </c>
      <c r="G102" s="681">
        <f t="shared" si="21"/>
        <v>0</v>
      </c>
    </row>
    <row r="103" spans="1:7" ht="90" customHeight="1" thickBot="1" x14ac:dyDescent="0.25">
      <c r="A103" s="485" t="s">
        <v>889</v>
      </c>
      <c r="B103" s="490" t="s">
        <v>1476</v>
      </c>
      <c r="C103" s="497">
        <f>'SGTO POAI -MARZO-2021'!BJ301</f>
        <v>20000000</v>
      </c>
      <c r="D103" s="497">
        <f>'SGTO POAI -MARZO-2021'!BK301</f>
        <v>11540000</v>
      </c>
      <c r="E103" s="681">
        <f t="shared" si="17"/>
        <v>0.57699999999999996</v>
      </c>
      <c r="F103" s="497">
        <f>'SGTO POAI -MARZO-2021'!BL301</f>
        <v>0</v>
      </c>
      <c r="G103" s="681">
        <f t="shared" si="21"/>
        <v>0</v>
      </c>
    </row>
    <row r="104" spans="1:7" ht="90" customHeight="1" thickBot="1" x14ac:dyDescent="0.25">
      <c r="A104" s="485" t="s">
        <v>894</v>
      </c>
      <c r="B104" s="490" t="s">
        <v>1477</v>
      </c>
      <c r="C104" s="497">
        <f>'SGTO POAI -MARZO-2021'!BJ302</f>
        <v>25000000</v>
      </c>
      <c r="D104" s="497">
        <f>'SGTO POAI -MARZO-2021'!BK302</f>
        <v>11770000</v>
      </c>
      <c r="E104" s="681">
        <f t="shared" si="17"/>
        <v>0.4708</v>
      </c>
      <c r="F104" s="497">
        <f>'SGTO POAI -MARZO-2021'!BL302</f>
        <v>6485000</v>
      </c>
      <c r="G104" s="681">
        <f t="shared" si="21"/>
        <v>0.55097706032285476</v>
      </c>
    </row>
    <row r="105" spans="1:7" ht="90" customHeight="1" thickBot="1" x14ac:dyDescent="0.25">
      <c r="A105" s="485" t="s">
        <v>900</v>
      </c>
      <c r="B105" s="490" t="s">
        <v>1478</v>
      </c>
      <c r="C105" s="497">
        <f>'SGTO POAI -MARZO-2021'!BJ303</f>
        <v>28000000</v>
      </c>
      <c r="D105" s="497">
        <f>'SGTO POAI -MARZO-2021'!BK303</f>
        <v>6600000</v>
      </c>
      <c r="E105" s="681">
        <f t="shared" si="17"/>
        <v>0.23571428571428571</v>
      </c>
      <c r="F105" s="497">
        <f>'SGTO POAI -MARZO-2021'!BL303</f>
        <v>1650000</v>
      </c>
      <c r="G105" s="681">
        <f t="shared" si="21"/>
        <v>0.25</v>
      </c>
    </row>
    <row r="106" spans="1:7" ht="90" customHeight="1" thickBot="1" x14ac:dyDescent="0.25">
      <c r="A106" s="485" t="s">
        <v>908</v>
      </c>
      <c r="B106" s="490" t="s">
        <v>1479</v>
      </c>
      <c r="C106" s="497">
        <f>'SGTO POAI -MARZO-2021'!BJ304+'SGTO POAI -MARZO-2021'!BJ305</f>
        <v>47000000</v>
      </c>
      <c r="D106" s="497">
        <f>'SGTO POAI -MARZO-2021'!BK304+'SGTO POAI -MARZO-2021'!BK305</f>
        <v>0</v>
      </c>
      <c r="E106" s="681">
        <f t="shared" si="17"/>
        <v>0</v>
      </c>
      <c r="F106" s="497">
        <f>'SGTO POAI -MARZO-2021'!BL304+'SGTO POAI -MARZO-2021'!BL305</f>
        <v>0</v>
      </c>
      <c r="G106" s="681">
        <v>0</v>
      </c>
    </row>
    <row r="107" spans="1:7" ht="90" customHeight="1" thickBot="1" x14ac:dyDescent="0.25">
      <c r="A107" s="485" t="s">
        <v>917</v>
      </c>
      <c r="B107" s="490" t="s">
        <v>918</v>
      </c>
      <c r="C107" s="497">
        <f>'SGTO POAI -MARZO-2021'!BJ306</f>
        <v>40000000</v>
      </c>
      <c r="D107" s="497">
        <f>'SGTO POAI -MARZO-2021'!BK306</f>
        <v>0</v>
      </c>
      <c r="E107" s="681">
        <f t="shared" si="17"/>
        <v>0</v>
      </c>
      <c r="F107" s="497">
        <f>'SGTO POAI -MARZO-2021'!BL306</f>
        <v>0</v>
      </c>
      <c r="G107" s="681">
        <v>0</v>
      </c>
    </row>
    <row r="108" spans="1:7" ht="90" customHeight="1" thickBot="1" x14ac:dyDescent="0.25">
      <c r="A108" s="485" t="s">
        <v>926</v>
      </c>
      <c r="B108" s="491" t="s">
        <v>927</v>
      </c>
      <c r="C108" s="497">
        <f>'SGTO POAI -MARZO-2021'!BJ308+'SGTO POAI -MARZO-2021'!BJ309</f>
        <v>98000000</v>
      </c>
      <c r="D108" s="497">
        <f>'SGTO POAI -MARZO-2021'!BK308+'SGTO POAI -MARZO-2021'!BK309</f>
        <v>11540000</v>
      </c>
      <c r="E108" s="681">
        <f t="shared" si="17"/>
        <v>0.11775510204081632</v>
      </c>
      <c r="F108" s="497">
        <f>'SGTO POAI -MARZO-2021'!BL308+'SGTO POAI -MARZO-2021'!BL309</f>
        <v>2885000</v>
      </c>
      <c r="G108" s="681">
        <f t="shared" si="21"/>
        <v>0.25</v>
      </c>
    </row>
    <row r="109" spans="1:7" ht="90" customHeight="1" thickBot="1" x14ac:dyDescent="0.25">
      <c r="A109" s="484" t="s">
        <v>936</v>
      </c>
      <c r="B109" s="490" t="s">
        <v>1480</v>
      </c>
      <c r="C109" s="497">
        <f>'SGTO POAI -MARZO-2021'!BJ310</f>
        <v>35000000</v>
      </c>
      <c r="D109" s="497">
        <f>'SGTO POAI -MARZO-2021'!BK310</f>
        <v>11540000</v>
      </c>
      <c r="E109" s="681">
        <f t="shared" si="17"/>
        <v>0.32971428571428574</v>
      </c>
      <c r="F109" s="497">
        <f>'SGTO POAI -MARZO-2021'!BL310</f>
        <v>0</v>
      </c>
      <c r="G109" s="681">
        <f t="shared" si="21"/>
        <v>0</v>
      </c>
    </row>
    <row r="110" spans="1:7" ht="90" customHeight="1" thickBot="1" x14ac:dyDescent="0.25">
      <c r="A110" s="485" t="s">
        <v>983</v>
      </c>
      <c r="B110" s="490" t="s">
        <v>1481</v>
      </c>
      <c r="C110" s="497">
        <f>'SGTO POAI -MARZO-2021'!BJ325</f>
        <v>90000000</v>
      </c>
      <c r="D110" s="497">
        <f>'SGTO POAI -MARZO-2021'!BK325</f>
        <v>51500000</v>
      </c>
      <c r="E110" s="681">
        <f t="shared" si="17"/>
        <v>0.57222222222222219</v>
      </c>
      <c r="F110" s="497">
        <f>'SGTO POAI -MARZO-2021'!BL325</f>
        <v>0</v>
      </c>
      <c r="G110" s="681">
        <f t="shared" si="21"/>
        <v>0</v>
      </c>
    </row>
    <row r="111" spans="1:7" ht="90" customHeight="1" thickBot="1" x14ac:dyDescent="0.25">
      <c r="A111" s="485" t="s">
        <v>977</v>
      </c>
      <c r="B111" s="490" t="s">
        <v>978</v>
      </c>
      <c r="C111" s="497">
        <f>'SGTO POAI -MARZO-2021'!BJ324</f>
        <v>77000000</v>
      </c>
      <c r="D111" s="497">
        <f>'SGTO POAI -MARZO-2021'!BK324</f>
        <v>42650000</v>
      </c>
      <c r="E111" s="681">
        <f t="shared" si="17"/>
        <v>0.55389610389610389</v>
      </c>
      <c r="F111" s="497">
        <f>'SGTO POAI -MARZO-2021'!BL324</f>
        <v>5250000</v>
      </c>
      <c r="G111" s="681">
        <f t="shared" si="21"/>
        <v>0.123094958968347</v>
      </c>
    </row>
    <row r="112" spans="1:7" ht="90" customHeight="1" thickBot="1" x14ac:dyDescent="0.25">
      <c r="A112" s="485" t="s">
        <v>944</v>
      </c>
      <c r="B112" s="491" t="s">
        <v>1482</v>
      </c>
      <c r="C112" s="497">
        <f>'SGTO POAI -MARZO-2021'!BJ311+'SGTO POAI -MARZO-2021'!BJ312</f>
        <v>3546539574</v>
      </c>
      <c r="D112" s="497">
        <f>'SGTO POAI -MARZO-2021'!BK311+'SGTO POAI -MARZO-2021'!BK312</f>
        <v>13190000</v>
      </c>
      <c r="E112" s="681">
        <f t="shared" si="17"/>
        <v>3.7191182347708946E-3</v>
      </c>
      <c r="F112" s="497">
        <f>'SGTO POAI -MARZO-2021'!BL311+'SGTO POAI -MARZO-2021'!BL312</f>
        <v>4740000</v>
      </c>
      <c r="G112" s="681">
        <f t="shared" si="21"/>
        <v>0.3593631539044731</v>
      </c>
    </row>
    <row r="113" spans="1:7" ht="90" customHeight="1" thickBot="1" x14ac:dyDescent="0.25">
      <c r="A113" s="485" t="s">
        <v>1010</v>
      </c>
      <c r="B113" s="490" t="s">
        <v>1483</v>
      </c>
      <c r="C113" s="497">
        <f>'SGTO POAI -MARZO-2021'!BJ331</f>
        <v>36000000</v>
      </c>
      <c r="D113" s="497">
        <f>'SGTO POAI -MARZO-2021'!BK331</f>
        <v>18140000</v>
      </c>
      <c r="E113" s="681">
        <f t="shared" si="17"/>
        <v>0.50388888888888894</v>
      </c>
      <c r="F113" s="497">
        <f>'SGTO POAI -MARZO-2021'!BL331</f>
        <v>2885000</v>
      </c>
      <c r="G113" s="681">
        <f t="shared" si="21"/>
        <v>0.15904079382579933</v>
      </c>
    </row>
    <row r="114" spans="1:7" ht="90" customHeight="1" thickBot="1" x14ac:dyDescent="0.25">
      <c r="A114" s="485" t="s">
        <v>989</v>
      </c>
      <c r="B114" s="490" t="s">
        <v>1484</v>
      </c>
      <c r="C114" s="497">
        <f>'SGTO POAI -MARZO-2021'!BJ326</f>
        <v>33000000</v>
      </c>
      <c r="D114" s="497">
        <f>'SGTO POAI -MARZO-2021'!BK326</f>
        <v>11540000</v>
      </c>
      <c r="E114" s="681">
        <f t="shared" si="17"/>
        <v>0.34969696969696967</v>
      </c>
      <c r="F114" s="497">
        <f>'SGTO POAI -MARZO-2021'!BL326</f>
        <v>2885000</v>
      </c>
      <c r="G114" s="681">
        <f t="shared" si="21"/>
        <v>0.25</v>
      </c>
    </row>
    <row r="115" spans="1:7" ht="90" customHeight="1" thickBot="1" x14ac:dyDescent="0.25">
      <c r="A115" s="485" t="s">
        <v>993</v>
      </c>
      <c r="B115" s="491" t="s">
        <v>994</v>
      </c>
      <c r="C115" s="497">
        <f>'SGTO POAI -MARZO-2021'!BJ327</f>
        <v>33000000</v>
      </c>
      <c r="D115" s="497">
        <f>'SGTO POAI -MARZO-2021'!BK327</f>
        <v>20440000</v>
      </c>
      <c r="E115" s="681">
        <f t="shared" si="17"/>
        <v>0.61939393939393939</v>
      </c>
      <c r="F115" s="497">
        <f>'SGTO POAI -MARZO-2021'!BL327</f>
        <v>0</v>
      </c>
      <c r="G115" s="681">
        <f t="shared" si="21"/>
        <v>0</v>
      </c>
    </row>
    <row r="116" spans="1:7" ht="90" customHeight="1" thickBot="1" x14ac:dyDescent="0.25">
      <c r="A116" s="485" t="s">
        <v>956</v>
      </c>
      <c r="B116" s="491" t="s">
        <v>1485</v>
      </c>
      <c r="C116" s="497">
        <f>'SGTO POAI -MARZO-2021'!BJ316</f>
        <v>18000000</v>
      </c>
      <c r="D116" s="497">
        <f>'SGTO POAI -MARZO-2021'!BK316</f>
        <v>11540000</v>
      </c>
      <c r="E116" s="681">
        <f t="shared" si="17"/>
        <v>0.64111111111111108</v>
      </c>
      <c r="F116" s="497">
        <f>'SGTO POAI -MARZO-2021'!BL316</f>
        <v>0</v>
      </c>
      <c r="G116" s="681">
        <f t="shared" si="21"/>
        <v>0</v>
      </c>
    </row>
    <row r="117" spans="1:7" ht="90" customHeight="1" thickBot="1" x14ac:dyDescent="0.25">
      <c r="A117" s="485" t="s">
        <v>962</v>
      </c>
      <c r="B117" s="491" t="s">
        <v>1486</v>
      </c>
      <c r="C117" s="497">
        <f>'SGTO POAI -MARZO-2021'!BJ319</f>
        <v>18000000</v>
      </c>
      <c r="D117" s="497">
        <f>'SGTO POAI -MARZO-2021'!BK319</f>
        <v>8900000</v>
      </c>
      <c r="E117" s="681">
        <f t="shared" si="17"/>
        <v>0.49444444444444446</v>
      </c>
      <c r="F117" s="497">
        <f>'SGTO POAI -MARZO-2021'!BL319</f>
        <v>0</v>
      </c>
      <c r="G117" s="681">
        <f t="shared" si="21"/>
        <v>0</v>
      </c>
    </row>
    <row r="118" spans="1:7" ht="90" customHeight="1" thickBot="1" x14ac:dyDescent="0.25">
      <c r="A118" s="485" t="s">
        <v>969</v>
      </c>
      <c r="B118" s="491" t="s">
        <v>1487</v>
      </c>
      <c r="C118" s="497">
        <f>'SGTO POAI -MARZO-2021'!BJ323</f>
        <v>18000000</v>
      </c>
      <c r="D118" s="497">
        <f>'SGTO POAI -MARZO-2021'!BK323</f>
        <v>0</v>
      </c>
      <c r="E118" s="681">
        <f t="shared" si="17"/>
        <v>0</v>
      </c>
      <c r="F118" s="497">
        <f>'SGTO POAI -MARZO-2021'!BL323</f>
        <v>0</v>
      </c>
      <c r="G118" s="681">
        <v>0</v>
      </c>
    </row>
    <row r="119" spans="1:7" ht="90" customHeight="1" thickBot="1" x14ac:dyDescent="0.25">
      <c r="A119" s="677" t="str">
        <f>'SGTO POAI -MARZO-2021'!T329</f>
        <v>202000363-0150</v>
      </c>
      <c r="B119" s="492" t="s">
        <v>1488</v>
      </c>
      <c r="C119" s="497">
        <f>'SGTO POAI -MARZO-2021'!BJ329</f>
        <v>50000000</v>
      </c>
      <c r="D119" s="497">
        <f>'SGTO POAI -MARZO-2021'!BK329</f>
        <v>0</v>
      </c>
      <c r="E119" s="681">
        <f t="shared" si="17"/>
        <v>0</v>
      </c>
      <c r="F119" s="497">
        <f>'SGTO POAI -MARZO-2021'!BL329</f>
        <v>0</v>
      </c>
      <c r="G119" s="681">
        <v>0</v>
      </c>
    </row>
    <row r="120" spans="1:7" ht="90" customHeight="1" thickBot="1" x14ac:dyDescent="0.25">
      <c r="A120" s="678" t="str">
        <f>'SGTO POAI -MARZO-2021'!T330</f>
        <v>202000363-0151</v>
      </c>
      <c r="B120" s="490" t="s">
        <v>1006</v>
      </c>
      <c r="C120" s="497">
        <f>'SGTO POAI -MARZO-2021'!BJ330</f>
        <v>18000000</v>
      </c>
      <c r="D120" s="497">
        <f>'SGTO POAI -MARZO-2021'!BK330</f>
        <v>11540000</v>
      </c>
      <c r="E120" s="681">
        <f t="shared" si="17"/>
        <v>0.64111111111111108</v>
      </c>
      <c r="F120" s="497">
        <f>'SGTO POAI -MARZO-2021'!BL330</f>
        <v>0</v>
      </c>
      <c r="G120" s="681">
        <f t="shared" si="21"/>
        <v>0</v>
      </c>
    </row>
    <row r="121" spans="1:7" ht="20.100000000000001" customHeight="1" thickBot="1" x14ac:dyDescent="0.25">
      <c r="A121" s="968" t="s">
        <v>1013</v>
      </c>
      <c r="B121" s="969"/>
      <c r="C121" s="496">
        <f>SUM(C122:C144)</f>
        <v>47203229647.489998</v>
      </c>
      <c r="D121" s="496">
        <f t="shared" ref="D121:F121" si="22">SUM(D122:D144)</f>
        <v>34008852892.330002</v>
      </c>
      <c r="E121" s="685">
        <f t="shared" si="17"/>
        <v>0.72047724586443418</v>
      </c>
      <c r="F121" s="496">
        <f t="shared" si="22"/>
        <v>9439273208.6499996</v>
      </c>
      <c r="G121" s="680">
        <f>F121/D121</f>
        <v>0.27755341347543167</v>
      </c>
    </row>
    <row r="122" spans="1:7" ht="90" customHeight="1" thickBot="1" x14ac:dyDescent="0.25">
      <c r="A122" s="485" t="s">
        <v>1019</v>
      </c>
      <c r="B122" s="492" t="s">
        <v>1020</v>
      </c>
      <c r="C122" s="497">
        <f>'SGTO POAI -MARZO-2021'!BJ337+'SGTO POAI -MARZO-2021'!BJ338+'SGTO POAI -MARZO-2021'!BJ339+'SGTO POAI -MARZO-2021'!BJ340+'SGTO POAI -MARZO-2021'!BJ341+'SGTO POAI -MARZO-2021'!BJ342+'SGTO POAI -MARZO-2021'!BJ343+'SGTO POAI -MARZO-2021'!BJ344</f>
        <v>1117700000</v>
      </c>
      <c r="D122" s="497">
        <f>'SGTO POAI -MARZO-2021'!BK337+'SGTO POAI -MARZO-2021'!BK338+'SGTO POAI -MARZO-2021'!BK339+'SGTO POAI -MARZO-2021'!BK340+'SGTO POAI -MARZO-2021'!BK341+'SGTO POAI -MARZO-2021'!BK342+'SGTO POAI -MARZO-2021'!BK343+'SGTO POAI -MARZO-2021'!BK344</f>
        <v>161209688.32999998</v>
      </c>
      <c r="E122" s="681">
        <f t="shared" si="17"/>
        <v>0.14423341534401002</v>
      </c>
      <c r="F122" s="497">
        <f>'SGTO POAI -MARZO-2021'!BL337+'SGTO POAI -MARZO-2021'!BL338+'SGTO POAI -MARZO-2021'!BL339+'SGTO POAI -MARZO-2021'!BL340+'SGTO POAI -MARZO-2021'!BL341+'SGTO POAI -MARZO-2021'!BL342+'SGTO POAI -MARZO-2021'!BL343+'SGTO POAI -MARZO-2021'!BL344</f>
        <v>55224688.329999998</v>
      </c>
      <c r="G122" s="681">
        <f t="shared" ref="G122:G144" si="23">F122/D122</f>
        <v>0.34256432663621167</v>
      </c>
    </row>
    <row r="123" spans="1:7" ht="90" customHeight="1" thickBot="1" x14ac:dyDescent="0.25">
      <c r="A123" s="485" t="s">
        <v>1048</v>
      </c>
      <c r="B123" s="491" t="s">
        <v>1489</v>
      </c>
      <c r="C123" s="497">
        <f>'SGTO POAI -MARZO-2021'!BJ345+'SGTO POAI -MARZO-2021'!BJ346</f>
        <v>293000000</v>
      </c>
      <c r="D123" s="497">
        <f>'SGTO POAI -MARZO-2021'!BK345+'SGTO POAI -MARZO-2021'!BK346</f>
        <v>166520000</v>
      </c>
      <c r="E123" s="681">
        <f t="shared" si="17"/>
        <v>0.56832764505119449</v>
      </c>
      <c r="F123" s="497">
        <f>'SGTO POAI -MARZO-2021'!BL345+'SGTO POAI -MARZO-2021'!BL346</f>
        <v>16280000</v>
      </c>
      <c r="G123" s="681">
        <f t="shared" si="23"/>
        <v>9.7766034110016817E-2</v>
      </c>
    </row>
    <row r="124" spans="1:7" ht="90" customHeight="1" thickBot="1" x14ac:dyDescent="0.25">
      <c r="A124" s="485" t="s">
        <v>1057</v>
      </c>
      <c r="B124" s="491" t="s">
        <v>1490</v>
      </c>
      <c r="C124" s="497">
        <f>'SGTO POAI -MARZO-2021'!BJ347+'SGTO POAI -MARZO-2021'!BJ348+'SGTO POAI -MARZO-2021'!BJ349</f>
        <v>947714309</v>
      </c>
      <c r="D124" s="497">
        <f>'SGTO POAI -MARZO-2021'!BK347+'SGTO POAI -MARZO-2021'!BK348+'SGTO POAI -MARZO-2021'!BK349</f>
        <v>336048861</v>
      </c>
      <c r="E124" s="681">
        <f t="shared" si="17"/>
        <v>0.35458878040428532</v>
      </c>
      <c r="F124" s="497">
        <f>'SGTO POAI -MARZO-2021'!BL347+'SGTO POAI -MARZO-2021'!BL348+'SGTO POAI -MARZO-2021'!BL349</f>
        <v>44812000</v>
      </c>
      <c r="G124" s="681">
        <f t="shared" si="23"/>
        <v>0.13334965595970283</v>
      </c>
    </row>
    <row r="125" spans="1:7" ht="90" customHeight="1" thickBot="1" x14ac:dyDescent="0.25">
      <c r="A125" s="485" t="s">
        <v>1065</v>
      </c>
      <c r="B125" s="491" t="s">
        <v>1066</v>
      </c>
      <c r="C125" s="497">
        <f>'SGTO POAI -MARZO-2021'!BJ350</f>
        <v>96954000</v>
      </c>
      <c r="D125" s="497">
        <f>'SGTO POAI -MARZO-2021'!BK350</f>
        <v>29620000</v>
      </c>
      <c r="E125" s="681">
        <f t="shared" si="17"/>
        <v>0.30550570373579222</v>
      </c>
      <c r="F125" s="497">
        <f>'SGTO POAI -MARZO-2021'!BL350</f>
        <v>2885000</v>
      </c>
      <c r="G125" s="681">
        <f t="shared" si="23"/>
        <v>9.7400405131667797E-2</v>
      </c>
    </row>
    <row r="126" spans="1:7" ht="90" customHeight="1" thickBot="1" x14ac:dyDescent="0.25">
      <c r="A126" s="485" t="s">
        <v>1071</v>
      </c>
      <c r="B126" s="491" t="s">
        <v>1072</v>
      </c>
      <c r="C126" s="497">
        <f>'SGTO POAI -MARZO-2021'!BJ351+'SGTO POAI -MARZO-2021'!BJ352+'SGTO POAI -MARZO-2021'!BJ353+'SGTO POAI -MARZO-2021'!BJ354</f>
        <v>64636000</v>
      </c>
      <c r="D126" s="497">
        <f>'SGTO POAI -MARZO-2021'!BK351+'SGTO POAI -MARZO-2021'!BK352+'SGTO POAI -MARZO-2021'!BK353+'SGTO POAI -MARZO-2021'!BK354</f>
        <v>37480000</v>
      </c>
      <c r="E126" s="681">
        <f t="shared" si="17"/>
        <v>0.57986261526084537</v>
      </c>
      <c r="F126" s="497">
        <f>'SGTO POAI -MARZO-2021'!BL351+'SGTO POAI -MARZO-2021'!BL352+'SGTO POAI -MARZO-2021'!BL353+'SGTO POAI -MARZO-2021'!BL354</f>
        <v>2885000</v>
      </c>
      <c r="G126" s="681">
        <f t="shared" si="23"/>
        <v>7.6974386339381001E-2</v>
      </c>
    </row>
    <row r="127" spans="1:7" ht="90" customHeight="1" thickBot="1" x14ac:dyDescent="0.25">
      <c r="A127" s="485" t="s">
        <v>1081</v>
      </c>
      <c r="B127" s="491" t="s">
        <v>1082</v>
      </c>
      <c r="C127" s="497">
        <f>'SGTO POAI -MARZO-2021'!BJ355+'SGTO POAI -MARZO-2021'!BJ356+'SGTO POAI -MARZO-2021'!BJ357+'SGTO POAI -MARZO-2021'!BJ358</f>
        <v>91081005</v>
      </c>
      <c r="D127" s="497">
        <f>'SGTO POAI -MARZO-2021'!BK355+'SGTO POAI -MARZO-2021'!BK356+'SGTO POAI -MARZO-2021'!BK357+'SGTO POAI -MARZO-2021'!BK358</f>
        <v>29680000</v>
      </c>
      <c r="E127" s="681">
        <f t="shared" si="17"/>
        <v>0.3258637736814608</v>
      </c>
      <c r="F127" s="497">
        <f>'SGTO POAI -MARZO-2021'!BL355+'SGTO POAI -MARZO-2021'!BL356+'SGTO POAI -MARZO-2021'!BL357+'SGTO POAI -MARZO-2021'!BL358</f>
        <v>5770000</v>
      </c>
      <c r="G127" s="681">
        <f t="shared" si="23"/>
        <v>0.19440700808625336</v>
      </c>
    </row>
    <row r="128" spans="1:7" ht="90" customHeight="1" thickBot="1" x14ac:dyDescent="0.25">
      <c r="A128" s="485" t="s">
        <v>1094</v>
      </c>
      <c r="B128" s="491" t="s">
        <v>1491</v>
      </c>
      <c r="C128" s="497">
        <f>'SGTO POAI -MARZO-2021'!BJ360+'SGTO POAI -MARZO-2021'!BJ361</f>
        <v>76000000</v>
      </c>
      <c r="D128" s="497">
        <f>'SGTO POAI -MARZO-2021'!BK360+'SGTO POAI -MARZO-2021'!BK361</f>
        <v>30620000</v>
      </c>
      <c r="E128" s="681">
        <f t="shared" si="17"/>
        <v>0.40289473684210525</v>
      </c>
      <c r="F128" s="497">
        <f>'SGTO POAI -MARZO-2021'!BL360+'SGTO POAI -MARZO-2021'!BL361</f>
        <v>1885000</v>
      </c>
      <c r="G128" s="681">
        <f t="shared" si="23"/>
        <v>6.156107119529719E-2</v>
      </c>
    </row>
    <row r="129" spans="1:7" ht="90" customHeight="1" thickBot="1" x14ac:dyDescent="0.25">
      <c r="A129" s="485" t="s">
        <v>1101</v>
      </c>
      <c r="B129" s="491" t="s">
        <v>1492</v>
      </c>
      <c r="C129" s="497">
        <f>'SGTO POAI -MARZO-2021'!BJ362+'SGTO POAI -MARZO-2021'!BJ363+'SGTO POAI -MARZO-2021'!BJ364+'SGTO POAI -MARZO-2021'!BJ365+'SGTO POAI -MARZO-2021'!BJ366+'SGTO POAI -MARZO-2021'!BJ367+'SGTO POAI -MARZO-2021'!BJ368</f>
        <v>200000000</v>
      </c>
      <c r="D129" s="497">
        <f>'SGTO POAI -MARZO-2021'!BK362+'SGTO POAI -MARZO-2021'!BK363+'SGTO POAI -MARZO-2021'!BK364+'SGTO POAI -MARZO-2021'!BK365+'SGTO POAI -MARZO-2021'!BK366+'SGTO POAI -MARZO-2021'!BK367+'SGTO POAI -MARZO-2021'!BK368</f>
        <v>112940000</v>
      </c>
      <c r="E129" s="681">
        <f t="shared" si="17"/>
        <v>0.56469999999999998</v>
      </c>
      <c r="F129" s="497">
        <f>'SGTO POAI -MARZO-2021'!BL362+'SGTO POAI -MARZO-2021'!BL363+'SGTO POAI -MARZO-2021'!BL364+'SGTO POAI -MARZO-2021'!BL365+'SGTO POAI -MARZO-2021'!BL366+'SGTO POAI -MARZO-2021'!BL367+'SGTO POAI -MARZO-2021'!BL368</f>
        <v>13395000</v>
      </c>
      <c r="G129" s="681">
        <f t="shared" si="23"/>
        <v>0.11860279794581194</v>
      </c>
    </row>
    <row r="130" spans="1:7" ht="90" customHeight="1" thickBot="1" x14ac:dyDescent="0.25">
      <c r="A130" s="485" t="s">
        <v>1125</v>
      </c>
      <c r="B130" s="491" t="s">
        <v>1126</v>
      </c>
      <c r="C130" s="497">
        <f>'SGTO POAI -MARZO-2021'!BJ369+'SGTO POAI -MARZO-2021'!BJ370</f>
        <v>161000000</v>
      </c>
      <c r="D130" s="497">
        <f>'SGTO POAI -MARZO-2021'!BK369+'SGTO POAI -MARZO-2021'!BK370</f>
        <v>47580000</v>
      </c>
      <c r="E130" s="681">
        <f t="shared" si="17"/>
        <v>0.29552795031055901</v>
      </c>
      <c r="F130" s="497">
        <f>'SGTO POAI -MARZO-2021'!BL369+'SGTO POAI -MARZO-2021'!BL370</f>
        <v>2885000</v>
      </c>
      <c r="G130" s="681">
        <f t="shared" si="23"/>
        <v>6.0634720470786045E-2</v>
      </c>
    </row>
    <row r="131" spans="1:7" ht="90" customHeight="1" thickBot="1" x14ac:dyDescent="0.25">
      <c r="A131" s="484" t="s">
        <v>1133</v>
      </c>
      <c r="B131" s="490" t="s">
        <v>1134</v>
      </c>
      <c r="C131" s="497">
        <f>'SGTO POAI -MARZO-2021'!BJ371+'SGTO POAI -MARZO-2021'!BJ372+'SGTO POAI -MARZO-2021'!BJ373</f>
        <v>153000000</v>
      </c>
      <c r="D131" s="497">
        <f>'SGTO POAI -MARZO-2021'!BK371+'SGTO POAI -MARZO-2021'!BK372+'SGTO POAI -MARZO-2021'!BK373</f>
        <v>62220000</v>
      </c>
      <c r="E131" s="681">
        <f t="shared" si="17"/>
        <v>0.40666666666666668</v>
      </c>
      <c r="F131" s="497">
        <f>'SGTO POAI -MARZO-2021'!BL371+'SGTO POAI -MARZO-2021'!BL372+'SGTO POAI -MARZO-2021'!BL373</f>
        <v>6185000</v>
      </c>
      <c r="G131" s="681">
        <f t="shared" si="23"/>
        <v>9.9405335904853745E-2</v>
      </c>
    </row>
    <row r="132" spans="1:7" ht="90" customHeight="1" thickBot="1" x14ac:dyDescent="0.25">
      <c r="A132" s="484" t="s">
        <v>1143</v>
      </c>
      <c r="B132" s="490" t="s">
        <v>1144</v>
      </c>
      <c r="C132" s="497">
        <f>'SGTO POAI -MARZO-2021'!BJ374+'SGTO POAI -MARZO-2021'!BJ375</f>
        <v>181000000</v>
      </c>
      <c r="D132" s="497">
        <f>'SGTO POAI -MARZO-2021'!BK374+'SGTO POAI -MARZO-2021'!BK375</f>
        <v>91240000</v>
      </c>
      <c r="E132" s="681">
        <f t="shared" si="17"/>
        <v>0.50408839779005521</v>
      </c>
      <c r="F132" s="497">
        <f>'SGTO POAI -MARZO-2021'!BL374+'SGTO POAI -MARZO-2021'!BL375</f>
        <v>5085000</v>
      </c>
      <c r="G132" s="681">
        <f t="shared" si="23"/>
        <v>5.5732135028496277E-2</v>
      </c>
    </row>
    <row r="133" spans="1:7" ht="90" customHeight="1" thickBot="1" x14ac:dyDescent="0.25">
      <c r="A133" s="484" t="s">
        <v>1148</v>
      </c>
      <c r="B133" s="490" t="s">
        <v>1149</v>
      </c>
      <c r="C133" s="497">
        <f>'SGTO POAI -MARZO-2021'!BJ376+'SGTO POAI -MARZO-2021'!BJ377+'SGTO POAI -MARZO-2021'!BJ378</f>
        <v>153000000</v>
      </c>
      <c r="D133" s="497">
        <f>'SGTO POAI -MARZO-2021'!BK376+'SGTO POAI -MARZO-2021'!BK377+'SGTO POAI -MARZO-2021'!BK378</f>
        <v>89040000</v>
      </c>
      <c r="E133" s="681">
        <f t="shared" si="17"/>
        <v>0.58196078431372544</v>
      </c>
      <c r="F133" s="497">
        <f>'SGTO POAI -MARZO-2021'!BL376+'SGTO POAI -MARZO-2021'!BL377+'SGTO POAI -MARZO-2021'!BL378</f>
        <v>1855000</v>
      </c>
      <c r="G133" s="681">
        <f t="shared" si="23"/>
        <v>2.0833333333333332E-2</v>
      </c>
    </row>
    <row r="134" spans="1:7" ht="90" customHeight="1" thickBot="1" x14ac:dyDescent="0.25">
      <c r="A134" s="485" t="s">
        <v>1159</v>
      </c>
      <c r="B134" s="490" t="s">
        <v>1160</v>
      </c>
      <c r="C134" s="497">
        <f>'SGTO POAI -MARZO-2021'!BJ379+'SGTO POAI -MARZO-2021'!BJ380</f>
        <v>531707393</v>
      </c>
      <c r="D134" s="497">
        <f>'SGTO POAI -MARZO-2021'!BK379+'SGTO POAI -MARZO-2021'!BK380</f>
        <v>157121809</v>
      </c>
      <c r="E134" s="681">
        <f t="shared" ref="E134:E165" si="24">D134/C134</f>
        <v>0.29550427748143049</v>
      </c>
      <c r="F134" s="497">
        <f>'SGTO POAI -MARZO-2021'!BL379+'SGTO POAI -MARZO-2021'!BL380</f>
        <v>89936809</v>
      </c>
      <c r="G134" s="681">
        <f t="shared" si="23"/>
        <v>0.57240181724231554</v>
      </c>
    </row>
    <row r="135" spans="1:7" ht="90" customHeight="1" thickBot="1" x14ac:dyDescent="0.25">
      <c r="A135" s="484" t="s">
        <v>1162</v>
      </c>
      <c r="B135" s="490" t="s">
        <v>1163</v>
      </c>
      <c r="C135" s="497">
        <f>'SGTO POAI -MARZO-2021'!BJ381+'SGTO POAI -MARZO-2021'!BJ382</f>
        <v>225146964</v>
      </c>
      <c r="D135" s="497">
        <f>'SGTO POAI -MARZO-2021'!BK381+'SGTO POAI -MARZO-2021'!BK382</f>
        <v>42988636</v>
      </c>
      <c r="E135" s="681">
        <f t="shared" si="24"/>
        <v>0.19093589021258134</v>
      </c>
      <c r="F135" s="497">
        <f>'SGTO POAI -MARZO-2021'!BL381+'SGTO POAI -MARZO-2021'!BL382</f>
        <v>13395000</v>
      </c>
      <c r="G135" s="681">
        <f t="shared" si="23"/>
        <v>0.31159397567301272</v>
      </c>
    </row>
    <row r="136" spans="1:7" ht="90" customHeight="1" thickBot="1" x14ac:dyDescent="0.25">
      <c r="A136" s="485" t="s">
        <v>1166</v>
      </c>
      <c r="B136" s="490" t="s">
        <v>1167</v>
      </c>
      <c r="C136" s="497">
        <f>'SGTO POAI -MARZO-2021'!BJ383</f>
        <v>1100000000</v>
      </c>
      <c r="D136" s="497">
        <f>'SGTO POAI -MARZO-2021'!BK383</f>
        <v>140385000</v>
      </c>
      <c r="E136" s="681">
        <f t="shared" si="24"/>
        <v>0.12762272727272728</v>
      </c>
      <c r="F136" s="497">
        <f>'SGTO POAI -MARZO-2021'!BL383</f>
        <v>3300000</v>
      </c>
      <c r="G136" s="681">
        <f t="shared" si="23"/>
        <v>2.3506784912918046E-2</v>
      </c>
    </row>
    <row r="137" spans="1:7" ht="90" customHeight="1" thickBot="1" x14ac:dyDescent="0.25">
      <c r="A137" s="485" t="s">
        <v>1172</v>
      </c>
      <c r="B137" s="490" t="s">
        <v>1173</v>
      </c>
      <c r="C137" s="497">
        <f>'SGTO POAI -MARZO-2021'!BJ384</f>
        <v>20000000</v>
      </c>
      <c r="D137" s="497">
        <f>'SGTO POAI -MARZO-2021'!BK384</f>
        <v>19906500</v>
      </c>
      <c r="E137" s="681">
        <f t="shared" si="24"/>
        <v>0.99532500000000002</v>
      </c>
      <c r="F137" s="497">
        <f>'SGTO POAI -MARZO-2021'!BL384</f>
        <v>5770000</v>
      </c>
      <c r="G137" s="681">
        <f t="shared" si="23"/>
        <v>0.28985507246376813</v>
      </c>
    </row>
    <row r="138" spans="1:7" ht="90" customHeight="1" thickBot="1" x14ac:dyDescent="0.25">
      <c r="A138" s="485" t="s">
        <v>1177</v>
      </c>
      <c r="B138" s="490" t="s">
        <v>1178</v>
      </c>
      <c r="C138" s="497">
        <f>'SGTO POAI -MARZO-2021'!BJ385</f>
        <v>84414100</v>
      </c>
      <c r="D138" s="497">
        <f>'SGTO POAI -MARZO-2021'!BK385</f>
        <v>46160000</v>
      </c>
      <c r="E138" s="681">
        <f t="shared" si="24"/>
        <v>0.54682807729988236</v>
      </c>
      <c r="F138" s="497">
        <f>'SGTO POAI -MARZO-2021'!BL385</f>
        <v>8655000</v>
      </c>
      <c r="G138" s="681">
        <f t="shared" si="23"/>
        <v>0.1875</v>
      </c>
    </row>
    <row r="139" spans="1:7" ht="90" customHeight="1" thickBot="1" x14ac:dyDescent="0.25">
      <c r="A139" s="485" t="s">
        <v>1181</v>
      </c>
      <c r="B139" s="490" t="s">
        <v>1182</v>
      </c>
      <c r="C139" s="497">
        <f>'SGTO POAI -MARZO-2021'!BJ386</f>
        <v>320000000</v>
      </c>
      <c r="D139" s="497">
        <f>'SGTO POAI -MARZO-2021'!BK386</f>
        <v>204180000</v>
      </c>
      <c r="E139" s="681">
        <f t="shared" si="24"/>
        <v>0.63806249999999998</v>
      </c>
      <c r="F139" s="497">
        <f>'SGTO POAI -MARZO-2021'!BL386</f>
        <v>21610000</v>
      </c>
      <c r="G139" s="681">
        <f t="shared" si="23"/>
        <v>0.10583798609070429</v>
      </c>
    </row>
    <row r="140" spans="1:7" ht="90" customHeight="1" thickBot="1" x14ac:dyDescent="0.25">
      <c r="A140" s="485" t="s">
        <v>1191</v>
      </c>
      <c r="B140" s="491" t="s">
        <v>1192</v>
      </c>
      <c r="C140" s="497">
        <f>'SGTO POAI -MARZO-2021'!BJ387</f>
        <v>321904376</v>
      </c>
      <c r="D140" s="497">
        <f>'SGTO POAI -MARZO-2021'!BK387</f>
        <v>150924376</v>
      </c>
      <c r="E140" s="681">
        <f t="shared" si="24"/>
        <v>0.46884847567278798</v>
      </c>
      <c r="F140" s="497">
        <f>'SGTO POAI -MARZO-2021'!BL387</f>
        <v>26689376</v>
      </c>
      <c r="G140" s="681">
        <f t="shared" si="23"/>
        <v>0.17683939935587342</v>
      </c>
    </row>
    <row r="141" spans="1:7" ht="90" customHeight="1" thickBot="1" x14ac:dyDescent="0.25">
      <c r="A141" s="485" t="s">
        <v>1194</v>
      </c>
      <c r="B141" s="491" t="s">
        <v>1195</v>
      </c>
      <c r="C141" s="497">
        <f>'SGTO POAI -MARZO-2021'!BJ388</f>
        <v>1697184276.49</v>
      </c>
      <c r="D141" s="497">
        <f>'SGTO POAI -MARZO-2021'!BK388</f>
        <v>615028900</v>
      </c>
      <c r="E141" s="681">
        <f t="shared" si="24"/>
        <v>0.36238192193953184</v>
      </c>
      <c r="F141" s="497">
        <f>'SGTO POAI -MARZO-2021'!BL388</f>
        <v>9895000</v>
      </c>
      <c r="G141" s="681">
        <f t="shared" si="23"/>
        <v>1.608867485739288E-2</v>
      </c>
    </row>
    <row r="142" spans="1:7" ht="90" customHeight="1" thickBot="1" x14ac:dyDescent="0.25">
      <c r="A142" s="484" t="s">
        <v>1199</v>
      </c>
      <c r="B142" s="490" t="s">
        <v>1200</v>
      </c>
      <c r="C142" s="497">
        <f>'SGTO POAI -MARZO-2021'!BJ390+'SGTO POAI -MARZO-2021'!BJ391</f>
        <v>31351259122</v>
      </c>
      <c r="D142" s="497">
        <f>'SGTO POAI -MARZO-2021'!BK390+'SGTO POAI -MARZO-2021'!BK391</f>
        <v>31351259122</v>
      </c>
      <c r="E142" s="681">
        <f t="shared" si="24"/>
        <v>1</v>
      </c>
      <c r="F142" s="497">
        <f>'SGTO POAI -MARZO-2021'!BL390+'SGTO POAI -MARZO-2021'!BL391</f>
        <v>9088220335.3199997</v>
      </c>
      <c r="G142" s="681">
        <f t="shared" si="23"/>
        <v>0.28988374278539125</v>
      </c>
    </row>
    <row r="143" spans="1:7" ht="90" customHeight="1" thickBot="1" x14ac:dyDescent="0.25">
      <c r="A143" s="484" t="s">
        <v>1210</v>
      </c>
      <c r="B143" s="490" t="s">
        <v>1493</v>
      </c>
      <c r="C143" s="497">
        <f>'SGTO POAI -MARZO-2021'!BJ392+'SGTO POAI -MARZO-2021'!BJ393+'SGTO POAI -MARZO-2021'!BJ394</f>
        <v>7786138102</v>
      </c>
      <c r="D143" s="497">
        <f>'SGTO POAI -MARZO-2021'!BK392+'SGTO POAI -MARZO-2021'!BK393+'SGTO POAI -MARZO-2021'!BK394</f>
        <v>0</v>
      </c>
      <c r="E143" s="681">
        <f t="shared" si="24"/>
        <v>0</v>
      </c>
      <c r="F143" s="497">
        <f>'SGTO POAI -MARZO-2021'!BL392+'SGTO POAI -MARZO-2021'!BL393+'SGTO POAI -MARZO-2021'!BL394</f>
        <v>0</v>
      </c>
      <c r="G143" s="681">
        <v>0</v>
      </c>
    </row>
    <row r="144" spans="1:7" ht="90" customHeight="1" thickBot="1" x14ac:dyDescent="0.25">
      <c r="A144" s="485" t="s">
        <v>1222</v>
      </c>
      <c r="B144" s="491" t="s">
        <v>1223</v>
      </c>
      <c r="C144" s="497">
        <f>'SGTO POAI -MARZO-2021'!BJ395+'SGTO POAI -MARZO-2021'!BJ396+'SGTO POAI -MARZO-2021'!BJ397+'SGTO POAI -MARZO-2021'!BJ398+'SGTO POAI -MARZO-2021'!BJ399</f>
        <v>230390000</v>
      </c>
      <c r="D144" s="497">
        <f>'SGTO POAI -MARZO-2021'!BK395+'SGTO POAI -MARZO-2021'!BK396+'SGTO POAI -MARZO-2021'!BK397+'SGTO POAI -MARZO-2021'!BK398+'SGTO POAI -MARZO-2021'!BK399</f>
        <v>86700000</v>
      </c>
      <c r="E144" s="681">
        <f t="shared" si="24"/>
        <v>0.37631841659794263</v>
      </c>
      <c r="F144" s="497">
        <f>'SGTO POAI -MARZO-2021'!BL395+'SGTO POAI -MARZO-2021'!BL396+'SGTO POAI -MARZO-2021'!BL397+'SGTO POAI -MARZO-2021'!BL398+'SGTO POAI -MARZO-2021'!BL399</f>
        <v>12655000</v>
      </c>
      <c r="G144" s="681">
        <f t="shared" si="23"/>
        <v>0.14596309111880046</v>
      </c>
    </row>
    <row r="145" spans="1:7" ht="20.100000000000001" customHeight="1" thickBot="1" x14ac:dyDescent="0.25">
      <c r="A145" s="968" t="s">
        <v>1494</v>
      </c>
      <c r="B145" s="969"/>
      <c r="C145" s="496">
        <f>SUM(C146:C151)</f>
        <v>896000000</v>
      </c>
      <c r="D145" s="496">
        <f t="shared" ref="D145:F145" si="25">SUM(D146:D151)</f>
        <v>256750334</v>
      </c>
      <c r="E145" s="685">
        <f t="shared" si="24"/>
        <v>0.28655171205357144</v>
      </c>
      <c r="F145" s="496">
        <f t="shared" si="25"/>
        <v>18140000</v>
      </c>
      <c r="G145" s="680">
        <f>F145/D145</f>
        <v>7.0652293679197314E-2</v>
      </c>
    </row>
    <row r="146" spans="1:7" ht="90" customHeight="1" thickBot="1" x14ac:dyDescent="0.25">
      <c r="A146" s="484" t="s">
        <v>1237</v>
      </c>
      <c r="B146" s="492" t="s">
        <v>1495</v>
      </c>
      <c r="C146" s="497">
        <f>'SGTO POAI -MARZO-2021'!BJ405+'SGTO POAI -MARZO-2021'!BJ406+'SGTO POAI -MARZO-2021'!BJ407+'SGTO POAI -MARZO-2021'!BJ408</f>
        <v>248000000</v>
      </c>
      <c r="D146" s="497">
        <f>'SGTO POAI -MARZO-2021'!BK405+'SGTO POAI -MARZO-2021'!BK406+'SGTO POAI -MARZO-2021'!BK407+'SGTO POAI -MARZO-2021'!BK408</f>
        <v>29920000</v>
      </c>
      <c r="E146" s="681">
        <f t="shared" si="24"/>
        <v>0.12064516129032259</v>
      </c>
      <c r="F146" s="497">
        <f>'SGTO POAI -MARZO-2021'!BL405+'SGTO POAI -MARZO-2021'!BL406+'SGTO POAI -MARZO-2021'!BL407+'SGTO POAI -MARZO-2021'!BL408</f>
        <v>0</v>
      </c>
      <c r="G146" s="681">
        <f t="shared" ref="G146:G151" si="26">F146/D146</f>
        <v>0</v>
      </c>
    </row>
    <row r="147" spans="1:7" ht="90" customHeight="1" thickBot="1" x14ac:dyDescent="0.25">
      <c r="A147" s="487" t="s">
        <v>1252</v>
      </c>
      <c r="B147" s="490" t="s">
        <v>1253</v>
      </c>
      <c r="C147" s="497">
        <f>'SGTO POAI -MARZO-2021'!BJ409+'SGTO POAI -MARZO-2021'!BJ410+'SGTO POAI -MARZO-2021'!BJ411+'SGTO POAI -MARZO-2021'!BJ412+'SGTO POAI -MARZO-2021'!BJ413</f>
        <v>126000000</v>
      </c>
      <c r="D147" s="497">
        <f>'SGTO POAI -MARZO-2021'!BK409+'SGTO POAI -MARZO-2021'!BK410+'SGTO POAI -MARZO-2021'!BK411+'SGTO POAI -MARZO-2021'!BK412+'SGTO POAI -MARZO-2021'!BK413</f>
        <v>46160000</v>
      </c>
      <c r="E147" s="681">
        <f t="shared" si="24"/>
        <v>0.36634920634920637</v>
      </c>
      <c r="F147" s="497">
        <f>'SGTO POAI -MARZO-2021'!BL409+'SGTO POAI -MARZO-2021'!BL410+'SGTO POAI -MARZO-2021'!BL411+'SGTO POAI -MARZO-2021'!BL412+'SGTO POAI -MARZO-2021'!BL413</f>
        <v>8655000</v>
      </c>
      <c r="G147" s="681">
        <f t="shared" si="26"/>
        <v>0.1875</v>
      </c>
    </row>
    <row r="148" spans="1:7" ht="90" customHeight="1" thickBot="1" x14ac:dyDescent="0.25">
      <c r="A148" s="486" t="s">
        <v>1263</v>
      </c>
      <c r="B148" s="491" t="s">
        <v>1264</v>
      </c>
      <c r="C148" s="497">
        <f>'SGTO POAI -MARZO-2021'!BJ415+'SGTO POAI -MARZO-2021'!BJ416+'SGTO POAI -MARZO-2021'!BJ417+'SGTO POAI -MARZO-2021'!BJ418+'SGTO POAI -MARZO-2021'!BJ419</f>
        <v>146000000</v>
      </c>
      <c r="D148" s="497">
        <f>'SGTO POAI -MARZO-2021'!BK415+'SGTO POAI -MARZO-2021'!BK416+'SGTO POAI -MARZO-2021'!BK417+'SGTO POAI -MARZO-2021'!BK418+'SGTO POAI -MARZO-2021'!BK419</f>
        <v>66890334</v>
      </c>
      <c r="E148" s="681">
        <f t="shared" si="24"/>
        <v>0.45815297260273974</v>
      </c>
      <c r="F148" s="497">
        <f>'SGTO POAI -MARZO-2021'!BL415+'SGTO POAI -MARZO-2021'!BL416+'SGTO POAI -MARZO-2021'!BL417+'SGTO POAI -MARZO-2021'!BL418+'SGTO POAI -MARZO-2021'!BL419</f>
        <v>0</v>
      </c>
      <c r="G148" s="681">
        <f t="shared" si="26"/>
        <v>0</v>
      </c>
    </row>
    <row r="149" spans="1:7" ht="90" customHeight="1" thickBot="1" x14ac:dyDescent="0.25">
      <c r="A149" s="486" t="s">
        <v>1281</v>
      </c>
      <c r="B149" s="490" t="s">
        <v>1282</v>
      </c>
      <c r="C149" s="497">
        <f>'SGTO POAI -MARZO-2021'!BJ423+'SGTO POAI -MARZO-2021'!BJ424+'SGTO POAI -MARZO-2021'!BJ425</f>
        <v>60000000</v>
      </c>
      <c r="D149" s="497">
        <f>'SGTO POAI -MARZO-2021'!BK423+'SGTO POAI -MARZO-2021'!BK424+'SGTO POAI -MARZO-2021'!BK425</f>
        <v>23080000</v>
      </c>
      <c r="E149" s="681">
        <f t="shared" si="24"/>
        <v>0.38466666666666666</v>
      </c>
      <c r="F149" s="497">
        <f>'SGTO POAI -MARZO-2021'!BL423+'SGTO POAI -MARZO-2021'!BL424+'SGTO POAI -MARZO-2021'!BL425</f>
        <v>0</v>
      </c>
      <c r="G149" s="681">
        <f t="shared" si="26"/>
        <v>0</v>
      </c>
    </row>
    <row r="150" spans="1:7" ht="90" customHeight="1" thickBot="1" x14ac:dyDescent="0.25">
      <c r="A150" s="486" t="s">
        <v>1291</v>
      </c>
      <c r="B150" s="490" t="s">
        <v>1496</v>
      </c>
      <c r="C150" s="497">
        <f>'SGTO POAI -MARZO-2021'!BJ427</f>
        <v>18000000</v>
      </c>
      <c r="D150" s="497">
        <f>'SGTO POAI -MARZO-2021'!BK427</f>
        <v>0</v>
      </c>
      <c r="E150" s="681">
        <f t="shared" si="24"/>
        <v>0</v>
      </c>
      <c r="F150" s="497">
        <f>'SGTO POAI -MARZO-2021'!BL427</f>
        <v>0</v>
      </c>
      <c r="G150" s="681">
        <v>0</v>
      </c>
    </row>
    <row r="151" spans="1:7" ht="90" customHeight="1" thickBot="1" x14ac:dyDescent="0.25">
      <c r="A151" s="486" t="s">
        <v>1297</v>
      </c>
      <c r="B151" s="491" t="s">
        <v>1497</v>
      </c>
      <c r="C151" s="497">
        <f>'SGTO POAI -MARZO-2021'!BJ431+'SGTO POAI -MARZO-2021'!BJ432+'SGTO POAI -MARZO-2021'!BJ433+'SGTO POAI -MARZO-2021'!BJ434+'SGTO POAI -MARZO-2021'!BJ435+'SGTO POAI -MARZO-2021'!BJ436</f>
        <v>298000000</v>
      </c>
      <c r="D151" s="497">
        <f>'SGTO POAI -MARZO-2021'!BK431+'SGTO POAI -MARZO-2021'!BK432+'SGTO POAI -MARZO-2021'!BK433+'SGTO POAI -MARZO-2021'!BK434+'SGTO POAI -MARZO-2021'!BK435+'SGTO POAI -MARZO-2021'!BK436</f>
        <v>90700000</v>
      </c>
      <c r="E151" s="681">
        <f t="shared" si="24"/>
        <v>0.30436241610738257</v>
      </c>
      <c r="F151" s="497">
        <f>'SGTO POAI -MARZO-2021'!BL431+'SGTO POAI -MARZO-2021'!BL432+'SGTO POAI -MARZO-2021'!BL433+'SGTO POAI -MARZO-2021'!BL434+'SGTO POAI -MARZO-2021'!BL435+'SGTO POAI -MARZO-2021'!BL436</f>
        <v>9485000</v>
      </c>
      <c r="G151" s="681">
        <f t="shared" si="26"/>
        <v>0.10457552370452039</v>
      </c>
    </row>
    <row r="152" spans="1:7" s="500" customFormat="1" ht="20.100000000000001" customHeight="1" thickBot="1" x14ac:dyDescent="0.3">
      <c r="A152" s="982" t="s">
        <v>1498</v>
      </c>
      <c r="B152" s="983"/>
      <c r="C152" s="499">
        <f>C145+C121+C92+C82+C78+C58+C52+C47+C34+C20+C17+C9+C4</f>
        <v>266871471112.01996</v>
      </c>
      <c r="D152" s="499">
        <f t="shared" ref="D152:F152" si="27">D145+D121+D92+D82+D78+D58+D52+D47+D34+D20+D17+D9+D4</f>
        <v>92048341829.910004</v>
      </c>
      <c r="E152" s="682">
        <f t="shared" si="24"/>
        <v>0.34491638033228544</v>
      </c>
      <c r="F152" s="499">
        <f t="shared" si="27"/>
        <v>47534651951.650002</v>
      </c>
      <c r="G152" s="682">
        <f>F152/D152</f>
        <v>0.51640964961091984</v>
      </c>
    </row>
    <row r="153" spans="1:7" ht="20.100000000000001" customHeight="1" thickBot="1" x14ac:dyDescent="0.25">
      <c r="A153" s="968" t="s">
        <v>1309</v>
      </c>
      <c r="B153" s="969"/>
      <c r="C153" s="496">
        <f>SUM(C154:C156)</f>
        <v>6167355779.5499992</v>
      </c>
      <c r="D153" s="496">
        <f t="shared" ref="D153:F153" si="28">SUM(D154:D156)</f>
        <v>879229500</v>
      </c>
      <c r="E153" s="685">
        <f t="shared" si="24"/>
        <v>0.14256182575284362</v>
      </c>
      <c r="F153" s="496">
        <f t="shared" si="28"/>
        <v>181269500</v>
      </c>
      <c r="G153" s="680">
        <f>F153/D153</f>
        <v>0.20616858283303732</v>
      </c>
    </row>
    <row r="154" spans="1:7" ht="90" customHeight="1" thickBot="1" x14ac:dyDescent="0.25">
      <c r="A154" s="488" t="s">
        <v>1499</v>
      </c>
      <c r="B154" s="491" t="s">
        <v>1313</v>
      </c>
      <c r="C154" s="497">
        <f>'SGTO POAI -MARZO-2021'!BJ443+'SGTO POAI -MARZO-2021'!BJ444+'SGTO POAI -MARZO-2021'!BJ445+'SGTO POAI -MARZO-2021'!BJ446</f>
        <v>3114923723.1399999</v>
      </c>
      <c r="D154" s="497">
        <f>'SGTO POAI -MARZO-2021'!BK443+'SGTO POAI -MARZO-2021'!BK444+'SGTO POAI -MARZO-2021'!BK445+'SGTO POAI -MARZO-2021'!BK446</f>
        <v>132800000</v>
      </c>
      <c r="E154" s="681">
        <f t="shared" si="24"/>
        <v>4.2633467719758775E-2</v>
      </c>
      <c r="F154" s="497">
        <f>'SGTO POAI -MARZO-2021'!BL443+'SGTO POAI -MARZO-2021'!BL444+'SGTO POAI -MARZO-2021'!BL445+'SGTO POAI -MARZO-2021'!BL446</f>
        <v>4300000</v>
      </c>
      <c r="G154" s="681">
        <f t="shared" ref="G154:G155" si="29">F154/D154</f>
        <v>3.2379518072289157E-2</v>
      </c>
    </row>
    <row r="155" spans="1:7" ht="90" customHeight="1" thickBot="1" x14ac:dyDescent="0.25">
      <c r="A155" s="488" t="s">
        <v>1500</v>
      </c>
      <c r="B155" s="490" t="s">
        <v>1328</v>
      </c>
      <c r="C155" s="497">
        <f>'SGTO POAI -MARZO-2021'!BJ448</f>
        <v>3017432056.4099998</v>
      </c>
      <c r="D155" s="497">
        <f>'SGTO POAI -MARZO-2021'!BK448</f>
        <v>746429500</v>
      </c>
      <c r="E155" s="681">
        <f t="shared" si="24"/>
        <v>0.2473724299489504</v>
      </c>
      <c r="F155" s="497">
        <f>'SGTO POAI -MARZO-2021'!BL448</f>
        <v>176969500</v>
      </c>
      <c r="G155" s="681">
        <f t="shared" si="29"/>
        <v>0.23708803041680426</v>
      </c>
    </row>
    <row r="156" spans="1:7" ht="90" customHeight="1" thickBot="1" x14ac:dyDescent="0.25">
      <c r="A156" s="489" t="s">
        <v>1501</v>
      </c>
      <c r="B156" s="490" t="s">
        <v>1502</v>
      </c>
      <c r="C156" s="497">
        <f>'SGTO POAI -MARZO-2021'!BJ449</f>
        <v>35000000</v>
      </c>
      <c r="D156" s="497">
        <f>'SGTO POAI -MARZO-2021'!BK449</f>
        <v>0</v>
      </c>
      <c r="E156" s="681">
        <f t="shared" si="24"/>
        <v>0</v>
      </c>
      <c r="F156" s="497">
        <f>'SGTO POAI -MARZO-2021'!BL449</f>
        <v>0</v>
      </c>
      <c r="G156" s="681">
        <v>0</v>
      </c>
    </row>
    <row r="157" spans="1:7" ht="20.100000000000001" customHeight="1" thickBot="1" x14ac:dyDescent="0.25">
      <c r="A157" s="968" t="s">
        <v>1336</v>
      </c>
      <c r="B157" s="969"/>
      <c r="C157" s="496">
        <f>SUM(C158:C161)</f>
        <v>2024983199</v>
      </c>
      <c r="D157" s="496">
        <f t="shared" ref="D157:F157" si="30">SUM(D158:D161)</f>
        <v>0</v>
      </c>
      <c r="E157" s="685">
        <f t="shared" si="24"/>
        <v>0</v>
      </c>
      <c r="F157" s="496">
        <f t="shared" si="30"/>
        <v>0</v>
      </c>
      <c r="G157" s="680">
        <v>0</v>
      </c>
    </row>
    <row r="158" spans="1:7" ht="90" customHeight="1" thickBot="1" x14ac:dyDescent="0.25">
      <c r="A158" s="486" t="s">
        <v>1339</v>
      </c>
      <c r="B158" s="491" t="s">
        <v>1503</v>
      </c>
      <c r="C158" s="497">
        <f>'SGTO POAI -MARZO-2021'!BJ455</f>
        <v>308302422.89999998</v>
      </c>
      <c r="D158" s="497">
        <f>'SGTO POAI -MARZO-2021'!BK455</f>
        <v>0</v>
      </c>
      <c r="E158" s="681">
        <f t="shared" si="24"/>
        <v>0</v>
      </c>
      <c r="F158" s="497">
        <f>'SGTO POAI -MARZO-2021'!BL455</f>
        <v>0</v>
      </c>
      <c r="G158" s="681">
        <v>0</v>
      </c>
    </row>
    <row r="159" spans="1:7" ht="90" customHeight="1" thickBot="1" x14ac:dyDescent="0.25">
      <c r="A159" s="486" t="s">
        <v>1343</v>
      </c>
      <c r="B159" s="491" t="s">
        <v>1344</v>
      </c>
      <c r="C159" s="497">
        <f>'SGTO POAI -MARZO-2021'!BJ458</f>
        <v>308302422.89999998</v>
      </c>
      <c r="D159" s="497">
        <f>'SGTO POAI -MARZO-2021'!BK458</f>
        <v>0</v>
      </c>
      <c r="E159" s="681">
        <f t="shared" si="24"/>
        <v>0</v>
      </c>
      <c r="F159" s="497">
        <f>'SGTO POAI -MARZO-2021'!BL458</f>
        <v>0</v>
      </c>
      <c r="G159" s="681">
        <v>0</v>
      </c>
    </row>
    <row r="160" spans="1:7" ht="90" customHeight="1" thickBot="1" x14ac:dyDescent="0.25">
      <c r="A160" s="486" t="s">
        <v>1347</v>
      </c>
      <c r="B160" s="491" t="s">
        <v>1504</v>
      </c>
      <c r="C160" s="497">
        <f>'SGTO POAI -MARZO-2021'!BJ462</f>
        <v>199461691.20000002</v>
      </c>
      <c r="D160" s="497">
        <f>'SGTO POAI -MARZO-2021'!BK462</f>
        <v>0</v>
      </c>
      <c r="E160" s="681">
        <f t="shared" si="24"/>
        <v>0</v>
      </c>
      <c r="F160" s="497">
        <f>'SGTO POAI -MARZO-2021'!BL462</f>
        <v>0</v>
      </c>
      <c r="G160" s="681">
        <v>0</v>
      </c>
    </row>
    <row r="161" spans="1:7" ht="90" customHeight="1" thickBot="1" x14ac:dyDescent="0.25">
      <c r="A161" s="486" t="s">
        <v>1353</v>
      </c>
      <c r="B161" s="491" t="s">
        <v>1505</v>
      </c>
      <c r="C161" s="497">
        <f>'SGTO POAI -MARZO-2021'!BJ465+'SGTO POAI -MARZO-2021'!BJ466+'SGTO POAI -MARZO-2021'!BJ467+'SGTO POAI -MARZO-2021'!BJ468+'SGTO POAI -MARZO-2021'!BJ469+'SGTO POAI -MARZO-2021'!BJ470+'SGTO POAI -MARZO-2021'!BJ471</f>
        <v>1208916662</v>
      </c>
      <c r="D161" s="497">
        <f>'SGTO POAI -MARZO-2021'!BK465+'SGTO POAI -MARZO-2021'!BK466+'SGTO POAI -MARZO-2021'!BK467+'SGTO POAI -MARZO-2021'!BK468+'SGTO POAI -MARZO-2021'!BK469+'SGTO POAI -MARZO-2021'!BK470+'SGTO POAI -MARZO-2021'!BK471</f>
        <v>0</v>
      </c>
      <c r="E161" s="681">
        <f t="shared" si="24"/>
        <v>0</v>
      </c>
      <c r="F161" s="497">
        <f>'SGTO POAI -MARZO-2021'!BL465+'SGTO POAI -MARZO-2021'!BL466+'SGTO POAI -MARZO-2021'!BL467+'SGTO POAI -MARZO-2021'!BL468+'SGTO POAI -MARZO-2021'!BL469+'SGTO POAI -MARZO-2021'!BL470+'SGTO POAI -MARZO-2021'!BL471</f>
        <v>0</v>
      </c>
      <c r="G161" s="681">
        <v>0</v>
      </c>
    </row>
    <row r="162" spans="1:7" ht="20.100000000000001" customHeight="1" thickBot="1" x14ac:dyDescent="0.25">
      <c r="A162" s="984" t="s">
        <v>1371</v>
      </c>
      <c r="B162" s="985"/>
      <c r="C162" s="496">
        <f>SUM(C163)</f>
        <v>110210000</v>
      </c>
      <c r="D162" s="496">
        <f t="shared" ref="D162:F162" si="31">SUM(D163)</f>
        <v>39360000</v>
      </c>
      <c r="E162" s="685">
        <f t="shared" si="24"/>
        <v>0.35713637600943654</v>
      </c>
      <c r="F162" s="496">
        <f t="shared" si="31"/>
        <v>5030000</v>
      </c>
      <c r="G162" s="680">
        <f>F162/D162</f>
        <v>0.12779471544715448</v>
      </c>
    </row>
    <row r="163" spans="1:7" ht="90" customHeight="1" thickBot="1" x14ac:dyDescent="0.25">
      <c r="A163" s="494" t="s">
        <v>1506</v>
      </c>
      <c r="B163" s="495" t="s">
        <v>1507</v>
      </c>
      <c r="C163" s="498">
        <f>'SGTO POAI -MARZO-2021'!BJ477+'SGTO POAI -MARZO-2021'!BJ478+'SGTO POAI -MARZO-2021'!BJ479+'SGTO POAI -MARZO-2021'!BJ480</f>
        <v>110210000</v>
      </c>
      <c r="D163" s="498">
        <f>'SGTO POAI -MARZO-2021'!BK477+'SGTO POAI -MARZO-2021'!BK478+'SGTO POAI -MARZO-2021'!BK479+'SGTO POAI -MARZO-2021'!BK480</f>
        <v>39360000</v>
      </c>
      <c r="E163" s="681">
        <f t="shared" si="24"/>
        <v>0.35713637600943654</v>
      </c>
      <c r="F163" s="498">
        <f>'SGTO POAI -MARZO-2021'!BL477+'SGTO POAI -MARZO-2021'!BL478+'SGTO POAI -MARZO-2021'!BL479+'SGTO POAI -MARZO-2021'!BL480</f>
        <v>5030000</v>
      </c>
      <c r="G163" s="681">
        <f>F163/D163</f>
        <v>0.12779471544715448</v>
      </c>
    </row>
    <row r="164" spans="1:7" s="500" customFormat="1" ht="20.100000000000001" customHeight="1" thickBot="1" x14ac:dyDescent="0.3">
      <c r="A164" s="982" t="s">
        <v>1508</v>
      </c>
      <c r="B164" s="983"/>
      <c r="C164" s="499">
        <f>C162+C157+C153</f>
        <v>8302548978.5499992</v>
      </c>
      <c r="D164" s="499">
        <f t="shared" ref="D164:F164" si="32">D162+D157+D153</f>
        <v>918589500</v>
      </c>
      <c r="E164" s="682">
        <f t="shared" si="24"/>
        <v>0.11063945571091678</v>
      </c>
      <c r="F164" s="499">
        <f t="shared" si="32"/>
        <v>186299500</v>
      </c>
      <c r="G164" s="682">
        <f>F164/D164</f>
        <v>0.20281039572083068</v>
      </c>
    </row>
    <row r="165" spans="1:7" s="500" customFormat="1" ht="20.100000000000001" customHeight="1" thickBot="1" x14ac:dyDescent="0.3">
      <c r="A165" s="980" t="s">
        <v>1509</v>
      </c>
      <c r="B165" s="981"/>
      <c r="C165" s="501">
        <f>C164+C152</f>
        <v>275174020090.56995</v>
      </c>
      <c r="D165" s="501">
        <f t="shared" ref="D165:F165" si="33">D164+D152</f>
        <v>92966931329.910004</v>
      </c>
      <c r="E165" s="683">
        <f t="shared" si="24"/>
        <v>0.33784777828703144</v>
      </c>
      <c r="F165" s="501">
        <f t="shared" si="33"/>
        <v>47720951451.650002</v>
      </c>
      <c r="G165" s="683">
        <f>F165/D165</f>
        <v>0.51331103187975047</v>
      </c>
    </row>
    <row r="168" spans="1:7" x14ac:dyDescent="0.2">
      <c r="D168" s="500"/>
      <c r="E168" s="500"/>
      <c r="F168" s="500"/>
    </row>
  </sheetData>
  <sheetProtection password="A60F" sheet="1" objects="1" scenarios="1"/>
  <mergeCells count="23">
    <mergeCell ref="A2:A3"/>
    <mergeCell ref="B2:B3"/>
    <mergeCell ref="C2:G2"/>
    <mergeCell ref="A1:G1"/>
    <mergeCell ref="A165:B165"/>
    <mergeCell ref="A152:B152"/>
    <mergeCell ref="A164:B164"/>
    <mergeCell ref="A145:B145"/>
    <mergeCell ref="A153:B153"/>
    <mergeCell ref="A157:B157"/>
    <mergeCell ref="A162:B162"/>
    <mergeCell ref="A92:B92"/>
    <mergeCell ref="A121:B121"/>
    <mergeCell ref="A4:B4"/>
    <mergeCell ref="A9:B9"/>
    <mergeCell ref="A17:B17"/>
    <mergeCell ref="A78:B78"/>
    <mergeCell ref="A82:B82"/>
    <mergeCell ref="A20:B20"/>
    <mergeCell ref="A34:B34"/>
    <mergeCell ref="A47:B47"/>
    <mergeCell ref="A52:B52"/>
    <mergeCell ref="A58:B58"/>
  </mergeCells>
  <phoneticPr fontId="9"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SGTO POAI -MARZO-2021</vt:lpstr>
      <vt:lpstr>RESUMEN POR UNIDAD</vt:lpstr>
      <vt:lpstr>UNIDADES + FUENTE</vt:lpstr>
      <vt:lpstr>PROGRAMAS</vt:lpstr>
      <vt:lpstr>EJE ESTRATEGICO</vt:lpstr>
      <vt:lpstr>PROYECTOS</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Maria Lucia</dc:creator>
  <cp:keywords/>
  <dc:description/>
  <cp:lastModifiedBy>AUXPLANEACION03</cp:lastModifiedBy>
  <cp:revision/>
  <dcterms:created xsi:type="dcterms:W3CDTF">2020-08-12T15:20:51Z</dcterms:created>
  <dcterms:modified xsi:type="dcterms:W3CDTF">2021-05-19T19:46:17Z</dcterms:modified>
  <cp:category/>
  <cp:contentStatus/>
</cp:coreProperties>
</file>