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C:\Gobernación 2021\SGTO PDD 2021\SGTO IV TRIMESTRE 2021\"/>
    </mc:Choice>
  </mc:AlternateContent>
  <bookViews>
    <workbookView xWindow="9915" yWindow="0" windowWidth="10515" windowHeight="10755"/>
  </bookViews>
  <sheets>
    <sheet name="SGTO POAI VIGENCIA 2021" sheetId="1" r:id="rId1"/>
    <sheet name="RESUMEN POR UNIDAD" sheetId="5" r:id="rId2"/>
    <sheet name="UNIDADES + FUENTE" sheetId="6" r:id="rId3"/>
    <sheet name="SECTORES" sheetId="12" r:id="rId4"/>
    <sheet name="PROGRAMAS" sheetId="9" r:id="rId5"/>
    <sheet name="EJE ESTRATEGICO" sheetId="8" r:id="rId6"/>
    <sheet name="PROYECTOS" sheetId="10" r:id="rId7"/>
    <sheet name="CONSOLIDADO UNIDADES" sheetId="11" r:id="rId8"/>
  </sheets>
  <externalReferences>
    <externalReference r:id="rId9"/>
  </externalReferences>
  <definedNames>
    <definedName name="_1._Apoyo_con_equipos_para_la_seguridad_vial_Licenciamiento_de_software_para_comunicaciones" localSheetId="3">#REF!</definedName>
    <definedName name="_1._Apoyo_con_equipos_para_la_seguridad_vial_Licenciamiento_de_software_para_comunicaciones">#REF!</definedName>
    <definedName name="_xlnm._FilterDatabase" localSheetId="1" hidden="1">'RESUMEN POR UNIDAD'!$E$1:$E$189</definedName>
    <definedName name="_xlnm._FilterDatabase" localSheetId="0" hidden="1">'SGTO POAI VIGENCIA 2021'!$A$7:$DF$308</definedName>
    <definedName name="aa" localSheetId="3">#REF!</definedName>
    <definedName name="aa">#REF!</definedName>
    <definedName name="CODIGO_DIVIPOLA" localSheetId="3">#REF!</definedName>
    <definedName name="CODIGO_DIVIPOLA">#REF!</definedName>
    <definedName name="DboREGISTRO_LEY_617" localSheetId="3">#REF!</definedName>
    <definedName name="DboREGISTRO_LEY_617">#REF!</definedName>
    <definedName name="ññ" localSheetId="3">#REF!</definedName>
    <definedName name="ññ">#REF!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8" l="1"/>
  <c r="F36" i="8"/>
  <c r="F35" i="8"/>
  <c r="F33" i="8"/>
  <c r="F32" i="8"/>
  <c r="F16" i="8"/>
  <c r="F52" i="9"/>
  <c r="U228" i="1" l="1"/>
  <c r="U279" i="1" l="1"/>
  <c r="U215" i="1" l="1"/>
  <c r="U201" i="1" l="1"/>
  <c r="U186" i="1" l="1"/>
  <c r="U73" i="1" l="1"/>
  <c r="U67" i="1"/>
  <c r="U96" i="1" l="1"/>
  <c r="U94" i="1"/>
  <c r="U93" i="1"/>
  <c r="U92" i="1"/>
  <c r="U90" i="1"/>
  <c r="BD290" i="1" l="1"/>
  <c r="BG290" i="1"/>
  <c r="BH314" i="1" l="1"/>
  <c r="BH315" i="1" s="1"/>
  <c r="BJ288" i="1" l="1"/>
  <c r="BG288" i="1"/>
  <c r="BJ287" i="1" l="1"/>
  <c r="BG287" i="1"/>
  <c r="BP28" i="1" l="1"/>
  <c r="BE262" i="1" l="1"/>
  <c r="BF262" i="1" l="1"/>
  <c r="BP240" i="1"/>
  <c r="BR232" i="1"/>
  <c r="BQ286" i="1" l="1"/>
  <c r="BQ251" i="1" l="1"/>
  <c r="BR251" i="1"/>
  <c r="BP248" i="1"/>
  <c r="AL251" i="1"/>
  <c r="AL255" i="1"/>
  <c r="BJ254" i="1"/>
  <c r="BJ205" i="1"/>
  <c r="BD257" i="1"/>
  <c r="AO256" i="1"/>
  <c r="AO253" i="1"/>
  <c r="BP204" i="1"/>
  <c r="BP158" i="1"/>
  <c r="BP155" i="1"/>
  <c r="BP156" i="1"/>
  <c r="BR36" i="1"/>
  <c r="BP142" i="1"/>
  <c r="BP130" i="1"/>
  <c r="BD83" i="1"/>
  <c r="BQ45" i="1"/>
  <c r="Z299" i="1" l="1"/>
  <c r="AL256" i="1" l="1"/>
  <c r="BP257" i="1"/>
  <c r="BP259" i="1"/>
  <c r="BR256" i="1"/>
  <c r="BQ254" i="1"/>
  <c r="AK256" i="1"/>
  <c r="AJ256" i="1"/>
  <c r="BR201" i="1" l="1"/>
  <c r="BR164" i="1" l="1"/>
  <c r="BP145" i="1"/>
  <c r="BP143" i="1"/>
  <c r="BR161" i="1"/>
  <c r="BQ157" i="1"/>
  <c r="BQ156" i="1"/>
  <c r="BR142" i="1"/>
  <c r="BQ130" i="1"/>
  <c r="BD194" i="1"/>
  <c r="BD170" i="1"/>
  <c r="BD167" i="1"/>
  <c r="BD276" i="1"/>
  <c r="BD117" i="1"/>
  <c r="BD98" i="1"/>
  <c r="BD97" i="1"/>
  <c r="BD31" i="1" l="1"/>
  <c r="BR38" i="1"/>
  <c r="C33" i="12" l="1"/>
  <c r="B33" i="12"/>
  <c r="C32" i="12"/>
  <c r="B32" i="12"/>
  <c r="BR305" i="1" l="1"/>
  <c r="BR304" i="1"/>
  <c r="BR303" i="1"/>
  <c r="BR302" i="1"/>
  <c r="Z290" i="1" l="1"/>
  <c r="Z288" i="1"/>
  <c r="BJ286" i="1"/>
  <c r="Z297" i="1" l="1"/>
  <c r="Z292" i="1"/>
  <c r="BG305" i="1" l="1"/>
  <c r="BG303" i="1"/>
  <c r="BG302" i="1"/>
  <c r="BM314" i="1" l="1"/>
  <c r="BN314" i="1"/>
  <c r="G11" i="5" l="1"/>
  <c r="F11" i="5"/>
  <c r="G133" i="6" l="1"/>
  <c r="H133" i="6"/>
  <c r="BQ67" i="1" l="1"/>
  <c r="BR67" i="1"/>
  <c r="I41" i="6" l="1"/>
  <c r="I40" i="6" s="1"/>
  <c r="J41" i="6"/>
  <c r="J40" i="6" s="1"/>
  <c r="K41" i="6"/>
  <c r="K40" i="6" s="1"/>
  <c r="L41" i="6"/>
  <c r="L40" i="6" s="1"/>
  <c r="M41" i="6"/>
  <c r="M40" i="6" s="1"/>
  <c r="N41" i="6"/>
  <c r="N40" i="6" s="1"/>
  <c r="R41" i="6"/>
  <c r="R40" i="6" s="1"/>
  <c r="S41" i="6"/>
  <c r="S40" i="6" s="1"/>
  <c r="T41" i="6"/>
  <c r="T40" i="6" s="1"/>
  <c r="F41" i="6"/>
  <c r="F40" i="6" s="1"/>
  <c r="H41" i="6"/>
  <c r="H40" i="6" s="1"/>
  <c r="G41" i="6"/>
  <c r="G40" i="6" s="1"/>
  <c r="BP31" i="1"/>
  <c r="BQ31" i="1"/>
  <c r="BR31" i="1"/>
  <c r="F26" i="10" l="1"/>
  <c r="D26" i="10"/>
  <c r="E38" i="5"/>
  <c r="E37" i="5" s="1"/>
  <c r="E36" i="5" s="1"/>
  <c r="C26" i="10"/>
  <c r="Q42" i="6"/>
  <c r="Q41" i="6" s="1"/>
  <c r="Q40" i="6" s="1"/>
  <c r="G38" i="5"/>
  <c r="G37" i="5" s="1"/>
  <c r="G36" i="5" s="1"/>
  <c r="P42" i="6"/>
  <c r="P41" i="6" s="1"/>
  <c r="P40" i="6" s="1"/>
  <c r="F38" i="5"/>
  <c r="F37" i="5" s="1"/>
  <c r="F36" i="5" s="1"/>
  <c r="O42" i="6"/>
  <c r="E26" i="10" l="1"/>
  <c r="G26" i="10"/>
  <c r="W42" i="6"/>
  <c r="W41" i="6" s="1"/>
  <c r="W40" i="6" s="1"/>
  <c r="V42" i="6"/>
  <c r="V41" i="6" s="1"/>
  <c r="V40" i="6" s="1"/>
  <c r="O41" i="6"/>
  <c r="O40" i="6" s="1"/>
  <c r="U42" i="6"/>
  <c r="U41" i="6" s="1"/>
  <c r="U40" i="6" s="1"/>
  <c r="AI256" i="1" l="1"/>
  <c r="AI255" i="1"/>
  <c r="BD197" i="1"/>
  <c r="BD162" i="1"/>
  <c r="BD112" i="1"/>
  <c r="BD105" i="1"/>
  <c r="BD86" i="1"/>
  <c r="BD85" i="1"/>
  <c r="BD84" i="1"/>
  <c r="BD80" i="1"/>
  <c r="BD79" i="1"/>
  <c r="BD78" i="1"/>
  <c r="BD17" i="1" l="1"/>
  <c r="BD10" i="1"/>
  <c r="G212" i="6" l="1"/>
  <c r="H212" i="6"/>
  <c r="G182" i="6"/>
  <c r="H182" i="6"/>
  <c r="J102" i="6"/>
  <c r="K102" i="6"/>
  <c r="J103" i="6"/>
  <c r="K103" i="6"/>
  <c r="M86" i="6"/>
  <c r="N86" i="6"/>
  <c r="G49" i="6"/>
  <c r="H49" i="6"/>
  <c r="G50" i="6"/>
  <c r="H50" i="6"/>
  <c r="G39" i="6"/>
  <c r="V39" i="6" s="1"/>
  <c r="H39" i="6"/>
  <c r="W39" i="6" s="1"/>
  <c r="H35" i="6"/>
  <c r="W35" i="6" s="1"/>
  <c r="G35" i="6"/>
  <c r="V35" i="6" s="1"/>
  <c r="AA306" i="1" l="1"/>
  <c r="AB306" i="1"/>
  <c r="AD306" i="1"/>
  <c r="AE306" i="1"/>
  <c r="AF306" i="1"/>
  <c r="AG306" i="1"/>
  <c r="AH306" i="1"/>
  <c r="AJ306" i="1"/>
  <c r="AK306" i="1"/>
  <c r="AM306" i="1"/>
  <c r="AN306" i="1"/>
  <c r="AP306" i="1"/>
  <c r="AQ306" i="1"/>
  <c r="AS306" i="1"/>
  <c r="AT306" i="1"/>
  <c r="AU306" i="1"/>
  <c r="AV306" i="1"/>
  <c r="AW306" i="1"/>
  <c r="AY306" i="1"/>
  <c r="AZ306" i="1"/>
  <c r="BB306" i="1"/>
  <c r="BC306" i="1"/>
  <c r="BE306" i="1"/>
  <c r="BF306" i="1"/>
  <c r="BH306" i="1"/>
  <c r="BI306" i="1"/>
  <c r="BK306" i="1"/>
  <c r="BL306" i="1"/>
  <c r="BM306" i="1"/>
  <c r="BN306" i="1"/>
  <c r="BO306" i="1"/>
  <c r="AA307" i="1"/>
  <c r="AB307" i="1"/>
  <c r="AC307" i="1"/>
  <c r="AD307" i="1"/>
  <c r="AE307" i="1"/>
  <c r="AF307" i="1"/>
  <c r="AG307" i="1"/>
  <c r="AH307" i="1"/>
  <c r="AI307" i="1"/>
  <c r="AJ307" i="1"/>
  <c r="AK307" i="1"/>
  <c r="AL307" i="1"/>
  <c r="AM307" i="1"/>
  <c r="AN307" i="1"/>
  <c r="AO307" i="1"/>
  <c r="AP307" i="1"/>
  <c r="AQ307" i="1"/>
  <c r="AR307" i="1"/>
  <c r="AS307" i="1"/>
  <c r="AT307" i="1"/>
  <c r="AU307" i="1"/>
  <c r="AV307" i="1"/>
  <c r="AW307" i="1"/>
  <c r="AX307" i="1"/>
  <c r="AY307" i="1"/>
  <c r="AZ307" i="1"/>
  <c r="BA307" i="1"/>
  <c r="BB307" i="1"/>
  <c r="BC307" i="1"/>
  <c r="BE307" i="1"/>
  <c r="BF307" i="1"/>
  <c r="BH307" i="1"/>
  <c r="BI307" i="1"/>
  <c r="BJ307" i="1"/>
  <c r="BK307" i="1"/>
  <c r="BL307" i="1"/>
  <c r="BM307" i="1"/>
  <c r="BN307" i="1"/>
  <c r="BO307" i="1"/>
  <c r="AF308" i="1" l="1"/>
  <c r="AZ308" i="1"/>
  <c r="AG308" i="1"/>
  <c r="AM308" i="1"/>
  <c r="AN308" i="1"/>
  <c r="AV308" i="1"/>
  <c r="AK308" i="1"/>
  <c r="AJ308" i="1"/>
  <c r="AU308" i="1"/>
  <c r="BM308" i="1"/>
  <c r="BI308" i="1"/>
  <c r="AS308" i="1"/>
  <c r="AB308" i="1"/>
  <c r="BC308" i="1"/>
  <c r="BE308" i="1"/>
  <c r="AA308" i="1"/>
  <c r="BL308" i="1"/>
  <c r="BK308" i="1"/>
  <c r="AW308" i="1"/>
  <c r="BH308" i="1"/>
  <c r="BO308" i="1"/>
  <c r="AY308" i="1"/>
  <c r="AQ308" i="1"/>
  <c r="AE308" i="1"/>
  <c r="BF308" i="1"/>
  <c r="AD308" i="1"/>
  <c r="BN308" i="1"/>
  <c r="BB308" i="1"/>
  <c r="AT308" i="1"/>
  <c r="AP308" i="1"/>
  <c r="AH308" i="1"/>
  <c r="BQ178" i="1"/>
  <c r="BR178" i="1"/>
  <c r="BQ177" i="1"/>
  <c r="BR177" i="1"/>
  <c r="BQ176" i="1"/>
  <c r="BR176" i="1"/>
  <c r="BQ175" i="1"/>
  <c r="BR175" i="1"/>
  <c r="BQ174" i="1"/>
  <c r="BR174" i="1"/>
  <c r="BQ173" i="1"/>
  <c r="BR173" i="1"/>
  <c r="BQ172" i="1"/>
  <c r="BR172" i="1"/>
  <c r="BQ171" i="1"/>
  <c r="BR171" i="1"/>
  <c r="BQ170" i="1"/>
  <c r="BR170" i="1"/>
  <c r="BQ169" i="1"/>
  <c r="BR169" i="1"/>
  <c r="J147" i="6"/>
  <c r="K147" i="6"/>
  <c r="J85" i="6"/>
  <c r="K85" i="6"/>
  <c r="J86" i="6"/>
  <c r="K86" i="6"/>
  <c r="G85" i="6"/>
  <c r="H85" i="6"/>
  <c r="P85" i="6"/>
  <c r="P84" i="6" s="1"/>
  <c r="P83" i="6" s="1"/>
  <c r="P82" i="6" s="1"/>
  <c r="Q85" i="6"/>
  <c r="Q84" i="6" s="1"/>
  <c r="Q83" i="6" s="1"/>
  <c r="Q82" i="6" s="1"/>
  <c r="J84" i="6" l="1"/>
  <c r="J83" i="6" s="1"/>
  <c r="J82" i="6" s="1"/>
  <c r="K84" i="6"/>
  <c r="K83" i="6" s="1"/>
  <c r="K82" i="6" s="1"/>
  <c r="Z300" i="1"/>
  <c r="BG300" i="1"/>
  <c r="BG299" i="1"/>
  <c r="BG297" i="1"/>
  <c r="Z296" i="1"/>
  <c r="BG295" i="1"/>
  <c r="BQ83" i="1"/>
  <c r="BR83" i="1"/>
  <c r="BG294" i="1" l="1"/>
  <c r="Z293" i="1"/>
  <c r="Z307" i="1" s="1"/>
  <c r="BP90" i="1" l="1"/>
  <c r="BQ90" i="1"/>
  <c r="BR90" i="1"/>
  <c r="BP91" i="1"/>
  <c r="BQ91" i="1"/>
  <c r="BR91" i="1"/>
  <c r="BQ92" i="1"/>
  <c r="BR92" i="1"/>
  <c r="BP93" i="1"/>
  <c r="BQ93" i="1"/>
  <c r="BR93" i="1"/>
  <c r="BP94" i="1"/>
  <c r="BQ94" i="1"/>
  <c r="BR94" i="1"/>
  <c r="BP95" i="1"/>
  <c r="BQ95" i="1"/>
  <c r="BR95" i="1"/>
  <c r="BP96" i="1"/>
  <c r="BQ96" i="1"/>
  <c r="BR96" i="1"/>
  <c r="BP97" i="1"/>
  <c r="BQ97" i="1"/>
  <c r="BR97" i="1"/>
  <c r="BP98" i="1"/>
  <c r="BQ98" i="1"/>
  <c r="BR98" i="1"/>
  <c r="BP99" i="1"/>
  <c r="BQ99" i="1"/>
  <c r="BR99" i="1"/>
  <c r="BP100" i="1"/>
  <c r="BQ100" i="1"/>
  <c r="BR100" i="1"/>
  <c r="BP101" i="1"/>
  <c r="BQ101" i="1"/>
  <c r="BR101" i="1"/>
  <c r="BP102" i="1"/>
  <c r="BQ102" i="1"/>
  <c r="BR102" i="1"/>
  <c r="BP103" i="1"/>
  <c r="BQ103" i="1"/>
  <c r="BR103" i="1"/>
  <c r="BP104" i="1"/>
  <c r="BQ104" i="1"/>
  <c r="BR104" i="1"/>
  <c r="BP105" i="1"/>
  <c r="BQ105" i="1"/>
  <c r="BR105" i="1"/>
  <c r="BP106" i="1"/>
  <c r="BQ106" i="1"/>
  <c r="BR106" i="1"/>
  <c r="BP107" i="1"/>
  <c r="BQ107" i="1"/>
  <c r="BR107" i="1"/>
  <c r="BP108" i="1"/>
  <c r="BQ108" i="1"/>
  <c r="BR108" i="1"/>
  <c r="BP109" i="1"/>
  <c r="BQ109" i="1"/>
  <c r="BR109" i="1"/>
  <c r="BP110" i="1"/>
  <c r="BQ110" i="1"/>
  <c r="BR110" i="1"/>
  <c r="BP111" i="1"/>
  <c r="BQ111" i="1"/>
  <c r="BR111" i="1"/>
  <c r="BP112" i="1"/>
  <c r="BQ112" i="1"/>
  <c r="BR112" i="1"/>
  <c r="BP113" i="1"/>
  <c r="BQ113" i="1"/>
  <c r="BR113" i="1"/>
  <c r="BQ114" i="1"/>
  <c r="BR114" i="1"/>
  <c r="BQ115" i="1"/>
  <c r="BR115" i="1"/>
  <c r="BQ116" i="1"/>
  <c r="BR116" i="1"/>
  <c r="BQ117" i="1"/>
  <c r="BR117" i="1"/>
  <c r="BP118" i="1"/>
  <c r="BQ118" i="1"/>
  <c r="BR118" i="1"/>
  <c r="BP119" i="1"/>
  <c r="BQ119" i="1"/>
  <c r="BR119" i="1"/>
  <c r="BP120" i="1"/>
  <c r="BQ120" i="1"/>
  <c r="BR120" i="1"/>
  <c r="BP121" i="1"/>
  <c r="BQ121" i="1"/>
  <c r="BR121" i="1"/>
  <c r="BP122" i="1"/>
  <c r="BQ122" i="1"/>
  <c r="BR122" i="1"/>
  <c r="BP123" i="1"/>
  <c r="BQ123" i="1"/>
  <c r="BR123" i="1"/>
  <c r="BP124" i="1"/>
  <c r="BQ124" i="1"/>
  <c r="BR124" i="1"/>
  <c r="BP125" i="1"/>
  <c r="BQ125" i="1"/>
  <c r="BR125" i="1"/>
  <c r="BP126" i="1"/>
  <c r="BQ126" i="1"/>
  <c r="BR126" i="1"/>
  <c r="BR40" i="1" l="1"/>
  <c r="BR41" i="1"/>
  <c r="BR42" i="1"/>
  <c r="BR43" i="1"/>
  <c r="BQ43" i="1"/>
  <c r="BD288" i="1" l="1"/>
  <c r="AX306" i="1"/>
  <c r="AX308" i="1" s="1"/>
  <c r="BD132" i="1"/>
  <c r="BJ243" i="1" l="1"/>
  <c r="BP243" i="1" s="1"/>
  <c r="AL239" i="1"/>
  <c r="BP197" i="1"/>
  <c r="BD161" i="1"/>
  <c r="BD151" i="1"/>
  <c r="BP151" i="1" s="1"/>
  <c r="BD138" i="1"/>
  <c r="BP127" i="1"/>
  <c r="BP289" i="1" l="1"/>
  <c r="BQ138" i="1"/>
  <c r="F212" i="6" l="1"/>
  <c r="J199" i="6"/>
  <c r="K199" i="6"/>
  <c r="J200" i="6"/>
  <c r="K200" i="6"/>
  <c r="J205" i="6"/>
  <c r="K205" i="6"/>
  <c r="J203" i="6"/>
  <c r="K203" i="6"/>
  <c r="I203" i="6"/>
  <c r="I200" i="6"/>
  <c r="I199" i="6"/>
  <c r="G205" i="6"/>
  <c r="H205" i="6"/>
  <c r="G203" i="6"/>
  <c r="H203" i="6"/>
  <c r="G199" i="6"/>
  <c r="H199" i="6"/>
  <c r="G200" i="6"/>
  <c r="H200" i="6"/>
  <c r="F203" i="6"/>
  <c r="F200" i="6"/>
  <c r="F199" i="6"/>
  <c r="P191" i="6"/>
  <c r="Q191" i="6"/>
  <c r="P192" i="6"/>
  <c r="Q192" i="6"/>
  <c r="O192" i="6"/>
  <c r="O191" i="6"/>
  <c r="M191" i="6"/>
  <c r="N191" i="6"/>
  <c r="M192" i="6"/>
  <c r="N192" i="6"/>
  <c r="L192" i="6"/>
  <c r="J191" i="6"/>
  <c r="K191" i="6"/>
  <c r="J192" i="6"/>
  <c r="K192" i="6"/>
  <c r="I191" i="6"/>
  <c r="G191" i="6"/>
  <c r="H191" i="6"/>
  <c r="G192" i="6"/>
  <c r="H192" i="6"/>
  <c r="F192" i="6"/>
  <c r="F191" i="6"/>
  <c r="F182" i="6"/>
  <c r="G174" i="6"/>
  <c r="H174" i="6"/>
  <c r="G175" i="6"/>
  <c r="H175" i="6"/>
  <c r="F175" i="6"/>
  <c r="G178" i="6"/>
  <c r="H178" i="6"/>
  <c r="G179" i="6"/>
  <c r="H179" i="6"/>
  <c r="F179" i="6"/>
  <c r="S165" i="6"/>
  <c r="T165" i="6"/>
  <c r="S166" i="6"/>
  <c r="T166" i="6"/>
  <c r="S167" i="6"/>
  <c r="T167" i="6"/>
  <c r="R167" i="6"/>
  <c r="R166" i="6"/>
  <c r="P165" i="6"/>
  <c r="Q165" i="6"/>
  <c r="P166" i="6"/>
  <c r="Q166" i="6"/>
  <c r="P167" i="6"/>
  <c r="Q167" i="6"/>
  <c r="M165" i="6"/>
  <c r="N165" i="6"/>
  <c r="M166" i="6"/>
  <c r="N166" i="6"/>
  <c r="M167" i="6"/>
  <c r="N167" i="6"/>
  <c r="L166" i="6"/>
  <c r="J165" i="6"/>
  <c r="K165" i="6"/>
  <c r="J166" i="6"/>
  <c r="K166" i="6"/>
  <c r="J167" i="6"/>
  <c r="K167" i="6"/>
  <c r="G165" i="6"/>
  <c r="H165" i="6"/>
  <c r="G166" i="6"/>
  <c r="H166" i="6"/>
  <c r="G167" i="6"/>
  <c r="H167" i="6"/>
  <c r="J157" i="6"/>
  <c r="K157" i="6"/>
  <c r="J158" i="6"/>
  <c r="K158" i="6"/>
  <c r="J154" i="6"/>
  <c r="K154" i="6"/>
  <c r="J152" i="6"/>
  <c r="K152" i="6"/>
  <c r="I152" i="6"/>
  <c r="J148" i="6"/>
  <c r="K148" i="6"/>
  <c r="J149" i="6"/>
  <c r="K149" i="6"/>
  <c r="J145" i="6"/>
  <c r="K145" i="6"/>
  <c r="I145" i="6"/>
  <c r="J143" i="6"/>
  <c r="K143" i="6"/>
  <c r="G149" i="6"/>
  <c r="H149" i="6"/>
  <c r="Z132" i="6"/>
  <c r="AA132" i="6"/>
  <c r="Y132" i="6"/>
  <c r="W132" i="6"/>
  <c r="X132" i="6"/>
  <c r="V132" i="6"/>
  <c r="T132" i="6"/>
  <c r="U132" i="6"/>
  <c r="T133" i="6"/>
  <c r="U133" i="6"/>
  <c r="T136" i="6"/>
  <c r="U136" i="6"/>
  <c r="S136" i="6"/>
  <c r="S133" i="6"/>
  <c r="P132" i="6"/>
  <c r="Q132" i="6"/>
  <c r="O132" i="6"/>
  <c r="M132" i="6"/>
  <c r="N132" i="6"/>
  <c r="L132" i="6"/>
  <c r="J132" i="6"/>
  <c r="K132" i="6"/>
  <c r="F133" i="6"/>
  <c r="G132" i="6"/>
  <c r="H132" i="6"/>
  <c r="G136" i="6"/>
  <c r="H136" i="6"/>
  <c r="F136" i="6"/>
  <c r="F132" i="6"/>
  <c r="I103" i="6"/>
  <c r="I102" i="6"/>
  <c r="G113" i="6"/>
  <c r="H113" i="6"/>
  <c r="G114" i="6"/>
  <c r="H114" i="6"/>
  <c r="G115" i="6"/>
  <c r="H115" i="6"/>
  <c r="G116" i="6"/>
  <c r="H116" i="6"/>
  <c r="G117" i="6"/>
  <c r="H117" i="6"/>
  <c r="F117" i="6"/>
  <c r="F116" i="6"/>
  <c r="F115" i="6"/>
  <c r="F113" i="6"/>
  <c r="G110" i="6"/>
  <c r="H110" i="6"/>
  <c r="F110" i="6"/>
  <c r="G102" i="6"/>
  <c r="H102" i="6"/>
  <c r="G103" i="6"/>
  <c r="H103" i="6"/>
  <c r="G104" i="6"/>
  <c r="H104" i="6"/>
  <c r="G105" i="6"/>
  <c r="H105" i="6"/>
  <c r="G106" i="6"/>
  <c r="H106" i="6"/>
  <c r="G107" i="6"/>
  <c r="H107" i="6"/>
  <c r="G108" i="6"/>
  <c r="H108" i="6"/>
  <c r="F108" i="6"/>
  <c r="F107" i="6"/>
  <c r="F106" i="6"/>
  <c r="F105" i="6"/>
  <c r="F104" i="6"/>
  <c r="F103" i="6"/>
  <c r="F35" i="6"/>
  <c r="J93" i="6"/>
  <c r="K93" i="6"/>
  <c r="G95" i="6"/>
  <c r="H95" i="6"/>
  <c r="G93" i="6"/>
  <c r="H93" i="6"/>
  <c r="O85" i="6"/>
  <c r="O84" i="6" s="1"/>
  <c r="O83" i="6" s="1"/>
  <c r="O82" i="6" s="1"/>
  <c r="I86" i="6"/>
  <c r="G86" i="6"/>
  <c r="H86" i="6"/>
  <c r="F86" i="6"/>
  <c r="J61" i="6"/>
  <c r="K61" i="6"/>
  <c r="J62" i="6"/>
  <c r="K62" i="6"/>
  <c r="J63" i="6"/>
  <c r="K63" i="6"/>
  <c r="J65" i="6"/>
  <c r="J64" i="6" s="1"/>
  <c r="K65" i="6"/>
  <c r="K64" i="6" s="1"/>
  <c r="J67" i="6"/>
  <c r="K67" i="6"/>
  <c r="J68" i="6"/>
  <c r="K68" i="6"/>
  <c r="J70" i="6"/>
  <c r="J69" i="6" s="1"/>
  <c r="K70" i="6"/>
  <c r="K69" i="6" s="1"/>
  <c r="J73" i="6"/>
  <c r="J72" i="6" s="1"/>
  <c r="K73" i="6"/>
  <c r="K72" i="6" s="1"/>
  <c r="J75" i="6"/>
  <c r="J74" i="6" s="1"/>
  <c r="K75" i="6"/>
  <c r="K74" i="6" s="1"/>
  <c r="J78" i="6"/>
  <c r="J77" i="6" s="1"/>
  <c r="J76" i="6" s="1"/>
  <c r="K78" i="6"/>
  <c r="K77" i="6" s="1"/>
  <c r="K76" i="6" s="1"/>
  <c r="I63" i="6"/>
  <c r="G70" i="6"/>
  <c r="H70" i="6"/>
  <c r="J47" i="6"/>
  <c r="K47" i="6"/>
  <c r="I47" i="6"/>
  <c r="S45" i="6"/>
  <c r="T45" i="6"/>
  <c r="R45" i="6"/>
  <c r="R30" i="6"/>
  <c r="R29" i="6" s="1"/>
  <c r="S30" i="6"/>
  <c r="S29" i="6" s="1"/>
  <c r="T30" i="6"/>
  <c r="T29" i="6" s="1"/>
  <c r="P31" i="6"/>
  <c r="Q31" i="6"/>
  <c r="P33" i="6"/>
  <c r="Q33" i="6"/>
  <c r="P34" i="6"/>
  <c r="Q34" i="6"/>
  <c r="P37" i="6"/>
  <c r="Q37" i="6"/>
  <c r="P38" i="6"/>
  <c r="Q38" i="6"/>
  <c r="P45" i="6"/>
  <c r="P44" i="6" s="1"/>
  <c r="Q45" i="6"/>
  <c r="P47" i="6"/>
  <c r="P46" i="6" s="1"/>
  <c r="Q47" i="6"/>
  <c r="Q46" i="6" s="1"/>
  <c r="P49" i="6"/>
  <c r="Q49" i="6"/>
  <c r="P50" i="6"/>
  <c r="Q50" i="6"/>
  <c r="P53" i="6"/>
  <c r="Q53" i="6"/>
  <c r="P54" i="6"/>
  <c r="Q54" i="6"/>
  <c r="O54" i="6"/>
  <c r="O50" i="6"/>
  <c r="O49" i="6"/>
  <c r="O47" i="6"/>
  <c r="O45" i="6"/>
  <c r="M50" i="6"/>
  <c r="N50" i="6"/>
  <c r="J24" i="6"/>
  <c r="J23" i="6" s="1"/>
  <c r="J22" i="6" s="1"/>
  <c r="J21" i="6" s="1"/>
  <c r="K24" i="6"/>
  <c r="K23" i="6" s="1"/>
  <c r="K22" i="6" s="1"/>
  <c r="K21" i="6" s="1"/>
  <c r="G24" i="6"/>
  <c r="G23" i="6" s="1"/>
  <c r="G22" i="6" s="1"/>
  <c r="G21" i="6" s="1"/>
  <c r="H24" i="6"/>
  <c r="H23" i="6" s="1"/>
  <c r="H22" i="6" s="1"/>
  <c r="H21" i="6" s="1"/>
  <c r="F49" i="6"/>
  <c r="F39" i="6"/>
  <c r="F16" i="5"/>
  <c r="G16" i="5"/>
  <c r="F17" i="5"/>
  <c r="G17" i="5"/>
  <c r="F24" i="6"/>
  <c r="P30" i="6" l="1"/>
  <c r="V31" i="6"/>
  <c r="Q36" i="6"/>
  <c r="W37" i="6"/>
  <c r="Q32" i="6"/>
  <c r="W33" i="6"/>
  <c r="P36" i="6"/>
  <c r="V37" i="6"/>
  <c r="P32" i="6"/>
  <c r="V33" i="6"/>
  <c r="Q30" i="6"/>
  <c r="W31" i="6"/>
  <c r="N149" i="6"/>
  <c r="H84" i="6"/>
  <c r="H83" i="6" s="1"/>
  <c r="H82" i="6" s="1"/>
  <c r="T86" i="6"/>
  <c r="G84" i="6"/>
  <c r="G83" i="6" s="1"/>
  <c r="G82" i="6" s="1"/>
  <c r="S86" i="6"/>
  <c r="H173" i="6"/>
  <c r="H172" i="6" s="1"/>
  <c r="P52" i="6"/>
  <c r="P51" i="6" s="1"/>
  <c r="P48" i="6"/>
  <c r="P43" i="6" s="1"/>
  <c r="P164" i="6"/>
  <c r="P163" i="6" s="1"/>
  <c r="P162" i="6" s="1"/>
  <c r="G173" i="6"/>
  <c r="G172" i="6" s="1"/>
  <c r="K66" i="6"/>
  <c r="W45" i="6"/>
  <c r="W44" i="6" s="1"/>
  <c r="M164" i="6"/>
  <c r="M163" i="6" s="1"/>
  <c r="M162" i="6" s="1"/>
  <c r="Q164" i="6"/>
  <c r="Q163" i="6" s="1"/>
  <c r="Q162" i="6" s="1"/>
  <c r="S164" i="6"/>
  <c r="S163" i="6" s="1"/>
  <c r="S162" i="6" s="1"/>
  <c r="T164" i="6"/>
  <c r="T163" i="6" s="1"/>
  <c r="T162" i="6" s="1"/>
  <c r="M24" i="6"/>
  <c r="M23" i="6" s="1"/>
  <c r="M22" i="6" s="1"/>
  <c r="M21" i="6" s="1"/>
  <c r="N24" i="6"/>
  <c r="N23" i="6" s="1"/>
  <c r="N22" i="6" s="1"/>
  <c r="N21" i="6" s="1"/>
  <c r="G15" i="5"/>
  <c r="G14" i="5" s="1"/>
  <c r="F15" i="5"/>
  <c r="F14" i="5" s="1"/>
  <c r="F13" i="5" s="1"/>
  <c r="G4" i="11" s="1"/>
  <c r="L4" i="11" s="1"/>
  <c r="V45" i="6"/>
  <c r="V44" i="6" s="1"/>
  <c r="N164" i="6"/>
  <c r="N163" i="6" s="1"/>
  <c r="N162" i="6" s="1"/>
  <c r="Q52" i="6"/>
  <c r="Q51" i="6" s="1"/>
  <c r="Q48" i="6"/>
  <c r="Q44" i="6"/>
  <c r="J66" i="6"/>
  <c r="K60" i="6"/>
  <c r="J60" i="6"/>
  <c r="K71" i="6"/>
  <c r="J71" i="6"/>
  <c r="G13" i="5" l="1"/>
  <c r="I4" i="11" s="1"/>
  <c r="J4" i="11" s="1"/>
  <c r="Q29" i="6"/>
  <c r="P29" i="6"/>
  <c r="P28" i="6" s="1"/>
  <c r="K59" i="6"/>
  <c r="K58" i="6" s="1"/>
  <c r="Q43" i="6"/>
  <c r="J59" i="6"/>
  <c r="J58" i="6" s="1"/>
  <c r="BQ24" i="1"/>
  <c r="BR24" i="1"/>
  <c r="BG286" i="1"/>
  <c r="BD264" i="1"/>
  <c r="BD263" i="1"/>
  <c r="AO220" i="1"/>
  <c r="Q28" i="6" l="1"/>
  <c r="L165" i="6"/>
  <c r="L191" i="6"/>
  <c r="BP202" i="1"/>
  <c r="AL236" i="1"/>
  <c r="AL235" i="1"/>
  <c r="AL229" i="1"/>
  <c r="AL228" i="1"/>
  <c r="AL207" i="1"/>
  <c r="BP206" i="1"/>
  <c r="AL205" i="1"/>
  <c r="BR166" i="1"/>
  <c r="BQ166" i="1"/>
  <c r="BR167" i="1"/>
  <c r="BQ167" i="1"/>
  <c r="BR168" i="1"/>
  <c r="BQ168" i="1"/>
  <c r="BR179" i="1"/>
  <c r="BQ179" i="1"/>
  <c r="BQ180" i="1"/>
  <c r="BR180" i="1"/>
  <c r="BR181" i="1"/>
  <c r="BR182" i="1"/>
  <c r="BQ181" i="1"/>
  <c r="BQ182" i="1"/>
  <c r="BQ183" i="1"/>
  <c r="BQ184" i="1"/>
  <c r="BQ185" i="1"/>
  <c r="BR187" i="1"/>
  <c r="BQ187" i="1"/>
  <c r="BR188" i="1"/>
  <c r="BQ188" i="1"/>
  <c r="BR189" i="1"/>
  <c r="BQ189" i="1"/>
  <c r="BR190" i="1"/>
  <c r="BQ190" i="1"/>
  <c r="BR191" i="1"/>
  <c r="BQ191" i="1"/>
  <c r="BR192" i="1"/>
  <c r="BQ192" i="1"/>
  <c r="BR194" i="1"/>
  <c r="BQ194" i="1"/>
  <c r="BR195" i="1"/>
  <c r="BQ195" i="1"/>
  <c r="BR196" i="1"/>
  <c r="BQ196" i="1"/>
  <c r="BP196" i="1"/>
  <c r="BR197" i="1"/>
  <c r="BQ197" i="1"/>
  <c r="BR199" i="1"/>
  <c r="BR200" i="1"/>
  <c r="BQ199" i="1"/>
  <c r="BQ200" i="1"/>
  <c r="BP198" i="1"/>
  <c r="BD200" i="1"/>
  <c r="BP200" i="1" s="1"/>
  <c r="BD189" i="1"/>
  <c r="BD175" i="1"/>
  <c r="BD174" i="1"/>
  <c r="BD172" i="1"/>
  <c r="BD171" i="1"/>
  <c r="BD166" i="1"/>
  <c r="BP162" i="1"/>
  <c r="BP161" i="1"/>
  <c r="BP160" i="1"/>
  <c r="BP159" i="1"/>
  <c r="BP154" i="1"/>
  <c r="BP150" i="1"/>
  <c r="BP149" i="1"/>
  <c r="BP148" i="1"/>
  <c r="BP147" i="1"/>
  <c r="BP141" i="1"/>
  <c r="BP138" i="1"/>
  <c r="BP134" i="1"/>
  <c r="BP132" i="1"/>
  <c r="BQ164" i="1"/>
  <c r="BQ158" i="1"/>
  <c r="BR157" i="1"/>
  <c r="BR155" i="1"/>
  <c r="BQ155" i="1"/>
  <c r="BQ154" i="1"/>
  <c r="BR152" i="1"/>
  <c r="BQ152" i="1"/>
  <c r="BQ151" i="1"/>
  <c r="BQ149" i="1"/>
  <c r="BR147" i="1"/>
  <c r="BQ147" i="1"/>
  <c r="BR144" i="1"/>
  <c r="BQ144" i="1"/>
  <c r="BQ143" i="1"/>
  <c r="BR137" i="1"/>
  <c r="BQ137" i="1"/>
  <c r="BR135" i="1"/>
  <c r="BQ135" i="1"/>
  <c r="BR130" i="1"/>
  <c r="BD163" i="1"/>
  <c r="BP163" i="1" s="1"/>
  <c r="BD153" i="1"/>
  <c r="BP153" i="1" s="1"/>
  <c r="BP152" i="1"/>
  <c r="BD140" i="1"/>
  <c r="BP140" i="1" s="1"/>
  <c r="BP137" i="1"/>
  <c r="I143" i="6" l="1"/>
  <c r="O167" i="6"/>
  <c r="G117" i="5"/>
  <c r="F136" i="5"/>
  <c r="F117" i="5"/>
  <c r="G134" i="5"/>
  <c r="G133" i="5" s="1"/>
  <c r="F130" i="5"/>
  <c r="G136" i="5"/>
  <c r="F127" i="5"/>
  <c r="F126" i="5" s="1"/>
  <c r="F125" i="5"/>
  <c r="F134" i="5"/>
  <c r="F133" i="5" s="1"/>
  <c r="G127" i="5"/>
  <c r="G126" i="5" s="1"/>
  <c r="G125" i="5"/>
  <c r="BP164" i="1"/>
  <c r="BP136" i="1"/>
  <c r="E117" i="5" l="1"/>
  <c r="G124" i="5"/>
  <c r="G135" i="5"/>
  <c r="G132" i="5" s="1"/>
  <c r="F135" i="5"/>
  <c r="F132" i="5" s="1"/>
  <c r="F124" i="5"/>
  <c r="BP135" i="1"/>
  <c r="BD88" i="1" l="1"/>
  <c r="O31" i="6"/>
  <c r="BD21" i="1"/>
  <c r="BD20" i="1"/>
  <c r="BD18" i="1"/>
  <c r="BP16" i="1"/>
  <c r="BP15" i="1"/>
  <c r="E11" i="5"/>
  <c r="BD8" i="1"/>
  <c r="L86" i="6" l="1"/>
  <c r="R86" i="6" s="1"/>
  <c r="BP85" i="1"/>
  <c r="F95" i="6"/>
  <c r="BP67" i="1"/>
  <c r="BD291" i="1"/>
  <c r="I192" i="6" l="1"/>
  <c r="BD307" i="1"/>
  <c r="BR288" i="1"/>
  <c r="BR291" i="1" l="1"/>
  <c r="BQ291" i="1"/>
  <c r="F167" i="6" l="1"/>
  <c r="BR299" i="1" l="1"/>
  <c r="BQ292" i="1"/>
  <c r="BR292" i="1"/>
  <c r="BQ293" i="1"/>
  <c r="BR293" i="1"/>
  <c r="BQ294" i="1"/>
  <c r="BR294" i="1"/>
  <c r="BQ295" i="1"/>
  <c r="BR295" i="1"/>
  <c r="BQ296" i="1"/>
  <c r="BR296" i="1"/>
  <c r="BQ297" i="1"/>
  <c r="BR297" i="1"/>
  <c r="BQ298" i="1"/>
  <c r="BR298" i="1"/>
  <c r="BQ299" i="1"/>
  <c r="BQ300" i="1"/>
  <c r="BR300" i="1"/>
  <c r="BQ301" i="1"/>
  <c r="BR301" i="1"/>
  <c r="G32" i="12" l="1"/>
  <c r="E29" i="12"/>
  <c r="G29" i="12"/>
  <c r="E33" i="12"/>
  <c r="G33" i="12"/>
  <c r="G178" i="5"/>
  <c r="G173" i="5"/>
  <c r="F178" i="5"/>
  <c r="F173" i="5"/>
  <c r="G180" i="5"/>
  <c r="G175" i="5"/>
  <c r="F180" i="5"/>
  <c r="F175" i="5"/>
  <c r="F179" i="5" l="1"/>
  <c r="G174" i="5"/>
  <c r="F174" i="5"/>
  <c r="F172" i="5"/>
  <c r="F177" i="5"/>
  <c r="G172" i="5"/>
  <c r="G179" i="5"/>
  <c r="G177" i="5"/>
  <c r="Z131" i="6"/>
  <c r="Z130" i="6" s="1"/>
  <c r="Z129" i="6" s="1"/>
  <c r="AA131" i="6"/>
  <c r="AA130" i="6" s="1"/>
  <c r="AA129" i="6" s="1"/>
  <c r="S44" i="6"/>
  <c r="S43" i="6" s="1"/>
  <c r="S28" i="6" s="1"/>
  <c r="T44" i="6"/>
  <c r="T43" i="6" s="1"/>
  <c r="T28" i="6" s="1"/>
  <c r="I109" i="6"/>
  <c r="J109" i="6"/>
  <c r="K109" i="6"/>
  <c r="I112" i="6"/>
  <c r="I111" i="6" s="1"/>
  <c r="J112" i="6"/>
  <c r="J111" i="6" s="1"/>
  <c r="K112" i="6"/>
  <c r="K111" i="6" s="1"/>
  <c r="F176" i="5" l="1"/>
  <c r="F171" i="5"/>
  <c r="G171" i="5"/>
  <c r="G176" i="5"/>
  <c r="H29" i="12"/>
  <c r="BG296" i="1"/>
  <c r="BG307" i="1" s="1"/>
  <c r="G170" i="5" l="1"/>
  <c r="I18" i="11" s="1"/>
  <c r="F170" i="5"/>
  <c r="G18" i="11" s="1"/>
  <c r="L18" i="11" s="1"/>
  <c r="F205" i="6"/>
  <c r="I205" i="6"/>
  <c r="BD187" i="1"/>
  <c r="BD186" i="1"/>
  <c r="I149" i="6" s="1"/>
  <c r="J18" i="11" l="1"/>
  <c r="G91" i="5"/>
  <c r="F91" i="5"/>
  <c r="E91" i="5"/>
  <c r="I101" i="6" l="1"/>
  <c r="I100" i="6" s="1"/>
  <c r="I99" i="6" s="1"/>
  <c r="J101" i="6"/>
  <c r="J100" i="6" s="1"/>
  <c r="J99" i="6" s="1"/>
  <c r="K101" i="6"/>
  <c r="K100" i="6" s="1"/>
  <c r="K99" i="6" s="1"/>
  <c r="BQ290" i="1"/>
  <c r="BR290" i="1"/>
  <c r="G168" i="5" l="1"/>
  <c r="F168" i="5"/>
  <c r="E20" i="11"/>
  <c r="K16" i="11"/>
  <c r="C34" i="11" l="1"/>
  <c r="C28" i="11"/>
  <c r="E16" i="11"/>
  <c r="E22" i="11" l="1"/>
  <c r="C48" i="11" s="1"/>
  <c r="C25" i="11"/>
  <c r="R165" i="6" l="1"/>
  <c r="BP282" i="1" l="1"/>
  <c r="BQ282" i="1"/>
  <c r="BR282" i="1"/>
  <c r="BP190" i="1" l="1"/>
  <c r="F149" i="6"/>
  <c r="BQ23" i="1"/>
  <c r="BR23" i="1"/>
  <c r="BQ22" i="1"/>
  <c r="BR22" i="1"/>
  <c r="BQ21" i="1"/>
  <c r="BR21" i="1"/>
  <c r="BQ20" i="1"/>
  <c r="BR20" i="1"/>
  <c r="BQ19" i="1"/>
  <c r="BR19" i="1"/>
  <c r="BQ18" i="1"/>
  <c r="BR18" i="1"/>
  <c r="BQ17" i="1"/>
  <c r="BQ16" i="1"/>
  <c r="BR16" i="1"/>
  <c r="BQ15" i="1"/>
  <c r="BR15" i="1"/>
  <c r="BQ14" i="1"/>
  <c r="BR14" i="1"/>
  <c r="BQ13" i="1"/>
  <c r="BR12" i="1"/>
  <c r="BQ12" i="1"/>
  <c r="BR17" i="1"/>
  <c r="BR13" i="1"/>
  <c r="H16" i="6" l="1"/>
  <c r="H17" i="6"/>
  <c r="G17" i="6"/>
  <c r="G16" i="6"/>
  <c r="I24" i="6" l="1"/>
  <c r="L24" i="6" s="1"/>
  <c r="L23" i="6" s="1"/>
  <c r="L22" i="6" s="1"/>
  <c r="L21" i="6" s="1"/>
  <c r="BJ306" i="1"/>
  <c r="H15" i="6"/>
  <c r="H14" i="6" s="1"/>
  <c r="H13" i="6" s="1"/>
  <c r="G15" i="6"/>
  <c r="G14" i="6" s="1"/>
  <c r="G13" i="6" s="1"/>
  <c r="BD277" i="1"/>
  <c r="F178" i="6"/>
  <c r="BD266" i="1"/>
  <c r="F174" i="6" s="1"/>
  <c r="BJ308" i="1" l="1"/>
  <c r="AO254" i="1"/>
  <c r="AO306" i="1" s="1"/>
  <c r="AO308" i="1" s="1"/>
  <c r="BD192" i="1"/>
  <c r="I154" i="6" s="1"/>
  <c r="BD185" i="1"/>
  <c r="BD182" i="1"/>
  <c r="BD176" i="1"/>
  <c r="BD169" i="1"/>
  <c r="I147" i="6" s="1"/>
  <c r="AL306" i="1" l="1"/>
  <c r="AL308" i="1" s="1"/>
  <c r="F166" i="6"/>
  <c r="I148" i="6"/>
  <c r="F165" i="6"/>
  <c r="BD116" i="1"/>
  <c r="BP116" i="1" s="1"/>
  <c r="BG84" i="1"/>
  <c r="I73" i="6"/>
  <c r="I70" i="6"/>
  <c r="I68" i="6"/>
  <c r="I65" i="6"/>
  <c r="I62" i="6"/>
  <c r="I61" i="6"/>
  <c r="O53" i="6"/>
  <c r="O37" i="6"/>
  <c r="O33" i="6"/>
  <c r="F70" i="6" l="1"/>
  <c r="AC306" i="1"/>
  <c r="AC308" i="1" s="1"/>
  <c r="I93" i="6"/>
  <c r="BG306" i="1"/>
  <c r="BG308" i="1" s="1"/>
  <c r="F102" i="6"/>
  <c r="BP92" i="1"/>
  <c r="I78" i="6"/>
  <c r="I67" i="6"/>
  <c r="I75" i="6"/>
  <c r="F50" i="6" l="1"/>
  <c r="L50" i="6"/>
  <c r="BA306" i="1"/>
  <c r="BA308" i="1" s="1"/>
  <c r="BP12" i="1"/>
  <c r="E16" i="5"/>
  <c r="BQ201" i="1" l="1"/>
  <c r="BQ202" i="1"/>
  <c r="BR202" i="1"/>
  <c r="BQ203" i="1"/>
  <c r="BR203" i="1"/>
  <c r="BQ204" i="1"/>
  <c r="BR204" i="1"/>
  <c r="BQ205" i="1"/>
  <c r="BR205" i="1"/>
  <c r="BQ206" i="1"/>
  <c r="BR206" i="1"/>
  <c r="BQ207" i="1"/>
  <c r="BR207" i="1"/>
  <c r="BQ208" i="1"/>
  <c r="BR208" i="1"/>
  <c r="BQ209" i="1"/>
  <c r="BR209" i="1"/>
  <c r="BQ210" i="1"/>
  <c r="BR210" i="1"/>
  <c r="BQ211" i="1"/>
  <c r="BR211" i="1"/>
  <c r="BQ212" i="1"/>
  <c r="BR212" i="1"/>
  <c r="BQ213" i="1"/>
  <c r="BR213" i="1"/>
  <c r="BQ214" i="1"/>
  <c r="BR214" i="1"/>
  <c r="BQ215" i="1"/>
  <c r="BR215" i="1"/>
  <c r="BQ216" i="1"/>
  <c r="BR216" i="1"/>
  <c r="BQ217" i="1"/>
  <c r="BR217" i="1"/>
  <c r="BQ218" i="1"/>
  <c r="BR218" i="1"/>
  <c r="BQ219" i="1"/>
  <c r="BR219" i="1"/>
  <c r="BQ220" i="1"/>
  <c r="BR220" i="1"/>
  <c r="BQ221" i="1"/>
  <c r="BR221" i="1"/>
  <c r="BQ222" i="1"/>
  <c r="BR222" i="1"/>
  <c r="BQ223" i="1"/>
  <c r="BR223" i="1"/>
  <c r="BQ224" i="1"/>
  <c r="BR224" i="1"/>
  <c r="BQ225" i="1"/>
  <c r="BR225" i="1"/>
  <c r="BQ226" i="1"/>
  <c r="BR226" i="1"/>
  <c r="BQ227" i="1"/>
  <c r="BR227" i="1"/>
  <c r="BQ228" i="1"/>
  <c r="BR228" i="1"/>
  <c r="BQ229" i="1"/>
  <c r="BR229" i="1"/>
  <c r="BQ230" i="1"/>
  <c r="BR230" i="1"/>
  <c r="BQ231" i="1"/>
  <c r="BR231" i="1"/>
  <c r="BQ232" i="1"/>
  <c r="BQ233" i="1"/>
  <c r="BR233" i="1"/>
  <c r="BQ234" i="1"/>
  <c r="BR234" i="1"/>
  <c r="BQ235" i="1"/>
  <c r="BR235" i="1"/>
  <c r="BQ236" i="1"/>
  <c r="BR236" i="1"/>
  <c r="BQ237" i="1"/>
  <c r="BR237" i="1"/>
  <c r="BQ238" i="1"/>
  <c r="BR238" i="1"/>
  <c r="BQ239" i="1"/>
  <c r="BR239" i="1"/>
  <c r="BQ240" i="1"/>
  <c r="BR240" i="1"/>
  <c r="BQ241" i="1"/>
  <c r="BR241" i="1"/>
  <c r="BQ242" i="1"/>
  <c r="BR242" i="1"/>
  <c r="BQ243" i="1"/>
  <c r="BR243" i="1"/>
  <c r="BQ244" i="1"/>
  <c r="BR244" i="1"/>
  <c r="BQ245" i="1"/>
  <c r="BR245" i="1"/>
  <c r="BQ246" i="1"/>
  <c r="BR246" i="1"/>
  <c r="BQ247" i="1"/>
  <c r="BR247" i="1"/>
  <c r="BQ248" i="1"/>
  <c r="BR248" i="1"/>
  <c r="BQ249" i="1"/>
  <c r="BR249" i="1"/>
  <c r="BQ250" i="1"/>
  <c r="BR250" i="1"/>
  <c r="BQ252" i="1"/>
  <c r="BR252" i="1"/>
  <c r="BQ253" i="1"/>
  <c r="BR253" i="1"/>
  <c r="BR254" i="1"/>
  <c r="BQ255" i="1"/>
  <c r="BR255" i="1"/>
  <c r="BQ256" i="1"/>
  <c r="BQ257" i="1"/>
  <c r="BR257" i="1"/>
  <c r="BQ258" i="1"/>
  <c r="BR258" i="1"/>
  <c r="BQ259" i="1"/>
  <c r="BR259" i="1"/>
  <c r="BQ260" i="1"/>
  <c r="BR260" i="1"/>
  <c r="BQ261" i="1"/>
  <c r="BR261" i="1"/>
  <c r="G147" i="5" l="1"/>
  <c r="F147" i="5"/>
  <c r="G146" i="5"/>
  <c r="G145" i="5"/>
  <c r="F146" i="5"/>
  <c r="F145" i="5"/>
  <c r="F144" i="5" l="1"/>
  <c r="F143" i="5" s="1"/>
  <c r="F142" i="5" s="1"/>
  <c r="G14" i="11" s="1"/>
  <c r="L14" i="11" s="1"/>
  <c r="G144" i="5"/>
  <c r="G143" i="5" s="1"/>
  <c r="G142" i="5" s="1"/>
  <c r="I14" i="11" s="1"/>
  <c r="J14" i="11" l="1"/>
  <c r="BQ302" i="1"/>
  <c r="BQ303" i="1"/>
  <c r="BQ304" i="1"/>
  <c r="BQ305" i="1"/>
  <c r="E32" i="12" l="1"/>
  <c r="H32" i="12" s="1"/>
  <c r="F185" i="5"/>
  <c r="G185" i="5"/>
  <c r="J94" i="6"/>
  <c r="K94" i="6"/>
  <c r="G184" i="5" l="1"/>
  <c r="G183" i="5" s="1"/>
  <c r="G182" i="5" s="1"/>
  <c r="I19" i="11" s="1"/>
  <c r="F184" i="5"/>
  <c r="F183" i="5" s="1"/>
  <c r="F182" i="5" s="1"/>
  <c r="G19" i="11" s="1"/>
  <c r="L19" i="11" s="1"/>
  <c r="W136" i="6"/>
  <c r="W135" i="6" s="1"/>
  <c r="W134" i="6" s="1"/>
  <c r="X136" i="6"/>
  <c r="X135" i="6" s="1"/>
  <c r="X134" i="6" s="1"/>
  <c r="E31" i="12" l="1"/>
  <c r="J19" i="11"/>
  <c r="H33" i="12"/>
  <c r="G31" i="12"/>
  <c r="D144" i="10"/>
  <c r="F144" i="10"/>
  <c r="D156" i="10"/>
  <c r="F156" i="10"/>
  <c r="D157" i="10"/>
  <c r="F157" i="10"/>
  <c r="D164" i="10"/>
  <c r="F164" i="10"/>
  <c r="G144" i="6"/>
  <c r="H144" i="6"/>
  <c r="N148" i="6"/>
  <c r="G151" i="6"/>
  <c r="G158" i="6"/>
  <c r="H158" i="6"/>
  <c r="V136" i="6"/>
  <c r="V135" i="6" s="1"/>
  <c r="V134" i="6" s="1"/>
  <c r="G135" i="6"/>
  <c r="G134" i="6" s="1"/>
  <c r="H135" i="6"/>
  <c r="H134" i="6" s="1"/>
  <c r="J135" i="6"/>
  <c r="J134" i="6" s="1"/>
  <c r="K135" i="6"/>
  <c r="K134" i="6" s="1"/>
  <c r="M135" i="6"/>
  <c r="M134" i="6" s="1"/>
  <c r="N135" i="6"/>
  <c r="N134" i="6" s="1"/>
  <c r="P135" i="6"/>
  <c r="P134" i="6" s="1"/>
  <c r="Q135" i="6"/>
  <c r="Q134" i="6" s="1"/>
  <c r="M32" i="6"/>
  <c r="N32" i="6"/>
  <c r="M34" i="6"/>
  <c r="M36" i="6"/>
  <c r="N36" i="6"/>
  <c r="M38" i="6"/>
  <c r="N38" i="6"/>
  <c r="M46" i="6"/>
  <c r="N46" i="6"/>
  <c r="H31" i="12" l="1"/>
  <c r="G157" i="10"/>
  <c r="G144" i="10"/>
  <c r="G156" i="10"/>
  <c r="D163" i="10"/>
  <c r="F163" i="10"/>
  <c r="G164" i="10"/>
  <c r="V54" i="6"/>
  <c r="G46" i="6"/>
  <c r="V47" i="6"/>
  <c r="V46" i="6" s="1"/>
  <c r="G32" i="6"/>
  <c r="V32" i="6"/>
  <c r="H36" i="6"/>
  <c r="W36" i="6"/>
  <c r="G36" i="6"/>
  <c r="V36" i="6"/>
  <c r="W54" i="6"/>
  <c r="H46" i="6"/>
  <c r="W47" i="6"/>
  <c r="W46" i="6" s="1"/>
  <c r="H32" i="6"/>
  <c r="W32" i="6"/>
  <c r="E53" i="9"/>
  <c r="G53" i="9"/>
  <c r="G74" i="6"/>
  <c r="G72" i="6"/>
  <c r="G64" i="6"/>
  <c r="H77" i="6"/>
  <c r="H76" i="6" s="1"/>
  <c r="G58" i="9"/>
  <c r="E58" i="9"/>
  <c r="G156" i="6"/>
  <c r="G155" i="6" s="1"/>
  <c r="H151" i="6"/>
  <c r="H153" i="6"/>
  <c r="G153" i="6"/>
  <c r="G150" i="6" s="1"/>
  <c r="H156" i="6"/>
  <c r="H155" i="6" s="1"/>
  <c r="G77" i="6"/>
  <c r="G76" i="6" s="1"/>
  <c r="H64" i="6"/>
  <c r="G66" i="6"/>
  <c r="H72" i="6"/>
  <c r="H66" i="6"/>
  <c r="H74" i="6"/>
  <c r="H52" i="6"/>
  <c r="H51" i="6" s="1"/>
  <c r="N34" i="6"/>
  <c r="G52" i="6"/>
  <c r="G51" i="6" s="1"/>
  <c r="G163" i="10" l="1"/>
  <c r="H58" i="9"/>
  <c r="H53" i="9"/>
  <c r="G71" i="6"/>
  <c r="H150" i="6"/>
  <c r="H71" i="6"/>
  <c r="H211" i="6" l="1"/>
  <c r="H210" i="6" s="1"/>
  <c r="H209" i="6" s="1"/>
  <c r="G202" i="6"/>
  <c r="N200" i="6"/>
  <c r="D161" i="10"/>
  <c r="F161" i="10"/>
  <c r="D160" i="10"/>
  <c r="F160" i="10"/>
  <c r="BR286" i="1"/>
  <c r="BQ287" i="1"/>
  <c r="BR287" i="1"/>
  <c r="BQ288" i="1"/>
  <c r="BQ289" i="1"/>
  <c r="BR289" i="1"/>
  <c r="E55" i="9"/>
  <c r="G55" i="9"/>
  <c r="Q190" i="6"/>
  <c r="Q189" i="6" s="1"/>
  <c r="Q188" i="6" s="1"/>
  <c r="G181" i="6"/>
  <c r="G180" i="6" s="1"/>
  <c r="BQ35" i="1"/>
  <c r="BR35" i="1"/>
  <c r="BQ36" i="1"/>
  <c r="BP35" i="1"/>
  <c r="BQ57" i="1"/>
  <c r="BR57" i="1"/>
  <c r="BP57" i="1"/>
  <c r="BQ262" i="1"/>
  <c r="BR262" i="1"/>
  <c r="BQ263" i="1"/>
  <c r="BR263" i="1"/>
  <c r="BQ264" i="1"/>
  <c r="BR264" i="1"/>
  <c r="BQ265" i="1"/>
  <c r="BR265" i="1"/>
  <c r="BQ266" i="1"/>
  <c r="BR266" i="1"/>
  <c r="BQ267" i="1"/>
  <c r="BR267" i="1"/>
  <c r="BQ268" i="1"/>
  <c r="BR268" i="1"/>
  <c r="BQ269" i="1"/>
  <c r="BR269" i="1"/>
  <c r="BQ270" i="1"/>
  <c r="BR270" i="1"/>
  <c r="BQ271" i="1"/>
  <c r="BR271" i="1"/>
  <c r="BQ272" i="1"/>
  <c r="BR272" i="1"/>
  <c r="BQ273" i="1"/>
  <c r="BR273" i="1"/>
  <c r="BQ274" i="1"/>
  <c r="BR274" i="1"/>
  <c r="BQ275" i="1"/>
  <c r="BR275" i="1"/>
  <c r="BQ276" i="1"/>
  <c r="BR276" i="1"/>
  <c r="BQ277" i="1"/>
  <c r="BR277" i="1"/>
  <c r="BQ278" i="1"/>
  <c r="BR278" i="1"/>
  <c r="BQ279" i="1"/>
  <c r="BR279" i="1"/>
  <c r="BQ280" i="1"/>
  <c r="BR280" i="1"/>
  <c r="BQ281" i="1"/>
  <c r="BR281" i="1"/>
  <c r="BQ283" i="1"/>
  <c r="BR283" i="1"/>
  <c r="BQ284" i="1"/>
  <c r="BR284" i="1"/>
  <c r="BQ285" i="1"/>
  <c r="BR285" i="1"/>
  <c r="D143" i="10"/>
  <c r="F143" i="10"/>
  <c r="D129" i="10"/>
  <c r="F131" i="10"/>
  <c r="D133" i="10"/>
  <c r="F133" i="10"/>
  <c r="F134" i="10"/>
  <c r="D136" i="10"/>
  <c r="F136" i="10"/>
  <c r="D137" i="10"/>
  <c r="F137" i="10"/>
  <c r="D138" i="10"/>
  <c r="F138" i="10"/>
  <c r="D139" i="10"/>
  <c r="F139" i="10"/>
  <c r="D140" i="10"/>
  <c r="F140" i="10"/>
  <c r="D141" i="10"/>
  <c r="F141" i="10"/>
  <c r="D142" i="10"/>
  <c r="F142" i="10"/>
  <c r="D124" i="10"/>
  <c r="F125" i="10"/>
  <c r="D126" i="10"/>
  <c r="F126" i="10"/>
  <c r="F128" i="10"/>
  <c r="M148" i="6"/>
  <c r="BQ198" i="1"/>
  <c r="BR198" i="1"/>
  <c r="D121" i="10"/>
  <c r="F121" i="10"/>
  <c r="D114" i="10"/>
  <c r="F114" i="10"/>
  <c r="BQ193" i="1"/>
  <c r="BR193" i="1"/>
  <c r="F112" i="10"/>
  <c r="D111" i="10"/>
  <c r="F111" i="10"/>
  <c r="D115" i="10"/>
  <c r="F115" i="10"/>
  <c r="D116" i="10"/>
  <c r="F116" i="10"/>
  <c r="D118" i="10"/>
  <c r="F118" i="10"/>
  <c r="D117" i="10"/>
  <c r="BQ186" i="1"/>
  <c r="BR186" i="1"/>
  <c r="D110" i="10"/>
  <c r="F110" i="10"/>
  <c r="D103" i="10"/>
  <c r="F103" i="10"/>
  <c r="D104" i="10"/>
  <c r="F104" i="10"/>
  <c r="D105" i="10"/>
  <c r="F105" i="10"/>
  <c r="D106" i="10"/>
  <c r="F106" i="10"/>
  <c r="BR183" i="1"/>
  <c r="BR184" i="1"/>
  <c r="D108" i="10"/>
  <c r="BR185" i="1"/>
  <c r="E30" i="12" l="1"/>
  <c r="G30" i="12"/>
  <c r="G23" i="12"/>
  <c r="E23" i="12"/>
  <c r="G7" i="12"/>
  <c r="E7" i="12"/>
  <c r="G140" i="5"/>
  <c r="F140" i="5"/>
  <c r="F139" i="5"/>
  <c r="G139" i="5"/>
  <c r="F108" i="10"/>
  <c r="G108" i="10" s="1"/>
  <c r="D44" i="10"/>
  <c r="F44" i="10"/>
  <c r="F30" i="10"/>
  <c r="D30" i="10"/>
  <c r="G116" i="10"/>
  <c r="G111" i="10"/>
  <c r="G118" i="10"/>
  <c r="G115" i="10"/>
  <c r="H55" i="9"/>
  <c r="G160" i="10"/>
  <c r="G105" i="10"/>
  <c r="G103" i="10"/>
  <c r="G121" i="10"/>
  <c r="G141" i="10"/>
  <c r="G139" i="10"/>
  <c r="G137" i="10"/>
  <c r="G133" i="10"/>
  <c r="G143" i="10"/>
  <c r="G106" i="10"/>
  <c r="G104" i="10"/>
  <c r="G110" i="10"/>
  <c r="G114" i="10"/>
  <c r="G126" i="10"/>
  <c r="G142" i="10"/>
  <c r="G140" i="10"/>
  <c r="G138" i="10"/>
  <c r="G136" i="10"/>
  <c r="G161" i="10"/>
  <c r="BQ307" i="1"/>
  <c r="BR307" i="1"/>
  <c r="F160" i="5"/>
  <c r="F156" i="5"/>
  <c r="F152" i="5"/>
  <c r="D29" i="10"/>
  <c r="F43" i="5"/>
  <c r="F42" i="5" s="1"/>
  <c r="F151" i="10"/>
  <c r="G157" i="5"/>
  <c r="G153" i="5"/>
  <c r="G130" i="5"/>
  <c r="F131" i="5"/>
  <c r="D151" i="10"/>
  <c r="F157" i="5"/>
  <c r="F153" i="5"/>
  <c r="F167" i="5"/>
  <c r="G131" i="5"/>
  <c r="G167" i="5"/>
  <c r="G160" i="5"/>
  <c r="G156" i="5"/>
  <c r="G152" i="5"/>
  <c r="F29" i="10"/>
  <c r="G43" i="5"/>
  <c r="G42" i="5" s="1"/>
  <c r="D119" i="10"/>
  <c r="F120" i="10"/>
  <c r="D120" i="10"/>
  <c r="F119" i="10"/>
  <c r="S192" i="6"/>
  <c r="T191" i="6"/>
  <c r="T192" i="6"/>
  <c r="H198" i="6"/>
  <c r="H197" i="6" s="1"/>
  <c r="H177" i="6"/>
  <c r="H176" i="6" s="1"/>
  <c r="F107" i="10"/>
  <c r="F113" i="10"/>
  <c r="K164" i="6"/>
  <c r="K163" i="6" s="1"/>
  <c r="K162" i="6" s="1"/>
  <c r="F150" i="10"/>
  <c r="F148" i="10"/>
  <c r="F147" i="10"/>
  <c r="N199" i="6"/>
  <c r="N198" i="6" s="1"/>
  <c r="N197" i="6" s="1"/>
  <c r="K198" i="6"/>
  <c r="K197" i="6" s="1"/>
  <c r="D159" i="10"/>
  <c r="F162" i="10"/>
  <c r="M200" i="6"/>
  <c r="H202" i="6"/>
  <c r="G204" i="6"/>
  <c r="G201" i="6" s="1"/>
  <c r="D107" i="10"/>
  <c r="D113" i="10"/>
  <c r="F117" i="10"/>
  <c r="G117" i="10" s="1"/>
  <c r="M149" i="6"/>
  <c r="J164" i="6"/>
  <c r="J163" i="6" s="1"/>
  <c r="J162" i="6" s="1"/>
  <c r="F149" i="10"/>
  <c r="D147" i="10"/>
  <c r="F155" i="10"/>
  <c r="F159" i="10"/>
  <c r="J202" i="6"/>
  <c r="M203" i="6"/>
  <c r="M202" i="6" s="1"/>
  <c r="K204" i="6"/>
  <c r="D162" i="10"/>
  <c r="H204" i="6"/>
  <c r="W167" i="6"/>
  <c r="F145" i="10"/>
  <c r="V167" i="6"/>
  <c r="D145" i="10"/>
  <c r="W166" i="6"/>
  <c r="V166" i="6"/>
  <c r="F135" i="10"/>
  <c r="D135" i="10"/>
  <c r="D134" i="10"/>
  <c r="F132" i="10"/>
  <c r="D132" i="10"/>
  <c r="D131" i="10"/>
  <c r="F130" i="10"/>
  <c r="D130" i="10"/>
  <c r="F129" i="10"/>
  <c r="G129" i="10" s="1"/>
  <c r="D128" i="10"/>
  <c r="F127" i="10"/>
  <c r="D127" i="10"/>
  <c r="D125" i="10"/>
  <c r="F124" i="10"/>
  <c r="G124" i="10" s="1"/>
  <c r="D123" i="10"/>
  <c r="F123" i="10"/>
  <c r="N190" i="6"/>
  <c r="N189" i="6" s="1"/>
  <c r="N188" i="6" s="1"/>
  <c r="M190" i="6"/>
  <c r="M189" i="6" s="1"/>
  <c r="M188" i="6" s="1"/>
  <c r="K190" i="6"/>
  <c r="K189" i="6" s="1"/>
  <c r="K188" i="6" s="1"/>
  <c r="D155" i="10"/>
  <c r="P190" i="6"/>
  <c r="P189" i="6" s="1"/>
  <c r="P188" i="6" s="1"/>
  <c r="G211" i="6"/>
  <c r="G210" i="6" s="1"/>
  <c r="G209" i="6" s="1"/>
  <c r="M157" i="6"/>
  <c r="D112" i="10"/>
  <c r="G112" i="10" s="1"/>
  <c r="J153" i="6"/>
  <c r="M154" i="6"/>
  <c r="M153" i="6" s="1"/>
  <c r="J151" i="6"/>
  <c r="M152" i="6"/>
  <c r="M151" i="6" s="1"/>
  <c r="F109" i="10"/>
  <c r="D109" i="10"/>
  <c r="F152" i="10"/>
  <c r="D152" i="10"/>
  <c r="H181" i="6"/>
  <c r="H180" i="6" s="1"/>
  <c r="D150" i="10"/>
  <c r="G177" i="6"/>
  <c r="G176" i="6" s="1"/>
  <c r="G171" i="6" s="1"/>
  <c r="D149" i="10"/>
  <c r="D148" i="10"/>
  <c r="D97" i="10"/>
  <c r="F97" i="10"/>
  <c r="D99" i="10"/>
  <c r="F99" i="10"/>
  <c r="D100" i="10"/>
  <c r="F100" i="10"/>
  <c r="D102" i="10"/>
  <c r="F102" i="10"/>
  <c r="D95" i="10"/>
  <c r="F95" i="10"/>
  <c r="H7" i="12" l="1"/>
  <c r="G138" i="5"/>
  <c r="G137" i="5" s="1"/>
  <c r="F138" i="5"/>
  <c r="F137" i="5" s="1"/>
  <c r="F159" i="5"/>
  <c r="F158" i="5" s="1"/>
  <c r="G19" i="9"/>
  <c r="G166" i="5"/>
  <c r="G165" i="5" s="1"/>
  <c r="G164" i="5" s="1"/>
  <c r="I17" i="11" s="1"/>
  <c r="G159" i="5"/>
  <c r="G158" i="5" s="1"/>
  <c r="F166" i="5"/>
  <c r="F165" i="5" s="1"/>
  <c r="F164" i="5" s="1"/>
  <c r="G17" i="11" s="1"/>
  <c r="L17" i="11" s="1"/>
  <c r="E19" i="9"/>
  <c r="G44" i="10"/>
  <c r="G30" i="10"/>
  <c r="G95" i="10"/>
  <c r="G100" i="10"/>
  <c r="G97" i="10"/>
  <c r="G159" i="10"/>
  <c r="G152" i="10"/>
  <c r="G127" i="10"/>
  <c r="G130" i="10"/>
  <c r="G150" i="10"/>
  <c r="G120" i="10"/>
  <c r="G149" i="10"/>
  <c r="G119" i="10"/>
  <c r="G102" i="10"/>
  <c r="G99" i="10"/>
  <c r="G109" i="10"/>
  <c r="G135" i="10"/>
  <c r="G162" i="10"/>
  <c r="G147" i="10"/>
  <c r="G113" i="10"/>
  <c r="G29" i="10"/>
  <c r="G151" i="10"/>
  <c r="D154" i="10"/>
  <c r="G123" i="10"/>
  <c r="G132" i="10"/>
  <c r="G145" i="10"/>
  <c r="F154" i="10"/>
  <c r="G155" i="10"/>
  <c r="G148" i="10"/>
  <c r="G107" i="10"/>
  <c r="G128" i="10"/>
  <c r="G134" i="10"/>
  <c r="G125" i="10"/>
  <c r="G131" i="10"/>
  <c r="H146" i="6"/>
  <c r="N147" i="6"/>
  <c r="N146" i="6" s="1"/>
  <c r="E13" i="9"/>
  <c r="G151" i="5"/>
  <c r="G150" i="5" s="1"/>
  <c r="G155" i="5"/>
  <c r="G154" i="5" s="1"/>
  <c r="F151" i="5"/>
  <c r="F150" i="5" s="1"/>
  <c r="G13" i="9"/>
  <c r="F155" i="5"/>
  <c r="F154" i="5" s="1"/>
  <c r="F129" i="5"/>
  <c r="H171" i="6"/>
  <c r="G129" i="5"/>
  <c r="M150" i="6"/>
  <c r="J150" i="6"/>
  <c r="J190" i="6"/>
  <c r="J189" i="6" s="1"/>
  <c r="J188" i="6" s="1"/>
  <c r="S191" i="6"/>
  <c r="S190" i="6" s="1"/>
  <c r="S189" i="6" s="1"/>
  <c r="S188" i="6" s="1"/>
  <c r="V165" i="6"/>
  <c r="V164" i="6" s="1"/>
  <c r="V163" i="6" s="1"/>
  <c r="V162" i="6" s="1"/>
  <c r="D96" i="10"/>
  <c r="F96" i="10"/>
  <c r="F146" i="10"/>
  <c r="H201" i="6"/>
  <c r="H196" i="6" s="1"/>
  <c r="J198" i="6"/>
  <c r="J197" i="6" s="1"/>
  <c r="M199" i="6"/>
  <c r="M198" i="6" s="1"/>
  <c r="M197" i="6" s="1"/>
  <c r="D158" i="10"/>
  <c r="G146" i="6"/>
  <c r="F101" i="10"/>
  <c r="G198" i="6"/>
  <c r="G197" i="6" s="1"/>
  <c r="G196" i="6" s="1"/>
  <c r="N205" i="6"/>
  <c r="N204" i="6" s="1"/>
  <c r="F158" i="10"/>
  <c r="G32" i="9"/>
  <c r="G59" i="9"/>
  <c r="J204" i="6"/>
  <c r="J201" i="6" s="1"/>
  <c r="M205" i="6"/>
  <c r="M204" i="6" s="1"/>
  <c r="M201" i="6" s="1"/>
  <c r="N203" i="6"/>
  <c r="N202" i="6" s="1"/>
  <c r="K202" i="6"/>
  <c r="K201" i="6" s="1"/>
  <c r="K196" i="6" s="1"/>
  <c r="K153" i="6"/>
  <c r="N154" i="6"/>
  <c r="N153" i="6" s="1"/>
  <c r="K151" i="6"/>
  <c r="N152" i="6"/>
  <c r="N151" i="6" s="1"/>
  <c r="E7" i="9"/>
  <c r="D122" i="10"/>
  <c r="G164" i="6"/>
  <c r="G163" i="6" s="1"/>
  <c r="G162" i="6" s="1"/>
  <c r="F122" i="10"/>
  <c r="H164" i="6"/>
  <c r="H163" i="6" s="1"/>
  <c r="H162" i="6" s="1"/>
  <c r="W165" i="6"/>
  <c r="W164" i="6" s="1"/>
  <c r="W163" i="6" s="1"/>
  <c r="W162" i="6" s="1"/>
  <c r="G7" i="9"/>
  <c r="T190" i="6"/>
  <c r="T189" i="6" s="1"/>
  <c r="T188" i="6" s="1"/>
  <c r="N158" i="6"/>
  <c r="N157" i="6"/>
  <c r="E32" i="9"/>
  <c r="D101" i="10"/>
  <c r="D98" i="10"/>
  <c r="F98" i="10"/>
  <c r="K146" i="6"/>
  <c r="D94" i="10"/>
  <c r="F94" i="10"/>
  <c r="D146" i="10"/>
  <c r="G12" i="9"/>
  <c r="G142" i="6"/>
  <c r="AC133" i="6"/>
  <c r="AD133" i="6"/>
  <c r="BQ145" i="1"/>
  <c r="BR145" i="1"/>
  <c r="H13" i="9" l="1"/>
  <c r="G154" i="10"/>
  <c r="H23" i="12"/>
  <c r="H19" i="9"/>
  <c r="H7" i="9"/>
  <c r="H32" i="9"/>
  <c r="G187" i="5"/>
  <c r="F187" i="5"/>
  <c r="H30" i="12"/>
  <c r="G28" i="12"/>
  <c r="G128" i="5"/>
  <c r="G123" i="5" s="1"/>
  <c r="G122" i="5" s="1"/>
  <c r="I13" i="11" s="1"/>
  <c r="E28" i="12"/>
  <c r="F128" i="5"/>
  <c r="F123" i="5" s="1"/>
  <c r="F122" i="5" s="1"/>
  <c r="G13" i="11" s="1"/>
  <c r="L13" i="11" s="1"/>
  <c r="G122" i="10"/>
  <c r="G96" i="10"/>
  <c r="G98" i="10"/>
  <c r="G101" i="10"/>
  <c r="F165" i="10"/>
  <c r="G158" i="10"/>
  <c r="J17" i="11"/>
  <c r="G94" i="10"/>
  <c r="D165" i="10"/>
  <c r="G146" i="10"/>
  <c r="G149" i="5"/>
  <c r="I15" i="11" s="1"/>
  <c r="F149" i="5"/>
  <c r="G15" i="11" s="1"/>
  <c r="L15" i="11" s="1"/>
  <c r="M196" i="6"/>
  <c r="G214" i="6" s="1"/>
  <c r="N201" i="6"/>
  <c r="N196" i="6" s="1"/>
  <c r="H214" i="6" s="1"/>
  <c r="K156" i="6"/>
  <c r="K155" i="6" s="1"/>
  <c r="N156" i="6"/>
  <c r="N155" i="6" s="1"/>
  <c r="E54" i="9"/>
  <c r="K150" i="6"/>
  <c r="G141" i="6"/>
  <c r="G140" i="6" s="1"/>
  <c r="G54" i="9"/>
  <c r="G52" i="9" s="1"/>
  <c r="N150" i="6"/>
  <c r="D93" i="10"/>
  <c r="H142" i="6"/>
  <c r="H141" i="6" s="1"/>
  <c r="H140" i="6" s="1"/>
  <c r="G33" i="9"/>
  <c r="K144" i="6"/>
  <c r="N145" i="6"/>
  <c r="N144" i="6" s="1"/>
  <c r="J196" i="6"/>
  <c r="E59" i="9"/>
  <c r="H59" i="9" s="1"/>
  <c r="E57" i="9"/>
  <c r="G57" i="9"/>
  <c r="M158" i="6"/>
  <c r="M156" i="6" s="1"/>
  <c r="M155" i="6" s="1"/>
  <c r="J156" i="6"/>
  <c r="J155" i="6" s="1"/>
  <c r="J146" i="6"/>
  <c r="M147" i="6"/>
  <c r="M146" i="6" s="1"/>
  <c r="E17" i="9"/>
  <c r="G17" i="9"/>
  <c r="J144" i="6"/>
  <c r="M145" i="6"/>
  <c r="M144" i="6" s="1"/>
  <c r="F93" i="10"/>
  <c r="G46" i="9"/>
  <c r="E46" i="9"/>
  <c r="E33" i="9"/>
  <c r="E12" i="9"/>
  <c r="H12" i="9" s="1"/>
  <c r="BQ142" i="1"/>
  <c r="N131" i="6"/>
  <c r="N130" i="6" s="1"/>
  <c r="N129" i="6" s="1"/>
  <c r="Q131" i="6"/>
  <c r="Q130" i="6" s="1"/>
  <c r="Q129" i="6" s="1"/>
  <c r="U131" i="6"/>
  <c r="U130" i="6" s="1"/>
  <c r="X131" i="6"/>
  <c r="X130" i="6" s="1"/>
  <c r="X129" i="6" s="1"/>
  <c r="BQ165" i="1"/>
  <c r="BR165" i="1"/>
  <c r="BQ131" i="1"/>
  <c r="BR131" i="1"/>
  <c r="BQ132" i="1"/>
  <c r="BR132" i="1"/>
  <c r="BQ133" i="1"/>
  <c r="BR133" i="1"/>
  <c r="BQ134" i="1"/>
  <c r="BR134" i="1"/>
  <c r="BQ136" i="1"/>
  <c r="BR136" i="1"/>
  <c r="BR138" i="1"/>
  <c r="BQ139" i="1"/>
  <c r="BR139" i="1"/>
  <c r="BQ140" i="1"/>
  <c r="BR140" i="1"/>
  <c r="BQ141" i="1"/>
  <c r="BR141" i="1"/>
  <c r="BR143" i="1"/>
  <c r="BQ146" i="1"/>
  <c r="BR146" i="1"/>
  <c r="BQ148" i="1"/>
  <c r="BR148" i="1"/>
  <c r="BR149" i="1"/>
  <c r="BQ150" i="1"/>
  <c r="BR150" i="1"/>
  <c r="BR151" i="1"/>
  <c r="BQ153" i="1"/>
  <c r="BR153" i="1"/>
  <c r="BR154" i="1"/>
  <c r="BR156" i="1"/>
  <c r="BR158" i="1"/>
  <c r="BQ159" i="1"/>
  <c r="BR159" i="1"/>
  <c r="BQ160" i="1"/>
  <c r="BR160" i="1"/>
  <c r="BQ161" i="1"/>
  <c r="BQ162" i="1"/>
  <c r="BR162" i="1"/>
  <c r="BQ163" i="1"/>
  <c r="BR163" i="1"/>
  <c r="BQ127" i="1"/>
  <c r="BR127" i="1"/>
  <c r="BQ129" i="1"/>
  <c r="BR129" i="1"/>
  <c r="BQ128" i="1"/>
  <c r="BR128" i="1"/>
  <c r="F103" i="5"/>
  <c r="G103" i="5"/>
  <c r="E103" i="5"/>
  <c r="D74" i="10"/>
  <c r="F74" i="10"/>
  <c r="D75" i="10"/>
  <c r="F75" i="10"/>
  <c r="M117" i="6"/>
  <c r="N117" i="6"/>
  <c r="M116" i="6"/>
  <c r="N116" i="6"/>
  <c r="M115" i="6"/>
  <c r="N115" i="6"/>
  <c r="M114" i="6"/>
  <c r="M113" i="6"/>
  <c r="N113" i="6"/>
  <c r="M108" i="6"/>
  <c r="N108" i="6"/>
  <c r="M106" i="6"/>
  <c r="N106" i="6"/>
  <c r="M107" i="6"/>
  <c r="N107" i="6"/>
  <c r="E94" i="5"/>
  <c r="E93" i="5"/>
  <c r="D65" i="10"/>
  <c r="F65" i="10"/>
  <c r="M104" i="6"/>
  <c r="N104" i="6"/>
  <c r="BQ89" i="1"/>
  <c r="BR89" i="1"/>
  <c r="D64" i="10"/>
  <c r="F64" i="10"/>
  <c r="BP89" i="1"/>
  <c r="BQ85" i="1"/>
  <c r="BR85" i="1"/>
  <c r="BQ86" i="1"/>
  <c r="BR86" i="1"/>
  <c r="BQ87" i="1"/>
  <c r="BR87" i="1"/>
  <c r="BQ88" i="1"/>
  <c r="BR88" i="1"/>
  <c r="BQ77" i="1"/>
  <c r="BR77" i="1"/>
  <c r="BQ78" i="1"/>
  <c r="BR78" i="1"/>
  <c r="BQ79" i="1"/>
  <c r="BR79" i="1"/>
  <c r="BQ80" i="1"/>
  <c r="BR80" i="1"/>
  <c r="BQ81" i="1"/>
  <c r="BR81" i="1"/>
  <c r="BQ82" i="1"/>
  <c r="BR82" i="1"/>
  <c r="BQ84" i="1"/>
  <c r="BR84" i="1"/>
  <c r="BQ75" i="1"/>
  <c r="BR75" i="1"/>
  <c r="BQ76" i="1"/>
  <c r="BR76" i="1"/>
  <c r="BQ68" i="1"/>
  <c r="BR68" i="1"/>
  <c r="BQ69" i="1"/>
  <c r="BR69" i="1"/>
  <c r="BQ70" i="1"/>
  <c r="BR70" i="1"/>
  <c r="BQ71" i="1"/>
  <c r="BR71" i="1"/>
  <c r="BQ72" i="1"/>
  <c r="BR72" i="1"/>
  <c r="BQ73" i="1"/>
  <c r="BR73" i="1"/>
  <c r="BQ74" i="1"/>
  <c r="BR74" i="1"/>
  <c r="BQ62" i="1"/>
  <c r="BR62" i="1"/>
  <c r="BQ63" i="1"/>
  <c r="BR63" i="1"/>
  <c r="BQ64" i="1"/>
  <c r="BR64" i="1"/>
  <c r="BQ65" i="1"/>
  <c r="BR65" i="1"/>
  <c r="BQ66" i="1"/>
  <c r="BR66" i="1"/>
  <c r="BQ59" i="1"/>
  <c r="BR59" i="1"/>
  <c r="BQ60" i="1"/>
  <c r="BR60" i="1"/>
  <c r="BQ61" i="1"/>
  <c r="BR61" i="1"/>
  <c r="BQ58" i="1"/>
  <c r="BR58" i="1"/>
  <c r="BQ56" i="1"/>
  <c r="BR56" i="1"/>
  <c r="BR55" i="1"/>
  <c r="BQ55" i="1"/>
  <c r="BQ50" i="1"/>
  <c r="BR50" i="1"/>
  <c r="BQ51" i="1"/>
  <c r="BR51" i="1"/>
  <c r="BQ52" i="1"/>
  <c r="BR52" i="1"/>
  <c r="BQ53" i="1"/>
  <c r="BR53" i="1"/>
  <c r="BQ54" i="1"/>
  <c r="BR54" i="1"/>
  <c r="BQ49" i="1"/>
  <c r="BR49" i="1"/>
  <c r="BQ48" i="1"/>
  <c r="BR48" i="1"/>
  <c r="BQ47" i="1"/>
  <c r="BR47" i="1"/>
  <c r="BQ46" i="1"/>
  <c r="BR46" i="1"/>
  <c r="BR45" i="1"/>
  <c r="BQ44" i="1"/>
  <c r="BR44" i="1"/>
  <c r="BQ38" i="1"/>
  <c r="BQ39" i="1"/>
  <c r="BR39" i="1"/>
  <c r="BQ40" i="1"/>
  <c r="BQ41" i="1"/>
  <c r="BQ42" i="1"/>
  <c r="BQ37" i="1"/>
  <c r="BR37" i="1"/>
  <c r="BQ32" i="1"/>
  <c r="BR32" i="1"/>
  <c r="BQ33" i="1"/>
  <c r="BR33" i="1"/>
  <c r="BQ34" i="1"/>
  <c r="BR34" i="1"/>
  <c r="BQ30" i="1"/>
  <c r="BR30" i="1"/>
  <c r="BQ29" i="1"/>
  <c r="BR29" i="1"/>
  <c r="BQ28" i="1"/>
  <c r="BR28" i="1"/>
  <c r="BQ27" i="1"/>
  <c r="BR27" i="1"/>
  <c r="BQ26" i="1"/>
  <c r="BR26" i="1"/>
  <c r="D18" i="10"/>
  <c r="F18" i="10"/>
  <c r="BQ25" i="1"/>
  <c r="BR25" i="1"/>
  <c r="D12" i="10"/>
  <c r="F12" i="10"/>
  <c r="D13" i="10"/>
  <c r="F13" i="10"/>
  <c r="D14" i="10"/>
  <c r="F14" i="10"/>
  <c r="D16" i="10"/>
  <c r="F16" i="10"/>
  <c r="D11" i="10"/>
  <c r="F11" i="10"/>
  <c r="BQ11" i="1"/>
  <c r="BR11" i="1"/>
  <c r="BQ8" i="1"/>
  <c r="BR8" i="1"/>
  <c r="BQ9" i="1"/>
  <c r="BR9" i="1"/>
  <c r="BQ10" i="1"/>
  <c r="BR10" i="1"/>
  <c r="M68" i="6"/>
  <c r="N68" i="6"/>
  <c r="M63" i="6"/>
  <c r="N63" i="6"/>
  <c r="M62" i="6"/>
  <c r="M102" i="6"/>
  <c r="N102" i="6"/>
  <c r="E10" i="12" l="1"/>
  <c r="G5" i="12"/>
  <c r="E19" i="12"/>
  <c r="G13" i="12"/>
  <c r="G16" i="12"/>
  <c r="E5" i="12"/>
  <c r="G11" i="12"/>
  <c r="E13" i="12"/>
  <c r="E16" i="12"/>
  <c r="F22" i="5"/>
  <c r="F21" i="5" s="1"/>
  <c r="F20" i="5" s="1"/>
  <c r="F19" i="5" s="1"/>
  <c r="G5" i="11" s="1"/>
  <c r="L5" i="11" s="1"/>
  <c r="G19" i="12"/>
  <c r="G10" i="12"/>
  <c r="E11" i="12"/>
  <c r="G20" i="12"/>
  <c r="G24" i="12"/>
  <c r="E24" i="12"/>
  <c r="E4" i="12"/>
  <c r="G4" i="12"/>
  <c r="G21" i="12"/>
  <c r="E21" i="12"/>
  <c r="E20" i="12"/>
  <c r="G18" i="12"/>
  <c r="E18" i="12"/>
  <c r="G15" i="12"/>
  <c r="E15" i="12"/>
  <c r="G14" i="12"/>
  <c r="E14" i="12"/>
  <c r="E6" i="12"/>
  <c r="G8" i="12"/>
  <c r="H17" i="9"/>
  <c r="G6" i="12"/>
  <c r="E8" i="12"/>
  <c r="G9" i="12"/>
  <c r="E9" i="12"/>
  <c r="H46" i="9"/>
  <c r="H33" i="9"/>
  <c r="J13" i="11"/>
  <c r="E34" i="12"/>
  <c r="G34" i="12"/>
  <c r="H28" i="12"/>
  <c r="G120" i="5"/>
  <c r="F120" i="5"/>
  <c r="D81" i="10"/>
  <c r="F57" i="10"/>
  <c r="D57" i="10"/>
  <c r="F51" i="10"/>
  <c r="D51" i="10"/>
  <c r="G64" i="5"/>
  <c r="F64" i="5"/>
  <c r="F62" i="5"/>
  <c r="G62" i="5"/>
  <c r="G55" i="5"/>
  <c r="G11" i="10"/>
  <c r="G14" i="10"/>
  <c r="G12" i="10"/>
  <c r="F28" i="10"/>
  <c r="D28" i="10"/>
  <c r="G64" i="10"/>
  <c r="H57" i="9"/>
  <c r="D6" i="10"/>
  <c r="G9" i="6"/>
  <c r="F7" i="10"/>
  <c r="D7" i="10"/>
  <c r="F6" i="10"/>
  <c r="H9" i="6"/>
  <c r="G16" i="10"/>
  <c r="G13" i="10"/>
  <c r="G74" i="10"/>
  <c r="G93" i="10"/>
  <c r="G18" i="10"/>
  <c r="J15" i="11"/>
  <c r="G165" i="10"/>
  <c r="G75" i="10"/>
  <c r="G65" i="10"/>
  <c r="G16" i="8"/>
  <c r="G10" i="5"/>
  <c r="F10" i="5"/>
  <c r="BR306" i="1"/>
  <c r="BR308" i="1" s="1"/>
  <c r="BQ306" i="1"/>
  <c r="BQ308" i="1" s="1"/>
  <c r="N84" i="6"/>
  <c r="N83" i="6" s="1"/>
  <c r="N82" i="6" s="1"/>
  <c r="T85" i="6"/>
  <c r="N103" i="6"/>
  <c r="M103" i="6"/>
  <c r="F78" i="5"/>
  <c r="G92" i="5"/>
  <c r="E95" i="5"/>
  <c r="F95" i="5"/>
  <c r="F101" i="5"/>
  <c r="F92" i="5"/>
  <c r="E98" i="5"/>
  <c r="G98" i="5"/>
  <c r="G97" i="5" s="1"/>
  <c r="E105" i="5"/>
  <c r="G41" i="5"/>
  <c r="E96" i="5"/>
  <c r="F96" i="5"/>
  <c r="E104" i="5"/>
  <c r="F104" i="5"/>
  <c r="F22" i="10"/>
  <c r="G29" i="5"/>
  <c r="F33" i="10"/>
  <c r="G49" i="5"/>
  <c r="G90" i="5"/>
  <c r="F102" i="5"/>
  <c r="G105" i="5"/>
  <c r="D22" i="10"/>
  <c r="F29" i="5"/>
  <c r="D24" i="10"/>
  <c r="F33" i="5"/>
  <c r="F41" i="5"/>
  <c r="D33" i="10"/>
  <c r="F49" i="5"/>
  <c r="D36" i="10"/>
  <c r="F55" i="5"/>
  <c r="D38" i="10"/>
  <c r="F57" i="5"/>
  <c r="F61" i="5"/>
  <c r="F69" i="5"/>
  <c r="G83" i="5"/>
  <c r="G85" i="5"/>
  <c r="F90" i="5"/>
  <c r="F105" i="5"/>
  <c r="H125" i="6"/>
  <c r="G111" i="5"/>
  <c r="F116" i="5"/>
  <c r="F115" i="5" s="1"/>
  <c r="F114" i="5" s="1"/>
  <c r="F24" i="10"/>
  <c r="G33" i="5"/>
  <c r="F38" i="10"/>
  <c r="G57" i="5"/>
  <c r="G77" i="5"/>
  <c r="G124" i="6"/>
  <c r="F110" i="5"/>
  <c r="F21" i="10"/>
  <c r="G27" i="5"/>
  <c r="F23" i="10"/>
  <c r="G31" i="5"/>
  <c r="F25" i="10"/>
  <c r="G35" i="5"/>
  <c r="F31" i="10"/>
  <c r="G45" i="5"/>
  <c r="G46" i="5"/>
  <c r="F34" i="10"/>
  <c r="G50" i="5"/>
  <c r="F37" i="10"/>
  <c r="G56" i="5"/>
  <c r="F39" i="10"/>
  <c r="G59" i="5"/>
  <c r="G58" i="5" s="1"/>
  <c r="F45" i="10"/>
  <c r="G67" i="5"/>
  <c r="G66" i="5" s="1"/>
  <c r="G72" i="5"/>
  <c r="G71" i="5" s="1"/>
  <c r="G70" i="5" s="1"/>
  <c r="F83" i="5"/>
  <c r="F85" i="5"/>
  <c r="F68" i="10"/>
  <c r="G94" i="5"/>
  <c r="F98" i="5"/>
  <c r="F97" i="5" s="1"/>
  <c r="D82" i="10"/>
  <c r="G125" i="6"/>
  <c r="F111" i="5"/>
  <c r="G61" i="5"/>
  <c r="G69" i="5"/>
  <c r="E92" i="5"/>
  <c r="D67" i="10"/>
  <c r="F93" i="5"/>
  <c r="G116" i="5"/>
  <c r="G115" i="5" s="1"/>
  <c r="G114" i="5" s="1"/>
  <c r="D21" i="10"/>
  <c r="F27" i="5"/>
  <c r="D23" i="10"/>
  <c r="F31" i="5"/>
  <c r="D25" i="10"/>
  <c r="F35" i="5"/>
  <c r="D31" i="10"/>
  <c r="F45" i="5"/>
  <c r="F46" i="5"/>
  <c r="D34" i="10"/>
  <c r="F50" i="5"/>
  <c r="D37" i="10"/>
  <c r="F56" i="5"/>
  <c r="D39" i="10"/>
  <c r="F59" i="5"/>
  <c r="F58" i="5" s="1"/>
  <c r="D45" i="10"/>
  <c r="F67" i="5"/>
  <c r="F66" i="5" s="1"/>
  <c r="D43" i="10"/>
  <c r="F72" i="5"/>
  <c r="F71" i="5" s="1"/>
  <c r="F70" i="5" s="1"/>
  <c r="F77" i="5"/>
  <c r="G78" i="5"/>
  <c r="E90" i="5"/>
  <c r="F67" i="10"/>
  <c r="G93" i="5"/>
  <c r="D68" i="10"/>
  <c r="F94" i="5"/>
  <c r="G95" i="5"/>
  <c r="G96" i="5"/>
  <c r="E101" i="5"/>
  <c r="G101" i="5"/>
  <c r="G102" i="5"/>
  <c r="G104" i="5"/>
  <c r="F80" i="10"/>
  <c r="H124" i="6"/>
  <c r="G110" i="5"/>
  <c r="F19" i="10"/>
  <c r="G22" i="5"/>
  <c r="G21" i="5" s="1"/>
  <c r="G20" i="5" s="1"/>
  <c r="G19" i="5" s="1"/>
  <c r="I5" i="11" s="1"/>
  <c r="D19" i="10"/>
  <c r="F5" i="10"/>
  <c r="H8" i="6"/>
  <c r="G8" i="6"/>
  <c r="D80" i="10"/>
  <c r="N105" i="6"/>
  <c r="H101" i="6"/>
  <c r="G101" i="6"/>
  <c r="M105" i="6"/>
  <c r="M112" i="6"/>
  <c r="M111" i="6" s="1"/>
  <c r="G20" i="11"/>
  <c r="E52" i="9"/>
  <c r="H52" i="9" s="1"/>
  <c r="N70" i="6"/>
  <c r="N69" i="6" s="1"/>
  <c r="F55" i="10"/>
  <c r="H54" i="9"/>
  <c r="N62" i="6"/>
  <c r="N95" i="6"/>
  <c r="H94" i="6"/>
  <c r="D8" i="10"/>
  <c r="D10" i="10"/>
  <c r="D15" i="10"/>
  <c r="D32" i="10"/>
  <c r="F41" i="10"/>
  <c r="F50" i="10"/>
  <c r="F52" i="10"/>
  <c r="H92" i="6"/>
  <c r="J92" i="6"/>
  <c r="J91" i="6" s="1"/>
  <c r="J90" i="6" s="1"/>
  <c r="F56" i="10"/>
  <c r="F54" i="10"/>
  <c r="D58" i="10"/>
  <c r="F63" i="10"/>
  <c r="F62" i="10"/>
  <c r="F61" i="10"/>
  <c r="F60" i="10"/>
  <c r="D69" i="10"/>
  <c r="F71" i="10"/>
  <c r="F72" i="10"/>
  <c r="F73" i="10"/>
  <c r="F77" i="10"/>
  <c r="F78" i="10"/>
  <c r="F90" i="10"/>
  <c r="F89" i="10"/>
  <c r="F88" i="10"/>
  <c r="F86" i="10"/>
  <c r="F85" i="10"/>
  <c r="F91" i="10"/>
  <c r="G11" i="9"/>
  <c r="D92" i="10"/>
  <c r="W131" i="6"/>
  <c r="W130" i="6" s="1"/>
  <c r="W129" i="6" s="1"/>
  <c r="G56" i="9"/>
  <c r="E56" i="9"/>
  <c r="F8" i="10"/>
  <c r="F10" i="10"/>
  <c r="F15" i="10"/>
  <c r="F27" i="10"/>
  <c r="F32" i="10"/>
  <c r="F36" i="10"/>
  <c r="D50" i="10"/>
  <c r="D49" i="10"/>
  <c r="F49" i="10"/>
  <c r="K92" i="6"/>
  <c r="K91" i="6" s="1"/>
  <c r="K90" i="6" s="1"/>
  <c r="D56" i="10"/>
  <c r="D54" i="10"/>
  <c r="F58" i="10"/>
  <c r="D62" i="10"/>
  <c r="D60" i="10"/>
  <c r="F66" i="10"/>
  <c r="F69" i="10"/>
  <c r="F70" i="10"/>
  <c r="D71" i="10"/>
  <c r="D72" i="10"/>
  <c r="D77" i="10"/>
  <c r="D78" i="10"/>
  <c r="D90" i="10"/>
  <c r="D89" i="10"/>
  <c r="D88" i="10"/>
  <c r="D86" i="10"/>
  <c r="D85" i="10"/>
  <c r="D91" i="10"/>
  <c r="E11" i="9"/>
  <c r="T135" i="6"/>
  <c r="T134" i="6" s="1"/>
  <c r="AC136" i="6"/>
  <c r="AC135" i="6" s="1"/>
  <c r="AC134" i="6" s="1"/>
  <c r="F92" i="10"/>
  <c r="D52" i="10"/>
  <c r="F87" i="10"/>
  <c r="F81" i="10"/>
  <c r="F82" i="10"/>
  <c r="D55" i="10"/>
  <c r="E8" i="9"/>
  <c r="J142" i="6"/>
  <c r="J141" i="6" s="1"/>
  <c r="J140" i="6" s="1"/>
  <c r="M143" i="6"/>
  <c r="M142" i="6" s="1"/>
  <c r="M141" i="6" s="1"/>
  <c r="M140" i="6" s="1"/>
  <c r="K142" i="6"/>
  <c r="K141" i="6" s="1"/>
  <c r="K140" i="6" s="1"/>
  <c r="N143" i="6"/>
  <c r="N142" i="6" s="1"/>
  <c r="N141" i="6" s="1"/>
  <c r="N140" i="6" s="1"/>
  <c r="G8" i="9"/>
  <c r="D27" i="10"/>
  <c r="E39" i="9"/>
  <c r="D76" i="10"/>
  <c r="G39" i="9"/>
  <c r="F76" i="10"/>
  <c r="G112" i="6"/>
  <c r="G111" i="6" s="1"/>
  <c r="D73" i="10"/>
  <c r="D70" i="10"/>
  <c r="D66" i="10"/>
  <c r="E24" i="9"/>
  <c r="G24" i="9"/>
  <c r="D63" i="10"/>
  <c r="D61" i="10"/>
  <c r="M131" i="6"/>
  <c r="M130" i="6" s="1"/>
  <c r="M129" i="6" s="1"/>
  <c r="D87" i="10"/>
  <c r="D84" i="10"/>
  <c r="P131" i="6"/>
  <c r="P130" i="6" s="1"/>
  <c r="P129" i="6" s="1"/>
  <c r="F84" i="10"/>
  <c r="M67" i="6"/>
  <c r="M66" i="6" s="1"/>
  <c r="F47" i="10"/>
  <c r="D47" i="10"/>
  <c r="F43" i="10"/>
  <c r="F46" i="10"/>
  <c r="D46" i="10"/>
  <c r="F42" i="10"/>
  <c r="H69" i="6"/>
  <c r="M70" i="6"/>
  <c r="M69" i="6" s="1"/>
  <c r="D42" i="10"/>
  <c r="D41" i="10"/>
  <c r="F40" i="10"/>
  <c r="D40" i="10"/>
  <c r="D5" i="10"/>
  <c r="M48" i="6"/>
  <c r="N48" i="6"/>
  <c r="V50" i="6"/>
  <c r="H44" i="6"/>
  <c r="W38" i="6"/>
  <c r="V34" i="6"/>
  <c r="H5" i="12" l="1"/>
  <c r="H10" i="12"/>
  <c r="H8" i="12"/>
  <c r="H11" i="12"/>
  <c r="H19" i="12"/>
  <c r="H4" i="12"/>
  <c r="H21" i="12"/>
  <c r="H39" i="9"/>
  <c r="H6" i="12"/>
  <c r="G6" i="10"/>
  <c r="H24" i="9"/>
  <c r="H14" i="12"/>
  <c r="H8" i="9"/>
  <c r="H20" i="12"/>
  <c r="H13" i="12"/>
  <c r="H9" i="12"/>
  <c r="H15" i="12"/>
  <c r="H11" i="9"/>
  <c r="G81" i="10"/>
  <c r="F34" i="5"/>
  <c r="F26" i="5"/>
  <c r="G34" i="5"/>
  <c r="G26" i="5"/>
  <c r="F68" i="5"/>
  <c r="F65" i="5" s="1"/>
  <c r="F40" i="5"/>
  <c r="G40" i="5"/>
  <c r="F9" i="5"/>
  <c r="F8" i="5" s="1"/>
  <c r="G3" i="11" s="1"/>
  <c r="L3" i="11" s="1"/>
  <c r="G63" i="5"/>
  <c r="F32" i="5"/>
  <c r="G9" i="5"/>
  <c r="G8" i="5" s="1"/>
  <c r="I3" i="11" s="1"/>
  <c r="G18" i="9"/>
  <c r="H34" i="12"/>
  <c r="G26" i="9"/>
  <c r="F30" i="5"/>
  <c r="G68" i="5"/>
  <c r="G65" i="5" s="1"/>
  <c r="F84" i="5"/>
  <c r="G30" i="5"/>
  <c r="G84" i="5"/>
  <c r="G28" i="5"/>
  <c r="E18" i="9"/>
  <c r="E26" i="9"/>
  <c r="G32" i="5"/>
  <c r="F28" i="5"/>
  <c r="F63" i="5"/>
  <c r="F119" i="5"/>
  <c r="F118" i="5" s="1"/>
  <c r="F113" i="5" s="1"/>
  <c r="G12" i="11" s="1"/>
  <c r="L12" i="11" s="1"/>
  <c r="G119" i="5"/>
  <c r="G118" i="5" s="1"/>
  <c r="G113" i="5" s="1"/>
  <c r="I12" i="11" s="1"/>
  <c r="G57" i="10"/>
  <c r="F60" i="5"/>
  <c r="G60" i="5"/>
  <c r="G51" i="10"/>
  <c r="G15" i="10"/>
  <c r="G28" i="10"/>
  <c r="G38" i="10"/>
  <c r="G92" i="10"/>
  <c r="H7" i="6"/>
  <c r="H6" i="6" s="1"/>
  <c r="H5" i="6" s="1"/>
  <c r="G7" i="6"/>
  <c r="G6" i="6" s="1"/>
  <c r="G5" i="6" s="1"/>
  <c r="G43" i="10"/>
  <c r="G69" i="10"/>
  <c r="G10" i="10"/>
  <c r="G49" i="10"/>
  <c r="G67" i="10"/>
  <c r="G32" i="10"/>
  <c r="G82" i="10"/>
  <c r="G22" i="10"/>
  <c r="H56" i="9"/>
  <c r="G47" i="10"/>
  <c r="G7" i="10"/>
  <c r="G24" i="10"/>
  <c r="G91" i="10"/>
  <c r="G89" i="10"/>
  <c r="G73" i="10"/>
  <c r="J5" i="11"/>
  <c r="G80" i="10"/>
  <c r="G33" i="10"/>
  <c r="G46" i="10"/>
  <c r="G87" i="10"/>
  <c r="G70" i="10"/>
  <c r="G36" i="10"/>
  <c r="G85" i="10"/>
  <c r="G90" i="10"/>
  <c r="G72" i="10"/>
  <c r="G61" i="10"/>
  <c r="G54" i="10"/>
  <c r="G52" i="10"/>
  <c r="G55" i="10"/>
  <c r="G5" i="10"/>
  <c r="F17" i="10"/>
  <c r="G19" i="10"/>
  <c r="G45" i="10"/>
  <c r="G37" i="10"/>
  <c r="G68" i="10"/>
  <c r="G21" i="10"/>
  <c r="G40" i="10"/>
  <c r="G58" i="10"/>
  <c r="G8" i="10"/>
  <c r="G86" i="10"/>
  <c r="G78" i="10"/>
  <c r="G71" i="10"/>
  <c r="G62" i="10"/>
  <c r="G56" i="10"/>
  <c r="G50" i="10"/>
  <c r="G31" i="10"/>
  <c r="G23" i="10"/>
  <c r="G60" i="10"/>
  <c r="G25" i="10"/>
  <c r="G84" i="10"/>
  <c r="G42" i="10"/>
  <c r="G76" i="10"/>
  <c r="G66" i="10"/>
  <c r="G27" i="10"/>
  <c r="G88" i="10"/>
  <c r="G63" i="10"/>
  <c r="G41" i="10"/>
  <c r="D17" i="10"/>
  <c r="G39" i="10"/>
  <c r="G34" i="10"/>
  <c r="F82" i="5"/>
  <c r="E30" i="9"/>
  <c r="G82" i="5"/>
  <c r="G30" i="9"/>
  <c r="G54" i="5"/>
  <c r="M84" i="6"/>
  <c r="M83" i="6" s="1"/>
  <c r="M82" i="6" s="1"/>
  <c r="S85" i="6"/>
  <c r="S84" i="6" s="1"/>
  <c r="S83" i="6" s="1"/>
  <c r="S82" i="6" s="1"/>
  <c r="W49" i="6"/>
  <c r="E15" i="9"/>
  <c r="E37" i="9"/>
  <c r="G41" i="9"/>
  <c r="N101" i="6"/>
  <c r="D79" i="10"/>
  <c r="F76" i="5"/>
  <c r="F75" i="5" s="1"/>
  <c r="F74" i="5" s="1"/>
  <c r="G8" i="11" s="1"/>
  <c r="L8" i="11" s="1"/>
  <c r="V49" i="6"/>
  <c r="V48" i="6" s="1"/>
  <c r="V43" i="6" s="1"/>
  <c r="M101" i="6"/>
  <c r="G29" i="9"/>
  <c r="E27" i="9"/>
  <c r="G123" i="6"/>
  <c r="G122" i="6" s="1"/>
  <c r="G121" i="6" s="1"/>
  <c r="H123" i="6"/>
  <c r="H122" i="6" s="1"/>
  <c r="H121" i="6" s="1"/>
  <c r="F4" i="10"/>
  <c r="E41" i="9"/>
  <c r="G27" i="9"/>
  <c r="F53" i="10"/>
  <c r="G25" i="9"/>
  <c r="E25" i="9"/>
  <c r="G48" i="5"/>
  <c r="G47" i="5" s="1"/>
  <c r="E29" i="9"/>
  <c r="E28" i="9"/>
  <c r="G109" i="5"/>
  <c r="G108" i="5" s="1"/>
  <c r="G107" i="5" s="1"/>
  <c r="I11" i="11" s="1"/>
  <c r="F109" i="5"/>
  <c r="F108" i="5" s="1"/>
  <c r="F107" i="5" s="1"/>
  <c r="E43" i="9"/>
  <c r="F44" i="5"/>
  <c r="F100" i="5"/>
  <c r="F99" i="5" s="1"/>
  <c r="G5" i="9"/>
  <c r="E5" i="9"/>
  <c r="G6" i="9"/>
  <c r="G100" i="5"/>
  <c r="G99" i="5" s="1"/>
  <c r="G89" i="5"/>
  <c r="G88" i="5" s="1"/>
  <c r="E6" i="9"/>
  <c r="E38" i="9"/>
  <c r="G28" i="9"/>
  <c r="F54" i="5"/>
  <c r="G76" i="5"/>
  <c r="G75" i="5" s="1"/>
  <c r="G74" i="5" s="1"/>
  <c r="I8" i="11" s="1"/>
  <c r="F48" i="5"/>
  <c r="F47" i="5" s="1"/>
  <c r="G44" i="5"/>
  <c r="F89" i="5"/>
  <c r="F88" i="5" s="1"/>
  <c r="F9" i="10"/>
  <c r="I20" i="11"/>
  <c r="K20" i="11"/>
  <c r="L20" i="11" s="1"/>
  <c r="C35" i="11"/>
  <c r="H131" i="6"/>
  <c r="H130" i="6" s="1"/>
  <c r="H129" i="6" s="1"/>
  <c r="AD132" i="6"/>
  <c r="AD131" i="6" s="1"/>
  <c r="AD130" i="6" s="1"/>
  <c r="G131" i="6"/>
  <c r="G130" i="6" s="1"/>
  <c r="G129" i="6" s="1"/>
  <c r="AC132" i="6"/>
  <c r="AC131" i="6" s="1"/>
  <c r="AC130" i="6" s="1"/>
  <c r="AC129" i="6" s="1"/>
  <c r="H112" i="6"/>
  <c r="H111" i="6" s="1"/>
  <c r="N114" i="6"/>
  <c r="N112" i="6" s="1"/>
  <c r="N111" i="6" s="1"/>
  <c r="H109" i="6"/>
  <c r="H100" i="6" s="1"/>
  <c r="N110" i="6"/>
  <c r="N109" i="6" s="1"/>
  <c r="G109" i="6"/>
  <c r="G100" i="6" s="1"/>
  <c r="G99" i="6" s="1"/>
  <c r="M110" i="6"/>
  <c r="M109" i="6" s="1"/>
  <c r="F20" i="10"/>
  <c r="G42" i="9"/>
  <c r="G37" i="9"/>
  <c r="E16" i="8"/>
  <c r="E60" i="9"/>
  <c r="H91" i="6"/>
  <c r="H90" i="6" s="1"/>
  <c r="F83" i="10"/>
  <c r="F48" i="10"/>
  <c r="D53" i="10"/>
  <c r="N78" i="6"/>
  <c r="N77" i="6" s="1"/>
  <c r="N76" i="6" s="1"/>
  <c r="M75" i="6"/>
  <c r="M74" i="6" s="1"/>
  <c r="M73" i="6"/>
  <c r="M72" i="6" s="1"/>
  <c r="M65" i="6"/>
  <c r="M64" i="6" s="1"/>
  <c r="N30" i="6"/>
  <c r="N29" i="6" s="1"/>
  <c r="G44" i="6"/>
  <c r="M44" i="6"/>
  <c r="G43" i="9"/>
  <c r="N61" i="6"/>
  <c r="N60" i="6" s="1"/>
  <c r="H60" i="6"/>
  <c r="H59" i="6" s="1"/>
  <c r="H58" i="6" s="1"/>
  <c r="G92" i="6"/>
  <c r="M93" i="6"/>
  <c r="M92" i="6" s="1"/>
  <c r="M78" i="6"/>
  <c r="M77" i="6" s="1"/>
  <c r="M76" i="6" s="1"/>
  <c r="N75" i="6"/>
  <c r="N74" i="6" s="1"/>
  <c r="N73" i="6"/>
  <c r="N72" i="6" s="1"/>
  <c r="E17" i="8"/>
  <c r="G17" i="8"/>
  <c r="G18" i="8" s="1"/>
  <c r="G60" i="9"/>
  <c r="M30" i="6"/>
  <c r="M29" i="6" s="1"/>
  <c r="W34" i="6"/>
  <c r="N44" i="6"/>
  <c r="W53" i="6"/>
  <c r="W52" i="6" s="1"/>
  <c r="W51" i="6" s="1"/>
  <c r="G48" i="6"/>
  <c r="W50" i="6"/>
  <c r="E42" i="9"/>
  <c r="D20" i="10"/>
  <c r="D48" i="10"/>
  <c r="T84" i="6"/>
  <c r="T83" i="6" s="1"/>
  <c r="T82" i="6" s="1"/>
  <c r="N67" i="6"/>
  <c r="N66" i="6" s="1"/>
  <c r="N65" i="6"/>
  <c r="N64" i="6" s="1"/>
  <c r="G94" i="6"/>
  <c r="M95" i="6"/>
  <c r="U135" i="6"/>
  <c r="U134" i="6" s="1"/>
  <c r="U129" i="6" s="1"/>
  <c r="AD136" i="6"/>
  <c r="AD135" i="6" s="1"/>
  <c r="AD134" i="6" s="1"/>
  <c r="N93" i="6"/>
  <c r="N92" i="6" s="1"/>
  <c r="D9" i="10"/>
  <c r="F79" i="10"/>
  <c r="E31" i="9"/>
  <c r="J46" i="6"/>
  <c r="J43" i="6" s="1"/>
  <c r="J28" i="6" s="1"/>
  <c r="K46" i="6"/>
  <c r="K43" i="6" s="1"/>
  <c r="K28" i="6" s="1"/>
  <c r="V38" i="6"/>
  <c r="H38" i="6"/>
  <c r="G34" i="6"/>
  <c r="T131" i="6"/>
  <c r="T130" i="6" s="1"/>
  <c r="T129" i="6" s="1"/>
  <c r="F59" i="10"/>
  <c r="G38" i="9"/>
  <c r="G23" i="9"/>
  <c r="D59" i="10"/>
  <c r="E23" i="9"/>
  <c r="D83" i="10"/>
  <c r="K131" i="6"/>
  <c r="K130" i="6" s="1"/>
  <c r="K129" i="6" s="1"/>
  <c r="J131" i="6"/>
  <c r="J130" i="6" s="1"/>
  <c r="J129" i="6" s="1"/>
  <c r="F35" i="10"/>
  <c r="D35" i="10"/>
  <c r="G44" i="9"/>
  <c r="E44" i="9"/>
  <c r="G40" i="9"/>
  <c r="G69" i="6"/>
  <c r="G16" i="9"/>
  <c r="E16" i="9"/>
  <c r="G10" i="9"/>
  <c r="D4" i="10"/>
  <c r="F87" i="5" l="1"/>
  <c r="G10" i="11" s="1"/>
  <c r="L10" i="11" s="1"/>
  <c r="G81" i="5"/>
  <c r="G80" i="5" s="1"/>
  <c r="I9" i="11" s="1"/>
  <c r="H18" i="9"/>
  <c r="H24" i="12"/>
  <c r="H5" i="9"/>
  <c r="H43" i="9"/>
  <c r="G39" i="5"/>
  <c r="H6" i="9"/>
  <c r="H25" i="9"/>
  <c r="H26" i="9"/>
  <c r="H16" i="9"/>
  <c r="H44" i="9"/>
  <c r="H23" i="9"/>
  <c r="H29" i="9"/>
  <c r="H18" i="12"/>
  <c r="H38" i="9"/>
  <c r="H37" i="9"/>
  <c r="H30" i="9"/>
  <c r="H16" i="12"/>
  <c r="H42" i="9"/>
  <c r="H27" i="9"/>
  <c r="H41" i="9"/>
  <c r="H28" i="9"/>
  <c r="G7" i="5"/>
  <c r="F7" i="5"/>
  <c r="F53" i="5"/>
  <c r="F52" i="5" s="1"/>
  <c r="F25" i="5"/>
  <c r="F81" i="5"/>
  <c r="F80" i="5" s="1"/>
  <c r="G9" i="11" s="1"/>
  <c r="L9" i="11" s="1"/>
  <c r="G53" i="5"/>
  <c r="G52" i="5" s="1"/>
  <c r="I7" i="11" s="1"/>
  <c r="G25" i="5"/>
  <c r="F39" i="5"/>
  <c r="J12" i="11"/>
  <c r="E3" i="12"/>
  <c r="G22" i="12"/>
  <c r="E22" i="12"/>
  <c r="G12" i="12"/>
  <c r="E12" i="12"/>
  <c r="E17" i="12"/>
  <c r="G3" i="12"/>
  <c r="G17" i="12"/>
  <c r="G79" i="10"/>
  <c r="G59" i="10"/>
  <c r="J8" i="11"/>
  <c r="G9" i="10"/>
  <c r="G20" i="10"/>
  <c r="G4" i="10"/>
  <c r="G17" i="10"/>
  <c r="G83" i="10"/>
  <c r="G35" i="10"/>
  <c r="G48" i="10"/>
  <c r="C36" i="11"/>
  <c r="D36" i="11" s="1"/>
  <c r="J20" i="11"/>
  <c r="G53" i="10"/>
  <c r="G11" i="11"/>
  <c r="L11" i="11" s="1"/>
  <c r="W48" i="6"/>
  <c r="W43" i="6" s="1"/>
  <c r="N100" i="6"/>
  <c r="N99" i="6" s="1"/>
  <c r="M100" i="6"/>
  <c r="M99" i="6" s="1"/>
  <c r="G43" i="6"/>
  <c r="W30" i="6"/>
  <c r="W29" i="6" s="1"/>
  <c r="G87" i="5"/>
  <c r="I10" i="11" s="1"/>
  <c r="J3" i="11"/>
  <c r="M52" i="6"/>
  <c r="M51" i="6" s="1"/>
  <c r="V53" i="6"/>
  <c r="V52" i="6" s="1"/>
  <c r="V51" i="6" s="1"/>
  <c r="G30" i="6"/>
  <c r="V30" i="6"/>
  <c r="V29" i="6" s="1"/>
  <c r="M43" i="6"/>
  <c r="G31" i="9"/>
  <c r="H31" i="9" s="1"/>
  <c r="H99" i="6"/>
  <c r="C37" i="11"/>
  <c r="D37" i="11" s="1"/>
  <c r="K22" i="11"/>
  <c r="G48" i="9"/>
  <c r="E18" i="8"/>
  <c r="H18" i="8" s="1"/>
  <c r="E48" i="9"/>
  <c r="H16" i="8"/>
  <c r="H60" i="9"/>
  <c r="E10" i="9"/>
  <c r="H10" i="9" s="1"/>
  <c r="N43" i="6"/>
  <c r="G4" i="9"/>
  <c r="E4" i="9"/>
  <c r="M71" i="6"/>
  <c r="F153" i="10"/>
  <c r="AD129" i="6"/>
  <c r="N71" i="6"/>
  <c r="G91" i="6"/>
  <c r="G90" i="6" s="1"/>
  <c r="H17" i="8"/>
  <c r="G15" i="9"/>
  <c r="H15" i="9" s="1"/>
  <c r="M61" i="6"/>
  <c r="M60" i="6" s="1"/>
  <c r="M59" i="6" s="1"/>
  <c r="G60" i="6"/>
  <c r="G59" i="6" s="1"/>
  <c r="G58" i="6" s="1"/>
  <c r="N52" i="6"/>
  <c r="N51" i="6" s="1"/>
  <c r="E34" i="9"/>
  <c r="G34" i="9"/>
  <c r="H34" i="6"/>
  <c r="G9" i="9"/>
  <c r="H30" i="6"/>
  <c r="N59" i="6"/>
  <c r="H48" i="6"/>
  <c r="H43" i="6" s="1"/>
  <c r="G14" i="9"/>
  <c r="G36" i="9"/>
  <c r="E36" i="9"/>
  <c r="E20" i="9"/>
  <c r="G38" i="6"/>
  <c r="G20" i="9"/>
  <c r="E14" i="9"/>
  <c r="E9" i="9"/>
  <c r="G47" i="9"/>
  <c r="E47" i="9"/>
  <c r="E40" i="9"/>
  <c r="H40" i="9" s="1"/>
  <c r="G21" i="9"/>
  <c r="E21" i="9"/>
  <c r="D153" i="10"/>
  <c r="G7" i="11" l="1"/>
  <c r="L7" i="11" s="1"/>
  <c r="F24" i="5"/>
  <c r="G6" i="11" s="1"/>
  <c r="L6" i="11" s="1"/>
  <c r="G24" i="5"/>
  <c r="I6" i="11" s="1"/>
  <c r="H9" i="9"/>
  <c r="H14" i="9"/>
  <c r="H20" i="9"/>
  <c r="H4" i="9"/>
  <c r="H36" i="9"/>
  <c r="H3" i="12"/>
  <c r="H34" i="9"/>
  <c r="H48" i="9"/>
  <c r="H17" i="12"/>
  <c r="H12" i="12"/>
  <c r="H47" i="9"/>
  <c r="H22" i="12"/>
  <c r="H21" i="9"/>
  <c r="J9" i="11"/>
  <c r="E25" i="12"/>
  <c r="G25" i="12"/>
  <c r="J10" i="11"/>
  <c r="J11" i="11"/>
  <c r="G35" i="9"/>
  <c r="C51" i="11"/>
  <c r="F166" i="10"/>
  <c r="G153" i="10"/>
  <c r="W28" i="6"/>
  <c r="V28" i="6"/>
  <c r="G29" i="6"/>
  <c r="G28" i="6" s="1"/>
  <c r="M28" i="6"/>
  <c r="M58" i="6"/>
  <c r="N28" i="6"/>
  <c r="G45" i="9"/>
  <c r="E22" i="9"/>
  <c r="E4" i="8" s="1"/>
  <c r="N58" i="6"/>
  <c r="H29" i="6"/>
  <c r="H28" i="6" s="1"/>
  <c r="G3" i="9"/>
  <c r="G22" i="9"/>
  <c r="E3" i="9"/>
  <c r="E45" i="9"/>
  <c r="E35" i="9"/>
  <c r="D166" i="10"/>
  <c r="J7" i="11" l="1"/>
  <c r="H25" i="12"/>
  <c r="G162" i="5"/>
  <c r="G189" i="5" s="1"/>
  <c r="H3" i="9"/>
  <c r="G4" i="8"/>
  <c r="H4" i="8" s="1"/>
  <c r="H22" i="9"/>
  <c r="E3" i="8"/>
  <c r="G5" i="8"/>
  <c r="G34" i="8" s="1"/>
  <c r="H35" i="9"/>
  <c r="G6" i="8"/>
  <c r="G35" i="8" s="1"/>
  <c r="H45" i="9"/>
  <c r="F162" i="5"/>
  <c r="F189" i="5" s="1"/>
  <c r="J6" i="11"/>
  <c r="E36" i="12"/>
  <c r="G36" i="12"/>
  <c r="G3" i="8"/>
  <c r="G32" i="8" s="1"/>
  <c r="G166" i="10"/>
  <c r="I16" i="11"/>
  <c r="G16" i="11"/>
  <c r="E6" i="8"/>
  <c r="E35" i="8" s="1"/>
  <c r="G49" i="9"/>
  <c r="E33" i="8"/>
  <c r="E5" i="8"/>
  <c r="E49" i="9"/>
  <c r="BP146" i="1"/>
  <c r="BD211" i="1"/>
  <c r="AR157" i="1"/>
  <c r="BP157" i="1" s="1"/>
  <c r="BP133" i="1"/>
  <c r="BP36" i="1"/>
  <c r="AR306" i="1" l="1"/>
  <c r="AR308" i="1" s="1"/>
  <c r="G33" i="8"/>
  <c r="H33" i="8" s="1"/>
  <c r="H3" i="8"/>
  <c r="E32" i="8"/>
  <c r="H32" i="8" s="1"/>
  <c r="G62" i="9"/>
  <c r="H49" i="9"/>
  <c r="H36" i="12"/>
  <c r="E43" i="5"/>
  <c r="G7" i="8"/>
  <c r="G22" i="11"/>
  <c r="L22" i="11" s="1"/>
  <c r="L16" i="11"/>
  <c r="I22" i="11"/>
  <c r="J16" i="11"/>
  <c r="Z306" i="1"/>
  <c r="Z308" i="1" s="1"/>
  <c r="C27" i="11"/>
  <c r="F85" i="6"/>
  <c r="F84" i="6" s="1"/>
  <c r="F83" i="6" s="1"/>
  <c r="F82" i="6" s="1"/>
  <c r="I132" i="6"/>
  <c r="I85" i="6"/>
  <c r="I84" i="6" s="1"/>
  <c r="I83" i="6" s="1"/>
  <c r="I82" i="6" s="1"/>
  <c r="H6" i="8"/>
  <c r="C26" i="11"/>
  <c r="E34" i="8"/>
  <c r="H34" i="8" s="1"/>
  <c r="E62" i="9"/>
  <c r="E7" i="8"/>
  <c r="H5" i="8"/>
  <c r="H35" i="8"/>
  <c r="A121" i="10"/>
  <c r="A120" i="10"/>
  <c r="G36" i="8" l="1"/>
  <c r="H62" i="9"/>
  <c r="C50" i="11"/>
  <c r="J22" i="11"/>
  <c r="D28" i="11"/>
  <c r="D27" i="11"/>
  <c r="C49" i="11"/>
  <c r="H7" i="8"/>
  <c r="E36" i="8"/>
  <c r="H36" i="8" l="1"/>
  <c r="D51" i="11"/>
  <c r="D50" i="11"/>
  <c r="L167" i="6" l="1"/>
  <c r="I167" i="6" l="1"/>
  <c r="AI249" i="1" l="1"/>
  <c r="AI236" i="1"/>
  <c r="AI211" i="1"/>
  <c r="I165" i="6" l="1"/>
  <c r="AI306" i="1"/>
  <c r="AI308" i="1" s="1"/>
  <c r="I166" i="6"/>
  <c r="BP70" i="1"/>
  <c r="I157" i="6" l="1"/>
  <c r="BD199" i="1" l="1"/>
  <c r="BP199" i="1" l="1"/>
  <c r="I158" i="6"/>
  <c r="BP195" i="1"/>
  <c r="BP194" i="1"/>
  <c r="BP173" i="1"/>
  <c r="C121" i="10" l="1"/>
  <c r="E121" i="10" s="1"/>
  <c r="C112" i="10"/>
  <c r="E112" i="10" s="1"/>
  <c r="C111" i="10"/>
  <c r="E111" i="10" s="1"/>
  <c r="E140" i="5"/>
  <c r="F158" i="6"/>
  <c r="C114" i="10" l="1"/>
  <c r="E114" i="10" s="1"/>
  <c r="BP172" i="1" l="1"/>
  <c r="C98" i="10" l="1"/>
  <c r="E98" i="10" s="1"/>
  <c r="C120" i="10"/>
  <c r="E120" i="10" s="1"/>
  <c r="BP139" i="1"/>
  <c r="BD131" i="1"/>
  <c r="S132" i="6" l="1"/>
  <c r="BP131" i="1"/>
  <c r="L158" i="6"/>
  <c r="C116" i="10" l="1"/>
  <c r="E116" i="10" s="1"/>
  <c r="C115" i="10"/>
  <c r="E115" i="10" s="1"/>
  <c r="BP62" i="1"/>
  <c r="C43" i="10" l="1"/>
  <c r="E43" i="10" s="1"/>
  <c r="BP144" i="1"/>
  <c r="E116" i="5" l="1"/>
  <c r="F93" i="6"/>
  <c r="O190" i="6" l="1"/>
  <c r="O189" i="6" s="1"/>
  <c r="O188" i="6" s="1"/>
  <c r="F190" i="6"/>
  <c r="F189" i="6" s="1"/>
  <c r="F188" i="6" s="1"/>
  <c r="BP178" i="1"/>
  <c r="BP177" i="1"/>
  <c r="BP176" i="1"/>
  <c r="BP175" i="1"/>
  <c r="BP174" i="1"/>
  <c r="BP171" i="1"/>
  <c r="BP170" i="1"/>
  <c r="BP169" i="1"/>
  <c r="BP167" i="1"/>
  <c r="BP166" i="1"/>
  <c r="BP168" i="1"/>
  <c r="Y131" i="6"/>
  <c r="Y130" i="6" s="1"/>
  <c r="Y129" i="6" s="1"/>
  <c r="L102" i="6"/>
  <c r="C102" i="10" l="1"/>
  <c r="E102" i="10" s="1"/>
  <c r="C100" i="10"/>
  <c r="E100" i="10" s="1"/>
  <c r="C99" i="10"/>
  <c r="E99" i="10" s="1"/>
  <c r="C97" i="10"/>
  <c r="E97" i="10" s="1"/>
  <c r="E127" i="5"/>
  <c r="E125" i="5"/>
  <c r="E129" i="5"/>
  <c r="C101" i="10"/>
  <c r="E101" i="10" s="1"/>
  <c r="R44" i="6"/>
  <c r="R43" i="6" s="1"/>
  <c r="R28" i="6" s="1"/>
  <c r="L147" i="6"/>
  <c r="I46" i="6"/>
  <c r="I43" i="6" s="1"/>
  <c r="I28" i="6" s="1"/>
  <c r="I94" i="6"/>
  <c r="V131" i="6"/>
  <c r="V130" i="6" s="1"/>
  <c r="V129" i="6" s="1"/>
  <c r="C95" i="10"/>
  <c r="E95" i="10" s="1"/>
  <c r="C94" i="10"/>
  <c r="E94" i="10" s="1"/>
  <c r="C96" i="10"/>
  <c r="E96" i="10" s="1"/>
  <c r="F92" i="6" l="1"/>
  <c r="L95" i="6"/>
  <c r="F94" i="6"/>
  <c r="C67" i="10"/>
  <c r="E67" i="10" s="1"/>
  <c r="F91" i="6" l="1"/>
  <c r="F90" i="6" s="1"/>
  <c r="F64" i="6" l="1"/>
  <c r="F60" i="6"/>
  <c r="BD115" i="1"/>
  <c r="BP115" i="1" s="1"/>
  <c r="BP117" i="1"/>
  <c r="BD114" i="1"/>
  <c r="BP114" i="1" s="1"/>
  <c r="E102" i="5" l="1"/>
  <c r="F114" i="6"/>
  <c r="BP191" i="1" l="1"/>
  <c r="I142" i="6"/>
  <c r="L106" i="6"/>
  <c r="I69" i="6"/>
  <c r="BP63" i="1"/>
  <c r="BP66" i="1"/>
  <c r="BP65" i="1"/>
  <c r="BP64" i="1"/>
  <c r="BP61" i="1"/>
  <c r="BP60" i="1"/>
  <c r="BP59" i="1"/>
  <c r="BP58" i="1"/>
  <c r="C44" i="10"/>
  <c r="E44" i="10" s="1"/>
  <c r="C30" i="10"/>
  <c r="E30" i="10" s="1"/>
  <c r="C10" i="10"/>
  <c r="E10" i="10" s="1"/>
  <c r="BP11" i="1"/>
  <c r="BP10" i="1"/>
  <c r="BP9" i="1"/>
  <c r="BP8" i="1"/>
  <c r="D19" i="12" l="1"/>
  <c r="F19" i="12" s="1"/>
  <c r="D13" i="12"/>
  <c r="F13" i="12" s="1"/>
  <c r="D21" i="12"/>
  <c r="F21" i="12" s="1"/>
  <c r="E134" i="5"/>
  <c r="F9" i="6"/>
  <c r="C6" i="10"/>
  <c r="E6" i="10" s="1"/>
  <c r="C7" i="10"/>
  <c r="E7" i="10" s="1"/>
  <c r="E69" i="5"/>
  <c r="C5" i="10"/>
  <c r="E5" i="10" s="1"/>
  <c r="F8" i="6"/>
  <c r="E10" i="5"/>
  <c r="E72" i="5"/>
  <c r="C45" i="10"/>
  <c r="E45" i="10" s="1"/>
  <c r="E67" i="5"/>
  <c r="R192" i="6"/>
  <c r="C46" i="10"/>
  <c r="E46" i="10" s="1"/>
  <c r="C117" i="10"/>
  <c r="E117" i="10" s="1"/>
  <c r="C47" i="10"/>
  <c r="E47" i="10" s="1"/>
  <c r="C8" i="10"/>
  <c r="E8" i="10" s="1"/>
  <c r="F173" i="6"/>
  <c r="F172" i="6" s="1"/>
  <c r="C4" i="10" l="1"/>
  <c r="E4" i="10" s="1"/>
  <c r="F36" i="6"/>
  <c r="I190" i="6"/>
  <c r="I189" i="6" s="1"/>
  <c r="I188" i="6" s="1"/>
  <c r="E68" i="5"/>
  <c r="E71" i="5"/>
  <c r="E70" i="5" s="1"/>
  <c r="E66" i="5"/>
  <c r="L84" i="6"/>
  <c r="L83" i="6" s="1"/>
  <c r="L82" i="6" s="1"/>
  <c r="R85" i="6" l="1"/>
  <c r="R84" i="6" s="1"/>
  <c r="R83" i="6" s="1"/>
  <c r="E65" i="5"/>
  <c r="D44" i="9"/>
  <c r="F44" i="9" s="1"/>
  <c r="BP299" i="1"/>
  <c r="BP300" i="1"/>
  <c r="BP301" i="1"/>
  <c r="F204" i="6"/>
  <c r="I204" i="6" l="1"/>
  <c r="L205" i="6"/>
  <c r="L204" i="6" s="1"/>
  <c r="I198" i="6"/>
  <c r="I197" i="6" s="1"/>
  <c r="BP71" i="1" l="1"/>
  <c r="C29" i="10" l="1"/>
  <c r="E29" i="10" s="1"/>
  <c r="BP260" i="1"/>
  <c r="BP261" i="1"/>
  <c r="BP281" i="1" l="1"/>
  <c r="BP283" i="1"/>
  <c r="BP284" i="1"/>
  <c r="BP285" i="1"/>
  <c r="BP272" i="1"/>
  <c r="BP273" i="1"/>
  <c r="BP274" i="1"/>
  <c r="BP275" i="1"/>
  <c r="BP263" i="1"/>
  <c r="BP264" i="1"/>
  <c r="BP265" i="1"/>
  <c r="BP266" i="1"/>
  <c r="BP267" i="1"/>
  <c r="BP268" i="1"/>
  <c r="BP269" i="1"/>
  <c r="BP270" i="1"/>
  <c r="C89" i="10" l="1"/>
  <c r="E89" i="10" s="1"/>
  <c r="C148" i="10"/>
  <c r="E148" i="10" s="1"/>
  <c r="C90" i="10"/>
  <c r="E90" i="10" s="1"/>
  <c r="C88" i="10"/>
  <c r="E88" i="10" s="1"/>
  <c r="E17" i="5"/>
  <c r="BP43" i="1" l="1"/>
  <c r="BP258" i="1" l="1"/>
  <c r="BP76" i="1" l="1"/>
  <c r="R191" i="6" l="1"/>
  <c r="L190" i="6" l="1"/>
  <c r="L189" i="6" s="1"/>
  <c r="L188" i="6" s="1"/>
  <c r="R190" i="6" l="1"/>
  <c r="R189" i="6" s="1"/>
  <c r="R188" i="6" s="1"/>
  <c r="BP165" i="1"/>
  <c r="E120" i="5" l="1"/>
  <c r="C92" i="10"/>
  <c r="E92" i="10" s="1"/>
  <c r="O135" i="6"/>
  <c r="O134" i="6" s="1"/>
  <c r="L135" i="6"/>
  <c r="L134" i="6" s="1"/>
  <c r="S135" i="6"/>
  <c r="S134" i="6" s="1"/>
  <c r="I135" i="6"/>
  <c r="I134" i="6" s="1"/>
  <c r="F135" i="6" l="1"/>
  <c r="F134" i="6" s="1"/>
  <c r="AB136" i="6"/>
  <c r="AB135" i="6" s="1"/>
  <c r="AB134" i="6" s="1"/>
  <c r="E119" i="5"/>
  <c r="E118" i="5" s="1"/>
  <c r="I92" i="6" l="1"/>
  <c r="I91" i="6" s="1"/>
  <c r="I90" i="6" s="1"/>
  <c r="L93" i="6"/>
  <c r="F177" i="6"/>
  <c r="F176" i="6" s="1"/>
  <c r="F181" i="6"/>
  <c r="F180" i="6" s="1"/>
  <c r="L149" i="6"/>
  <c r="L117" i="6"/>
  <c r="L116" i="6"/>
  <c r="L114" i="6"/>
  <c r="L113" i="6"/>
  <c r="L108" i="6"/>
  <c r="L104" i="6"/>
  <c r="I156" i="6" l="1"/>
  <c r="I155" i="6" s="1"/>
  <c r="I146" i="6"/>
  <c r="F171" i="6"/>
  <c r="F112" i="6" l="1"/>
  <c r="F111" i="6" s="1"/>
  <c r="L115" i="6"/>
  <c r="L112" i="6" s="1"/>
  <c r="L111" i="6" s="1"/>
  <c r="E15" i="5"/>
  <c r="E14" i="5" s="1"/>
  <c r="E13" i="5" s="1"/>
  <c r="C4" i="11" s="1"/>
  <c r="C87" i="10"/>
  <c r="E87" i="10" s="1"/>
  <c r="C85" i="10"/>
  <c r="E85" i="10" s="1"/>
  <c r="C86" i="10"/>
  <c r="E86" i="10" s="1"/>
  <c r="C77" i="10"/>
  <c r="E77" i="10" s="1"/>
  <c r="BP69" i="1" l="1"/>
  <c r="BP13" i="1"/>
  <c r="BP305" i="1"/>
  <c r="BP304" i="1"/>
  <c r="BP303" i="1"/>
  <c r="BP302" i="1"/>
  <c r="BP298" i="1"/>
  <c r="BP297" i="1"/>
  <c r="BP296" i="1"/>
  <c r="BP295" i="1"/>
  <c r="BP294" i="1"/>
  <c r="L200" i="6"/>
  <c r="BP292" i="1"/>
  <c r="BP291" i="1"/>
  <c r="BP290" i="1"/>
  <c r="BP288" i="1"/>
  <c r="BP287" i="1"/>
  <c r="BP286" i="1"/>
  <c r="BP280" i="1"/>
  <c r="BP279" i="1"/>
  <c r="BP278" i="1"/>
  <c r="BP277" i="1"/>
  <c r="BP276" i="1"/>
  <c r="BP271" i="1"/>
  <c r="BP262" i="1"/>
  <c r="BP255" i="1"/>
  <c r="BP254" i="1"/>
  <c r="BP252" i="1"/>
  <c r="U167" i="6"/>
  <c r="BP250" i="1"/>
  <c r="BP249" i="1"/>
  <c r="BP247" i="1"/>
  <c r="BP246" i="1"/>
  <c r="BP245" i="1"/>
  <c r="BP244" i="1"/>
  <c r="BD241" i="1"/>
  <c r="BP239" i="1"/>
  <c r="BP238" i="1"/>
  <c r="BP237" i="1"/>
  <c r="BP236" i="1"/>
  <c r="BP235" i="1"/>
  <c r="BP234" i="1"/>
  <c r="BP233" i="1"/>
  <c r="BP232" i="1"/>
  <c r="BP231" i="1"/>
  <c r="BP230" i="1"/>
  <c r="BP229" i="1"/>
  <c r="BP228" i="1"/>
  <c r="BP227" i="1"/>
  <c r="BP226" i="1"/>
  <c r="BP225" i="1"/>
  <c r="BP224" i="1"/>
  <c r="BP223" i="1"/>
  <c r="BP222" i="1"/>
  <c r="BP221" i="1"/>
  <c r="BP220" i="1"/>
  <c r="BP219" i="1"/>
  <c r="BP218" i="1"/>
  <c r="BP217" i="1"/>
  <c r="BP216" i="1"/>
  <c r="BP215" i="1"/>
  <c r="BP214" i="1"/>
  <c r="BP213" i="1"/>
  <c r="BP212" i="1"/>
  <c r="BP211" i="1"/>
  <c r="BP210" i="1"/>
  <c r="BP209" i="1"/>
  <c r="BP208" i="1"/>
  <c r="BP207" i="1"/>
  <c r="BP205" i="1"/>
  <c r="BP203" i="1"/>
  <c r="BD201" i="1"/>
  <c r="BP201" i="1" s="1"/>
  <c r="BP193" i="1"/>
  <c r="BP192" i="1"/>
  <c r="I153" i="6"/>
  <c r="I151" i="6"/>
  <c r="BP189" i="1"/>
  <c r="BP188" i="1"/>
  <c r="BP187" i="1"/>
  <c r="BP186" i="1"/>
  <c r="BP185" i="1"/>
  <c r="BP184" i="1"/>
  <c r="BP183" i="1"/>
  <c r="BP182" i="1"/>
  <c r="BP181" i="1"/>
  <c r="BP180" i="1"/>
  <c r="BP179" i="1"/>
  <c r="L148" i="6"/>
  <c r="I144" i="6"/>
  <c r="I141" i="6" s="1"/>
  <c r="AB132" i="6"/>
  <c r="BP129" i="1"/>
  <c r="BP128" i="1"/>
  <c r="C80" i="10"/>
  <c r="E80" i="10" s="1"/>
  <c r="C78" i="10"/>
  <c r="E78" i="10" s="1"/>
  <c r="C75" i="10"/>
  <c r="E75" i="10" s="1"/>
  <c r="C74" i="10"/>
  <c r="E74" i="10" s="1"/>
  <c r="C72" i="10"/>
  <c r="E72" i="10" s="1"/>
  <c r="L107" i="6"/>
  <c r="D26" i="9"/>
  <c r="F26" i="9" s="1"/>
  <c r="L103" i="6"/>
  <c r="C64" i="10"/>
  <c r="E64" i="10" s="1"/>
  <c r="BP88" i="1"/>
  <c r="BP87" i="1"/>
  <c r="BP86" i="1"/>
  <c r="BP82" i="1"/>
  <c r="BP83" i="1"/>
  <c r="BP81" i="1"/>
  <c r="BP80" i="1"/>
  <c r="BP79" i="1"/>
  <c r="BP78" i="1"/>
  <c r="BP77" i="1"/>
  <c r="BP75" i="1"/>
  <c r="BP74" i="1"/>
  <c r="BP72" i="1"/>
  <c r="BP68" i="1"/>
  <c r="I74" i="6"/>
  <c r="I72" i="6"/>
  <c r="BP56" i="1"/>
  <c r="L70" i="6"/>
  <c r="BP55" i="1"/>
  <c r="BP54" i="1"/>
  <c r="BP53" i="1"/>
  <c r="BP52" i="1"/>
  <c r="BP51" i="1"/>
  <c r="BP50" i="1"/>
  <c r="BP49" i="1"/>
  <c r="L65" i="6"/>
  <c r="BP48" i="1"/>
  <c r="L62" i="6"/>
  <c r="BP46" i="1"/>
  <c r="L61" i="6"/>
  <c r="BP45" i="1"/>
  <c r="BP44" i="1"/>
  <c r="BP42" i="1"/>
  <c r="BP41" i="1"/>
  <c r="BP40" i="1"/>
  <c r="BP39" i="1"/>
  <c r="BP38" i="1"/>
  <c r="U50" i="6"/>
  <c r="BP37" i="1"/>
  <c r="O48" i="6"/>
  <c r="L48" i="6"/>
  <c r="L46" i="6"/>
  <c r="BP34" i="1"/>
  <c r="BP33" i="1"/>
  <c r="BP30" i="1"/>
  <c r="BP29" i="1"/>
  <c r="BP27" i="1"/>
  <c r="BP26" i="1"/>
  <c r="O30" i="6"/>
  <c r="L30" i="6"/>
  <c r="BP25" i="1"/>
  <c r="BP24" i="1"/>
  <c r="F23" i="6"/>
  <c r="F22" i="6" s="1"/>
  <c r="BP23" i="1"/>
  <c r="BP22" i="1"/>
  <c r="BP21" i="1"/>
  <c r="BP20" i="1"/>
  <c r="BP19" i="1"/>
  <c r="BP18" i="1"/>
  <c r="BP17" i="1"/>
  <c r="C14" i="10"/>
  <c r="E14" i="10" s="1"/>
  <c r="C13" i="10"/>
  <c r="E13" i="10" s="1"/>
  <c r="BP14" i="1"/>
  <c r="D10" i="12" l="1"/>
  <c r="D11" i="12"/>
  <c r="F11" i="12" s="1"/>
  <c r="D23" i="12"/>
  <c r="E145" i="5"/>
  <c r="D6" i="12"/>
  <c r="D33" i="12"/>
  <c r="D32" i="12"/>
  <c r="D30" i="12"/>
  <c r="D24" i="12"/>
  <c r="D20" i="12"/>
  <c r="F20" i="12" s="1"/>
  <c r="D16" i="12"/>
  <c r="F16" i="12" s="1"/>
  <c r="D15" i="12"/>
  <c r="F15" i="12" s="1"/>
  <c r="D9" i="12"/>
  <c r="D7" i="12"/>
  <c r="E178" i="5"/>
  <c r="F32" i="12" s="1"/>
  <c r="E173" i="5"/>
  <c r="C157" i="10"/>
  <c r="E157" i="10" s="1"/>
  <c r="C140" i="10"/>
  <c r="E140" i="10" s="1"/>
  <c r="C137" i="10"/>
  <c r="E137" i="10" s="1"/>
  <c r="C141" i="10"/>
  <c r="E141" i="10" s="1"/>
  <c r="C139" i="10"/>
  <c r="E139" i="10" s="1"/>
  <c r="C138" i="10"/>
  <c r="E138" i="10" s="1"/>
  <c r="C126" i="10"/>
  <c r="E126" i="10" s="1"/>
  <c r="C106" i="10"/>
  <c r="E106" i="10" s="1"/>
  <c r="C105" i="10"/>
  <c r="E105" i="10" s="1"/>
  <c r="C104" i="10"/>
  <c r="E104" i="10" s="1"/>
  <c r="C108" i="10"/>
  <c r="E108" i="10" s="1"/>
  <c r="E78" i="5"/>
  <c r="C51" i="10"/>
  <c r="E51" i="10" s="1"/>
  <c r="E64" i="5"/>
  <c r="E55" i="5"/>
  <c r="E50" i="5"/>
  <c r="C28" i="10"/>
  <c r="E28" i="10" s="1"/>
  <c r="E31" i="5"/>
  <c r="E33" i="5"/>
  <c r="E27" i="5"/>
  <c r="E35" i="5"/>
  <c r="C19" i="10"/>
  <c r="E19" i="10" s="1"/>
  <c r="C16" i="10"/>
  <c r="E16" i="10" s="1"/>
  <c r="O166" i="6"/>
  <c r="BD306" i="1"/>
  <c r="BD308" i="1" s="1"/>
  <c r="F16" i="6"/>
  <c r="E29" i="5"/>
  <c r="E46" i="5"/>
  <c r="E131" i="5"/>
  <c r="E180" i="5"/>
  <c r="E185" i="5"/>
  <c r="C38" i="10"/>
  <c r="E38" i="10" s="1"/>
  <c r="E57" i="5"/>
  <c r="E61" i="5"/>
  <c r="C81" i="10"/>
  <c r="E81" i="10" s="1"/>
  <c r="F124" i="6"/>
  <c r="E110" i="5"/>
  <c r="C118" i="10"/>
  <c r="E118" i="10" s="1"/>
  <c r="E136" i="5"/>
  <c r="O165" i="6"/>
  <c r="C147" i="10"/>
  <c r="E147" i="10" s="1"/>
  <c r="E152" i="5"/>
  <c r="C18" i="10"/>
  <c r="E18" i="10" s="1"/>
  <c r="E22" i="5"/>
  <c r="C31" i="10"/>
  <c r="E31" i="10" s="1"/>
  <c r="E45" i="5"/>
  <c r="C33" i="10"/>
  <c r="E33" i="10" s="1"/>
  <c r="E49" i="5"/>
  <c r="C39" i="10"/>
  <c r="E39" i="10" s="1"/>
  <c r="E59" i="5"/>
  <c r="C41" i="10"/>
  <c r="E41" i="10" s="1"/>
  <c r="E62" i="5"/>
  <c r="C49" i="10"/>
  <c r="E49" i="10" s="1"/>
  <c r="E85" i="5"/>
  <c r="C82" i="10"/>
  <c r="E82" i="10" s="1"/>
  <c r="F125" i="6"/>
  <c r="E111" i="5"/>
  <c r="C149" i="10"/>
  <c r="E149" i="10" s="1"/>
  <c r="E153" i="5"/>
  <c r="C151" i="10"/>
  <c r="E151" i="10" s="1"/>
  <c r="E157" i="5"/>
  <c r="E167" i="5"/>
  <c r="C12" i="10"/>
  <c r="E12" i="10" s="1"/>
  <c r="F17" i="6"/>
  <c r="E130" i="5"/>
  <c r="C119" i="10"/>
  <c r="E119" i="10" s="1"/>
  <c r="E139" i="5"/>
  <c r="E156" i="5"/>
  <c r="C152" i="10"/>
  <c r="E152" i="10" s="1"/>
  <c r="E160" i="5"/>
  <c r="C156" i="10"/>
  <c r="E156" i="10" s="1"/>
  <c r="E168" i="5"/>
  <c r="C103" i="10"/>
  <c r="E103" i="10" s="1"/>
  <c r="F109" i="6"/>
  <c r="L110" i="6"/>
  <c r="L109" i="6" s="1"/>
  <c r="L105" i="6"/>
  <c r="L101" i="6" s="1"/>
  <c r="F101" i="6"/>
  <c r="C110" i="10"/>
  <c r="E110" i="10" s="1"/>
  <c r="I202" i="6"/>
  <c r="I201" i="6" s="1"/>
  <c r="I196" i="6" s="1"/>
  <c r="F144" i="6"/>
  <c r="L145" i="6"/>
  <c r="L144" i="6" s="1"/>
  <c r="N94" i="6"/>
  <c r="N91" i="6" s="1"/>
  <c r="N90" i="6" s="1"/>
  <c r="M94" i="6"/>
  <c r="M91" i="6" s="1"/>
  <c r="M90" i="6" s="1"/>
  <c r="L67" i="6"/>
  <c r="L68" i="6"/>
  <c r="F72" i="6"/>
  <c r="L73" i="6"/>
  <c r="L72" i="6" s="1"/>
  <c r="F74" i="6"/>
  <c r="L75" i="6"/>
  <c r="L74" i="6" s="1"/>
  <c r="F46" i="6"/>
  <c r="C32" i="10"/>
  <c r="E32" i="10" s="1"/>
  <c r="C40" i="10"/>
  <c r="E40" i="10" s="1"/>
  <c r="C60" i="10"/>
  <c r="E60" i="10" s="1"/>
  <c r="C62" i="10"/>
  <c r="E62" i="10" s="1"/>
  <c r="C63" i="10"/>
  <c r="E63" i="10" s="1"/>
  <c r="C69" i="10"/>
  <c r="E69" i="10" s="1"/>
  <c r="C113" i="10"/>
  <c r="E113" i="10" s="1"/>
  <c r="C124" i="10"/>
  <c r="E124" i="10" s="1"/>
  <c r="C125" i="10"/>
  <c r="E125" i="10" s="1"/>
  <c r="C131" i="10"/>
  <c r="E131" i="10" s="1"/>
  <c r="C132" i="10"/>
  <c r="E132" i="10" s="1"/>
  <c r="C150" i="10"/>
  <c r="E150" i="10" s="1"/>
  <c r="C162" i="10"/>
  <c r="E162" i="10" s="1"/>
  <c r="C164" i="10"/>
  <c r="E164" i="10" s="1"/>
  <c r="C52" i="10"/>
  <c r="E52" i="10" s="1"/>
  <c r="D39" i="9"/>
  <c r="F39" i="9" s="1"/>
  <c r="C76" i="10"/>
  <c r="E76" i="10" s="1"/>
  <c r="D11" i="9"/>
  <c r="F11" i="9" s="1"/>
  <c r="C91" i="10"/>
  <c r="E91" i="10" s="1"/>
  <c r="C11" i="10"/>
  <c r="E11" i="10" s="1"/>
  <c r="C24" i="10"/>
  <c r="E24" i="10" s="1"/>
  <c r="C25" i="10"/>
  <c r="E25" i="10" s="1"/>
  <c r="C15" i="10"/>
  <c r="E15" i="10" s="1"/>
  <c r="C21" i="10"/>
  <c r="E21" i="10" s="1"/>
  <c r="C22" i="10"/>
  <c r="E22" i="10" s="1"/>
  <c r="C23" i="10"/>
  <c r="E23" i="10" s="1"/>
  <c r="C34" i="10"/>
  <c r="E34" i="10" s="1"/>
  <c r="C36" i="10"/>
  <c r="E36" i="10" s="1"/>
  <c r="C42" i="10"/>
  <c r="E42" i="10" s="1"/>
  <c r="C54" i="10"/>
  <c r="E54" i="10" s="1"/>
  <c r="C55" i="10"/>
  <c r="E55" i="10" s="1"/>
  <c r="C56" i="10"/>
  <c r="E56" i="10" s="1"/>
  <c r="C61" i="10"/>
  <c r="E61" i="10" s="1"/>
  <c r="C65" i="10"/>
  <c r="E65" i="10" s="1"/>
  <c r="C66" i="10"/>
  <c r="E66" i="10" s="1"/>
  <c r="D27" i="9"/>
  <c r="F27" i="9" s="1"/>
  <c r="C68" i="10"/>
  <c r="E68" i="10" s="1"/>
  <c r="C70" i="10"/>
  <c r="E70" i="10" s="1"/>
  <c r="C71" i="10"/>
  <c r="E71" i="10" s="1"/>
  <c r="C107" i="10"/>
  <c r="E107" i="10" s="1"/>
  <c r="C109" i="10"/>
  <c r="E109" i="10" s="1"/>
  <c r="C127" i="10"/>
  <c r="E127" i="10" s="1"/>
  <c r="C128" i="10"/>
  <c r="E128" i="10" s="1"/>
  <c r="C129" i="10"/>
  <c r="E129" i="10" s="1"/>
  <c r="C130" i="10"/>
  <c r="E130" i="10" s="1"/>
  <c r="C133" i="10"/>
  <c r="E133" i="10" s="1"/>
  <c r="C136" i="10"/>
  <c r="E136" i="10" s="1"/>
  <c r="C155" i="10"/>
  <c r="E155" i="10" s="1"/>
  <c r="C159" i="10"/>
  <c r="E159" i="10" s="1"/>
  <c r="C161" i="10"/>
  <c r="E161" i="10" s="1"/>
  <c r="I164" i="6"/>
  <c r="I163" i="6" s="1"/>
  <c r="I162" i="6" s="1"/>
  <c r="L32" i="6"/>
  <c r="L34" i="6"/>
  <c r="O32" i="6"/>
  <c r="O34" i="6"/>
  <c r="L38" i="6"/>
  <c r="O38" i="6"/>
  <c r="D41" i="9"/>
  <c r="F41" i="9" s="1"/>
  <c r="I71" i="6"/>
  <c r="I150" i="6"/>
  <c r="I140" i="6" s="1"/>
  <c r="O131" i="6"/>
  <c r="O130" i="6" s="1"/>
  <c r="O129" i="6" s="1"/>
  <c r="L146" i="6"/>
  <c r="F146" i="6"/>
  <c r="F66" i="6"/>
  <c r="I66" i="6"/>
  <c r="I23" i="6"/>
  <c r="I22" i="6" s="1"/>
  <c r="I21" i="6" s="1"/>
  <c r="L64" i="6"/>
  <c r="I64" i="6"/>
  <c r="L69" i="6"/>
  <c r="F69" i="6"/>
  <c r="O52" i="6"/>
  <c r="O51" i="6" s="1"/>
  <c r="U49" i="6"/>
  <c r="L44" i="6"/>
  <c r="L43" i="6" s="1"/>
  <c r="L94" i="6"/>
  <c r="F202" i="6"/>
  <c r="F201" i="6" s="1"/>
  <c r="U31" i="6"/>
  <c r="F21" i="6"/>
  <c r="E133" i="5"/>
  <c r="BP241" i="1"/>
  <c r="BP256" i="1"/>
  <c r="D25" i="9"/>
  <c r="F25" i="9" s="1"/>
  <c r="D29" i="9"/>
  <c r="F29" i="9" s="1"/>
  <c r="D28" i="9"/>
  <c r="F28" i="9" s="1"/>
  <c r="BP47" i="1"/>
  <c r="D4" i="12" s="1"/>
  <c r="E126" i="5"/>
  <c r="BP293" i="1"/>
  <c r="BP84" i="1"/>
  <c r="E83" i="5" s="1"/>
  <c r="C58" i="10"/>
  <c r="E58" i="10" s="1"/>
  <c r="BP251" i="1"/>
  <c r="BP32" i="1"/>
  <c r="BP253" i="1"/>
  <c r="BP73" i="1"/>
  <c r="BP242" i="1"/>
  <c r="U47" i="6"/>
  <c r="C73" i="10"/>
  <c r="E73" i="10" s="1"/>
  <c r="D29" i="12" l="1"/>
  <c r="D14" i="12"/>
  <c r="F14" i="12" s="1"/>
  <c r="D18" i="12"/>
  <c r="C134" i="10"/>
  <c r="E134" i="10" s="1"/>
  <c r="C143" i="10"/>
  <c r="E143" i="10" s="1"/>
  <c r="D8" i="12"/>
  <c r="F4" i="12"/>
  <c r="E109" i="5"/>
  <c r="E108" i="5" s="1"/>
  <c r="E107" i="5" s="1"/>
  <c r="C11" i="11" s="1"/>
  <c r="F33" i="12"/>
  <c r="D5" i="12"/>
  <c r="F30" i="12"/>
  <c r="BP307" i="1"/>
  <c r="C135" i="10"/>
  <c r="E135" i="10" s="1"/>
  <c r="C142" i="10"/>
  <c r="E142" i="10" s="1"/>
  <c r="E34" i="5"/>
  <c r="F6" i="12"/>
  <c r="F23" i="12"/>
  <c r="E28" i="5"/>
  <c r="E32" i="5"/>
  <c r="E30" i="5"/>
  <c r="F10" i="12"/>
  <c r="D31" i="12"/>
  <c r="F31" i="12" s="1"/>
  <c r="C57" i="10"/>
  <c r="E57" i="10" s="1"/>
  <c r="E56" i="5"/>
  <c r="E41" i="5"/>
  <c r="F7" i="12"/>
  <c r="F15" i="6"/>
  <c r="F14" i="6" s="1"/>
  <c r="F13" i="6" s="1"/>
  <c r="BP306" i="1"/>
  <c r="D6" i="9"/>
  <c r="F6" i="9" s="1"/>
  <c r="D43" i="9"/>
  <c r="F43" i="9" s="1"/>
  <c r="F123" i="6"/>
  <c r="F122" i="6" s="1"/>
  <c r="F121" i="6" s="1"/>
  <c r="C123" i="10"/>
  <c r="E123" i="10" s="1"/>
  <c r="C17" i="10"/>
  <c r="E17" i="10" s="1"/>
  <c r="D13" i="9"/>
  <c r="F13" i="9" s="1"/>
  <c r="C160" i="10"/>
  <c r="E160" i="10" s="1"/>
  <c r="E175" i="5"/>
  <c r="E147" i="5"/>
  <c r="F9" i="12" s="1"/>
  <c r="C79" i="10"/>
  <c r="E79" i="10" s="1"/>
  <c r="E146" i="5"/>
  <c r="E77" i="5"/>
  <c r="U165" i="6"/>
  <c r="F100" i="6"/>
  <c r="F99" i="6" s="1"/>
  <c r="D55" i="9"/>
  <c r="F55" i="9" s="1"/>
  <c r="O44" i="6"/>
  <c r="U45" i="6"/>
  <c r="U44" i="6" s="1"/>
  <c r="L100" i="6"/>
  <c r="L99" i="6" s="1"/>
  <c r="H184" i="6"/>
  <c r="H216" i="6" s="1"/>
  <c r="G184" i="6"/>
  <c r="G216" i="6" s="1"/>
  <c r="E9" i="5"/>
  <c r="E8" i="5" s="1"/>
  <c r="E7" i="5" s="1"/>
  <c r="E166" i="5"/>
  <c r="E165" i="5" s="1"/>
  <c r="E164" i="5" s="1"/>
  <c r="C17" i="11" s="1"/>
  <c r="M17" i="11" s="1"/>
  <c r="N17" i="11" s="1"/>
  <c r="D33" i="9"/>
  <c r="F33" i="9" s="1"/>
  <c r="D23" i="9"/>
  <c r="F23" i="9" s="1"/>
  <c r="E89" i="5"/>
  <c r="D16" i="9"/>
  <c r="F16" i="9" s="1"/>
  <c r="E60" i="5"/>
  <c r="D17" i="9"/>
  <c r="F17" i="9" s="1"/>
  <c r="C145" i="10"/>
  <c r="E145" i="10" s="1"/>
  <c r="C144" i="10"/>
  <c r="E144" i="10" s="1"/>
  <c r="D19" i="9"/>
  <c r="F19" i="9" s="1"/>
  <c r="D15" i="9"/>
  <c r="F15" i="9" s="1"/>
  <c r="C84" i="10"/>
  <c r="E84" i="10" s="1"/>
  <c r="L203" i="6"/>
  <c r="L202" i="6" s="1"/>
  <c r="L201" i="6" s="1"/>
  <c r="C154" i="10"/>
  <c r="E154" i="10" s="1"/>
  <c r="C163" i="10"/>
  <c r="E163" i="10" s="1"/>
  <c r="C146" i="10"/>
  <c r="E146" i="10" s="1"/>
  <c r="F156" i="6"/>
  <c r="F155" i="6" s="1"/>
  <c r="L157" i="6"/>
  <c r="F142" i="6"/>
  <c r="F141" i="6" s="1"/>
  <c r="L143" i="6"/>
  <c r="L142" i="6" s="1"/>
  <c r="L141" i="6" s="1"/>
  <c r="F153" i="6"/>
  <c r="L154" i="6"/>
  <c r="L153" i="6" s="1"/>
  <c r="F151" i="6"/>
  <c r="L152" i="6"/>
  <c r="L151" i="6" s="1"/>
  <c r="F71" i="6"/>
  <c r="F131" i="6"/>
  <c r="F130" i="6" s="1"/>
  <c r="F129" i="6" s="1"/>
  <c r="U39" i="6"/>
  <c r="U38" i="6" s="1"/>
  <c r="F77" i="6"/>
  <c r="F76" i="6" s="1"/>
  <c r="U33" i="6"/>
  <c r="U32" i="6" s="1"/>
  <c r="U35" i="6"/>
  <c r="U34" i="6" s="1"/>
  <c r="U53" i="6"/>
  <c r="U54" i="6"/>
  <c r="F52" i="6"/>
  <c r="F51" i="6" s="1"/>
  <c r="F30" i="6"/>
  <c r="U30" i="6"/>
  <c r="F44" i="6"/>
  <c r="F38" i="6"/>
  <c r="E26" i="5"/>
  <c r="E177" i="5"/>
  <c r="E63" i="5"/>
  <c r="C93" i="10"/>
  <c r="E93" i="10" s="1"/>
  <c r="C59" i="10"/>
  <c r="E59" i="10" s="1"/>
  <c r="C27" i="10"/>
  <c r="E27" i="10" s="1"/>
  <c r="C37" i="10"/>
  <c r="E37" i="10" s="1"/>
  <c r="C9" i="10"/>
  <c r="E9" i="10" s="1"/>
  <c r="C50" i="10"/>
  <c r="E50" i="10" s="1"/>
  <c r="D20" i="9"/>
  <c r="F20" i="9" s="1"/>
  <c r="D24" i="9"/>
  <c r="F24" i="9" s="1"/>
  <c r="E138" i="5"/>
  <c r="E137" i="5" s="1"/>
  <c r="E97" i="5"/>
  <c r="E58" i="5"/>
  <c r="L52" i="6"/>
  <c r="L51" i="6" s="1"/>
  <c r="E48" i="5"/>
  <c r="E47" i="5" s="1"/>
  <c r="L71" i="6"/>
  <c r="E155" i="5"/>
  <c r="E154" i="5" s="1"/>
  <c r="E151" i="5"/>
  <c r="E150" i="5" s="1"/>
  <c r="E128" i="5"/>
  <c r="E135" i="5"/>
  <c r="E132" i="5" s="1"/>
  <c r="F211" i="6"/>
  <c r="F210" i="6" s="1"/>
  <c r="F209" i="6" s="1"/>
  <c r="E159" i="5"/>
  <c r="E158" i="5" s="1"/>
  <c r="E179" i="5"/>
  <c r="E44" i="5"/>
  <c r="O164" i="6"/>
  <c r="O163" i="6" s="1"/>
  <c r="O162" i="6" s="1"/>
  <c r="L66" i="6"/>
  <c r="L164" i="6"/>
  <c r="L163" i="6" s="1"/>
  <c r="L162" i="6" s="1"/>
  <c r="L131" i="6"/>
  <c r="L130" i="6" s="1"/>
  <c r="L129" i="6" s="1"/>
  <c r="I131" i="6"/>
  <c r="I130" i="6" s="1"/>
  <c r="I129" i="6" s="1"/>
  <c r="F34" i="6"/>
  <c r="U46" i="6"/>
  <c r="O46" i="6"/>
  <c r="U48" i="6"/>
  <c r="F48" i="6"/>
  <c r="F59" i="6"/>
  <c r="F7" i="6"/>
  <c r="F6" i="6" s="1"/>
  <c r="F5" i="6" s="1"/>
  <c r="F32" i="6"/>
  <c r="I77" i="6"/>
  <c r="I76" i="6" s="1"/>
  <c r="O36" i="6"/>
  <c r="O29" i="6" s="1"/>
  <c r="U37" i="6"/>
  <c r="AB133" i="6"/>
  <c r="E124" i="5"/>
  <c r="E42" i="5"/>
  <c r="E21" i="5"/>
  <c r="E20" i="5" s="1"/>
  <c r="F8" i="12" l="1"/>
  <c r="C3" i="11"/>
  <c r="F3" i="11" s="1"/>
  <c r="E19" i="5"/>
  <c r="C5" i="11" s="1"/>
  <c r="F5" i="12"/>
  <c r="F24" i="12"/>
  <c r="BP308" i="1"/>
  <c r="E25" i="5"/>
  <c r="D17" i="12"/>
  <c r="F18" i="12"/>
  <c r="D30" i="9"/>
  <c r="D28" i="12"/>
  <c r="F29" i="12"/>
  <c r="D22" i="12"/>
  <c r="D3" i="12"/>
  <c r="C53" i="10"/>
  <c r="E53" i="10" s="1"/>
  <c r="O43" i="6"/>
  <c r="O28" i="6" s="1"/>
  <c r="C158" i="10"/>
  <c r="E144" i="5"/>
  <c r="E143" i="5" s="1"/>
  <c r="C122" i="10"/>
  <c r="E122" i="10" s="1"/>
  <c r="U43" i="6"/>
  <c r="F150" i="6"/>
  <c r="F140" i="6" s="1"/>
  <c r="D54" i="9"/>
  <c r="F54" i="9" s="1"/>
  <c r="E172" i="5"/>
  <c r="M11" i="11"/>
  <c r="N11" i="11" s="1"/>
  <c r="F11" i="11"/>
  <c r="H11" i="11"/>
  <c r="F17" i="11"/>
  <c r="H17" i="11"/>
  <c r="M4" i="11"/>
  <c r="N4" i="11" s="1"/>
  <c r="F4" i="11"/>
  <c r="H4" i="11"/>
  <c r="E176" i="5"/>
  <c r="E88" i="5"/>
  <c r="E76" i="5"/>
  <c r="E75" i="5" s="1"/>
  <c r="D37" i="9"/>
  <c r="F37" i="9" s="1"/>
  <c r="E149" i="5"/>
  <c r="C15" i="11" s="1"/>
  <c r="E123" i="5"/>
  <c r="E122" i="5" s="1"/>
  <c r="C13" i="11" s="1"/>
  <c r="D9" i="9"/>
  <c r="F9" i="9" s="1"/>
  <c r="C83" i="10"/>
  <c r="E83" i="10" s="1"/>
  <c r="C20" i="10"/>
  <c r="E20" i="10" s="1"/>
  <c r="F198" i="6"/>
  <c r="F197" i="6" s="1"/>
  <c r="F196" i="6" s="1"/>
  <c r="L199" i="6"/>
  <c r="L198" i="6" s="1"/>
  <c r="L197" i="6" s="1"/>
  <c r="L196" i="6" s="1"/>
  <c r="F214" i="6" s="1"/>
  <c r="C48" i="10"/>
  <c r="E48" i="10" s="1"/>
  <c r="C35" i="10"/>
  <c r="E35" i="10" s="1"/>
  <c r="F164" i="6"/>
  <c r="F163" i="6" s="1"/>
  <c r="F162" i="6" s="1"/>
  <c r="U166" i="6"/>
  <c r="L92" i="6"/>
  <c r="L91" i="6" s="1"/>
  <c r="F43" i="6"/>
  <c r="F58" i="6"/>
  <c r="L78" i="6"/>
  <c r="L77" i="6" s="1"/>
  <c r="L76" i="6" s="1"/>
  <c r="I60" i="6"/>
  <c r="I59" i="6" s="1"/>
  <c r="I58" i="6" s="1"/>
  <c r="L63" i="6"/>
  <c r="L60" i="6" s="1"/>
  <c r="L59" i="6" s="1"/>
  <c r="L36" i="6"/>
  <c r="L29" i="6" s="1"/>
  <c r="L28" i="6" s="1"/>
  <c r="U36" i="6"/>
  <c r="U29" i="6" s="1"/>
  <c r="D4" i="9"/>
  <c r="F4" i="9" s="1"/>
  <c r="D57" i="9"/>
  <c r="F57" i="9" s="1"/>
  <c r="D21" i="9"/>
  <c r="F21" i="9" s="1"/>
  <c r="D14" i="9"/>
  <c r="F14" i="9" s="1"/>
  <c r="D40" i="9"/>
  <c r="F40" i="9" s="1"/>
  <c r="D59" i="9"/>
  <c r="F59" i="9" s="1"/>
  <c r="D46" i="9"/>
  <c r="F46" i="9" s="1"/>
  <c r="D12" i="9"/>
  <c r="F12" i="9" s="1"/>
  <c r="D47" i="9"/>
  <c r="F47" i="9" s="1"/>
  <c r="D42" i="9"/>
  <c r="F42" i="9" s="1"/>
  <c r="D32" i="9"/>
  <c r="F32" i="9" s="1"/>
  <c r="D34" i="9"/>
  <c r="F34" i="9" s="1"/>
  <c r="D48" i="9"/>
  <c r="F48" i="9" s="1"/>
  <c r="D18" i="9"/>
  <c r="F18" i="9" s="1"/>
  <c r="L156" i="6"/>
  <c r="L155" i="6" s="1"/>
  <c r="L150" i="6"/>
  <c r="F29" i="6"/>
  <c r="E82" i="5"/>
  <c r="R82" i="6"/>
  <c r="E84" i="5"/>
  <c r="E115" i="5"/>
  <c r="E114" i="5" s="1"/>
  <c r="E113" i="5" s="1"/>
  <c r="E174" i="5"/>
  <c r="R164" i="6"/>
  <c r="R163" i="6" s="1"/>
  <c r="R162" i="6" s="1"/>
  <c r="S131" i="6"/>
  <c r="S130" i="6" s="1"/>
  <c r="S129" i="6" s="1"/>
  <c r="U52" i="6"/>
  <c r="U51" i="6" s="1"/>
  <c r="E100" i="5"/>
  <c r="E99" i="5" s="1"/>
  <c r="M3" i="11" l="1"/>
  <c r="N3" i="11" s="1"/>
  <c r="H3" i="11"/>
  <c r="H5" i="11"/>
  <c r="F5" i="11"/>
  <c r="M5" i="11"/>
  <c r="N5" i="11" s="1"/>
  <c r="E142" i="5"/>
  <c r="C14" i="11" s="1"/>
  <c r="C12" i="11"/>
  <c r="E87" i="5"/>
  <c r="C10" i="11" s="1"/>
  <c r="M10" i="11" s="1"/>
  <c r="N10" i="11" s="1"/>
  <c r="E74" i="5"/>
  <c r="C8" i="11" s="1"/>
  <c r="F17" i="12"/>
  <c r="F3" i="12"/>
  <c r="D12" i="12"/>
  <c r="F22" i="12"/>
  <c r="D34" i="12"/>
  <c r="F28" i="12"/>
  <c r="C165" i="10"/>
  <c r="E165" i="10" s="1"/>
  <c r="E158" i="10"/>
  <c r="U28" i="6"/>
  <c r="M15" i="11"/>
  <c r="N15" i="11" s="1"/>
  <c r="D58" i="9"/>
  <c r="F58" i="9" s="1"/>
  <c r="E184" i="5"/>
  <c r="E183" i="5" s="1"/>
  <c r="E182" i="5" s="1"/>
  <c r="C19" i="11" s="1"/>
  <c r="D5" i="9"/>
  <c r="F5" i="9" s="1"/>
  <c r="E54" i="5"/>
  <c r="E53" i="5" s="1"/>
  <c r="E52" i="5" s="1"/>
  <c r="C7" i="11" s="1"/>
  <c r="M7" i="11" s="1"/>
  <c r="N7" i="11" s="1"/>
  <c r="E81" i="5"/>
  <c r="E80" i="5" s="1"/>
  <c r="C9" i="11" s="1"/>
  <c r="H9" i="11" s="1"/>
  <c r="E171" i="5"/>
  <c r="E170" i="5" s="1"/>
  <c r="C18" i="11" s="1"/>
  <c r="F18" i="11" s="1"/>
  <c r="D7" i="9"/>
  <c r="F7" i="9" s="1"/>
  <c r="D36" i="9"/>
  <c r="F36" i="9" s="1"/>
  <c r="E40" i="5"/>
  <c r="E39" i="5" s="1"/>
  <c r="E24" i="5" s="1"/>
  <c r="C153" i="10"/>
  <c r="E153" i="10" s="1"/>
  <c r="F28" i="6"/>
  <c r="D10" i="9"/>
  <c r="F10" i="9" s="1"/>
  <c r="F30" i="9"/>
  <c r="D38" i="9"/>
  <c r="F38" i="9" s="1"/>
  <c r="D53" i="9"/>
  <c r="F53" i="9" s="1"/>
  <c r="D31" i="9"/>
  <c r="F31" i="9" s="1"/>
  <c r="D45" i="9"/>
  <c r="F45" i="9" s="1"/>
  <c r="D8" i="9"/>
  <c r="F8" i="9" s="1"/>
  <c r="L140" i="6"/>
  <c r="L90" i="6"/>
  <c r="AB131" i="6"/>
  <c r="U164" i="6"/>
  <c r="L58" i="6"/>
  <c r="E162" i="5" l="1"/>
  <c r="M8" i="11"/>
  <c r="N8" i="11" s="1"/>
  <c r="H8" i="11"/>
  <c r="F8" i="11"/>
  <c r="F12" i="12"/>
  <c r="D25" i="12"/>
  <c r="F34" i="12"/>
  <c r="C6" i="11"/>
  <c r="F9" i="11"/>
  <c r="H10" i="11"/>
  <c r="F10" i="11"/>
  <c r="H7" i="11"/>
  <c r="F7" i="11"/>
  <c r="M9" i="11"/>
  <c r="N9" i="11" s="1"/>
  <c r="M18" i="11"/>
  <c r="N18" i="11" s="1"/>
  <c r="H18" i="11"/>
  <c r="F19" i="11"/>
  <c r="M19" i="11"/>
  <c r="N19" i="11" s="1"/>
  <c r="H19" i="11"/>
  <c r="C20" i="11"/>
  <c r="H20" i="11" s="1"/>
  <c r="H15" i="11"/>
  <c r="F15" i="11"/>
  <c r="E187" i="5"/>
  <c r="D56" i="9"/>
  <c r="F56" i="9" s="1"/>
  <c r="M13" i="11"/>
  <c r="N13" i="11" s="1"/>
  <c r="F13" i="11"/>
  <c r="H13" i="11"/>
  <c r="M12" i="11"/>
  <c r="N12" i="11" s="1"/>
  <c r="F12" i="11"/>
  <c r="H12" i="11"/>
  <c r="C166" i="10"/>
  <c r="E166" i="10" s="1"/>
  <c r="D52" i="9"/>
  <c r="D35" i="9"/>
  <c r="F35" i="9" s="1"/>
  <c r="D3" i="9"/>
  <c r="F3" i="9" s="1"/>
  <c r="D6" i="8"/>
  <c r="F6" i="8" s="1"/>
  <c r="D22" i="9"/>
  <c r="F22" i="9" s="1"/>
  <c r="AB130" i="6"/>
  <c r="AB129" i="6" s="1"/>
  <c r="U163" i="6"/>
  <c r="U162" i="6" s="1"/>
  <c r="F25" i="12" l="1"/>
  <c r="E189" i="5"/>
  <c r="D36" i="12"/>
  <c r="F36" i="12" s="1"/>
  <c r="H6" i="11"/>
  <c r="M6" i="11"/>
  <c r="N6" i="11" s="1"/>
  <c r="F6" i="11"/>
  <c r="F20" i="11"/>
  <c r="M20" i="11"/>
  <c r="N20" i="11" s="1"/>
  <c r="C33" i="11"/>
  <c r="D34" i="11" s="1"/>
  <c r="F184" i="6"/>
  <c r="F216" i="6" s="1"/>
  <c r="D17" i="8"/>
  <c r="F17" i="8" s="1"/>
  <c r="M14" i="11"/>
  <c r="N14" i="11" s="1"/>
  <c r="F14" i="11"/>
  <c r="H14" i="11"/>
  <c r="C16" i="11"/>
  <c r="C24" i="11" s="1"/>
  <c r="D24" i="11" s="1"/>
  <c r="D60" i="9"/>
  <c r="F60" i="9" s="1"/>
  <c r="D4" i="8"/>
  <c r="F4" i="8" s="1"/>
  <c r="D5" i="8"/>
  <c r="F5" i="8" s="1"/>
  <c r="D16" i="8"/>
  <c r="D3" i="8"/>
  <c r="D49" i="9"/>
  <c r="D35" i="8"/>
  <c r="C22" i="11" l="1"/>
  <c r="H16" i="11"/>
  <c r="F49" i="9"/>
  <c r="C38" i="11"/>
  <c r="D38" i="11" s="1"/>
  <c r="D33" i="11"/>
  <c r="D35" i="11"/>
  <c r="M16" i="11"/>
  <c r="F16" i="11"/>
  <c r="D32" i="8"/>
  <c r="F3" i="8"/>
  <c r="D33" i="8"/>
  <c r="D18" i="8"/>
  <c r="F18" i="8" s="1"/>
  <c r="D34" i="8"/>
  <c r="D7" i="8"/>
  <c r="F7" i="8" s="1"/>
  <c r="D62" i="9"/>
  <c r="F62" i="9" s="1"/>
  <c r="C29" i="11" l="1"/>
  <c r="D29" i="11" s="1"/>
  <c r="N16" i="11"/>
  <c r="M22" i="11"/>
  <c r="C47" i="11"/>
  <c r="F22" i="11"/>
  <c r="H22" i="11"/>
  <c r="D25" i="11"/>
  <c r="D26" i="11"/>
  <c r="D36" i="8"/>
  <c r="C52" i="11" l="1"/>
  <c r="D52" i="11" s="1"/>
  <c r="N22" i="11"/>
  <c r="D48" i="11"/>
  <c r="D47" i="11"/>
  <c r="D49" i="11"/>
</calcChain>
</file>

<file path=xl/sharedStrings.xml><?xml version="1.0" encoding="utf-8"?>
<sst xmlns="http://schemas.openxmlformats.org/spreadsheetml/2006/main" count="6090" uniqueCount="1705">
  <si>
    <t xml:space="preserve">CODIGO:  </t>
  </si>
  <si>
    <t xml:space="preserve">VERSIÓN: </t>
  </si>
  <si>
    <t xml:space="preserve">FECHA: </t>
  </si>
  <si>
    <t>PÁGINA:</t>
  </si>
  <si>
    <t>UNIDAD EJECUTORA</t>
  </si>
  <si>
    <t>LÍNEA ESTRATÉGICA</t>
  </si>
  <si>
    <t>SECTOR</t>
  </si>
  <si>
    <t>PROGRAMA</t>
  </si>
  <si>
    <t>INDICADOR DE RESULTADO Y/O BIENESTAR</t>
  </si>
  <si>
    <t>PRODUCTO</t>
  </si>
  <si>
    <t>INDICADOR PRODUCTO</t>
  </si>
  <si>
    <t>PROYECTO</t>
  </si>
  <si>
    <t>TOTAL RECURSOS</t>
  </si>
  <si>
    <t>RESPONSABLE</t>
  </si>
  <si>
    <t>CÓDIGO</t>
  </si>
  <si>
    <t>NOMBRE</t>
  </si>
  <si>
    <t>CÓDIGO PDD</t>
  </si>
  <si>
    <t>PRODUCTO PDD</t>
  </si>
  <si>
    <t>CÓDIGO CATÁLOGO DE PRODUCTOS MGA</t>
  </si>
  <si>
    <t xml:space="preserve">PRODUCTO CATÁLOGO MGA </t>
  </si>
  <si>
    <t>INDICADOR PDD</t>
  </si>
  <si>
    <t>CÓDIGO CATALOGO DE INDICADORES MGA</t>
  </si>
  <si>
    <t xml:space="preserve">INDICADOR CATÁLOGO MGA </t>
  </si>
  <si>
    <t>CÓDIGO BPIN</t>
  </si>
  <si>
    <t>NOMBRE DEL PROYECTO</t>
  </si>
  <si>
    <t>OBJETIVO DEL PROYECTO</t>
  </si>
  <si>
    <t xml:space="preserve">CONTRIBUCION ESPECIAL
(FONDO DE SEGURIDAD 5%) 
 </t>
  </si>
  <si>
    <t xml:space="preserve">SOBRETASA AL ACPM  
</t>
  </si>
  <si>
    <t xml:space="preserve">MONOPOLIO EDUCACIÓN Y SALUD  51% DESTINACION ESPECIFICA
 </t>
  </si>
  <si>
    <t xml:space="preserve">SGP SALÚD PUBLICA - PRESTACIÓN DE SERVICIOS
 </t>
  </si>
  <si>
    <t>SGP APORTES PATRONALES - CANCELACIÓN DE PRESTACIONES SOCIALES -EDUCACIÓN</t>
  </si>
  <si>
    <t xml:space="preserve">FONDO DE EDUCACION,  PAE, CONVENIO MEN 
</t>
  </si>
  <si>
    <t xml:space="preserve">SGP AGUA POTABLE Y SANEAMIENTO BÁSICO
</t>
  </si>
  <si>
    <t xml:space="preserve">RECURSO ORDINARIO
</t>
  </si>
  <si>
    <t xml:space="preserve">OTROS (IVA TELEFONIA MÓVIL  - REGISTRO - LEY 1816 (3% MONOPOLIO LICORES) (DEPORTES) EXTRACCION MATERIAL RIO  </t>
  </si>
  <si>
    <t>NACIÓN  - COFINANCIACIÓN
CONV ANTICONTRABANDO</t>
  </si>
  <si>
    <t xml:space="preserve">304 -SECRETARÍA ADMINISTRATIVA </t>
  </si>
  <si>
    <t xml:space="preserve">LIDERAZGO, GOBERNABILIDAD Y TRANSPARENCIA </t>
  </si>
  <si>
    <t>Gobierno territorial</t>
  </si>
  <si>
    <t>Fortalecimiento a la gestión y dirección de la administración pública territorial "Quindío con una administración al servicio de la ciudadanía "</t>
  </si>
  <si>
    <t>Índice de Gestión del Modelo Integrado de Planeación y de Gestión MIPG  de la Administración Departamental</t>
  </si>
  <si>
    <t>ND</t>
  </si>
  <si>
    <t>Implementación de  las Dimensiones y Políticas  del Modelo Integrado de Planeación y de Gestión MIPG</t>
  </si>
  <si>
    <t xml:space="preserve">Servicio de Implementación Sistemas de Gestión </t>
  </si>
  <si>
    <t>Número de Dimensiones y Políticas   de MIPG implementadas.</t>
  </si>
  <si>
    <t>Sistema de Gestión implementado</t>
  </si>
  <si>
    <t>202000363-0006</t>
  </si>
  <si>
    <t>Implementación del Modelo Integrado de Planeación y de Gestión MIPG  de la Administración Departamental del Quindío (Dimensiones  de Talento humano,  Información y Comunicación y Gestión del Conocimiento).</t>
  </si>
  <si>
    <t xml:space="preserve">Incrementar en Índice de Gestión y Desempeño  de la Administración Departamental ,  a Implementar los procesos y procedimientos de depuración de los expedientes administrativos pensionales, que permitan la determinación de cuotas partes pensionales, bonos pensionales y otros, con el fin de contar con información depurada y real. </t>
  </si>
  <si>
    <t>Estrategias  de actualización, depuración, seguimiento y evaluación de las bases de datos  del Pasivo Pensional  de la Administración Departamental.</t>
  </si>
  <si>
    <t xml:space="preserve">Servicio de saneamiento fiscal y financiero </t>
  </si>
  <si>
    <t>Estrategias  de actualización, depuración, seguimiento y evaluación de las bases de datos  del Pasivo Pensional  de la Administración Departamental</t>
  </si>
  <si>
    <t>202000363-0007</t>
  </si>
  <si>
    <t xml:space="preserve">Actualización, depuración, seguimiento y evaluación del Pasivo Pensional de la Administración Departamental del Quindío </t>
  </si>
  <si>
    <t>Incrementar  Índice de Gestión y Desempeño de la Administración Departamental a través del proceso de modernización administrativa, contemplando una estructura orgánica qué corresponda a las competencias del territorio, la habilitación de la oficina para los alcaldes en la gobernación y la Casa Delegada en la ciudad de Bogotá, la  creación de la oficina de la Felicidad; con el propósito de mejorar la gestión de la administración departamental .</t>
  </si>
  <si>
    <t xml:space="preserve">Proceso de modernización administrativa, incluido en  estudio de la viabilidad de creación de la Oficina de la Felicidad. </t>
  </si>
  <si>
    <t>Proceso de modernización administrativa implementada</t>
  </si>
  <si>
    <t xml:space="preserve">Metodologías aplicadas </t>
  </si>
  <si>
    <t>202000363-0041</t>
  </si>
  <si>
    <t xml:space="preserve">Implementación de un programa de modernización  de la gestión Administrativa  de la Administración Departamental del Quindío. "TÚ y YO SOMOS QUINDÍO" </t>
  </si>
  <si>
    <t>Fortalecimiento del buen gobierno para el respeto y garantía de los derechos humanos. "Quindío integrado y participativo"</t>
  </si>
  <si>
    <t>Porcentaje promedio  de participación de ciudadanos en los eventos de elección popular.</t>
  </si>
  <si>
    <t>Implementación del Plan de Acción del Sistema Departamental de Servicio a la Ciudadanía SDSC</t>
  </si>
  <si>
    <t>Servicio de integración de la oferta pública</t>
  </si>
  <si>
    <t>Plan de Acción del Sistema Departamental de Servicio a la Ciudadanía SDSC implementado</t>
  </si>
  <si>
    <t xml:space="preserve">Espacios de integración de oferta pública generados </t>
  </si>
  <si>
    <t>202000363-0005</t>
  </si>
  <si>
    <t xml:space="preserve">Implementación del Sistema Departamental de Servicio a la Ciudadanía SDSC   en la Administración Departamental. </t>
  </si>
  <si>
    <t>Aumentar en porcentaje promedio  de participación de ciudadanos en los eventos de elección popular través del desarrollo de  actividades qué permitan la interacción de la Comunidad y Estado, facilitando el acceso de los servicios qué oferta la Administración Departamental.</t>
  </si>
  <si>
    <t xml:space="preserve">305 SECRETARÍA DE PLANEACIÓN </t>
  </si>
  <si>
    <t>Porcentaje promedio  de participación de ciudadanos en los eventos de elección popular</t>
  </si>
  <si>
    <t>Fortalecimiento técnico y logístico del  Consejo Territorial de Planeación Departamental, como representantes de la sociedad civil en la planeación  del desarrollo integral  de la entidad territorial</t>
  </si>
  <si>
    <t>Servicio de promoción a la participación ciudadana</t>
  </si>
  <si>
    <t>Consejo Territorial de Planeación Departamental fortalecido</t>
  </si>
  <si>
    <t>Espacios de participación promovidos</t>
  </si>
  <si>
    <t>202000363-0042</t>
  </si>
  <si>
    <t xml:space="preserve">Fortalecimiento  del Consejo Territorial de Planeación del Departamento del Quindío. "TÚ y YO SOMOS QUINDIO" </t>
  </si>
  <si>
    <t>Incrementar la  participación de ciudadanos en los eventos de elección popular,  a través de los procesos de apoyo técnico y logístico al Consejo Territorial de Planeación Departamental, de conformidad con lo preceptuado en la Ley 152 de 1994.</t>
  </si>
  <si>
    <t>Eventos de Rendición Pública de Cuentas que divulgan la gestión administrativa.</t>
  </si>
  <si>
    <t>Eventos de Rendición Públicas de Cuentas realizados</t>
  </si>
  <si>
    <t>202000363-0043</t>
  </si>
  <si>
    <t xml:space="preserve"> Implementación  de eventos de Rendición Pública de Cuentas  de divulgación de gestión  de la Administración Departamental  "TU Y YO SOMOS QUINDIO" </t>
  </si>
  <si>
    <t>Incrementar la  participación de ciudadanos en los eventos de elección popular, a través  de la realización de la  Rendición Pública de Cuentas, con el propósito de generar un espacio de interlocución entre la sociedad civil y/o organizada.</t>
  </si>
  <si>
    <t>Instrumentos de planificación para el ordenamiento y la gestión territorial departamental (Plan de Desarrollo Departamental PDD, Ordenamiento Territorial, Sistema de Información Geográfica, Mecanismos de Integración, Catastro multipropósito etc.).</t>
  </si>
  <si>
    <t>Documentos de lineamientos técnicos</t>
  </si>
  <si>
    <t>Instrumentos de planificación de ordenamiento y gestión territorial departamental implementados</t>
  </si>
  <si>
    <t>Documentos de lineamientos técnicos realizados</t>
  </si>
  <si>
    <t>202000363-0044</t>
  </si>
  <si>
    <t xml:space="preserve"> Implementación   de instrumentos de planificación para  en  Ordenamiento y la Gestión Territorial Departamental del Quindío  "TU Y YO SOMOS QUINDIO" </t>
  </si>
  <si>
    <t>Incrementar el  Índice de Gestión y Desempeño de la  Administración Departamental a través de la Implementación de los  instrumentos de planificación para el ordenamiento y la gestión territorial departamental (Plan de Desarrollo Departamental PDD, Ordenamiento Territorial, Sistema de Información Geográfica, mecanismos de integración, catastro multipropósito etc.) para orientar  los gastos de inversión  de acuerdo al Ordenamiento  Territorial.</t>
  </si>
  <si>
    <t>Observatorio económico del departamento, con procesos de fortalecimiento</t>
  </si>
  <si>
    <t>Servicios de información implementados</t>
  </si>
  <si>
    <t>Observatorio económico del Departamento del Quindío actualizado y dotado</t>
  </si>
  <si>
    <t>Sistemas de información implementados</t>
  </si>
  <si>
    <t>202000363-0045</t>
  </si>
  <si>
    <t xml:space="preserve">  Implementación del Observatorio Económico  de la Administración Departamental del Quindío "TU Y YO SOMOS QUINDIO"</t>
  </si>
  <si>
    <t>Incrementar el  Índice de Gestión y Desempeño de la  Administración Departamental,  a través  de la implementación del  Observatorio Económico, con el objeto de proveer información  para la toma decisiones, facilitar en   seguimiento y monitoreo de dinámicas económicas y sociales del departamento.</t>
  </si>
  <si>
    <t>Banco de Programas y Proyectos del Departamento fortalecido</t>
  </si>
  <si>
    <t>202000363-0046</t>
  </si>
  <si>
    <t>Fortalecimiento del Banco de Programas y Proyectos de la administración departamental  "TÚ Y YO SOMOS QUINDIO"</t>
  </si>
  <si>
    <t>Incrementar el  Índice de Gestión y Desempeño de la  Administración Departamental, a través de  procesos de fortalecimiento del Banco de Programas y Proyectos, con el propósito de generar una mayor inversión social, qué impacte de manera positiva en las problemáticas socioeconómicas de la comunidad quindiana.</t>
  </si>
  <si>
    <t>Índice de Gestión del Modelo Integrado de Planeación y de Gestión MIPG   Departamental (Entes Territoriales Municipales)</t>
  </si>
  <si>
    <t xml:space="preserve">Entes territoriales  con servicio de asistencia técnica de los Instrumentos de Planificación para  el Ordenamiento y la Gestión Territorial departamental. </t>
  </si>
  <si>
    <t>Servicio de asistencia técnica</t>
  </si>
  <si>
    <t>Entes territoriales con procesos de asistencia técnica realizadas.</t>
  </si>
  <si>
    <t>Entidades territoriales asistidas técnicamente</t>
  </si>
  <si>
    <t>202000363-0047</t>
  </si>
  <si>
    <t>Asistencia Técnica  en  Instrumentos de Planificación y gestión  territorial en los  municipios del Departamento del  Quindío.</t>
  </si>
  <si>
    <t>Incrementar en  Índice de Gestión y Desempeño de la  Administración Departamental,  a través de procesos de  asistencia técnica a los entes territoriales Municipales  en Instrumentos de Planificación  y  Gestión Territorial.</t>
  </si>
  <si>
    <t>Entes territoriales con servicio de asistencia  técnica del Modelo Integrado de Planeación y de Gestión MIPG</t>
  </si>
  <si>
    <t>Entes Territoriales con procesos de asistencia técnica realizadas</t>
  </si>
  <si>
    <t>Entes territoriales  con servicio de asistencia técnica en la Medición del Desempeño Municipal</t>
  </si>
  <si>
    <t>Entes Territoriales con procesos de asistencia técnica realizadas.</t>
  </si>
  <si>
    <t xml:space="preserve">Entes territoriales  con servicio de asistencia técnica en el Sistema de Identificación de Potenciales Beneficiarios de Programas Sociales (SISBEN). </t>
  </si>
  <si>
    <t>Entes territoriales con servicio de asistencia técnica en la formulación, preparación, seguimiento y evaluación de las políticas públicas</t>
  </si>
  <si>
    <t xml:space="preserve">Entes territoriales  con servicio de asistencia técnica en Banco de Programas y Proyectos de Inversión Nacional (BPIN).  </t>
  </si>
  <si>
    <t>Servicio de Implementación Sistemas de Gestión</t>
  </si>
  <si>
    <t>Número de Dimensiones y Políticas   de MIPG implementadas</t>
  </si>
  <si>
    <t>202000363-0008</t>
  </si>
  <si>
    <t xml:space="preserve"> Implementación  del Modelo Integrado de Planeación y de Gestión MIPG en la Administración Departamental del   Quindío</t>
  </si>
  <si>
    <t xml:space="preserve"> Aumentar en Índice de Gestión y Desempeño de la Administración Departamental considerando las dimensiones y políticas qué conforman en Modelo Integrado de Gestión y Desempeño </t>
  </si>
  <si>
    <t>307 SECRETARÍA DE HACIENDA</t>
  </si>
  <si>
    <t>Índice de Desempeño Fiscal Administración Departamental</t>
  </si>
  <si>
    <t>Estrategia para el mejoramiento del Índice de Desempeño Fiscal en la Administración Departamental.</t>
  </si>
  <si>
    <t>Estrategia  de fortalecimiento  del Índice de Desempeño  Fiscal implementadas.</t>
  </si>
  <si>
    <t xml:space="preserve">Estrategia para el mejoramiento del Índice de Desempeño Fiscal ejecutada </t>
  </si>
  <si>
    <t>202000363-0048</t>
  </si>
  <si>
    <t>Implementación de estrategias de fortalecimiento del desempeño fiscal de la Administración departamental del Quindío</t>
  </si>
  <si>
    <t>Incrementar en Índice de Desempeño Fiscal de la Administración Departamental, a través de estrategias de autofinanciación de los gastos de funcionamiento, respaldo del servicio y mejoramiento de la deuda,  transferencias de la nación , generación de recursos propios, magnitud de la inversión y capacidad de ahorro, con el propósito de generar una mayor inversión social.</t>
  </si>
  <si>
    <t xml:space="preserve">Programa para el cumplimiento de las políticas y prácticas contables para la administración departamental         </t>
  </si>
  <si>
    <t>Servicio de saneamiento fiscal y financiero</t>
  </si>
  <si>
    <t>Programa para el cumplimiento de las políticas y prácticas contables implementado</t>
  </si>
  <si>
    <t>202000363-0049</t>
  </si>
  <si>
    <t xml:space="preserve">Implementación  de  un programa para el cumplimiento de las políticas y prácticas contables de la administración departamental del Quindío.    </t>
  </si>
  <si>
    <t>Incrementar el Índice de Desempeño Fiscal de la Administración Departamental,   a través de la implementación del programa para el cumplimiento de las políticas y prácticas contables para la administración departamental,  encaminado a la  generación de información  veraz, confiable y razonable.</t>
  </si>
  <si>
    <t xml:space="preserve">308 SECRETARÍA DE AGUAS E INFRAESTRUCTURA </t>
  </si>
  <si>
    <t xml:space="preserve">INCLUSIÓN SOCIAL Y EQUIDAD </t>
  </si>
  <si>
    <t>Justicia y del derecho</t>
  </si>
  <si>
    <t>Promoción al acceso a la justicia. "Tú y yo con justicia"</t>
  </si>
  <si>
    <t>Tasa de homicidio por cada 100.000 habitantes
Tasa de hurto a personas  por cada 100.000 habitantes
Tasa de hurto a residencias por cada 100.000 habitantes
Tasa de hurto a comercio por cada 100.000 habitantes
Tasa de violencia intrafamiliar x cada 100.000 habitantes
Tasa  de delitos sexuales x 100.000 habitantes</t>
  </si>
  <si>
    <t>Infraestructura de las Instituciones de Seguridad del Estado con procesos constructivos, mejorados, ampliados, mantenidos, y/o reforzados</t>
  </si>
  <si>
    <t>Servicio de promoción del acceso a la justicia</t>
  </si>
  <si>
    <t>Infraestructura de las Instituciones de Seguridad del Estado construida, mejorada, ampliada, mantenida, y/o reforzada</t>
  </si>
  <si>
    <t xml:space="preserve">Estrategias de acceso a la justicia desarrolladas </t>
  </si>
  <si>
    <t>202000363-0017</t>
  </si>
  <si>
    <t>Mantenimiento de las instituciones públicas y/o de seguridad y  justicia  del Estado en el Departamento Quindío</t>
  </si>
  <si>
    <t>Mantener y/o reforzar  las Instituciones de seguridad del departamento del Quindío, con el propósito de  brindar a la  comunidad mejores condiciones de equidad y justicia.</t>
  </si>
  <si>
    <t>Salud y protección social</t>
  </si>
  <si>
    <t>Aseguramiento y Prestación integral de servicios de salud "Tú y yo con servicios de salud"</t>
  </si>
  <si>
    <t>Índice Departamental de Competitividad</t>
  </si>
  <si>
    <t xml:space="preserve">Infraestructura hospitalaria con procesos constructivos, mejorados, ampliados, mantenidos, y/o reforzados </t>
  </si>
  <si>
    <t>Hospitales de tercer nivel de atención adecuados</t>
  </si>
  <si>
    <t>Infraestructura hospitalaria con procesos constructivos, mejorados, ampliados, mantenidos, y/o reforzados realizados</t>
  </si>
  <si>
    <t>202000363-0018</t>
  </si>
  <si>
    <t>Mejoramiento de la infraestructura física de las instituciones de salud pública y bienestar social en el  departamento del Quindío</t>
  </si>
  <si>
    <t>Mejorar la infraestructura hospitalaria del Departamento del Quindío, con el propósito de optimización de la prestación del servicio y en acceso incluyente y equitativo a la oferta de servicios del Estado.</t>
  </si>
  <si>
    <t>Educación</t>
  </si>
  <si>
    <t>Calidad, cobertura y fortalecimiento de la educación inicial, prescolar, básica y media." Tú y yo con educación y  calidad"</t>
  </si>
  <si>
    <t>Tasa de cobertura bruta en transición
Tasa de cobertura bruta en educación básica
Tasa de cobertura en educación media
Tasa de deserción escolar intra-anual</t>
  </si>
  <si>
    <t>Infraestructura de Instituciones Educativas con procesos constructivos, mejorados, ampliados, mantenidos y/o reforzados.</t>
  </si>
  <si>
    <t>Infraestructura educativa mantenida</t>
  </si>
  <si>
    <t>Infraestructura de Instituciones Educativas construida, mejorada, ampliada, mantenida, y/o reforzada.</t>
  </si>
  <si>
    <t>Sedes mantenidas</t>
  </si>
  <si>
    <t>202000363-0050</t>
  </si>
  <si>
    <t xml:space="preserve"> Mantenimiento de  la infraestructura  Educativa en el Departamento del Quindío. </t>
  </si>
  <si>
    <t xml:space="preserve"> Mantener de la infraestructura educativa, con el propósito de garantizar  la permanencia y calidad  de la prestación  del servicio educativo en Departamento del Quindío.  </t>
  </si>
  <si>
    <t>Cultura</t>
  </si>
  <si>
    <t>Promoción y acceso efectivo a procesos culturales y artísticos. "Tú y yo somos cultura Quindiana"</t>
  </si>
  <si>
    <t>Tasa de participación en procesos y actividades artísticas y culturales.
Tasa de consumo de sustancias sicoactivas por 100.000 habitantes en el departamento del Quindío.</t>
  </si>
  <si>
    <t>3301068</t>
  </si>
  <si>
    <t>Servicio de mantenimiento de infraestructura cultural</t>
  </si>
  <si>
    <t>330106800</t>
  </si>
  <si>
    <t>Infraestructura cultural intervenida</t>
  </si>
  <si>
    <t>202000363-0051</t>
  </si>
  <si>
    <t xml:space="preserve"> Mantenimiento de la infraestructura cultural en el departamento del Quindío  </t>
  </si>
  <si>
    <t xml:space="preserve"> Realizar mantenimiento de la  infraestructura cultural, para fortalecer los espacios de los artistas y gestores culturales dedicados a la creación, promoción y divulgación de actividades en el Departamento del Quindío.</t>
  </si>
  <si>
    <t>Deporte y recreación</t>
  </si>
  <si>
    <t>Fomento a la recreación, la actividad física y el deporte para desarrollar entornos de convivencia y paz "Tú y yo en la recreación y en deporte"</t>
  </si>
  <si>
    <t>Cobertura de municipios qué participan en programas de recreación, actividad física y deporte social y comunitario en el Departamento del Quindío.
Cobertura de ligas apoyadas en el departamento del Quindío.
Porcentaje de medallería del departamento del Quindío en los Juegos Nacionales.</t>
  </si>
  <si>
    <t xml:space="preserve">Infraestructura  deportiva y/o recreativa con procesos   constructivos ,  mejorados,  ampliados,  mantenidos y/o  reforzados </t>
  </si>
  <si>
    <t>Servicio de mantenimiento a la infraestructura deportiva</t>
  </si>
  <si>
    <t xml:space="preserve">Infraestructura  deportiva y/o recreativa con procesos   constructivos,  mejorados,  ampliados,  mantenidos y/o   reforzados </t>
  </si>
  <si>
    <t>Intervenciones realizadas a infraestructura deportiva</t>
  </si>
  <si>
    <t>202000363-0052</t>
  </si>
  <si>
    <t xml:space="preserve">Mantenimiento, mejoramiento y/o rehabilitación de  obras físicas de infraestructura deportiva y recreativa en el Departamento del Quindío  </t>
  </si>
  <si>
    <t>Mantener, mejorar y/o rehabilitar obras físicas de infraestructura deportiva y recreativa en el Departamento del Quindío con el propósito de generar espacios para la utilización del tiempo libre.</t>
  </si>
  <si>
    <t xml:space="preserve">TERRITORIO, AMBIENTE Y DESARROLLO SOSTENIBLE </t>
  </si>
  <si>
    <t>Transporte</t>
  </si>
  <si>
    <t>Infraestructura red vial regional. "Tú y yo con movilidad vial"</t>
  </si>
  <si>
    <t>Infraestructura  en  puentes  con procesos  de construcción, mejoramiento, ampliación, mantenimiento y/o reforzamiento</t>
  </si>
  <si>
    <t>Puente de la red vial secundaria con mantenimiento</t>
  </si>
  <si>
    <t>Infraestructura en puentes construida, mejorada, ampliada, mantenida y/o reforzada</t>
  </si>
  <si>
    <t>Puente de la red secundaria con mantenimiento</t>
  </si>
  <si>
    <t>202000363-0053</t>
  </si>
  <si>
    <t>Mantenimiento, mejoramiento, rehabilitación y/o atención las vías  para  garantizar  la movilidad y competitividad en el departamento del Quindío.</t>
  </si>
  <si>
    <t>Mejorar y mantener la comunicación vehicular entre los municipios del departamento y en sector rural mediante la disposición de una infraestructura vial adecuada, mediante programas de mantenimiento y/o mejoramiento de las vías construidas y sus obras complementarias, garantizando condiciones de eficiencia, seguridad y confort a los usuarios. Para estos efectos se podrá implementar mecanismos de carácter social como “Las Camineras”, qué desde la población local contribuyan al mantenimiento vial.</t>
  </si>
  <si>
    <t>Infraestructura   vial  con procesos  de construcción, mejoramiento, ampliación, mantenimiento y/o  reforzamiento.</t>
  </si>
  <si>
    <t xml:space="preserve">Vía terciaria mejorada </t>
  </si>
  <si>
    <t xml:space="preserve">Infraestructura  vial    construida, mejorada, ampliada,  mantenida, y/o  reforzada </t>
  </si>
  <si>
    <t>Vía terciaria mejorada</t>
  </si>
  <si>
    <t>Estudios y diseños de infraestructura vial</t>
  </si>
  <si>
    <t>Estudios de preinversión para la red vial regional</t>
  </si>
  <si>
    <t>Estudios y diseños de infraestructura vial elaborado.</t>
  </si>
  <si>
    <t>Estudios de preinversión realizados</t>
  </si>
  <si>
    <t>202000363-0054</t>
  </si>
  <si>
    <t xml:space="preserve"> Elaboración estudios y diseños de Infraestructura vial en el Departamento de Quindío </t>
  </si>
  <si>
    <t>Realizar  estudios de pre inversión de infraestructura vial,  con el objeto de gestionar  recursos de inversión   para  la  optimización de la red vial, reducción de costos de operación y  mejoramiento de la calidad de vida se los  habitantes del  departamento del Quindío,</t>
  </si>
  <si>
    <t>Ambiente y desarrollo sostenible</t>
  </si>
  <si>
    <t>Ordenamiento Ambiental Territorial. "Tú y yo planificamos con sentido ambiental"</t>
  </si>
  <si>
    <t xml:space="preserve">Porcentaje de Ecosistemas protegidos y/o en procesos de restauración en el Departamento </t>
  </si>
  <si>
    <t>Obras para estabilización de taludes</t>
  </si>
  <si>
    <t>320501000</t>
  </si>
  <si>
    <t>Obras para estabilización de taludes realizadas</t>
  </si>
  <si>
    <t>202000363-0055</t>
  </si>
  <si>
    <t>Construcción, mantenimiento y/o mejoramiento de obras  de estabilización de Taludes en el Departamento del Quindío</t>
  </si>
  <si>
    <t xml:space="preserve">Construir, mantener y/o mejorar de obras de infraestructura para la  estabilización de taludes qué presenten problemas de deslizamiento, con el propósito de establecer medidas de prevención y control para reducir los niveles de amenaza y riesgo. </t>
  </si>
  <si>
    <t>Obras de infraestructura para mitigación y atención a desastres</t>
  </si>
  <si>
    <t xml:space="preserve">Obras de infraestructura para mitigación y atención a desastres realizadas </t>
  </si>
  <si>
    <t>202000363-0056</t>
  </si>
  <si>
    <t xml:space="preserve"> Construcción, mantenimiento y/o mejoramiento de obras de infraestructura  para la mitigación y atención de desastres en los municipios del departamento del Quindío </t>
  </si>
  <si>
    <t xml:space="preserve"> Construir, mantener y/o mejorar  obras de infraestructura para la  mitigación y atención de desastres en los municipios del departamento del Quindío, con el propósito de evitar pérdidas de vidas humanas, servicios, infraestructura y económicas, </t>
  </si>
  <si>
    <t>Vivienda, Ciudad y Territorio</t>
  </si>
  <si>
    <t>Acceso a soluciones de vivienda. "Tú y yo con vivienda digna"</t>
  </si>
  <si>
    <t>Déficit cualitativo de viviendas por hogares</t>
  </si>
  <si>
    <t>Viviendas de interés social urbanas mejoradas</t>
  </si>
  <si>
    <t>400101500</t>
  </si>
  <si>
    <t>Viviendas de Interés Social urbanas mejoradas</t>
  </si>
  <si>
    <t>202000363-0057</t>
  </si>
  <si>
    <t xml:space="preserve">Mejoramiento de Vivienda de Interés Social en el Departamento del Quindío </t>
  </si>
  <si>
    <t>Mejoramiento  de  vivienda de interés social VIS, con el propósito de reducir el déficit cualitativo de vivienda en el departamento, permitiendo  mejorar las condiciones de  calidad de vida de los quindianos.</t>
  </si>
  <si>
    <t>Acceso de la población a los servicios de agua potable y saneamiento básico. "Tú y yo con calidad del agua"</t>
  </si>
  <si>
    <t xml:space="preserve">Cobertura de acueducto
Cobertura  de alcantarillado </t>
  </si>
  <si>
    <t xml:space="preserve">Adoptar e implementar la Política Pública de Producción Consumo Sostenible y Gestión Integral de Aseo  </t>
  </si>
  <si>
    <t>Documentos de planeación</t>
  </si>
  <si>
    <t>Política Pública de Producción Consumo Sostenible y Gestión Integral de Aseo  adoptada e implementada.</t>
  </si>
  <si>
    <t>Documentos de planeación elaborados</t>
  </si>
  <si>
    <t>202000363-0014</t>
  </si>
  <si>
    <t xml:space="preserve"> Implementación del plan departamental para el manejo empresarial de los servicios de agua y saneamiento básico en el Departamento del Quindío  </t>
  </si>
  <si>
    <t xml:space="preserve">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</si>
  <si>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 xml:space="preserve">Cobertura  de alcantarillado </t>
  </si>
  <si>
    <t>Alcantarillados construidos</t>
  </si>
  <si>
    <t>Plantas de tratamiento de aguas residuales  construidas</t>
  </si>
  <si>
    <t>Servicios de apoyo financiero para la ejecución de proyectos de acueductos y alcantarillado</t>
  </si>
  <si>
    <t>Proyectos de acueducto y alcantarillado en área urbana financiados</t>
  </si>
  <si>
    <t>Servicios de educación informal en agua potable y saneamiento básico</t>
  </si>
  <si>
    <t>Eventos de educación informal en agua y saneamiento básico realizados</t>
  </si>
  <si>
    <t>Estudios de pre inversión e inversión</t>
  </si>
  <si>
    <t xml:space="preserve">Estudios o diseños realizados </t>
  </si>
  <si>
    <t>4003026</t>
  </si>
  <si>
    <t>Servicios de apoyo financiero para la ejecución de proyectos de acueductos y de manejo de aguas residuales</t>
  </si>
  <si>
    <t>Proyectos de acueducto y de manejo de aguas residuales en área rural financiados</t>
  </si>
  <si>
    <t>Infraestructura institucional o  de edificios públicos de atención  de servicios ciudadanos con procesos constructivos mejorados,  ampliados,  mantenidos, y/o  reforzados</t>
  </si>
  <si>
    <t>4599016</t>
  </si>
  <si>
    <t>Infraestructura Institucional o edificios públicos construida mejorada, ampliada, mantenida, y/o reforzada</t>
  </si>
  <si>
    <t>202000363-0058</t>
  </si>
  <si>
    <t>Mantener  la  infraestructura institucional o de edificios públicos, con el propósito de propiciar un excelente servicio al ciudadano y bienestar al servidor público, con infraestructura moderna y amigable.</t>
  </si>
  <si>
    <t>Salones comunales adecuados</t>
  </si>
  <si>
    <t xml:space="preserve">Salón comunal adecuado </t>
  </si>
  <si>
    <t>202000363-0059</t>
  </si>
  <si>
    <t xml:space="preserve">Construcción y/o adecuación de casetas comunales en los diferentes barrios del departamento </t>
  </si>
  <si>
    <t>Realizar construcción y/o adecuación de casetas comunales en los diferentes barrios del departamento, qué permitan generar procesos de participación ciudadana y la implementación de buenas prácticas sociales en comunidad.</t>
  </si>
  <si>
    <t xml:space="preserve">309  SECRETARÍA DEL INTERIOR </t>
  </si>
  <si>
    <t>Servicio de asistencia técnica para la articulación de los operadores de los servicio de justicia</t>
  </si>
  <si>
    <t>202000363-0060</t>
  </si>
  <si>
    <t>Disminuir los índice delitos  en el departamento del Quindío a través de procesos de asistencia Técnica y articulación  de acciones  con las Administraciones municipales .</t>
  </si>
  <si>
    <t>Promoción de los métodos de resolución de conflictos. "Tú y yo resolvemos los conflictos"</t>
  </si>
  <si>
    <t>Servicio de asistencia técnica para la implementación de los métodos de resolución de conflictos</t>
  </si>
  <si>
    <t>Instituciones públicas y privadas asistidas técnicamente en métodos de resolución de conflictos</t>
  </si>
  <si>
    <t>202000363-0061</t>
  </si>
  <si>
    <t xml:space="preserve">  Implementación de  métodos  para la resolución de conflictos y el  fortalecimiento de la seguridad de los ciudadanos den el Departamento del Quindío  </t>
  </si>
  <si>
    <t>Coordinar con los organismos de seguridad métodos  de intervenciones  transformadoras en zonas de miedo e impunidad</t>
  </si>
  <si>
    <t>Sistema penitenciario y carcelario en el marco de los derechos humanos. "Quindío respeta derechos penitenciarios"</t>
  </si>
  <si>
    <t>Servicio de resocialización de personas privadas de la libertad</t>
  </si>
  <si>
    <t>Personas privadas de la libertad (PPL) que reciben servicio de resocialización</t>
  </si>
  <si>
    <t>202000363-0062</t>
  </si>
  <si>
    <t xml:space="preserve">Implementación de  acciones de apoyo para  la  resocialización de las personas privadas de la libertad  en las Instituciones Penitenciarias  del Departamento  del Quindío. </t>
  </si>
  <si>
    <t xml:space="preserve"> Disminuir los índices de delitos en el departamento del Quindío, a través de la implementación de  acciones de apoyo para  la  resocialización de las personas privadas de la libertad en las Instituciones  Penitenciarios del departamento del Quindío.</t>
  </si>
  <si>
    <t>Calidad, cobertura y fortalecimiento de la educación inicial, prescolar, básica y media." Tú y yo con educación y de calidad"</t>
  </si>
  <si>
    <t>Cobertura de Instituciones Educativas con Planes Escolares de Gestión del Riesgo de Desastres-PEGERD</t>
  </si>
  <si>
    <t>Servicio de gestión de riesgos y desastres en establecimientos educativos</t>
  </si>
  <si>
    <t>Establecimientos educativos con acciones de gestión del riesgo implementadas</t>
  </si>
  <si>
    <t>202000363-0063</t>
  </si>
  <si>
    <t xml:space="preserve"> Implementación  y/o fortalecimiento  de  los planes para la gestión del riesgo y desastres en las Instituciones Educativas Oficiales  del Departamento </t>
  </si>
  <si>
    <t>Aumentar la cobertura de Instituciones Educativas con Planes Escolares de Gestión del Riesgo de Desastres-PEGERD, a través de procesos de acompañamiento  a la  comunidad educativa  en la implementación y fortalecimiento de los mismos.</t>
  </si>
  <si>
    <t xml:space="preserve">Inclusión social y Reconciliación </t>
  </si>
  <si>
    <t>Atención, asistencia y reparación integral a las víctimas. "Tú y yo con reparación integral"</t>
  </si>
  <si>
    <t>Cobertura de la población víctima atendida con procesos de atención, prevención y asistencia humanitaria</t>
  </si>
  <si>
    <t>Servicio de orientación y comunicación a las víctimas</t>
  </si>
  <si>
    <t>Solicitudes tramitadas</t>
  </si>
  <si>
    <t>202000363-0064</t>
  </si>
  <si>
    <t xml:space="preserve">Asistencia técnica, garantías, atención, ayuda humanitaria y promoción de iniciativas de memoria histórica a la población víctima del conflicto armado en el Departamento del Quindío </t>
  </si>
  <si>
    <t>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t>
  </si>
  <si>
    <t>Servicio de ayuda y atención humanitaria</t>
  </si>
  <si>
    <t>Personas víctimas con ayuda humanitaria</t>
  </si>
  <si>
    <t>Servicio de asistencia técnica para la participación de las víctimas</t>
  </si>
  <si>
    <t>Eventos de participación realizados</t>
  </si>
  <si>
    <t>Cobertura de víctimas atendidas con la línea de emprendimiento y fortalecimiento.</t>
  </si>
  <si>
    <t>Servicio de apoyo para la generación de ingresos</t>
  </si>
  <si>
    <t>Hogares con asistencia técnica para la generación de ingresos</t>
  </si>
  <si>
    <t>Cobertura de Personas víctimas del conflicto beneficiadas con medidas de satisfacción (Construcción de memoria, Reparación simbólica y Construcción de lugares de memoria)</t>
  </si>
  <si>
    <t>Servicio de asistencia técnica para la realización de iniciativas de memoria histórica</t>
  </si>
  <si>
    <t>Iniciativas de memoria histórica asistidas técnicamente</t>
  </si>
  <si>
    <t>Inclusión social y productiva para la población en situación de vulnerabilidad. "Tú y yo, población vulnerable incluida"</t>
  </si>
  <si>
    <t>Cobertura de la población excombatiente atendida con procesos de atención y asistencia humanitaria</t>
  </si>
  <si>
    <t>Servicio de atención y asistencia para la población excombatiente del Departamento del Quindío</t>
  </si>
  <si>
    <t>Servicio de gestión de oferta social para la población vulnerable</t>
  </si>
  <si>
    <t>Población excombatiente beneficiada</t>
  </si>
  <si>
    <t>Beneficiarios de la oferta social atendidos</t>
  </si>
  <si>
    <t>202000363-0065</t>
  </si>
  <si>
    <t xml:space="preserve">Asistencia, atención y capacitación  a la población  excombatiente en el  Departamento del Quindío. </t>
  </si>
  <si>
    <t xml:space="preserve"> Aumentar la cobertura de la población excombatiente atendida con procesos de atención y asistencia en el departamento del Quindío. </t>
  </si>
  <si>
    <t>Fortalecimiento de la convivencia y la seguridad ciudadana. "Tú y yo seguros"</t>
  </si>
  <si>
    <t>Fortalecimiento institucional a organismos de seguridad</t>
  </si>
  <si>
    <t xml:space="preserve">Servicio de apoyo financiero para proyectos de convivencia y seguridad ciudadana </t>
  </si>
  <si>
    <t>Organismos de seguridad fortalecidos</t>
  </si>
  <si>
    <t>Proyectos de convivencia y seguridad ciudadana apoyados financieramente</t>
  </si>
  <si>
    <t>202000363-0066</t>
  </si>
  <si>
    <t xml:space="preserve"> Fortalecimiento de los organismos de seguridad del Departamento del Quindío,  para mejorar la convivencia, preservación del orden público y la seguridad ciudadana. </t>
  </si>
  <si>
    <t xml:space="preserve"> Disminuir los índices  de delitos en el departamento del Quindío, a través de fortalecimiento de los organismos de seguridad, para el mejoramiento de la   convivencia, preservación del orden público y la seguridad ciudadana. </t>
  </si>
  <si>
    <t>Instancias territoriales asistidas técnicamente</t>
  </si>
  <si>
    <t>202000363-0068</t>
  </si>
  <si>
    <t xml:space="preserve"> Disminuir los índices de violencia intrafamiliar   a través de la implementación de acciones y gestiones para impulsar y adoptar políticas y planes qué promuevan la paz, la reconciliación, la legalidad y la convivencia en el territorio.  </t>
  </si>
  <si>
    <t>Cobertura  de municipios del departamento del Quindío  atendidos con estudios y/o construcción de obras para mitigación y atención a desastres realizadas.</t>
  </si>
  <si>
    <t>Documentos de estudios técnicos para el ordenamiento ambiental territorial</t>
  </si>
  <si>
    <t>Documentos de estudios técnicos para el conocimiento y reducción del riesgo de desastres elaborados</t>
  </si>
  <si>
    <t>202000363-0069</t>
  </si>
  <si>
    <t>Fortalecimiento de los procesos de planificación del territorio para el conocimiento  y reducción del riesgo en el Departamento del Quindío.</t>
  </si>
  <si>
    <t>Aumentar la cobertura  de municipios del departamento del Quindío  atendidos con estudios   para mitigación y atención a desastres en la   planificación del  territorio  y priorización  de  acciones de intervención.</t>
  </si>
  <si>
    <t>Cobertura de   personas capacitadas en Gestión del Riesgo de Desastres  en el Departamento del Quindío, bajo en marco de Ciudades resilientes</t>
  </si>
  <si>
    <t>Servicio de educación informal</t>
  </si>
  <si>
    <t>Personas capacitadas</t>
  </si>
  <si>
    <t>202000363-0070</t>
  </si>
  <si>
    <t>Fortalecimiento de la gestión del Riesgo mediante los procesos de conocimiento, reducción del riesgo y manejo de desastres, en el Departamento del Quindío</t>
  </si>
  <si>
    <t xml:space="preserve">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t>
  </si>
  <si>
    <t>Cobertura de atención  del Sistema Departamental de Gestión del Riesgo de Desastres del Quindío.</t>
  </si>
  <si>
    <t>Instancias territoriales asistidas</t>
  </si>
  <si>
    <t>Servicio de atención a emergencias y desastres</t>
  </si>
  <si>
    <t>Servicio de fortalecimiento a las salas de crisis territorial</t>
  </si>
  <si>
    <t>Centro de reserva  para la atención a emergencias y desastres dotado</t>
  </si>
  <si>
    <t>Organismos de atención de emergencias fortalecidos</t>
  </si>
  <si>
    <t>Cobertura de asistencia a los municipios del departamento del Quindío en los procesos de la garantía y prevención de derechos humanos.</t>
  </si>
  <si>
    <t>Servicio de apoyo para la implementación de medidas en derechos humanos y derecho internacional humanitario</t>
  </si>
  <si>
    <t>Medidas implementadas en cumplimiento de las obligaciones internacionales en materia de Derechos Humanos y Derecho Internacional Humanitario</t>
  </si>
  <si>
    <t>202000363-0067</t>
  </si>
  <si>
    <t xml:space="preserve"> Implementación del Plan Integral de prevención de vulneraciones de los Derechos Humanos DDHH e infracciones  al Derecho Internacional Humanitario DIH en el Departamento del Quindío </t>
  </si>
  <si>
    <t>Aumentar la cobertura de asistencia a los municipios del departamento del Quindío en los procesos de la garantía y prevención de derechos humanos a través de la actualización, implementación y socialización en Plan Integral para la prevención a la vulneración de los DDHH.</t>
  </si>
  <si>
    <t>Iniciativas para la promoción de la participación ciudadana implementada.</t>
  </si>
  <si>
    <t>202000363-0071</t>
  </si>
  <si>
    <t xml:space="preserve"> Fortalecimiento de la participación ciudadana, veedurías y organizaciones comunales para el cumplimiento, protección y restablecimiento de los derechos contemplados en la Constitución Política.    </t>
  </si>
  <si>
    <t xml:space="preserve">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t>
  </si>
  <si>
    <t>Implementar la Política de Libertad Religiosa</t>
  </si>
  <si>
    <t>Política de Libertad Religiosa Implementado</t>
  </si>
  <si>
    <t>Estrategia de acompañamiento sobre capacidades democráticas y organizativas  implementada</t>
  </si>
  <si>
    <t>Fortalecimiento de los organismos  de acción comunal (OAC)  de los doce municipios del Departamento en lo relacionado a sus procesos formativos, participativos, de organización y  gestión.</t>
  </si>
  <si>
    <t xml:space="preserve">Iniciativas organizativas de participación ciudadana promovidas </t>
  </si>
  <si>
    <t xml:space="preserve">Formulación de la  Política Pública Departamental para la  Acción Comunal </t>
  </si>
  <si>
    <t xml:space="preserve">Documentos de planeación </t>
  </si>
  <si>
    <t>Una Política Pública formulada.</t>
  </si>
  <si>
    <t xml:space="preserve">Planes estratégicos elaborados </t>
  </si>
  <si>
    <t xml:space="preserve">310 SECRETARÍA DE CULTURA </t>
  </si>
  <si>
    <t>.Cobertura en formación artística y cultural
.Tasa de consumo de sustancias sicoactivas por 100.000 habitantes en el departamento del Quindío.</t>
  </si>
  <si>
    <t>Servicio de educación informal en áreas artísticas y culturales</t>
  </si>
  <si>
    <t>202000363-0021</t>
  </si>
  <si>
    <t xml:space="preserve">Implementación de la "Ruta de la felicidad y la identidad quindiana", para el fortalecimiento y visibilización de los procesos artísticos y culturales en el Departamento del Quindío  </t>
  </si>
  <si>
    <t>Fortalecer en sector cultural del departamento del Quindío incrementando las   tasas de  participación en formación y actividades  artísticos culturales, a través de la implementación de la " Ruta de  la felicidad e  identidad  quindiana en  los municipios",    con la consiguiente disminución de las tasas de consumo de sustancias psicoactivas.</t>
  </si>
  <si>
    <t>Servicio de circulación artística y cultural</t>
  </si>
  <si>
    <t>Producciones artísticas en circulación</t>
  </si>
  <si>
    <t>.Tasa de cumplimiento al Plan de Biocultura en patrimonio y del PCC.
.Tasa de consumo de sustancias sicoactivas por 100.000 habitantes en el departamento del Quindío.</t>
  </si>
  <si>
    <t>Formulación e implementación del Plan de Cultura</t>
  </si>
  <si>
    <t xml:space="preserve">Documentos de lineamientos técnicos </t>
  </si>
  <si>
    <t>Plan Decenal de cultura formulado e implementado</t>
  </si>
  <si>
    <t>Servicio de educación formal al sector artístico y cultural</t>
  </si>
  <si>
    <t>Cupos de educación formal ofertados</t>
  </si>
  <si>
    <t>Tasa de lectura
Tasa de consumo de sustancias sicoactivas por 100.000 habitantes en el departamento del Quindío.</t>
  </si>
  <si>
    <t>Servicios bibliotecarios</t>
  </si>
  <si>
    <t>330108500</t>
  </si>
  <si>
    <t>Usuarios atendidos</t>
  </si>
  <si>
    <t>202000363-0020</t>
  </si>
  <si>
    <t xml:space="preserve">Implementación del programa "Tú y Yo Somos Cultura", para el fortalecimiento a la lectura,  escritura  y bibliotecas en el Departamento del Quindío   </t>
  </si>
  <si>
    <t xml:space="preserve">Incrementar la tasa de lectura  en el departamento del Quindío, a través del fortalecimiento del Plan Departamental de Lectura y Bibliotecas, con procesos de formación, producción y circulación de contenidos literarios con el fin de lograr  mayor acceso de las población a los servicios bibliotecarios físicos y virtuales..    </t>
  </si>
  <si>
    <t>Servicio de divulgación y publicaciones</t>
  </si>
  <si>
    <t>330110000</t>
  </si>
  <si>
    <t>Publicaciones realizadas</t>
  </si>
  <si>
    <t>Servicio de asistencia técnica en gestión artística y cultural</t>
  </si>
  <si>
    <t>330109500</t>
  </si>
  <si>
    <t>Personas asistidas técnicamente</t>
  </si>
  <si>
    <t>202000363-0072</t>
  </si>
  <si>
    <t xml:space="preserve"> Apoyo artistas y gestores culturales  del departamento del Quindío con el  beneficio de la Seguridad Social.  </t>
  </si>
  <si>
    <t xml:space="preserve">Aumentar la tasa de participación en procesos y actividades artísticas y culturales de los artistas y gestores del departamento del Quindío con la  implementación de los beneficios de la seguridad Social.  </t>
  </si>
  <si>
    <t>Gestión, protección y salvaguardia del patrimonio cultural colombiano. "Tú y yo protectores del patrimonio cultural"</t>
  </si>
  <si>
    <t>Tasa de cumplimiento al Plan de Biocultura en patrimonio y del PCC.
Tasa de consumo de sustancias sicoactivas por 100.000 habitantes en el departamento del Quindío.</t>
  </si>
  <si>
    <t>Servicio de asistencia técnica en el manejo y gestión del patrimonio arqueológico, antropológico e histórico.</t>
  </si>
  <si>
    <t>330204200</t>
  </si>
  <si>
    <t xml:space="preserve">Asistencias técnicas realizadas a entidades territoriales </t>
  </si>
  <si>
    <t>202000363-0073</t>
  </si>
  <si>
    <t xml:space="preserve"> Apoyo al Paisaje, Café y Tradición mediante procesos de manejo, gestión, asistencia técnica, divulgación y publicación del patrimonio, arqueológico, antropológico e histórico en el Departamento del Quindío </t>
  </si>
  <si>
    <t>Aumentar la tasa de cumplimiento del  Plan de Biocultura en patrimonio y PCC,   a través de la implementación del programa de asistencia técnica en el manejo y gestión del patrimonio arqueológico, antropológico e histórico, qué permita  la apropiación, divulgación y publicación del Patrimonio cultural y del Paisaje Cultural Cafetero</t>
  </si>
  <si>
    <t>Servicio de divulgación y publicación del Patrimonio cultural</t>
  </si>
  <si>
    <t>330207000</t>
  </si>
  <si>
    <t xml:space="preserve">311 SECRETARÍA DE TURISMO INDUSTRIA Y COMERCIO </t>
  </si>
  <si>
    <t>PRODUCTIVIDAD Y COMPETITIVIDAD</t>
  </si>
  <si>
    <t>Comercio, Industria y Turismo</t>
  </si>
  <si>
    <t xml:space="preserve">Productividad y competitividad de las empresas colombianas. "Tú y yo con empresas competitivas" </t>
  </si>
  <si>
    <t>Índice Departamental de Competitividad
Tasa de desempleo</t>
  </si>
  <si>
    <t>Servicio de apoyo y consolidación de las Comisiones Regionales de Competitividad - CRC</t>
  </si>
  <si>
    <t>350200600</t>
  </si>
  <si>
    <t xml:space="preserve">Planes de trabajo concertados con las CRC para su consolidación </t>
  </si>
  <si>
    <t>202000363-0074</t>
  </si>
  <si>
    <t xml:space="preserve">Fortalecimiento de la competitividad y productividad en el  departamento del Quindío </t>
  </si>
  <si>
    <t>Incrementar en índice de competitividad en el Departamento del Quindío, a través  de la consolidación de la Comisión Regional de Competitividad e Innovación y en apoyo a  las iniciativas clúster,  vinculando en sector público,  privado y la academia.</t>
  </si>
  <si>
    <t>Servicio de asistencia técnica para el desarrollo de iniciativas Clústeres</t>
  </si>
  <si>
    <t>350200700</t>
  </si>
  <si>
    <t>Clústeres asistidos en la implementación de los planes de acción</t>
  </si>
  <si>
    <t>350202200</t>
  </si>
  <si>
    <t>Empresas asistidas técnicamente</t>
  </si>
  <si>
    <t>202000363-0075</t>
  </si>
  <si>
    <t xml:space="preserve"> Fortalecimiento del sector empresarial  para el acceso a nuevos mercados en el departamento del Quindío</t>
  </si>
  <si>
    <t>Incrementar en índice de competitividad en el Departamento del Quindío,  a través de fortalecimiento del sector empresarial,  con el propósito de incrementar la competitividad para  en  acceso a nuevos mercados locales e internacionales.</t>
  </si>
  <si>
    <t>350204700</t>
  </si>
  <si>
    <t>0.7</t>
  </si>
  <si>
    <t>Índice Departamental de Competitividad Turística
Tasa de desempleo</t>
  </si>
  <si>
    <t>Servicio de asistencia técnica a los entes territoriales para el desarrollo turístico</t>
  </si>
  <si>
    <t>350203900</t>
  </si>
  <si>
    <t>202000363-0076</t>
  </si>
  <si>
    <t xml:space="preserve"> Mejoramiento de la competitividad del  departamento como destino turístico  sostenible y de calidad .</t>
  </si>
  <si>
    <t>Incrementar en índice de competitividad   turística en el Departamento del Quindío, a  través de la Formulación e implementación  del Plan Estratégico de Turismo, de procesos de asistencia técnica y apoyo a los municipios  en la certificación  de las  normas técnicas sectoriales de turismo,  con el propósito de ofrecer  un destino turístico sostenible,  competitivo y de calidad a nivel nacional e internacional.</t>
  </si>
  <si>
    <t>Proyectos de infraestructura turística apoyados</t>
  </si>
  <si>
    <t>Servicio de promoción turística</t>
  </si>
  <si>
    <t>350204600</t>
  </si>
  <si>
    <t>Campañas realizadas</t>
  </si>
  <si>
    <t>202000363-0077</t>
  </si>
  <si>
    <t xml:space="preserve"> Fortalecimiento de la promoción turística del destino Quindío a nivel  nacional e internacional </t>
  </si>
  <si>
    <t>Incrementar en índice de competitividad   turística,  a través de la promoción del departamento como destino turístico y en  fortalecimiento de las  Agencias de Inversión   con la articulación de  instituciones,  gremios y demás actores del sector.</t>
  </si>
  <si>
    <t>Trabajo</t>
  </si>
  <si>
    <t>Generación y formalización del empleo. "Tú y yo con empleo de calidad"</t>
  </si>
  <si>
    <t>Servicios de apoyo financiero para la creación de empresas</t>
  </si>
  <si>
    <t>360201800</t>
  </si>
  <si>
    <t>Planes de negocio financiados</t>
  </si>
  <si>
    <t>202000363-0078</t>
  </si>
  <si>
    <t>Apoyo a la generación y formalización del empleo en el departamento del Quindío</t>
  </si>
  <si>
    <t>Incrementar en índice de competitividad  en el departamento del Quindío a través de la  formalización laboral y  generación de empleo con la  implementación  y promoción  del Ecosistemas de Emprendimientos  y la articulación con las entidades del sector trabajo.</t>
  </si>
  <si>
    <t>Servicio de asesoría técnica para el emprendimiento.</t>
  </si>
  <si>
    <t>360203201</t>
  </si>
  <si>
    <t>Emprendimientos fortalecidos</t>
  </si>
  <si>
    <t>Servicio de asistencia técnica para la generación y formalización del empleo</t>
  </si>
  <si>
    <t>360202904</t>
  </si>
  <si>
    <t>Talleres de oferta institucional realizados</t>
  </si>
  <si>
    <t>Servicio de información y monitoreo del mercado de trabajo</t>
  </si>
  <si>
    <t>360203000</t>
  </si>
  <si>
    <t>Reportes realizados</t>
  </si>
  <si>
    <t xml:space="preserve">312 SECRETARÍA DE AGRICULTURA, DESARROLLO RURAL Y MEDIO AMBIENTE </t>
  </si>
  <si>
    <t>Agricultura y desarrollo rural</t>
  </si>
  <si>
    <t>Inclusión productiva de pequeños productores rurales. "Tú y yo con oportunidades para el pequeño campesino"</t>
  </si>
  <si>
    <t>Crecimiento económico del sector agropecuario (PIB)</t>
  </si>
  <si>
    <t>Servicio de asesoría para el fortalecimiento de la asociatividad</t>
  </si>
  <si>
    <t>170201100</t>
  </si>
  <si>
    <t>Asociaciones fortalecidas</t>
  </si>
  <si>
    <t>202000363-0079</t>
  </si>
  <si>
    <t xml:space="preserve">Fortalecimiento e implementación de procesos de asociatividad y emprendimiento rural en el Departamento del Quindío.  </t>
  </si>
  <si>
    <t>Aumentar en crecimiento económico del sector agropecuario (PIB), a través del  fortalecimiento de las organizaciones de  productores, mediante acciones de capacitación, acompañamiento, asesoría y seguimiento,  para el fomento de la cultura de la asociatividad.</t>
  </si>
  <si>
    <t>Servicio de apoyo financiero para proyectos productivos</t>
  </si>
  <si>
    <t>170200700</t>
  </si>
  <si>
    <t>Proyectos productivos cofinanciados</t>
  </si>
  <si>
    <t>Servicio de apoyo financiero para el acceso a activos productivos y de comercialización</t>
  </si>
  <si>
    <t>170200900</t>
  </si>
  <si>
    <t>Productores apoyados con activos productivos y de comercialización</t>
  </si>
  <si>
    <t>Servicio de apoyo para el fomento organizativo de la agricultura campesina, familiar y comunitaria</t>
  </si>
  <si>
    <t>170201700</t>
  </si>
  <si>
    <t>Productores agropecuarios apoyados</t>
  </si>
  <si>
    <t>202000363-0023</t>
  </si>
  <si>
    <t xml:space="preserve"> Implementación de procesos productivos agropecuarios familiares campesinos en busca de la soberanía y seguridad alimentaria en el Departamento del Quindío </t>
  </si>
  <si>
    <t>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t>
  </si>
  <si>
    <t>Servicio de apoyo para el acceso a maquinaria y equipos</t>
  </si>
  <si>
    <t>170201400</t>
  </si>
  <si>
    <t>Productores beneficiados con acceso a maquinaria y equipo</t>
  </si>
  <si>
    <t>Servicio de acompañamiento productivo y empresarial</t>
  </si>
  <si>
    <t>170202100</t>
  </si>
  <si>
    <t>Unidades productivas beneficiadas</t>
  </si>
  <si>
    <t>Servicio de apoyo a la comercialización</t>
  </si>
  <si>
    <t>170203800</t>
  </si>
  <si>
    <t>Organizaciones de productores formales apoyadas</t>
  </si>
  <si>
    <t>202000363-0080</t>
  </si>
  <si>
    <t xml:space="preserve"> Fortalecimiento e implementación  de procesos de mercadeo y comercialización agropecuaria  en el Departamento del Quindío.                </t>
  </si>
  <si>
    <t>Aumentar en crecimiento económico del sector agropecuario (PIB), a través de la Formulación  e implementación de  programas y proyectos  integrales sostenibles,  mejoramiento de la  gestión de la calidad,   desarrollo de nuevos productos, inteligencia de mercados, estrategias de mercadeo y comercialización, sistemas de información, infraestructura y equipamiento.</t>
  </si>
  <si>
    <t>170203801</t>
  </si>
  <si>
    <t>Productores apoyados para la participación en mercados campesinos</t>
  </si>
  <si>
    <t>170202301</t>
  </si>
  <si>
    <t>Planes de Desarrollo Agropecuario y Rural elaborados</t>
  </si>
  <si>
    <t>202000363-0022</t>
  </si>
  <si>
    <t>Implementación de procesos de extensión agropecuaria e inocuidad (estatus sanitario, BPA, BPG) alimentaria; en el Departamento del Quindío</t>
  </si>
  <si>
    <t>Aumentar en crecimiento económico del sector agropecuario (PIB),  a través del desarrollo de  lineamientos para el fortalecimiento de habilidades, competencias técnicas, humanas,  financieras y estratégicas de los productores, para fortalecer la competitividad y sostenibilidad territorial del sector agropecuario.</t>
  </si>
  <si>
    <t>Servicios de acompañamiento en la implementación de planes de desarrollo agropecuario y rural</t>
  </si>
  <si>
    <t>170202400</t>
  </si>
  <si>
    <t>Planes de Desarrollo Agropecuario y Rural acompañados</t>
  </si>
  <si>
    <t>Servicio de apoyo en la formulación y estructuración de proyectos</t>
  </si>
  <si>
    <t>170202500</t>
  </si>
  <si>
    <t>Proyectos estructurados</t>
  </si>
  <si>
    <t>202000363-0081</t>
  </si>
  <si>
    <t xml:space="preserve"> Servicio de apoyo en la formulación y estructuración de proyectos de Desarrollo Rural e inclusión productiva  campesina en el Departamento del Quindío  </t>
  </si>
  <si>
    <t>Aumentar en crecimiento económico del sector agropecuario (PIB),  a través de la Formulación  e implementación de  programas y proyectos qué permitan  en ajuste, fortalecimiento  y la  articulación  interinstitucional  pública, privada y académica, en cuanto a la  operativización de las competencias de investigación, educación,  extensión  y  asistencia  técnica  agropecuaria sostenible.</t>
  </si>
  <si>
    <t>Servicios financieros y gestión del riesgo para las actividades agropecuarias y rurales. "Tú y yo con un campo protegido"</t>
  </si>
  <si>
    <t>Servicio de apoyo a la implementación de mecanismos y herramientas para el conocimiento, reducción y manejo de riesgos agropecuarios</t>
  </si>
  <si>
    <t>170301300</t>
  </si>
  <si>
    <t>Personas beneficiadas</t>
  </si>
  <si>
    <t>202000363-0082</t>
  </si>
  <si>
    <t xml:space="preserve"> Apoyo a la Implementación de procesos para la prevención y mitigación de riesgos naturales del sector agropecuario en el Departamento del Quindío.  </t>
  </si>
  <si>
    <t>Aumentar en crecimiento económico del sector agropecuario (PIB), a través  del acompañamiento técnico, económico a los productores en la prevención y mitigación de riesgos naturales , gestionando en desarrollo y fortalecimiento de capacidades y habilidades técnicas, mediante transferencia de innovaciones tecnológicas y provisión de bienes y servicios.</t>
  </si>
  <si>
    <t>Ordenamiento social y uso productivo del territorio rural. "Tú y yo con un campo planificado"</t>
  </si>
  <si>
    <t>170400203</t>
  </si>
  <si>
    <t>Documentos de lineamientos para el ordenamiento social y productivo elaborados</t>
  </si>
  <si>
    <t>202000363-0025</t>
  </si>
  <si>
    <t>Implementación de procesos de ordenamiento productivo y social territorial en el Departamento del Quindío</t>
  </si>
  <si>
    <t>Aumentar en crecimiento económico del sector agropecuario (PIB), a través de la formulación  e implementación  de programas y proyectos agropecuarios, sostenibles, de reconversión productiva, para ajustar en uso de la tierra acorde con su aptitud, aunando esfuerzos para mejorar la formalización de la propiedad rural, siguiendo los lineamientos del Plan de Ordenamiento Productivo y Social de la Propiedad Rural (POPSPR).</t>
  </si>
  <si>
    <t>Servicio de apoyo para el fomento de la formalidad</t>
  </si>
  <si>
    <t>170401700</t>
  </si>
  <si>
    <t xml:space="preserve">Personas sensibilizadas en la formalización </t>
  </si>
  <si>
    <t>Aprovechamiento de mercados externos. "Tú y yo a los mercados internacionales"</t>
  </si>
  <si>
    <t>Servicio de apoyo financiero para la participación en ferias nacionales e internacionales</t>
  </si>
  <si>
    <t>170600400</t>
  </si>
  <si>
    <t>Participaciones en ferias nacionales e internacionales</t>
  </si>
  <si>
    <t>202000363-0083</t>
  </si>
  <si>
    <t xml:space="preserve"> Fortalecimiento de eventos y  ferias para la competitividad productiva y empresarial del sector rural en el Departamento del Quindío </t>
  </si>
  <si>
    <t xml:space="preserve"> Aumentar en crecimiento económico del sector agropecuario (PIB),  a través del comercio interior  y exterior, inteligencia de mercados,  sistemas de información, acompañamiento  y  financiación  en mercadeo y  comercialización.</t>
  </si>
  <si>
    <t>Sanidad agropecuaria e inocuidad agroalimentaria. "Tú y yo con un agro saludable"</t>
  </si>
  <si>
    <t>Servicio de divulgación y socialización</t>
  </si>
  <si>
    <t>170706900</t>
  </si>
  <si>
    <t>Eventos realizados</t>
  </si>
  <si>
    <t>202000363-0084</t>
  </si>
  <si>
    <t xml:space="preserve"> Implementación de procesos de  sanidad e inocuidad alimentaria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</si>
  <si>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t>
  </si>
  <si>
    <t>Ciencia, tecnología e innovación agropecuaria. "Tú y yo con un agro interconectado"</t>
  </si>
  <si>
    <t>170801600</t>
  </si>
  <si>
    <t>Documentos de lineamientos técnicos elaborados</t>
  </si>
  <si>
    <t>202000363-0026</t>
  </si>
  <si>
    <t xml:space="preserve"> Implementación de procesos de innovación, ciencia y tecnología agropecuario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</si>
  <si>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mediante la implementación de  sistemas de información y  metodologías del SNCCTI y SNIA, en el marco de la adopción e implementación de las Agendas de Competitividad, PEDCTI,  PECTIA, POPSPR y PDEA, entre otras.</t>
  </si>
  <si>
    <t>Servicio de información actualizado</t>
  </si>
  <si>
    <t>170805100</t>
  </si>
  <si>
    <t>Sistemas de información actualizados</t>
  </si>
  <si>
    <t>Infraestructura productiva y comercialización. "Tú y yo con agro competitivo"</t>
  </si>
  <si>
    <t>Centros logísticos agropecuarios adecuados</t>
  </si>
  <si>
    <t>202000363-0024</t>
  </si>
  <si>
    <t xml:space="preserve"> Implementación de procesos de agro industrialización con calidad e inocuidad en el Departamento del Quindío </t>
  </si>
  <si>
    <t xml:space="preserve">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t>
  </si>
  <si>
    <t>Infraestructura de pos cosecha adecuada</t>
  </si>
  <si>
    <t>170903400</t>
  </si>
  <si>
    <t>Servicio de procesamiento de caña panelera</t>
  </si>
  <si>
    <t>170909300</t>
  </si>
  <si>
    <t>Trapiches paneleros con servicio de procesamiento de caña.</t>
  </si>
  <si>
    <t>Crecimiento económico del sector agropecuario (PIB)
Tasa desempleo</t>
  </si>
  <si>
    <t>Servicio de asistencia técnica para emprendedores y/o empresas en edad temprana</t>
  </si>
  <si>
    <t>350201701</t>
  </si>
  <si>
    <t xml:space="preserve">Necesidades empresariales atendidas a partir de emprendimientos </t>
  </si>
  <si>
    <t>202000363-0085</t>
  </si>
  <si>
    <t xml:space="preserve"> Fortalecimiento  de nuevos emprendimientos e iniciativas clúster de las cadenas promisorias agropecuarias en el Departamento del Quindío.                     </t>
  </si>
  <si>
    <t xml:space="preserve"> Aumentar en crecimiento económico del sector agropecuario (PIB),  a través de acciones de capacitación, acompañamiento, asesoría, y seguimiento en competencias administrativas, organizacionales, mercados, extensión, planes de negocio y coordinación interinstitucional para el fomento de la cultura de asociatividad mediante alianzas Clúster</t>
  </si>
  <si>
    <t>Servicio de asistencia técnica para el desarrollo de iniciativas clústeres</t>
  </si>
  <si>
    <t>3201</t>
  </si>
  <si>
    <t>Fortalecimiento del desempeño ambiental de los sectores productivos. "Tú y yo guardianes de la biodiversidad.</t>
  </si>
  <si>
    <t>Documentos de lineamientos técnicos para mejorar la calidad ambiental de las áreas urbanas</t>
  </si>
  <si>
    <t>320101300</t>
  </si>
  <si>
    <t>Documentos de lineamientos técnicos para  mejorar la calidad ambiental de las áreas urbanas elaborados</t>
  </si>
  <si>
    <t>202000363-0027</t>
  </si>
  <si>
    <t xml:space="preserve">Fortalecimiento  de los procesos de Gestión Ambiental Urbana y Rural para la protección del Paisaje y la Biodiversidad en el  departamento del   Quindío  </t>
  </si>
  <si>
    <t>Incrementar en porcentaje de ecosistemas protegidos y/o en procesos de restauración en el Departamento, a través del apoyo a los entes territoriales en la generación de lineamientos técnicos qué permitan mejorar la gestión y manejo de los relictos boscosos, los humedales y la silvicultura en áreas urbanas mejorando la calidad ambiental del Departamento. Además,   de la realización de campañas de monitoreo de calidad del aire .</t>
  </si>
  <si>
    <t>Servicio de vigilancia de la calidad del aire</t>
  </si>
  <si>
    <t>320100805</t>
  </si>
  <si>
    <t>Campaña de monitoreo de calidad del aire realizadas</t>
  </si>
  <si>
    <t>Conservación de la biodiversidad y sus servicios ecosistémicos. "Tú y yo en territorios biodiversos"</t>
  </si>
  <si>
    <t>3202005</t>
  </si>
  <si>
    <t>Servicio de restauración de ecosistemas</t>
  </si>
  <si>
    <t>320200500</t>
  </si>
  <si>
    <t>Áreas en proceso de restauración</t>
  </si>
  <si>
    <t>202000363-0086</t>
  </si>
  <si>
    <t xml:space="preserve"> Generación y desarrollo de acciones para la conservación de las áreas de importancia estratégica hídrica en el Departamento del Quindío </t>
  </si>
  <si>
    <t xml:space="preserve">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t>
  </si>
  <si>
    <t>Servicio de recuperación de cuerpos de agua lénticos y lóticos</t>
  </si>
  <si>
    <t>320203704</t>
  </si>
  <si>
    <t>Bosque ripario recuperado</t>
  </si>
  <si>
    <t>Adquisición, mantenimiento y administración de áreas de importancia estratégica para la conservación y regulación del recurso hídrico.</t>
  </si>
  <si>
    <t xml:space="preserve">Número de Hectáreas intervenidas </t>
  </si>
  <si>
    <t>Extensión de cuerpos de agua recuperados</t>
  </si>
  <si>
    <t>Servicio apoyo financiero para la implementación de esquemas de pago por servicios ambientales</t>
  </si>
  <si>
    <t>Servicio apoyo financiero para la implementación de esquemas de pago por Servicios ambientales</t>
  </si>
  <si>
    <t>320201700</t>
  </si>
  <si>
    <t xml:space="preserve">Esquemas de pago por Servicio ambientales implementados </t>
  </si>
  <si>
    <t xml:space="preserve">Áreas con esquemas de pago por Servicios Ambientales implementados </t>
  </si>
  <si>
    <t xml:space="preserve">Estrategia  departamental para la protección y bienestar de los animales domésticos y silvestres del Departamento </t>
  </si>
  <si>
    <t>Estrategia  para la protección y bienestar de los animales domésticos y silvestres adoptada</t>
  </si>
  <si>
    <t>Talleres realizados</t>
  </si>
  <si>
    <t>202000363-0028</t>
  </si>
  <si>
    <t xml:space="preserve">Apoyo a la generación de entornos  amigables para los animales  domésticos y silvestres en el departamento del Quindío </t>
  </si>
  <si>
    <t>Incrementar en porcentaje de ecosistemas protegidos y/o en procesos de restauración en el Departamento, a través de la implementación de  la estrategia “Quindío libre de maltrato animal”, en asocio con los diferentes sectores e instituciones del departamento, para  la protección de la fauna silvestre y doméstica,  qué generen en la  comunidad   concientización de la  tenencia responsable de mascotas y un departamento sin tráfico de fauna.</t>
  </si>
  <si>
    <t>Realizar  campaña  de sensibilización y apropiación del patrimonio ambiental en el Departamento</t>
  </si>
  <si>
    <t>Campaña  de sensibilización y apropiación del patrimonio ambiental realizada</t>
  </si>
  <si>
    <t>202000363-0087</t>
  </si>
  <si>
    <t xml:space="preserve">Realización de campañas de sensibilización y apropiación del patrimonio ambiental  del paisaje, la biodiversidad y sus servicios ecosistémicos en el Departamento del Quindío </t>
  </si>
  <si>
    <t>Incrementar en porcentaje de ecosistemas protegidos y/o en procesos de restauración en el Departamento,  a través de la realización de  campañas educativas ambientales qué permitan la apropiación y sensibilización del patrimonio ambiental y en Paisaje Cultural Cafetero,    en  los sectores institucionales, educativos y sociales, articulados con el Comité Interinstitucional de Educación Ambiental CIDEA y los Proyectos Educativos Ambientales PRAES.</t>
  </si>
  <si>
    <t>3204</t>
  </si>
  <si>
    <t>Gestión de la información y en conocimiento ambiental. "Tú y yo conscientes con la naturaleza"</t>
  </si>
  <si>
    <t>Servicio de apoyo financiero a emprendimientos</t>
  </si>
  <si>
    <t>320401200</t>
  </si>
  <si>
    <t xml:space="preserve">Emprendimientos apoyados </t>
  </si>
  <si>
    <t>202000363-0029</t>
  </si>
  <si>
    <t xml:space="preserve">Apoyo a nuevos modelos de vida sostenibles, sustentables y eficientes en el suelo rural y urbano en el Departamento del Quindío  </t>
  </si>
  <si>
    <t xml:space="preserve"> Incrementar en porcentaje de ecosistemas protegidos y/o en procesos de restauración en el Departamento, a través del apoyo a iniciativas de emprendimientos verdes qué incorporen conceptos de eficiencia ambiental como economía circular, carbono neutral, agricultura regenerativa  entre otros.</t>
  </si>
  <si>
    <t>3205009</t>
  </si>
  <si>
    <t>Barreras rompe vientos recuperadas</t>
  </si>
  <si>
    <t>320500900</t>
  </si>
  <si>
    <t>Barreras rompe vientos</t>
  </si>
  <si>
    <t>202000363-0030</t>
  </si>
  <si>
    <t xml:space="preserve"> Implementación de acciones de Gestión del Cambio Climático en el marco del PIGCC, en el Departamento del Quindío</t>
  </si>
  <si>
    <t xml:space="preserve">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t>
  </si>
  <si>
    <t>3205014</t>
  </si>
  <si>
    <t>Obras para el control de erosión</t>
  </si>
  <si>
    <t>320501400</t>
  </si>
  <si>
    <t xml:space="preserve">Área reforestada </t>
  </si>
  <si>
    <t>3206</t>
  </si>
  <si>
    <t>Gestión del cambio climático para un desarrollo bajo en carbono y resiliente al clima. "Tú y yo preparados para el cambio climático"</t>
  </si>
  <si>
    <t>3206005</t>
  </si>
  <si>
    <t>Servicio de divulgación de la información en gestión del cambio climático para un desarrollo bajo en carbono y resiliente al clima</t>
  </si>
  <si>
    <t>320600500</t>
  </si>
  <si>
    <t xml:space="preserve">Campañas de información en gestión de cambio climático realizadas </t>
  </si>
  <si>
    <t>202000363-0088</t>
  </si>
  <si>
    <t xml:space="preserve">Implementación de un programa  de protección del  patrimonio ambiental , en paisaje, la biodiversidad y sus servicios ecosistémicos en el Departamento del Quindío  </t>
  </si>
  <si>
    <t xml:space="preserve">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t>
  </si>
  <si>
    <t>Servicio de producción de plántulas en viveros</t>
  </si>
  <si>
    <t>320601400</t>
  </si>
  <si>
    <t>Plántulas producidas</t>
  </si>
  <si>
    <t>3206015</t>
  </si>
  <si>
    <t>Estufas ecoeficientes</t>
  </si>
  <si>
    <t>320601500</t>
  </si>
  <si>
    <t>Estufas ecoeficientes instaladas y en operación</t>
  </si>
  <si>
    <t xml:space="preserve">313 DIRECCIÓN OFICINA PRIVADA </t>
  </si>
  <si>
    <t>Fortalecimiento a la gestión y dirección de la administración pública territorial "Quindío con una administración al servicio de la ciudadanía"</t>
  </si>
  <si>
    <t>Desarrollo de  la Política  de Transparencia, Acceso a la Información Pública y Lucha Contra la Corrupción del Modelo Integrado de Planificación y Gestión MIPG, articulada con el "Pacto por la Integridad , Transparencia y Legalidad" del Gobierno Nacional</t>
  </si>
  <si>
    <t xml:space="preserve">Política de Transparencia, Acceso a la Información Pública y Lucha Contra la Corrupción  articulada   con el "Pacto por la Integridad , Transparencia y Legalidad" del Gobierno Nacional desarrollada.                                                                                   </t>
  </si>
  <si>
    <t>Herramientas implementada</t>
  </si>
  <si>
    <t>202000363-0089</t>
  </si>
  <si>
    <t>Implementación de la Política de Transparencia, Acceso a la Información Pública y Lucha Contra la Corrupción del Modelo Integrado de Planificación y Gestión MIPG, articulada con el "Pacto por la Integridad, Transparencia y Legalidad"  en el Departamento del Quindío</t>
  </si>
  <si>
    <t>Aumentar Índice de Gestión del Modelo Integrado de Planeación y de Gestión MIPG  del Departamento del Quindío, a través de desarrollo de la Política de Transparencia, Acceso a la Información Pública y Lucha Contra la Corrupción del Modelo Integrado de Planificación y Gestión MIPG, articulada con el "Pacto por la Integridad, Transparencia y Legalidad" del Gobierno Nacional, basado en la generación de cambios culturales en la institucionalidad y la ciudadanía.</t>
  </si>
  <si>
    <t>Desarrollo e implementación de la estrategia de comunicaciones para la Administración Departamental</t>
  </si>
  <si>
    <t>Estrategia de comunicaciones desarrollada e implementada</t>
  </si>
  <si>
    <t>202000363-0090</t>
  </si>
  <si>
    <t>Desarrollo e implementación de  una estrategia  de comunicaciones  de la gestión institucional  de la Administración Departamental del Quindío "Hacia un  gobierno abierto".</t>
  </si>
  <si>
    <t>Aumentar Índice de Gestión del Modelo Integrado de Planeación y de Gestión MIPG  del Departamento del Quindío, a través del desarrollo e implementación de la estrategia de comunicaciones para la administración departamental,  conducente a la divulgación de la  oferta institucional a nivel departamental, nacional e internacional, con el propósito de acercar a la comunidad y en Estado, incrementado de esta forma, la participación de los diferentes actores de la gestión territorial.</t>
  </si>
  <si>
    <t xml:space="preserve">Encuentros ciudadanos en el Departamento del Quindío en aplicación de la Política de Transparencia, Acceso a la Información Pública y Lucha contra la Corrupción.  </t>
  </si>
  <si>
    <t>Encuentros  ciudadanos realizados.</t>
  </si>
  <si>
    <t>202000363-0031</t>
  </si>
  <si>
    <t>Fortalecimiento de  las capacidades institucionales de la administración departamental del Quindío, para generar condiciones de gobernanza territorial, participación, administración eficiente y transparente.</t>
  </si>
  <si>
    <t xml:space="preserve">Incrementar en porcentaje promedio  de participación de ciudadanos en los eventos de elección popular,  a través de la realización de  encuentros ciudadanos como un mecanismo de gobernabilidad para identificar los problemas y necesidades más sentidas de la comunidad, enmarcado en la generación de soluciones adecuadas, a través de la ejecución de proyectos qué propicien en desarrollo territorial participativo e incluyente </t>
  </si>
  <si>
    <t xml:space="preserve">314 SECRETARÍA DE EDUCACIÓN </t>
  </si>
  <si>
    <t>Tasa de cobertura bruta en educación básica
Tasa de cobertura en educación media
Tasa de Analfabetismo
Tasa de deserción escolar intra-anual
Tasa de repitencia</t>
  </si>
  <si>
    <t>Servicio educación formal por modelos educativos flexibles</t>
  </si>
  <si>
    <t>Beneficiarios atendidos con modelos educativos flexibles</t>
  </si>
  <si>
    <t>202000363-0091</t>
  </si>
  <si>
    <t>Fortalecimiento de Estrategias de Acceso, Bienestar y Permanencia en el Sector Educativo del Departamento del Quindío</t>
  </si>
  <si>
    <t>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t>
  </si>
  <si>
    <t>Tasa de deserción escolar intra -anual</t>
  </si>
  <si>
    <t>Servicio de fomento para la permanencia en programas de educación formal</t>
  </si>
  <si>
    <t>Personas beneficiarias de estrategias de permanencia</t>
  </si>
  <si>
    <t xml:space="preserve">Tasa de Analfabetismo </t>
  </si>
  <si>
    <t>Servicio de alfabetización</t>
  </si>
  <si>
    <t xml:space="preserve">Personas beneficiarias con modelos de alfabetización </t>
  </si>
  <si>
    <t xml:space="preserve">Tasa de cobertura bruta en educación básica
Tasa de cobertura en educación media
</t>
  </si>
  <si>
    <t>Servicio de apoyo para la implementación de la estrategia educativa del sistema de responsabilidad penal para adolescentes</t>
  </si>
  <si>
    <t>Entidades Territoriales certificadas con asistencia técnica para el fortalecimiento de la estrategia educativa del sistema de responsabilidad penal para adolescentes</t>
  </si>
  <si>
    <t>Tasa de cobertura bruta en transición
Tasa de cobertura bruta en educación básica
Tasa de cobertura en educación media
Tasa de deserción escolar intra-anual
Tasa de repitencia</t>
  </si>
  <si>
    <t>Servicio de apoyo para el fortalecimiento de escuelas de padres</t>
  </si>
  <si>
    <t>Escuelas de padres apoyadas</t>
  </si>
  <si>
    <t>Servicio de apoyo a la permanencia con alimentación escolar</t>
  </si>
  <si>
    <t>Beneficiarios de la alimentación escolar</t>
  </si>
  <si>
    <t>Servicio de apoyo a la permanencia con transporte escolar</t>
  </si>
  <si>
    <t>Beneficiarios de transporte escolar</t>
  </si>
  <si>
    <t>Infraestructura de Instituciones Educativas con procesos constructivos, mejorados, ampliados, mantenidos, y/o reforzados.</t>
  </si>
  <si>
    <t xml:space="preserve">Sedes mantenidas </t>
  </si>
  <si>
    <t xml:space="preserve">Tasa de cobertura bruta en transición
Tasa de cobertura bruta en educación básica
Tasa de cobertura en educación media 
Tasa de deserción escolar intra-anual </t>
  </si>
  <si>
    <t>Estudios de preinversión</t>
  </si>
  <si>
    <t>Estudios o diseños realizados</t>
  </si>
  <si>
    <t>Infraestructura educativa dotada</t>
  </si>
  <si>
    <t>Sedes dotadas</t>
  </si>
  <si>
    <t>Cobertura en asistencia técnica a la educación inicial (0 a 4 años)</t>
  </si>
  <si>
    <t>Servicio de información para la gestión de la educación inicial y preescolar en condiciones de calidad</t>
  </si>
  <si>
    <t xml:space="preserve">Entidades territoriales que hacen seguimiento a las condiciones de calidad de los prestadores de educación inicial o preescolar a través del Sistema de Información de Primera Infancia -SIPI- </t>
  </si>
  <si>
    <t>202000363-0092</t>
  </si>
  <si>
    <t>Fortalecimiento para la gestión de la educación inicial y preescolar en el marco de la atención integral a la primera infancia en el Departamento del Quindío.</t>
  </si>
  <si>
    <t>Aumentar las coberturas de asistencia técnica en educación inicial y transición en el departamento del Quindío, a través de estrategias de mejoramiento de la calidad de la educación inicial en el nivel de preescolar en los Establecimientos Educativos Oficiales del departamento con la  apropiación de  políticas  y  lineamientos pedagógicos expedidos por el Ministerio de Educación Nacional.</t>
  </si>
  <si>
    <t>Tasa de cobertura bruta en transición</t>
  </si>
  <si>
    <t>Servicio de atención integral para la primera infancia</t>
  </si>
  <si>
    <t>Instituciones educativas oficiales que implementan en nivel preescolar en el marco de la atención integral</t>
  </si>
  <si>
    <t>Porcentaje de pruebas SABER 5 Lenguaje (nivel Insuficiente) 
Porcentaje de pruebas SABER 5 Matemáticas (nivel Insuficiente) 
Porcentaje de pruebas SABER 9 Lenguaje (nivel Insuficiente)  
Porcentaje de pruebas SABER 9 Matemáticas (nivel Insuficiente) 
Porcentaje de Colegios pruebas SABER 11 con resultado A+ - A</t>
  </si>
  <si>
    <t>Servicio de evaluación de la calidad de la educación preescolar, básica o media.</t>
  </si>
  <si>
    <t>Estudiantes evaluados con pruebas de calidad educativa</t>
  </si>
  <si>
    <t>202000363-0093</t>
  </si>
  <si>
    <t>Fortalecimiento de la Calidad Educativa con inclusión y equidad para el Desarrollo Integral de niños, niñas, adolescentes y jóvenes en el Departamento del Quindío.</t>
  </si>
  <si>
    <t>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t>
  </si>
  <si>
    <t>Tasa de cobertura bruta en transición
Tasa de cobertura bruta en educación básica
Tasa de cobertura en educación media 
Tasa de deserción escolar intra-anual 
Cobertura de Instituciones Educativas con Planes Escolares de Gestión del Riesgo de Desastres-PEGERD</t>
  </si>
  <si>
    <t>Servicio de acondicionamiento de ambientes de aprendizaje</t>
  </si>
  <si>
    <t>Ambientes de aprendizaje en funcionamiento</t>
  </si>
  <si>
    <t>Servicio de fortalecimiento a las capacidades de los docentes de educación inicial, preescolar, básica y media</t>
  </si>
  <si>
    <t>Docentes de educación inicial, preescolar, básica y media beneficiados con estrategias de mejoramiento de sus capacidades</t>
  </si>
  <si>
    <t xml:space="preserve">Docentes y agentes educativos  de educación inicial, preescolar, básica y media beneficiados con estrategias de mejoramiento de sus capacidades </t>
  </si>
  <si>
    <t>Servicio de fortalecimiento a las capacidades de los docentes y agentes educativos en educación inicial o preescolar de acuerdo a los referentes nacionales</t>
  </si>
  <si>
    <t>Servicio de fortalecimiento a las capacidades de los docentes de educación Inicial, preescolar, básica y media</t>
  </si>
  <si>
    <t>Docentes y agentes educativos beneficiarios de Servicio de fortalecimiento a sus capacidades de acuerdo a los referentes nacionales</t>
  </si>
  <si>
    <t xml:space="preserve">Tasa de cobertura bruta en educación media 
Años promedio de estudio (población de 15 a 24 años) </t>
  </si>
  <si>
    <t>Servicio de articulación entre la educación media y el sector productivo.</t>
  </si>
  <si>
    <t xml:space="preserve">Programas y proyectos de educación pertinente articulados con el sector productivo </t>
  </si>
  <si>
    <t>Servicios de asistencia técnica en innovación educativa en la educación inicial, preescolar, básica y media</t>
  </si>
  <si>
    <t>Instituciones educativas asistidas técnicamente en innovación educativa</t>
  </si>
  <si>
    <t>Servicio de fomento para la prevención de riesgos sociales en entornos escolares</t>
  </si>
  <si>
    <t>Entidades territoriales con estrategias para la prevención de riesgos sociales en los entornos escolares implementadas</t>
  </si>
  <si>
    <t>Servicio de apoyo a proyectos pedagógicos productivos</t>
  </si>
  <si>
    <t>Proyectos apoyados</t>
  </si>
  <si>
    <t>Servicio de orientación vocacional</t>
  </si>
  <si>
    <t>Estudiantes vinculados a procesos de orientación vocacional</t>
  </si>
  <si>
    <t>Tasa de cobertura bruta en transición
Tasa de cobertura bruta en educación básica
Tasa de cobertura en educación media
Tasa de Analfabetismo
Tasa de deserción escolar intra-anual
Tasa de repitencia</t>
  </si>
  <si>
    <t>Servicio de asistencia técnica en educación inicial, preescolar, básica y media</t>
  </si>
  <si>
    <t>Entidades y organizaciones asistidas técnicamente</t>
  </si>
  <si>
    <t>202000363-0016</t>
  </si>
  <si>
    <t>Fortalecimiento territorial para una gestión educativa integral en la Secretaría de Educación Departamental del Quindío</t>
  </si>
  <si>
    <t>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t>
  </si>
  <si>
    <t>Servicio de monitoreo y seguimiento a la gestión del sector educativo</t>
  </si>
  <si>
    <t>Entidades territoriales con seguimiento y evaluación a la gestión.</t>
  </si>
  <si>
    <t>Servicios de atención psicosocial a estudiantes y docentes</t>
  </si>
  <si>
    <t xml:space="preserve">Personas atendidas </t>
  </si>
  <si>
    <t xml:space="preserve">Tasa de cobertura bruta en transición
Tasa de cobertura bruta en educación básica
Tasa de cobertura en educación media
</t>
  </si>
  <si>
    <t>Servicio educativo</t>
  </si>
  <si>
    <t>Establecimientos educativos en operación</t>
  </si>
  <si>
    <t>Servicio de accesibilidad a contenidos web para fines pedagógicos</t>
  </si>
  <si>
    <t>Estudiantes con acceso a contenidos web en el establecimiento educativo</t>
  </si>
  <si>
    <t>202000363-0094</t>
  </si>
  <si>
    <t>Fortalecimiento de las  Tecnologías de Información y Comunicación TIC,  para una innovación educativa de calidad en el departamento del Quindío.</t>
  </si>
  <si>
    <t>Aumentar las tasas de cobertura bruta y disminuir las tasas  repitencia y deserción escolar a través de la implementación de  estrategias basadas en las Tecnologías de la Información para los Establecimientos  Educativos y la  Secretaria de Educación Departamental, permitiendo dar una respuesta pertinente a las necesidades en los diferentes recursos tecnológicos, propiciando una Gestión Educativa Integral.</t>
  </si>
  <si>
    <t>Establecimientos educativos conectados a internet</t>
  </si>
  <si>
    <t>Documento para la planeación estratégica en TI</t>
  </si>
  <si>
    <t>Planes de mejoramiento de los sistemas de información de las secretarías de educación implementados</t>
  </si>
  <si>
    <t>Documentos de planeación para la educación inicial, preescolar, básica y media emitidos</t>
  </si>
  <si>
    <t>Porcentaje de estudiantes de grado 11 con dominio de inglés a nivel B1 (preintermedio)</t>
  </si>
  <si>
    <t>Servicio educativos de promoción del bilingüismo</t>
  </si>
  <si>
    <t>Estudiantes beneficiados con estrategias de promoción del bilingüismo</t>
  </si>
  <si>
    <t>202000363-0015</t>
  </si>
  <si>
    <t>Fortalecimiento de las competencias comunicativas en lengua extranjera en estudiantes y docentes de las instituciones educativas oficiales del Departamento del Quindío.</t>
  </si>
  <si>
    <t>Aumentar en porcentaje de estudiantes de grado 11 con dominio de inglés a nivel B1 (preintermedio) a través del fortalecimiento del nivel de inglés de los niños, niñas y jóvenes qué asisten a las Instituciones Educativas Oficiales del Departamento del Quindío.</t>
  </si>
  <si>
    <t>Servicios educativos de promoción del bilingüismo</t>
  </si>
  <si>
    <t>Instituciones educativas fortalecidas en competencias comunicativas en un segundo idioma</t>
  </si>
  <si>
    <t>Servicio educativo de promoción del bilingüismo para docentes</t>
  </si>
  <si>
    <t>Docentes beneficiados con estrategias de promoción del bilingüismo</t>
  </si>
  <si>
    <t>202000363-0095</t>
  </si>
  <si>
    <t>Implementación del observatorio de educación, con el fin de recopilar y producir información del sector educativo con enfoque territorial.</t>
  </si>
  <si>
    <t>Servicios de información en materia educativa</t>
  </si>
  <si>
    <t>Observatorio implementado</t>
  </si>
  <si>
    <t>Tasa de cobertura en educación superior</t>
  </si>
  <si>
    <t>Servicio de apoyo para el acceso y la permanencia a la educación superior o terciaria</t>
  </si>
  <si>
    <t>Estrategias o programas de  fomento para  acceso y  permanencia a la educación superior o terciaria implementados</t>
  </si>
  <si>
    <t>Estrategias y programas de  fomento para acceso y  permanencia a la educación superior o postsecundaria implementados</t>
  </si>
  <si>
    <t>202000363-0096</t>
  </si>
  <si>
    <t>Fortalecimiento de estrategias para el acceso y la permanencia  de los estudiantes egresados de los Establecimientos Educativos Oficiales a la educación superior o terciaria en el Departamento del Quindío.</t>
  </si>
  <si>
    <t>Aumentar la tasa de cobertura en educación superior,  a través del fortalecimiento del acceso y la permanencia de los estudiantes egresados de los Establecimientos Educativos Oficiales   adscritos a la Secretaría de Educación Departamental a la educación técnica, tecnológica o superior.</t>
  </si>
  <si>
    <t>Generación de una cultura qué valora y gestiona en conocimiento y la innovación.</t>
  </si>
  <si>
    <t xml:space="preserve">
Tasa de cobertura bruta en educación básica
Tasa de cobertura en educación media
</t>
  </si>
  <si>
    <t>Servicio para el fortalecimiento de capacidades institucionales para el fomento de vocación científica</t>
  </si>
  <si>
    <t>Instituciones educativas qué participan en programas que fomentan la cultura de la Ciencia, la Tecnología y la Innovación fortalecidas</t>
  </si>
  <si>
    <t>Instituciones educativas que participan en programas qué fomentan la cultura de la Ciencia, la Tecnología y la Innovación fortalecidas</t>
  </si>
  <si>
    <t>202000363-0097</t>
  </si>
  <si>
    <t>Implementación  y fortalecimiento de  las estrategias qué fomenten la ciencia, la tecnología y la innovación en las Instituciones Educativas Oficiales del Departamento.</t>
  </si>
  <si>
    <t xml:space="preserve">Aumentar las tasas de cobertura bruta en educación  básica y media, a través de la  Promoción  de  la investigación en los estudiantes  matriculados en las Instituciones Educativas Oficiales del Departamento del Quindío, a través de la Ciencia, Tecnología y la Innovación. </t>
  </si>
  <si>
    <t>316 SECRETARÍA DE FAMILIA</t>
  </si>
  <si>
    <t>Salud Pública, "Tú y yo con salud de calidad"</t>
  </si>
  <si>
    <t>Razón de mortalidad materna (por 100.000 nacidos vivos)
Porcentaje de atención institucional del parto.
Tasa  de mujeres de 10 a 14 años qué han sido madres o están en embarazo.
Tasa de mujeres de 15 a 19 años qué han sido madres o están en embarazo.
Prevalencia de VIH/SIDA en población de 15 a 49 años de edad.
Tasa de mortalidad asociada a VIH/SIDA.
Porcentaje transmisión materno -infantil del VIH.
Cobertura de tratamiento antirretroviral</t>
  </si>
  <si>
    <t xml:space="preserve">Servicio de gestión del riesgo en temas de salud sexual y reproductiva </t>
  </si>
  <si>
    <t>Campañas de gestión del riesgo en temas de salud sexual y reproductiva implementadas.</t>
  </si>
  <si>
    <t xml:space="preserve"> 202000363-0011</t>
  </si>
  <si>
    <t xml:space="preserve">  Diseño e implementación de campañas para la promoción de la vida y prevención del consumo de sustancias psicoactivas en el Departamento del Quindío. "TU Y YO UNIDOS POR LA VIDA".  </t>
  </si>
  <si>
    <t xml:space="preserve"> Disminuir las tasas  de mortalidad materna, embarazos, violencia y suicidios en el Departamento del Quindío, a través del fomento de  hábitos de vida saludables y derechos sexuales y reproductivos. </t>
  </si>
  <si>
    <t>Tasa de violencia de género.
Tasa de Suicidio  x 100.000 Habitantes en el Departamento del Quindío.
Tasa de suicidios en niños y niñas ( 6 a 11 años)
Tasa de suicidios en adolescentes (12 a 17 años)
Tasa de suicidios (18 - 28 años)Tasa de Consumo de Sustancias Psicoactivas  x 100.000 Habitantes en el Departamento del Quindío.</t>
  </si>
  <si>
    <t xml:space="preserve">Servicio de gestión del riesgo en temas de trastornos mentales </t>
  </si>
  <si>
    <t>Campañas de gestión del riesgo en temas de trastornos mentales implementadas</t>
  </si>
  <si>
    <t>Cobertura  de municipios   con  jóvenes en riesgo psicosocial impactados en los  Barrios vulnerables del Departamento del Quindío</t>
  </si>
  <si>
    <t>Servicio de educación informal al sector artístico y cultural</t>
  </si>
  <si>
    <t>Capacitaciones de educación informal realizadas</t>
  </si>
  <si>
    <t>202000363-0098</t>
  </si>
  <si>
    <t xml:space="preserve"> Implementación acciones de fortalecimiento  de los entornos protectores de los jóvenes en barrios vulnerables de los municipios, del Departamento del Quindío. </t>
  </si>
  <si>
    <t>Aumentar la cobertura  de municipios con jóvenes en riesgo psicosocial impactados en los barrios vulnerables del Departamento del Quindío, a través de la implementación de acciones que permitan fortalecer los entornos protectores de los jóvenes en riesgo psicosocial por consumo de sustancias psicoactivas, comportamiento suicida, Violencia Intrafamiliar, en barrios vulnerables, de los municipios, del Departamento del Quindío.</t>
  </si>
  <si>
    <t>Inclusión social y Reconciliación</t>
  </si>
  <si>
    <t>Desarrollo Integral de Niños, Niñas, Adolescentes y sus Familias. "Tú y yo niños, niñas y adolescentes con desarrollo integral"</t>
  </si>
  <si>
    <t xml:space="preserve">Cobertura en la  implementación del  Modelo de entornos protectores y atención integral de   la primera infancia </t>
  </si>
  <si>
    <t xml:space="preserve">Diseñar e implementar un modelo de atención integral en entornos protectores para la primera infancia </t>
  </si>
  <si>
    <t>Modelo de atención integral de entornos protectores implementado</t>
  </si>
  <si>
    <t>202000363-0099</t>
  </si>
  <si>
    <t>Aumentar la cobertura en la implementación del Modelo de Entornos Protectores y Atención Integral de la Primera Infancia, a través de la atención integral a los niños y niñas, promoviendo la aplicabilidad de las rutas integrales de atención y  entornos protectores seguros en el departamento Quindío.</t>
  </si>
  <si>
    <t xml:space="preserve">Cobertura  en la  implementación y seguimiento de las   Rutas integrales de atención  a la primera infancia </t>
  </si>
  <si>
    <t xml:space="preserve">Implementar y realizar seguimiento a las rutas integrales de atención </t>
  </si>
  <si>
    <t xml:space="preserve">Servicio de atención integral a la primera infancia </t>
  </si>
  <si>
    <t xml:space="preserve">Número de rutas integrales de atención  a la  primera infancia implementadas y con seguimiento </t>
  </si>
  <si>
    <t>Niños y niñas atendidos en servicio integrales</t>
  </si>
  <si>
    <t>Tasa de Violencia Intrafamiliar x 100.000 Habitantes en el Departamento del Quindío.
Tasa de violencia de pareja cuando la víctima está entre los 18 y 28 años 
Tasa de violencia de Género
Tasa de Suicidio  x 100.000 Habitantes en el Departamento del Quindío.
Tasa  de Niños, Niñas y Adolescentes qué participan en una actividad remunerada  o no  x cada 100.000 habitantes  en el departamento del Quindío
Tasa  de mujeres de 12 a 14 años qué han sido madres o están en embarazo X 100.000 habitantes en el Departamento del Quindío
Cobertura a los grupos de adulto mayor del departamento del Quindío en articulación con los Municipios, en el marco de garantizar estimulación física, cognitiva, emocional y social en bienestar de una vejez activa y saludable</t>
  </si>
  <si>
    <t xml:space="preserve">Implementar la  política pública para la protección, en fortalecimiento y en desarrollo integral de la familia Quindiana </t>
  </si>
  <si>
    <t>4102043</t>
  </si>
  <si>
    <t xml:space="preserve">Servicio de promoción de temas de dinámica relacional y desarrollo autónomo </t>
  </si>
  <si>
    <t>Política Pública de Familia  implementada</t>
  </si>
  <si>
    <t>410204300</t>
  </si>
  <si>
    <t>Familias atendidas</t>
  </si>
  <si>
    <t>202000363-0100</t>
  </si>
  <si>
    <t xml:space="preserve"> Implementación de la  política pública  de Familia para la  promoción  del desarrollo integral de la población del Departamento del Quindío. </t>
  </si>
  <si>
    <t xml:space="preserve">Disminuir las tasas de violencia intrafamiliar, suicidio y embarazos en el departamento del Quindío a través del Desarrollo de  estrategias,  programas y proyectos en el marco de la implementación y seguimiento de la Política Pública de Familia para promover en desarrollo integral de la población. </t>
  </si>
  <si>
    <t>.- Tasa de violencia contra niños y niñas o a 5 años       
.- Tasa de violencia contra niños y niñas de 6 a 11 años
.- Tasa de violencia contra niños y niñas de 12 a 17 años
-Tasa de niños, niñas y adolescentes víctimas de violencia sexual  x 100 mil habitantes   en el Departamento del Quindío
-Tasa de suicidios en adolescentes (12 a 17 años)
-Tasa  de Niños, Niñas y Adolescentes qué participan en una actividad remunerada  o no  x cada 100.000 habitantes  en el departamento del Quindío
-Tasa  de mujeres de 12 a 14 años qué han sido madres o están en embarazo X 100.000 habitantes en el Departamento del Quindío
-Tasa de Consumo de Sustancias Psicoactivas  x 100.000 Habitantes en el Departamento del Quindío.</t>
  </si>
  <si>
    <t>Revisar y ajustar   la política pública de primera infancia, infancia y adolescencia</t>
  </si>
  <si>
    <t xml:space="preserve">4102035
 </t>
  </si>
  <si>
    <t xml:space="preserve">Documento  de Política Pública de Primera Infancia, Infancia y Adolescencia, revisado, ajustado </t>
  </si>
  <si>
    <t xml:space="preserve">410203501
</t>
  </si>
  <si>
    <t>Documentos de lineamientos técnicos en Política y Atención Integral de niños, niñas y adolescentes realizados</t>
  </si>
  <si>
    <t>202000363-0101</t>
  </si>
  <si>
    <t xml:space="preserve">Revisión, ajuste  e implementación de  la política pública de primera infancia, infancia y adolescencia en el Departamento del Quindío  </t>
  </si>
  <si>
    <t xml:space="preserve">Disminuir las tasa de violencia  contra niños, niñas y adolescentes, embarazos a temprana edad y consumo de sustancias psicoactivas en el Departamento del Quindío, a través del desarrollo de estrategias, proyectos y programas en el marco de la implementación y seguimiento de la Política Pública de Primera Infancia, Infancia y Adolescencia, al igual que su ajuste, para promover en desarrollo integral de la población. </t>
  </si>
  <si>
    <t>Implementar  la política pública de primera infancia, infancia y adolescencia</t>
  </si>
  <si>
    <t>Servicio de promoción de temas de dinámica relacional y desarrollo autónomo</t>
  </si>
  <si>
    <t xml:space="preserve">Política Pública de Primera Infancia, Infancia y Adolescencia implementada. </t>
  </si>
  <si>
    <t>Niños, niñas y adolescentes atendidos</t>
  </si>
  <si>
    <t>Tasa de Suicidio  x 100.000 Habitantes en el Departamento del Quindío.
Tasa de violencia de pareja cuando la víctima está entre los 18 y 28 años 
Tasa de violencia de Género
Tasa de Violencia Intrafamiliar x 100.000 Habitantes en el Departamento del Quindío.
Tasa de Consumo de Sustancias Psicoactivas  x 100.000 Habitantes en el Departamento del Quindío.
Cobertura de adolescentes y jóvenes atendidos en Post egreso, en los servicios de restablecimiento en la administración de justicia.
Cobertura  de municipios   con  jóvenes en riesgo psicosocial impactados en los  Barrios vulnerables del Departamento del Quindío</t>
  </si>
  <si>
    <t xml:space="preserve">Implementar  la política pública de juventud </t>
  </si>
  <si>
    <t>Servicio dirigidos a la atención de niños, niñas, adolescentes y jóvenes, con enfoque pedagógico y restaurativo encaminados a la inclusión social</t>
  </si>
  <si>
    <t>Política Pública de Juventud implementada</t>
  </si>
  <si>
    <t>202000363-0102</t>
  </si>
  <si>
    <t xml:space="preserve">Implementación de  la política pública de juventud en el Departamento del Quindío  </t>
  </si>
  <si>
    <t xml:space="preserve"> Disminuir las tasa de violencia intrafamiliar,  consumo de sustancias psicoactivas y suicidio en el Departamento del Quindío a través de la revisión, ajuste e implementación la política pública de juventud con el propósito de desarrollar estrategias, programas y acciones acordes  con la normatividad y las nuevas dinámicas sociales. </t>
  </si>
  <si>
    <t>Tasa de Violencia Intrafamiliar x 100.000 Habitantes en el Departamento del Quindío.
Tasa de violencia de Género</t>
  </si>
  <si>
    <t>Rutas integrales de atención en violencia intrafamiliar y  violencia de género</t>
  </si>
  <si>
    <t>Servicio de asistencia técnica a comunidades en temas de fortalecimiento del tejido social y construcción de escenarios comunitarios protectores de derechos</t>
  </si>
  <si>
    <t>Capacitación en activación de las Rutas Integrales de Atención en Violencia Intrafamiliar y de Género, a trabajadores de Supermercados y Tenderos de los Municipios realizadas</t>
  </si>
  <si>
    <t>Acciones ejecutadas con las comunidades</t>
  </si>
  <si>
    <t>202000363-0032</t>
  </si>
  <si>
    <t xml:space="preserve"> Diseño e implementación del programa de acompañamiento familiar y comunitario con enfoque preventivo en los tipos de violencias en el Departamento del Quindío "TU Y YO COMPROMETIDOS CON LA FAMILIA" </t>
  </si>
  <si>
    <t xml:space="preserve"> Disminuir las tasa de violencia   intrafamiliar y de género en el Departamento del Quindío , a través de la  articulación de acciones  con aliados estratégicos para capacitar a trabajadores de Supermercados y “tenderos” de los barrios, en la activación de Rutas Integrales de Atención en Violencia Intrafamiliar y Violencia de género. </t>
  </si>
  <si>
    <t>Cobertura de atención de niños y niñas en Hogar Infantil Nocturno, hijos de trabajadoras sexuales en el Departamento del Quindío</t>
  </si>
  <si>
    <t xml:space="preserve">Atención integral a niños y niñas en primera infancia en espacios socialmente no convencionales: tiempos no convencionales </t>
  </si>
  <si>
    <t>Servicio de atención integral a la primera infancia</t>
  </si>
  <si>
    <t xml:space="preserve">Atención integral a niños y niñas en primera infancia en espacios socialmente no convencionales implementados </t>
  </si>
  <si>
    <t>Niños y niñas atendidos en servicios integrales</t>
  </si>
  <si>
    <t>202000363-0033</t>
  </si>
  <si>
    <t xml:space="preserve"> Diseño e implementación del programa comunitario para la prevención de los derechos de niños, niñas y adolescentes y su desarrollo integral. "TU Y YO COMPROMETIDOS CON LOS SUEÑOS". </t>
  </si>
  <si>
    <t xml:space="preserve"> Disminución de la Tasa de Violencia Intrafamiliar y  aumento de la cobertura de atención de niños y niñas en Hogar Infantil Nocturno, hijos de trabajadoras sexuales en el Departamento del Quindío, a través del diseño e implementación   de un programa comunitario para la   prevención y garantía de los derechos de los niños, niñas y adolescentes  buscando disminuir la violencia intrafamiliar en el departamento del Quindío en espacios socialmente no convencionales. </t>
  </si>
  <si>
    <t>Tasa de Violencia Intrafamiliar x 100.000 Habitantes en el Departamento del Quindío.
Tasa de violencia contra niños y niñas o a 5 años       
Tasa de violencia contra niños y niñas de 6 a 11 años
Tasa de violencia contra niños y niñas de 12 a 17 años
Tasa de niños, niñas y adolescentes víctimas de violencia sexual  x 100 mil habitantes   en el Departamento del Quindío
Tasa de violencia de pareja cuando la víctima está entre los 18 y 28 años 
Tasa de violencia de Género</t>
  </si>
  <si>
    <t>Servicio de divulgación para la promoción y prevención de los derechos de los niños, niñas y adolescentes</t>
  </si>
  <si>
    <t xml:space="preserve">Servicios de promoción de los derechos de los niños, niñas, adolescentes y jóvenes </t>
  </si>
  <si>
    <t>410202200</t>
  </si>
  <si>
    <t xml:space="preserve">Eventos de divulgación realizados </t>
  </si>
  <si>
    <t xml:space="preserve">Campañas de promoción realizadas </t>
  </si>
  <si>
    <t>Cobertura de adolescentes y jóvenes atendidos en Post egreso, en los servicios de restablecimiento en la administración de justicia.</t>
  </si>
  <si>
    <t>Servicios dirigidos a la atención de niños, niñas, adolescentes y jóvenes, con enfoque pedagógico y restaurativo encaminados a la inclusión social</t>
  </si>
  <si>
    <t>Niños, niñas, adolescentes y jóvenes atendidos en los servicios de restablecimiento en la administración de justicia</t>
  </si>
  <si>
    <t>202000363-0034</t>
  </si>
  <si>
    <t xml:space="preserve"> Servicio de atención Post egreso de adolescentes y jóvenes, en los servicios de restablecimiento en la administración de justicia, con enfoque pedagógico y restaurativo encaminados a la inclusión social en el  Departamento del   Quindío.</t>
  </si>
  <si>
    <t xml:space="preserve">Aumentar la cobertura de adolescentes y jóvenes atendidos en Post egreso, en los servicios de restablecimiento en la administración de justicia,  a través del desarrollo  de acciones encaminadas a reconocer, garantizar y permitir en goce efectivo de los derechos de los adolescentes y jóvenes del departamento del Quindío, promoviendo su integralidad, realización, protección y sostenibilidad. </t>
  </si>
  <si>
    <t xml:space="preserve">Cobertura de municipios del departamento apoyados con  emprendimientos juveniles </t>
  </si>
  <si>
    <t>Servicio de asistencia técnica para fortalecimiento de unidades productivas colectivas para la generación de ingresos</t>
  </si>
  <si>
    <t>Unidades productivas colectivas con asistencia técnica</t>
  </si>
  <si>
    <t>202000363-0103</t>
  </si>
  <si>
    <t xml:space="preserve">  Fortalecimiento  de unidades productivas colectivas  juveniles para la generación de ingresos  en el departamento del Quindío  </t>
  </si>
  <si>
    <t>Aumentar la cobertura de municipios del departamento apoyados con  emprendimientos juveniles,   a través del fortalecimiento de los procesos de asistencia técnica en temas de formalización y comercialización.</t>
  </si>
  <si>
    <t>Cobertura para la atención al ciudadano migrante a través del plan de atención y de repatriación.</t>
  </si>
  <si>
    <t xml:space="preserve">Mecanismos de articulación implementados para la gestión de oferta social </t>
  </si>
  <si>
    <t>202000363-0104</t>
  </si>
  <si>
    <t xml:space="preserve">  Formulación  e Implementación del  programa departamental para atención al ciudadano migrante y de repatriación.  </t>
  </si>
  <si>
    <t xml:space="preserve">Aumentar la cobertura para la atención al ciudadano migrante a través del plan de atención y de repatriación </t>
  </si>
  <si>
    <t>Servicio de acompañamiento familiar y comunitario para la superación de la pobreza</t>
  </si>
  <si>
    <t>Comunidades con acompañamiento familiar.</t>
  </si>
  <si>
    <t>202000363-0105</t>
  </si>
  <si>
    <t xml:space="preserve">   Desarrollo de un  programa  de acompañamiento  familiar y comunitario  en procesos de Inclusión social y productivos para el emprendimiento de  alternativas de generación de ingresos  en el departamento del Quindío  </t>
  </si>
  <si>
    <t>Disminuir  la tasa de violencia intrafamiliar en el departamento del Quindío, a través de  procesos de acompañamiento familiar y comunitario a hogares de los doce municipios en condiciones de vulnerabilidad por “violencia intrafamiliar,” a través del desarrollo de programas de Inclusión social y productivos qué les permita emprender alternativas de generación de ingresos y   mejorar   las relaciones de convivencia en el entorno familiar y social.</t>
  </si>
  <si>
    <t xml:space="preserve">Cobertura de municipios del departamento con procesos de implementación de proyectos  productivos  para las personas con discapacidad </t>
  </si>
  <si>
    <t>Servicio de apoyo para el fortalecimiento de unidades productivas colectivas para la generación de ingresos</t>
  </si>
  <si>
    <t>Unidades productivas colectivas fortalecidas</t>
  </si>
  <si>
    <t>202000363-0106</t>
  </si>
  <si>
    <t xml:space="preserve">  Formulación e implementación   de proyectos productivos  dirigidos a  la población en condición  de  discapacidad y sus familias para la generación de  ingresos  y fortalecimiento del entorno familiar.  </t>
  </si>
  <si>
    <t>Aumentar la cobertura de municipios del departamento con procesos de implementación de proyectos  productivos  para las personas con discapacidad, a través de la  formulación e implementación  de proyectos productivos qué garanticen a las personas con discapacidad y sus familias, ingresos económicos para satisfacer sus necesidades básicas.</t>
  </si>
  <si>
    <t xml:space="preserve">Tasa planes de vida de los cabildos  indígenas construidos e implementados </t>
  </si>
  <si>
    <t xml:space="preserve">Apoyar la construcción e Implementación de los  Planes de vida de los cabildos Indígenas asentados en el Departamento del Quindío </t>
  </si>
  <si>
    <t>Documento de lineamientos técnicos</t>
  </si>
  <si>
    <t xml:space="preserve">Planes de vida de los cabildos indígenas  construidos  e implementados </t>
  </si>
  <si>
    <t xml:space="preserve">Documentos de lineamientos técnicos elaborados </t>
  </si>
  <si>
    <t>202000363-0036</t>
  </si>
  <si>
    <t xml:space="preserve">  Apoyo en la construcción e Implementación de los Planes de Vida de los Cabildos y Resguardos indígenas  asentados en el Departamento del Quindío "TU Y YO UNIDOS CON DIGNIDAD".  </t>
  </si>
  <si>
    <t>Incrementar la tasa planes de vida de los cabildos y resguardos   indígenas construidos e implementados, por medio del apoyo en  la construcción e implementación de los  mismos, como instrumentos de planeación organización y preservación de la historia y la cultura.</t>
  </si>
  <si>
    <t>Tasa de  planes de vida de los resguardos  indígenas construidos e implementados</t>
  </si>
  <si>
    <t xml:space="preserve">Apoyar la construcción e Implementación de los  Planes de vida de los resguardos indígenas  asentados en el Departamento del Quindío </t>
  </si>
  <si>
    <t xml:space="preserve">Planes de vida de los resguardos indígenas  construidos  e implementados </t>
  </si>
  <si>
    <t>Cobertura  de población diferencial,  comunidades negras, afros raizales y Palenqueras asentadas en el departamento del Quindío con una  política pública .</t>
  </si>
  <si>
    <t>Formular e implementar la política pública para la comunidad negra, afrocolombiana, raizal y palenquera residente en el Departamento del Quindío</t>
  </si>
  <si>
    <t xml:space="preserve">Política Pública para la comunidad negra, afrocolombiana, raizal y palenquera residente en el departamento del Quindío formulada e implementada </t>
  </si>
  <si>
    <t>202000363-0037</t>
  </si>
  <si>
    <t xml:space="preserve">  Formulación e implementación de la política pública para la comunidad negra, afrocolombiana, raizal y palenquera residente en el Departamento del Quindío   </t>
  </si>
  <si>
    <t>Aumentar la cobertura  de población diferencial,  comunidades negras, afros raizales y Palenquearas asentadas en el departamento del Quindío con una  política publicación en propósito de garantizar la protección de derechos y la atención integral  con enfoque diferencial de las comunidades.</t>
  </si>
  <si>
    <t>Atención integral de población en situación permanente de desprotección social y/o familiar "Tú y yo con atención integral"</t>
  </si>
  <si>
    <t>Cobertura  de municipios del Departamento del Quindío con el Programa de Rehabilitación Basada en la Comunidad  RBC
Cobertura de municipios atendidos  con el Banco de ayudas técnicas NO POS tipo Estándar, para las personas con discapacidad .</t>
  </si>
  <si>
    <t>Servicios de atención integral a población en condición de discapacidad</t>
  </si>
  <si>
    <t>Servicio de atención integral a población en condición de discapacidad</t>
  </si>
  <si>
    <t xml:space="preserve">Personas atendidas con servicios integrales de atención </t>
  </si>
  <si>
    <t>Personas con discapacidad atendidas con servicios integrales</t>
  </si>
  <si>
    <t>202000363-0035</t>
  </si>
  <si>
    <t xml:space="preserve"> Servicio de atención integral a población en condición de discapacidad en los municipios del Departamento del Quindío "TU Y YO JUNTOS EN LA INCLUSIÓN". </t>
  </si>
  <si>
    <t xml:space="preserve">Incrementar  la cobertura  de municipios del Departamento del Quindío  con programas  y banco de ayudas  para la Rehabilitación Basada en la Comunidad  RBC, a través del fortalecimiento de la capacidad  de atención integral  a población con discapacidad del departamento del Quindío. </t>
  </si>
  <si>
    <t>Cobertura  de municipios del Departamento del Quindío  con en   Programas  de Rehabilitación Basada en la Comunidad  RBC
Cobertura de municipios atendidos  con el Banco de ayudas técnicas NO POS tipo Estándar, para las personas con discapacidad .</t>
  </si>
  <si>
    <t xml:space="preserve">Estrategia de rehabilitación basada en la comunidad implementada en los municipios  </t>
  </si>
  <si>
    <t>Cobertura de municipios del departamento del Quindío, con programas de atención a la población habitante de calle.</t>
  </si>
  <si>
    <t>Servicio de articulación de oferta social para la población habitante de calle</t>
  </si>
  <si>
    <t xml:space="preserve">Servicio de atención integral al habitante de la calle </t>
  </si>
  <si>
    <t xml:space="preserve">Servicio de articulación habitante de calle implementado en los municipios </t>
  </si>
  <si>
    <t>Personas atendidas con servicios integrales</t>
  </si>
  <si>
    <t xml:space="preserve"> 202000363-0012</t>
  </si>
  <si>
    <t xml:space="preserve">   Apoyo en  la articulación de la  oferta social para la población habitante de calle del departamento del Quindío  </t>
  </si>
  <si>
    <t xml:space="preserve">Aumentar la cobertura de municipios del departamento del Quindío, con programas de atención a la población habitante de calle a través de la coordinación y articulación  de la oferta social para la población en condición de calle en el departamento del Quindío. </t>
  </si>
  <si>
    <t xml:space="preserve">Cobertura a los grupos de adulto mayor del departamento del Quindío en articulación con los Municipios, en el marco de garantizar estimulación física, cognitiva, emocional y social en bienestar de una vejez activa y saludable </t>
  </si>
  <si>
    <t>Servicios de atención y protección integral al adulto mayor</t>
  </si>
  <si>
    <t>Centros de protección social de día para el adulto mayor construidos y dotados</t>
  </si>
  <si>
    <t xml:space="preserve">Adultos mayores atendidos con servicios integrales </t>
  </si>
  <si>
    <t>Centros de día para el adulto mayor construidos y dotados</t>
  </si>
  <si>
    <t>202000363-0109</t>
  </si>
  <si>
    <t xml:space="preserve"> Servicio  de atención integral e inclusión para el bienestar de los adultos mayores del departamento del Quindío </t>
  </si>
  <si>
    <t>Disminuir Tasa de Suicidio  y Violencia Intrafamiliar , además del aumento de la Cobertura a los grupos de adulto mayor en programas  de estimulación física, cognitiva, emocional y social en bienestar de una vejez activa y saludable  y  en apoyo  a los   centros vida y de bienestar  con  recursos  de la  Estampilla Pro adulto Mayor  en el Departamento del Quindío.</t>
  </si>
  <si>
    <t>Cobertura  de  centros vida y centros de bienestar del adulto mayor (Legalmente constituidos)  apoyados con los recursos de la  Estampilla Pro adulto Mayor .</t>
  </si>
  <si>
    <t>Transferencia estampilla para el bienestar del adulto mayor</t>
  </si>
  <si>
    <t>Servicio de atención y protección integral al adulto mayor</t>
  </si>
  <si>
    <t>Municipios con recursos transferidos con la estampilla Departamental para el bienestar del adulto mayor</t>
  </si>
  <si>
    <t>Adultos mayores atendidos con servicios integrales</t>
  </si>
  <si>
    <t xml:space="preserve">Cobertura de Asociaciones de mujeres fortalecidas  </t>
  </si>
  <si>
    <t>Servicio de asesoría para el fortalecimiento de la Asociatividad</t>
  </si>
  <si>
    <t>170201102</t>
  </si>
  <si>
    <t>Asociaciones de mujeres fortalecidas</t>
  </si>
  <si>
    <t>202000363-0113</t>
  </si>
  <si>
    <t xml:space="preserve"> Implementación de  estrategias de acompañamiento y asesoría a las asociaciones de mujeres del departamento del Quindío</t>
  </si>
  <si>
    <t xml:space="preserve">Aumentar la cobertura de Asociaciones de mujeres fortalecidas a través de la Implementación de  estrategias de acompañamiento y asesoría a las asociaciones de mujeres del departamento del Quindío con el propósito de brindar fortalecimiento  </t>
  </si>
  <si>
    <t>Derechos fundamentales del trabajo y fortalecimiento del diálogo social. "Tú y yo con una niñez protegida"</t>
  </si>
  <si>
    <t>Tasa  de Niños, Niñas y Adolescentes qué participan en una actividad remunerada  o no  x cada 100.000 habitantes  en el departamento del Quindío</t>
  </si>
  <si>
    <t>Servicio de educación informal para la prevención integral del trabajo infantil</t>
  </si>
  <si>
    <t>202000363-0114</t>
  </si>
  <si>
    <t>Desarrollo de jornadas de capacitación, sensibilización y prevención del  trabajo infantil  y protección del adolescente en el departamento del Quindío.</t>
  </si>
  <si>
    <t xml:space="preserve">Disminuir la Tasa  de Niños, Niñas y Adolescentes qué participan en una actividad remunerada  o no  x cada 100.000 habitantes  en el departamento del Quindío a través de jornadas de capacitación, sensibilización y prevención del  trabajo infantil  y protección del adolescente en el departamento del Quindío. </t>
  </si>
  <si>
    <t>Gobierno Territorial</t>
  </si>
  <si>
    <t>Tasa de participación femenina en cargos de elección popular en el departamento del Quindío</t>
  </si>
  <si>
    <t>Iniciativas para la promoción de la participación femenina en escenarios sociales y políticos implementada.</t>
  </si>
  <si>
    <t>Estrategias para el fomento de a la participación de las mujeres en los espacios de participación política y de toma de decisión implementadas</t>
  </si>
  <si>
    <t>202000363-0115</t>
  </si>
  <si>
    <t xml:space="preserve"> Implementación del  programa de liderazgo  para la participación femenina en escenarios sociales y políticos del departamento del Quindío</t>
  </si>
  <si>
    <t xml:space="preserve">Aumentar la tasa de participación femenina en cargos de elección popular en el departamento del Quindío a través de la Implementación de un programa de liderazgo enfocado a las mujeres , con el propósito de incrementar la participación femenina en escenarios sociales y políticas </t>
  </si>
  <si>
    <t xml:space="preserve">Tasa de Violencia Intrafamiliar x 100.000 Habitantes en el Departamento del Quindío.
Tasa de violencia de Género
Tasa  de mujeres de 12 a 14 años qué han sido madres o están en embarazo X 100.000 habitantes en el Departamento del Quindío
Tasa de participación femenina en cargos de elección popular en el  departamento del Quindío
Cobertura de Asociaciones de mujeres fortalecidas  </t>
  </si>
  <si>
    <t xml:space="preserve"> Implementar la política pública de equidad de género para la mujer </t>
  </si>
  <si>
    <t>Servicio de promoción de la garantía de derechos</t>
  </si>
  <si>
    <t>Política pública de la mujer y equidad de género   implementada.</t>
  </si>
  <si>
    <t>Estrategias de promoción de la garantía de derechos implementadas</t>
  </si>
  <si>
    <t>202000363-0108</t>
  </si>
  <si>
    <t xml:space="preserve">  Implementación de la política pública de equidad de género para la mujer en el Departamento del Quindío  </t>
  </si>
  <si>
    <t>Disminuir la tasa de violencia  intrafamiliar, de género y embarazos a temprana edad, así  como en  aumento de la tasas de participación femenina en cargos de elección popular y fortalecimiento de las  asociaciones de mujeres a través de acciones encaminadas a la garantía de derechos de las mujeres,  promoción de su participación en el ámbito económico, social y cultural del departamento  Quindío.</t>
  </si>
  <si>
    <t>Tasa de Suicidio  x 100.000 Habitantes en el Departamento del Quindío.
Tasa de Violencia Intrafamiliar x 100.000 Habitantes en el Departamento del Quindío.
Tasa de Consumo de Sustancias Psicoactivas  x 100.000 Habitantes en el Departamento del Quindío.
Tasa de violencia de Género</t>
  </si>
  <si>
    <t>Implementar  la política  pública de diversidad sexual e identidad de género</t>
  </si>
  <si>
    <t>Política pública de diversidad sexual e identidad de género implementada.</t>
  </si>
  <si>
    <t>202000363-0107</t>
  </si>
  <si>
    <t xml:space="preserve">    Implementación de la política pública  de diversidad sexual en el Departamento del Quindío 2019-2029  </t>
  </si>
  <si>
    <t xml:space="preserve">Disminuir  las tasa de suicidio, violencia intrafamiliar  consumo de sustancias psicoactivas  y violencia de género en el departamento del Quindío, a través de la implementación en la política pública de diversidad sexual e identidad de género con la participación de los diferente actores qué contribuyen  de manera integral a garantizar la visibilización, inclusión y mejoramiento de las condiciones de calidad de vida de la personas sexualmente diversas. </t>
  </si>
  <si>
    <t xml:space="preserve">Mejorar las condiciones de calidad de vida de la población, en acceso incluyente y equitativo a la oferta de servicios del Estado y la ampliación de oportunidades para los Quindianos. </t>
  </si>
  <si>
    <t>Casa de la Mujer Empoderada implementada</t>
  </si>
  <si>
    <t>Espacios generados para el fortalecimiento de capacidades institucionales del Estado</t>
  </si>
  <si>
    <t>202000363-0111</t>
  </si>
  <si>
    <t xml:space="preserve">Implementación de la Casa  de la Mujer Empoderada para la promoción a la participación ciudadana  de Mujeres en escenarios sociales, políticos y el fortalecimiento de la asociatividad  en el departamento del Quindío " TU Y YO CON LAS MUJERES EMPODERADAS." </t>
  </si>
  <si>
    <t>Mejorar las condiciones de calidad de vida de la población, en acceso incluyente y equitativo a la oferta de servicios del Estado y la ampliación de oportunidades para los Quindianos a través de la Implementación de la Casa de la Mujer Empoderada, para la  participación  y promoción de la  mujeres en escenarios sociales, políticos y productivos en el departamento del Quindío.</t>
  </si>
  <si>
    <t>Casa Refugio de la Mujer implementada</t>
  </si>
  <si>
    <t>202000363-0112</t>
  </si>
  <si>
    <t>Implementación de la Casa Refugio de la Mujer del Departamento del Quindío</t>
  </si>
  <si>
    <t xml:space="preserve">Mejorar las condiciones de calidad de vida de la población, en acceso incluyente y equitativo a la oferta de servicios del Estado y la ampliación de oportunidades para los Quindianos a través de la implementación de la  Casa Refugia para la protección de la mujer víctima del departamento del Quindío. </t>
  </si>
  <si>
    <t>Tasa de Suicidio  x 100.000 Habitantes en el Departamento del Quindío.
Tasa de Violencia Intrafamiliar x 100.000 Habitantes en el Departamento del Quindío.
Cobertura a los grupos de adulto mayor del departamento del Quindío en articulación con los Municipios, en el marco de garantizar estimulación física, cognitiva, emocional y social en bienestar de una vejez activa y saludable 
Cobertura  de  centros vida y centros de bienestar del adulto mayor (Legalmente constituidos)  apoyados con los recursos  de la  Estampilla Pro adulto Mayor .</t>
  </si>
  <si>
    <t xml:space="preserve">Formular e implementar la Política Pública de Adulto Mayor </t>
  </si>
  <si>
    <t>4599019</t>
  </si>
  <si>
    <t xml:space="preserve">Política Pública de Adulto Mayor  formulada e implementada </t>
  </si>
  <si>
    <t>459901900</t>
  </si>
  <si>
    <t>Documentos de planeación realizados</t>
  </si>
  <si>
    <t>202000363-0150</t>
  </si>
  <si>
    <t xml:space="preserve">Revisar y ajustar  la política pública de equidad de género para la mujer </t>
  </si>
  <si>
    <t xml:space="preserve">Documento de Política Pública de la mujer y equidad de género revisada y ajustada </t>
  </si>
  <si>
    <t>202000363-0151</t>
  </si>
  <si>
    <t xml:space="preserve">Revisar y ajustar la política pública de equidad de género para la mujer en el Departamento del Quindío  </t>
  </si>
  <si>
    <t>Tasa de Suicidio  x 100.000 Habitantes en el Departamento del Quindío.
Tasa de Violencia Intrafamiliar x 100.000 Habitantes en el Departamento del Quindío.
Cobertura de municipios del departamento con procesos de implementación de proyectos  productivos  para las personas con discapacidad</t>
  </si>
  <si>
    <t>Revisar y ajustar    la Política Pública de  Discapacidad</t>
  </si>
  <si>
    <t xml:space="preserve">Documento de Política Pública de  Discapacidad revisado y ajustado.  </t>
  </si>
  <si>
    <t>202000363-0110</t>
  </si>
  <si>
    <t xml:space="preserve">  Revisar y ajustar  la política pública de  discapacidad del departamento del Quindío  </t>
  </si>
  <si>
    <t>Disminuir  la tasa de suicidio, violencia intrafamiliar, además de aumentar la Cobertura de los  municipios del departamento con procesos de implementación de proyectos  productivos  para las personas con discapacidad,  a través de la participación de los diferentes actores qué contribuyen de manera integral a garantizar una mejor calidad de vida de las personas objeto de intervención.</t>
  </si>
  <si>
    <t xml:space="preserve">318 SECRETARIA DE SALUD </t>
  </si>
  <si>
    <t xml:space="preserve">Inspección, vigilancia y control. "Tú y yo con salud certificada" </t>
  </si>
  <si>
    <t>Mortalidad por diarreica aguda (EDA) menores 5 años (número de muertes anual)</t>
  </si>
  <si>
    <t>Servicio de concepto sanitario</t>
  </si>
  <si>
    <t>Servicio de registro sanitario</t>
  </si>
  <si>
    <t>Conceptos sanitarios expedidos</t>
  </si>
  <si>
    <t>202000363-0116</t>
  </si>
  <si>
    <t xml:space="preserve">Fortalecimiento de la autoridad sanitaria en el Departamento del Quindío                                                                                           </t>
  </si>
  <si>
    <t>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t>
  </si>
  <si>
    <t>Tasa de mortalidad en menores de 1 año (por 1000 nacidos vivos).</t>
  </si>
  <si>
    <t>Servicio de información de vigilancia epidemiológica</t>
  </si>
  <si>
    <t>Informes de evento generados en la vigencia</t>
  </si>
  <si>
    <t>Prevalencia de niños menores de 5 años con desnutrición aguda</t>
  </si>
  <si>
    <t>Servicio de asistencia técnica en inspección, vigilancia y control</t>
  </si>
  <si>
    <t>Asistencias técnica en Inspección, Vigilancia y Control realizadas</t>
  </si>
  <si>
    <t>Mortalidad por infección respiratoria aguda (IRA) menores 5 años (número de muertes anual)</t>
  </si>
  <si>
    <t>Servicio de vigilancia y control de las políticas y normas técnicas, científicas y administrativas expedidas por el Ministerio de Salud y Protección Social</t>
  </si>
  <si>
    <t>Municipios con procesos de vigilancia epidemiológica de plaguicidas organofosforados y carbamatos realizados.</t>
  </si>
  <si>
    <t>Entidades territoriales con vigilancia y control realizados</t>
  </si>
  <si>
    <t>Servicio de promoción, prevención, vigilancia y control de vectores y zoonosis</t>
  </si>
  <si>
    <t xml:space="preserve">Modelo de IVC sanitario operando </t>
  </si>
  <si>
    <t xml:space="preserve">Municipios categorías 4,5 y 6 que formulen y ejecuten real y efectivamente acciones de promoción, prevención, vigilancia  y control de vectores y zoonosis  realizados </t>
  </si>
  <si>
    <t>Mortalidad por dengue (casos)</t>
  </si>
  <si>
    <t>Municipios categorías 4, 5 y 6 qué formulen y ejecuten real y efectivamente acciones de promoción, prevención, vigilancia y control de vectores y zoonosis realizados</t>
  </si>
  <si>
    <t>Servicio de evaluación, aprobación y seguimiento de planes de gestión integral del riesgo</t>
  </si>
  <si>
    <t>Informes de evaluación, aprobación y seguimiento de Planes de Gestión Integral de Riesgo realizados</t>
  </si>
  <si>
    <t>Tasa mortalidad en menores de 5 años (por 1.000 nacidos vivos).</t>
  </si>
  <si>
    <t>Servicio de inspección, vigilancia y control</t>
  </si>
  <si>
    <t>visitas realizadas</t>
  </si>
  <si>
    <t>Visitas realizadas</t>
  </si>
  <si>
    <t>Porcentaje de población asegurada al SGSSS
Oportunidad en la presunción diagnóstica y tratamiento oncológico en menores de 18 años (alta y media)</t>
  </si>
  <si>
    <t>Documentos técnicos publicados y/o socializados</t>
  </si>
  <si>
    <t>202000363-0117</t>
  </si>
  <si>
    <t xml:space="preserve"> Implementación de programas de promoción social en poblaciones  especiales en el Departamento del Quindío </t>
  </si>
  <si>
    <t>Fortalecer la gestión intersectorial en salud de los grupos con alta vulnerabilidad</t>
  </si>
  <si>
    <t>Tasa de violencia de género</t>
  </si>
  <si>
    <t>Servicio de adopción y seguimiento de acciones y medidas especiales</t>
  </si>
  <si>
    <t>Acciones y medidas especiales ejecutadas</t>
  </si>
  <si>
    <t>Mortalidad por diarreica aguda (EDA) menores 5 años (número de muertes anual)
Prevalencia de niños menores de 5 años con desnutrición aguda
Índice de riesgo de la calidad de agua para consumo humano IRCA</t>
  </si>
  <si>
    <t>Servicio de análisis de laboratorio</t>
  </si>
  <si>
    <t>Análisis realizados</t>
  </si>
  <si>
    <t>202000363-0118</t>
  </si>
  <si>
    <t xml:space="preserve"> Fortalecimiento de las actividades de vigilancia y control del laboratorio de salud pública en el Departamento del Quindío  
</t>
  </si>
  <si>
    <t>Mejorar la capacidad analítica del LSP Departamental  para dar respuesta  a las necesidades del Sistema de Vigilancia en Salud Pública</t>
  </si>
  <si>
    <t>Tasa ajustada por edad de mortalidad asociada a cáncer de cuello uterino (por 100.000 mujeres).</t>
  </si>
  <si>
    <t>Servicio de auditoría y visitas inspectivas</t>
  </si>
  <si>
    <t>Auditorías y visitas inspectivas realizadas</t>
  </si>
  <si>
    <t xml:space="preserve">Informes de los resultados obtenidos en la vigilancia sanitaria </t>
  </si>
  <si>
    <t>Asistencias técnicas realizadas</t>
  </si>
  <si>
    <t>202000363-0119</t>
  </si>
  <si>
    <t xml:space="preserve"> Asistencia técnica para el fortalecimiento de la gestión de las entidades territoriales del Departamento del Quindío  </t>
  </si>
  <si>
    <t xml:space="preserve">Fortalecer los procesos de articulación y competencias territoriales en el sistema general de seguridad social en salud </t>
  </si>
  <si>
    <t>Oportunidad en la presunción diagnóstica y tratamiento oncológico en menores de 18 años (alta y media)</t>
  </si>
  <si>
    <t>Servicio de información para la gestión de la inspección, vigilancia y control sanitario</t>
  </si>
  <si>
    <t>Usuarios del sistema</t>
  </si>
  <si>
    <t>202000363-0120</t>
  </si>
  <si>
    <t>Asesoría y apoyo al proceso del sistema obligatorio de garantía de calidad de los prestadores de salud en el Departamento del Quindío</t>
  </si>
  <si>
    <t>Asegurar la implementación y cumplimiento de la totalidad de los estándares de Habilitación de acuerdo al nivel de complejidad.</t>
  </si>
  <si>
    <t>Razón de mortalidad materna (por 100.000 nacidos vivos)</t>
  </si>
  <si>
    <t>Servicio de certificaciones en buenas prácticas</t>
  </si>
  <si>
    <t>Certificaciones expedidas</t>
  </si>
  <si>
    <t>Porcentaje de atención institucional del parto por personal calificado.</t>
  </si>
  <si>
    <t>Porcentaje de población asegurada al SGSSS</t>
  </si>
  <si>
    <t>Servicios de comunicación y divulgación en inspección, vigilancia y control</t>
  </si>
  <si>
    <t>Eventos de rendición de cuentas realizados</t>
  </si>
  <si>
    <t>202000363-0121</t>
  </si>
  <si>
    <t xml:space="preserve"> Apoyo operativo a la inversión social en salud en el Departamento del Quindío </t>
  </si>
  <si>
    <t xml:space="preserve">Fortalecer los procesos estratégicos, administrativos y misionales del sector salud en el departamento del Quindío  </t>
  </si>
  <si>
    <t>Porcentaje de nacidos vivos con 4 o más controles prenatales</t>
  </si>
  <si>
    <t>Servicio del ejercicio del procedimiento administrativo sancionatorio</t>
  </si>
  <si>
    <t xml:space="preserve">Procesos con aplicación del procedimiento administrativo sancionatorio tramitados </t>
  </si>
  <si>
    <t>Porcentaje transmisión materno -infantil del VIH.</t>
  </si>
  <si>
    <t>Servicio de Gestión de Peticiones, Quejas, Reclamos y Denuncias</t>
  </si>
  <si>
    <t>Preguntas Quejas Reclamos y Denuncias Gestionadas</t>
  </si>
  <si>
    <t>Servicio de implementación de estrategias para el fortalecimiento del control social en salud</t>
  </si>
  <si>
    <t>Estrategias para el fortalecimiento del control social en salud implementadas</t>
  </si>
  <si>
    <t>Servicio de gestión del riesgo para temas de consumo, aprovechamiento biológico, calidad e inocuidad de los alimentos.</t>
  </si>
  <si>
    <t>Campañas de gestión del riesgo para temas de consumo, aprovechamiento biológico, calidad e inocuidad de los alimentos implementadas</t>
  </si>
  <si>
    <t>202000363-0122</t>
  </si>
  <si>
    <t xml:space="preserve"> Aprovechamiento biológico y consumo de  alimentos inocuos  en el Departamento del Quindío </t>
  </si>
  <si>
    <t>Disminuir o mantener la proporción de niños menores de 5 años en riesgo de desnutrición moderada o severa aguda</t>
  </si>
  <si>
    <t>Servicios de promoción de la salud y prevención de riesgos asociados a condiciones no transmisibles</t>
  </si>
  <si>
    <t>Campañas de promoción de la salud y prevención de riesgos asociados a condiciones no transmisibles implementadas</t>
  </si>
  <si>
    <t>Tasa de mortalidad por malaria.</t>
  </si>
  <si>
    <t xml:space="preserve">Servicio de educación informal en temas de salud pública </t>
  </si>
  <si>
    <t>202000363-0123</t>
  </si>
  <si>
    <t>Control en Salud Ambiental para la consecución de un estado de vida saludable de la población  del  Departamento del Quindío.</t>
  </si>
  <si>
    <t>Disminuir  los factores de riesgo sanitarios y ambientales asociados a eventos de interés en salud pública relacionados con la salud ambiental como en aumento de la carga contaminante del agua, entre otros.</t>
  </si>
  <si>
    <t>Tasa  de mujeres de 10 a 14 años qué han sido madres o están en embarazo.
Tasa de mujeres de 15 a 19 años qué han sido madres o están en embarazo.</t>
  </si>
  <si>
    <t>DNP</t>
  </si>
  <si>
    <t xml:space="preserve">Realizar seguimiento y monitoreo a las Entidades Administradoras de Planes Básicos EAPB en la implementación de la Ruta Integral de Atención para la Promoción y Mantenimiento de la Salud y Materno Perinatal en el Departamento  </t>
  </si>
  <si>
    <t>Servicio de promoción de la salud y prevención de riesgos asociados a condiciones no transmisibles (1905031)</t>
  </si>
  <si>
    <t>Entidades Administradoras de Planes Básicos EAPB con Rutas de obligatorio cumplimiento Implementadas</t>
  </si>
  <si>
    <t>Letalidad por dengue.</t>
  </si>
  <si>
    <t xml:space="preserve"> Plan de Fortalecimiento de Capacidades en Salud Ambiental Formulado </t>
  </si>
  <si>
    <t>Implementar el protocolo de vigilancia sanitaria y ambiental de los efectos en salud relacionados con la contaminación del aire en los 11 municipios de competencia departamental.</t>
  </si>
  <si>
    <t>Servicio de gestión del riesgo para abordar situaciones de salud relacionadas con condiciones ambientales</t>
  </si>
  <si>
    <t>Protocolo implementado</t>
  </si>
  <si>
    <t>Campañas de gestión del riesgo para abordar situaciones de salud relacionadas con condiciones ambientales implementadas</t>
  </si>
  <si>
    <t>Mortalidad por dengue (casos)
Letalidad por dengue.</t>
  </si>
  <si>
    <t>Formulación e implementación del Plan Departamental en Salud Ambiental de adaptación al cambio climático.</t>
  </si>
  <si>
    <t>Plan Departamental en Salud Ambiental de adaptación al cambio climático implementado</t>
  </si>
  <si>
    <t>Implementar la estrategia de entornos saludables en articulación intersectorial y sectorial en los entornos de vivienda, educativo, institucional y comunitario con énfasis en la Atención Primaria en Salud Ambiental APSA.</t>
  </si>
  <si>
    <t xml:space="preserve">Estrategia de entornos saludables en articulación intersectorial y sectorial implementada </t>
  </si>
  <si>
    <t xml:space="preserve">Implementación de la estrategia de movilidad saludable, segura y sostenible </t>
  </si>
  <si>
    <t xml:space="preserve">Estrategia de movilidad saludable, segura y sostenible   implementada </t>
  </si>
  <si>
    <t>Personas atendidas con campañas de gestión del riesgo para abordar situaciones de salud relacionadas con condiciones ambientales</t>
  </si>
  <si>
    <t>202000363-0124</t>
  </si>
  <si>
    <t xml:space="preserve">Fortalecimiento de acciones propias a los derechos sexuales y reproductivos en el Departamento del Quindío. </t>
  </si>
  <si>
    <t xml:space="preserve">Disminuir de los eventos de interés en salud pública relacionados con la salud sexual y reproductiva en especial de la mortalidad materna  </t>
  </si>
  <si>
    <t xml:space="preserve">Realizar seguimiento y Monitoreo a las Entidades Administradoras de Planes Básicos EAPB en la implementación de la Ruta Integral de Atención para la Promoción y Mantenimiento de la Salud y Materno Perinatal en el Departamento  </t>
  </si>
  <si>
    <t>Servicio de gestión del riesgo en temas de salud sexual y reproductiva (1905021)</t>
  </si>
  <si>
    <t>Campañas de gestión del riesgo en temas de salud sexual y reproductiva implementadas (190502100)</t>
  </si>
  <si>
    <t>Servicio de gestión del riesgo en temas de consumo de sustancias psicoactivas</t>
  </si>
  <si>
    <t>Campañas de gestión del riesgo en temas de consumo de sustancias psicoactivas implementadas</t>
  </si>
  <si>
    <t>202000363-0125</t>
  </si>
  <si>
    <t>Consolidación de acciones de promoción de la salud y prevención primaria en salud mental en el Departamento del Quindío.</t>
  </si>
  <si>
    <t>Disminuir la morbimortalidad asociada a la salud mental principalmente de la violencia intrafamiliar</t>
  </si>
  <si>
    <t>Adaptar e implementar la política pública de salud mental para el Departamento del Quindío</t>
  </si>
  <si>
    <t xml:space="preserve">Política pública en Salud Mental adaptada e Implementada  </t>
  </si>
  <si>
    <t xml:space="preserve">
190501501</t>
  </si>
  <si>
    <t>Planes de salud pública elaborados</t>
  </si>
  <si>
    <t>Tasa ajustada por edad de mortalidad asociada a cáncer de cuello uterino (por 100.000 mujeres).
Oportunidad en la presunción diagnóstica y tratamiento oncológico en menores de 18 años (alta y media)</t>
  </si>
  <si>
    <t>Servicio de gestión del riesgo para abordar condiciones crónicas prevalentes</t>
  </si>
  <si>
    <t>Campañas de gestión del riesgo para abordar condiciones crónicas prevalentes implementadas</t>
  </si>
  <si>
    <t>202000363-0126</t>
  </si>
  <si>
    <t>Proyecto de promoción de estilos de vida saludable, control y vigilancia en la gestión del riesgo de condiciones no transmisibles en el Departamento del Quindío.</t>
  </si>
  <si>
    <t>Disminuir la carga de la enfermedad asociada a las enfermedades crónicas no trasmisibles</t>
  </si>
  <si>
    <t>Cobertura de vacunación con DPT en menores de 1 año
Cobertura de vacunación con Triple Viral en niños de 1 año
Cobertura útil con esquema completo de vacunación para la edad (triple viral a los 5 años)</t>
  </si>
  <si>
    <t>Cuartos fríos adecuados</t>
  </si>
  <si>
    <t>202000363-0127</t>
  </si>
  <si>
    <t xml:space="preserve">Fortalecimiento de acciones de promoción, prevención y protección específica para la población infantil en el Departamento del Quindío.  </t>
  </si>
  <si>
    <t>Reducir la exposición a condiciones y factores de riesgo ambientales, sanitarios y biológicos, de las contingencias y daños producidos por las enfermedades transmisibles</t>
  </si>
  <si>
    <t>Cobertura útil con esquema completo de vacunación para la edad (triple viral a los 5 años)
Mortalidad por infección respiratoria aguda (IRA) menores 5 años (número de muertes anual)
Mortalidad por diarreica aguda (EDA) menores 5 años (número de muertes anual)
Tasa de mortalidad por malaria.</t>
  </si>
  <si>
    <t>Servicio de gestión del riesgo para enfermedades emergentes, reemergentes y desatendidas</t>
  </si>
  <si>
    <t>Campañas de gestión del riesgo para enfermedades emergentes, reemergentes y desatendidas implementadas.</t>
  </si>
  <si>
    <t>Servicio de gestión del riesgo para enfermedades inmunoprevenibles</t>
  </si>
  <si>
    <t>Campañas de gestión del riesgo para enfermedades inmunoprevenibles  implementadas</t>
  </si>
  <si>
    <t>Mortalidad por dengue (casos) 
Letalidad por dengue.</t>
  </si>
  <si>
    <t xml:space="preserve">
1905015</t>
  </si>
  <si>
    <t>202000363-0128</t>
  </si>
  <si>
    <t xml:space="preserve">Difusión de la estrategia de gestión integral y de control en vectores, zoonosis y cambio climático del Departamento del Quindío.   </t>
  </si>
  <si>
    <t xml:space="preserve"> Disminuir en índice de enfermedades trasmisión vectorial y zoonosis en la población   </t>
  </si>
  <si>
    <t>202000363-0129</t>
  </si>
  <si>
    <t xml:space="preserve"> Fortalecimiento de la inclusión social para la disminución del riesgo de contraer enfermedades transmisibles en el Departamento del Quindío.  </t>
  </si>
  <si>
    <t xml:space="preserve"> Aumentar la adherencia al tratamiento de los pacientes con diagnóstico de tuberculosis  </t>
  </si>
  <si>
    <t>Servicio de gestión del riesgo para enfermedades emergentes, reemergentes y desatendidas.</t>
  </si>
  <si>
    <t>202000363-0130</t>
  </si>
  <si>
    <t xml:space="preserve">Implementación de acciones para la contención de la pandemia Tú y Yo contra COVID </t>
  </si>
  <si>
    <t>Eficiente gestión integral del riesgo en eventos de interés en salud pública, ante la pandemia por COVID-19</t>
  </si>
  <si>
    <t>Servicios de atención en salud pública en situaciones de emergencias y desastres</t>
  </si>
  <si>
    <t xml:space="preserve">Servicio de atención en salud pública en situaciones de emergencias y desastres </t>
  </si>
  <si>
    <t>Personas en capacidad de ser atendidas</t>
  </si>
  <si>
    <t>202000363-0131</t>
  </si>
  <si>
    <t xml:space="preserve"> Prevención, preparación, contingencia, mitigación y superación de emergencias y contingencias por eventos relacionados con la salud pública en el Departamento del Quindío.  </t>
  </si>
  <si>
    <t>Coordinar acciones  para la gestión integral  del riesgo en  situaciones de emergencias y desastres  en las IPS y autoridad sanitaria del departamento</t>
  </si>
  <si>
    <t>Servicio de gestión del riesgo para abordar situaciones prevalentes de origen laboral</t>
  </si>
  <si>
    <t>Campañas de gestión del riesgo para abordar situaciones prevalentes de origen laboral implementadas</t>
  </si>
  <si>
    <t>202000363-0132</t>
  </si>
  <si>
    <t xml:space="preserve"> Prevención vigilancia y control de eventos en el ámbito laboral en el Departamento del Quindío.  </t>
  </si>
  <si>
    <t xml:space="preserve">Disminuir los eventos de origen laboral en los trabajadores del sector formal del Departamento del Quindío </t>
  </si>
  <si>
    <t xml:space="preserve">Documentos de planeación en epidemiología y demografía elaborados </t>
  </si>
  <si>
    <t>202000363-0133</t>
  </si>
  <si>
    <t xml:space="preserve"> Fortalecimiento del sistema de vigilancia en salud pública en el Departamento del Quindío. </t>
  </si>
  <si>
    <t xml:space="preserve"> Aumentar los índices de cumplimiento en los indicadores de calidad, cobertura y  oportunidad del sistema de vigilancia en salud pública departamental </t>
  </si>
  <si>
    <t>Porcentaje de atención institucional del parto.</t>
  </si>
  <si>
    <t>Centros reguladores de urgencias, emergencias y desastres funcionando y dotados</t>
  </si>
  <si>
    <t xml:space="preserve">1905009
</t>
  </si>
  <si>
    <t xml:space="preserve">Centros reguladores de urgencias, emergencias y desastres dotados </t>
  </si>
  <si>
    <t>Centros reguladores de urgencias, emergencias y desastres dotados y funcionando.</t>
  </si>
  <si>
    <t xml:space="preserve">190500900
</t>
  </si>
  <si>
    <t>Centros reguladores de urgencias, emergencias y desastres dotados</t>
  </si>
  <si>
    <t>202000363-0134</t>
  </si>
  <si>
    <t xml:space="preserve">Fortalecimiento de la red de urgencias y emergencias en el Departamento del Quindío. </t>
  </si>
  <si>
    <t>Fortalecer en la integración de la red hospitalaria del departamento del Quindío.</t>
  </si>
  <si>
    <t>202000363-0135</t>
  </si>
  <si>
    <t>Fortalecimiento de las intervenciones colectivas y prioridades en salud pública del Departamento del Quindío- PIC</t>
  </si>
  <si>
    <t>Disminuir la morbimortalidad asociada  a la carga de la enfermedad por los determinantes sociales fortaleciendo  las acciones de complementariedad  a los municipios</t>
  </si>
  <si>
    <t>Servicio de promoción de afiliaciones al régimen contributivo del Sistema General de Seguridad Social de las personas con capacidad de pago</t>
  </si>
  <si>
    <t>Personas con capacidad de pago afiliadas</t>
  </si>
  <si>
    <t>202000363-0136</t>
  </si>
  <si>
    <t xml:space="preserve">Subsidio y cofinanciación al régimen subsidiado del Sistema General de Seguridad Social en Salud en el Departamento del Quindío.  </t>
  </si>
  <si>
    <t>Aumentar la cobertura universal en aseguramiento al sistema de atención integral y para la población del Departamento del Quindío</t>
  </si>
  <si>
    <t>Cobertura de tratamiento antirretroviral</t>
  </si>
  <si>
    <t xml:space="preserve">Servicio de cofinanciación para la continuidad del  régimen subsidiado en salud  </t>
  </si>
  <si>
    <t xml:space="preserve">Servicio de tecnologías en salud financiadas con la unidad de pago por capitación - UPC </t>
  </si>
  <si>
    <t>Personas afiliadas</t>
  </si>
  <si>
    <t>Pacientes atendidos con tecnologías en salud financiados con cargo a los recursos de la UPC del Régimen Subsidiado</t>
  </si>
  <si>
    <t>Servicio de apoyo con tecnologías para prestación de servicios en salud</t>
  </si>
  <si>
    <t>Población inimputable atendida</t>
  </si>
  <si>
    <t>Pacientes atendidos con medicamentos en salud financiados con cargo a los recursos de la UPC del Régimen Subsidiado</t>
  </si>
  <si>
    <t>202000363-0137</t>
  </si>
  <si>
    <t xml:space="preserve">Mejoramiento en la prestación de los servicios de salud para la atención de la población no afiliada </t>
  </si>
  <si>
    <t>Servicios de reconocimientos para el cumplimiento de metas de calidad, financiera, producción y transferencias especiales.</t>
  </si>
  <si>
    <t xml:space="preserve">Servicio de apoyo financiero para el fortalecimiento patrimonial de las empresas prestadoras de salud con participación financiera de las entidades territoriales </t>
  </si>
  <si>
    <t>Porcentaje de recursos transferidos</t>
  </si>
  <si>
    <t>Empresas prestadoras de salud capitalizadas</t>
  </si>
  <si>
    <t>Servicios de reconocimientos de deuda</t>
  </si>
  <si>
    <t>Porcentaje de recursos pagados</t>
  </si>
  <si>
    <t>Tasa de mujeres de 15 a 19 años qué han sido madres o están en embarazo.</t>
  </si>
  <si>
    <t>Servicio de asistencia técnica a Instituciones prestadoras de servicios de salud</t>
  </si>
  <si>
    <t>Instituciones Prestadoras de Servicios de salud asistidas técnicamente</t>
  </si>
  <si>
    <t>202000363-0138</t>
  </si>
  <si>
    <t xml:space="preserve">Fortalecimiento de la red de prestación de servicios pública del Departamento del Quindío.   </t>
  </si>
  <si>
    <t>Aumento en la calidad del proceso de reporte, vigilancia y control del manejo de los recursos de salud en el Departamento del Quindío</t>
  </si>
  <si>
    <t>Cobertura útil con esquema completo de vacunación para la edad (triple viral a los 5 años)
Porcentaje de nacidos vivos con 4 o más controles prenatales</t>
  </si>
  <si>
    <t>Hospitales de primer nivel de atención dotados</t>
  </si>
  <si>
    <t>Servicio de apoyo a la prestación del servicio de transporte de pacientes</t>
  </si>
  <si>
    <t>Entidades de la red pública en salud apoyadas en la adquisición de ambulancias</t>
  </si>
  <si>
    <t>Servicio de tecnologías en salud financiadas con la unidad de pago por capitación - UPC (1906023)</t>
  </si>
  <si>
    <t>Pacientes atendidos</t>
  </si>
  <si>
    <t>324  SECRETARÍA TECNOLÓGIAS DE LA INFORMACIÓN Y COMUNICACIÓN</t>
  </si>
  <si>
    <t>Tecnologías de la información y las comunicaciones</t>
  </si>
  <si>
    <t>Facilitar en acceso y uso de las Tecnologías de la Información y las Comunicaciones (TIC)  en todo el territorio nacional.  "Tú y yo somos ciudadanos TIC"</t>
  </si>
  <si>
    <t>Tasa de crecimiento de puntos de acceso a internet gratis 
Índice Departamental de Competitividad
Tasa de Desempleo</t>
  </si>
  <si>
    <t>Servicio de acceso y uso de tecnologías de la información y las comunicaciones</t>
  </si>
  <si>
    <t>Centros de acceso comunitario en zonas urbanas funcionando</t>
  </si>
  <si>
    <t>202000363-0038</t>
  </si>
  <si>
    <t xml:space="preserve"> Fortalecimiento  y apoyo a las tecnologías de la información y las comunicaciones en el departamento del Quindío.</t>
  </si>
  <si>
    <t xml:space="preserve"> Incrementar  la Tasa de crecimiento de puntos de acceso a internet gratis  y del Índice de competitividad en el departamento del Quindío, mediante en mejoramiento de los servicio de acceso a las tecnologías de la información  y las comunicaciones </t>
  </si>
  <si>
    <t>Soluciones de conectividad en instituciones públicas instaladas</t>
  </si>
  <si>
    <t>Servicio de acceso Zonas Wifi</t>
  </si>
  <si>
    <t>Servicio de acceso zonas digitales</t>
  </si>
  <si>
    <t>Zonas Wifi en áreas rurales instaladas</t>
  </si>
  <si>
    <t>Zonas digitales en áreas rurales con redes terrestres instaladas</t>
  </si>
  <si>
    <t>Servicio de apoyo en tecnologías de la información y las comunicaciones para la educación básica, primaria y secundaria</t>
  </si>
  <si>
    <t>Relación de estudiantes por terminal de cómputo en sedes educativas oficiales</t>
  </si>
  <si>
    <t>Nivel de avance alto en el Índice de Gobierno digital
Índice Departamental de Competitividad
Tasa de Desempleo</t>
  </si>
  <si>
    <t>Servicio de educación informal en tecnologías de la información y las comunicaciones.</t>
  </si>
  <si>
    <t>Personas capacitadas en tecnologías de la información y las comunicaciones</t>
  </si>
  <si>
    <t>202000363-0139</t>
  </si>
  <si>
    <t>Apoyo a la apropiación tecnológica y generacional en el Departamento del Quindío</t>
  </si>
  <si>
    <t>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t>
  </si>
  <si>
    <t>Servicio de asistencia técnica para proyectos en Tecnologías de la Información y las Comunicaciones</t>
  </si>
  <si>
    <t>Municipios asistidos en diseño, implementación, ejecución y/ o liquidación  de proyectos</t>
  </si>
  <si>
    <t>Servicio de educación para el trabajo en temas de uso pedagógico de tecnologías de la información y las comunicaciones.</t>
  </si>
  <si>
    <t>Docentes formados en uso pedagógico de tecnologías de la información y las comunicaciones.</t>
  </si>
  <si>
    <t>Servicio de telecomunicaciones para el envío de alertas tempranas a la población.</t>
  </si>
  <si>
    <t xml:space="preserve">Disponibilidad del servicio  de telecomunicaciones para el envío de alertas tempranas a la población. </t>
  </si>
  <si>
    <t>Servicio de promoción de la industria de tecnologías de la información</t>
  </si>
  <si>
    <t xml:space="preserve">Eventos para  promoción  de productos y servicio de la industria TI realizados </t>
  </si>
  <si>
    <t>202000363-0039</t>
  </si>
  <si>
    <t xml:space="preserve"> Fortalecimiento del sector empresarial del departamento del Quindío </t>
  </si>
  <si>
    <t xml:space="preserve">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t>
  </si>
  <si>
    <t>Servicio de asistencia técnica a empresas de la industria de Tecnologías de la Información para mejorar sus capacidades de comercialización e innovación</t>
  </si>
  <si>
    <t>Empresas beneficiadas con actividades de fortalecimiento  de la industria TI</t>
  </si>
  <si>
    <t>Servicio de asistencia técnica a emprendedores y empresas</t>
  </si>
  <si>
    <t>Emprendedores y empresas asistidas técnicamente</t>
  </si>
  <si>
    <t xml:space="preserve">Tasa de crecimiento de puntos de acceso a internet gratis </t>
  </si>
  <si>
    <t>Servicio de educación informal en Teletrabajo</t>
  </si>
  <si>
    <t xml:space="preserve">Personas y/o entidades (públicas y privadas) de la comunidad capacitadas en teletrabajo </t>
  </si>
  <si>
    <t>Servicio de educación informal para aumentar la calidad y cantidad de talento humano para la industria TI</t>
  </si>
  <si>
    <t>Personas capacitadas en programas informales de Tecnologías de la Información</t>
  </si>
  <si>
    <t>3903</t>
  </si>
  <si>
    <t xml:space="preserve">Desarrollo tecnológico e innovación para el crecimiento empresarial </t>
  </si>
  <si>
    <t>Tasa de crecimiento de empresas en el sector productivo transformadas digitalmente</t>
  </si>
  <si>
    <t>Servicio de apoyo para la transferencia de conocimiento y tecnología</t>
  </si>
  <si>
    <t>390300501</t>
  </si>
  <si>
    <t>Nuevas tecnologías adoptadas</t>
  </si>
  <si>
    <t>202000363-0140</t>
  </si>
  <si>
    <t xml:space="preserve">   Implementación de la transformación digital del sector empresarial en el Departamento del Quindío  </t>
  </si>
  <si>
    <t xml:space="preserve">Incrementar la tasa de crecimiento de empresas en el sector productivo transformadas digitalmente,  a través de  la apropiación de herramientas digitales, qué les  permitan ser competitivos en los diferentes sectores </t>
  </si>
  <si>
    <t>390300507</t>
  </si>
  <si>
    <t>Start up generadas</t>
  </si>
  <si>
    <t>390300511</t>
  </si>
  <si>
    <t>Conocimiento tecnológico adquirido</t>
  </si>
  <si>
    <t>Incremento de emprendimientos y/o empresas de base tecnológica</t>
  </si>
  <si>
    <t>Servicios de comunicación con enfoque en ciencia tecnología y sociedad</t>
  </si>
  <si>
    <t>Juguetes, juegos o videojuegos para la comunicación de la ciencia, tecnología e innovación producidos</t>
  </si>
  <si>
    <t>202000363-0040</t>
  </si>
  <si>
    <t xml:space="preserve">  Implementación  y  divulgación de la estrategia    "Quindío innovador y competitivo"   </t>
  </si>
  <si>
    <t xml:space="preserve"> Incrementar  los  emprendimientos y/o empresas de base tecnológica a través de la implementación de una estrategia de  promoción de la  cultura  de la innovación  y gestión del  conocimiento. </t>
  </si>
  <si>
    <t>Nivel de avance alto en el Índice de Gobierno digital</t>
  </si>
  <si>
    <t>Desarrollos digitales</t>
  </si>
  <si>
    <t>Productos digitales desarrollados</t>
  </si>
  <si>
    <t>202000363-0141</t>
  </si>
  <si>
    <t xml:space="preserve"> Fortalecimiento de la estrategia de gobierno digital  en la Administración Departamental y  Entes Territoriales del departamento del  Quindío  </t>
  </si>
  <si>
    <t xml:space="preserve">Incrementar  Índice de Gobierno digital de la Administración departamental  y los Entes territoriales del Quindío generando condiciones de gobernanza, participación comunitaria y administraciones  eficientes </t>
  </si>
  <si>
    <t>Servicio de educación informal para la implementación de la estrategia de gobierno digital</t>
  </si>
  <si>
    <t>Personas capacitadas para la implementación de la Estrategia de Gobierno digital</t>
  </si>
  <si>
    <t>Servicio de educación informal en Gestión TI y en Seguridad y Privacidad de la Información</t>
  </si>
  <si>
    <t>Personas capacitadas en Gestión TI y en Seguridad y Privacidad de la Información</t>
  </si>
  <si>
    <t>Documentos de evaluación</t>
  </si>
  <si>
    <t>Documentos de evaluación de programas enfocados en generar competencias TIC</t>
  </si>
  <si>
    <t>Documentos metodológicos</t>
  </si>
  <si>
    <t>Documento metodológico del modelo de acompañamiento para la implementación de la Estrategia de Gobierno digital elaborado</t>
  </si>
  <si>
    <t>TOTAL ADMINISTRACIÓN CENTRAL:</t>
  </si>
  <si>
    <t xml:space="preserve">319 INDEPORTES QUINDÍO </t>
  </si>
  <si>
    <t>Cobertura de municipios qué participan en programas de recreación, actividad física y deporte social y comunitario en el Departamento del Quindío.
Tasa de consumo de sustancias psicoactivas X100.000 habitantes en el Departamento del Quindío</t>
  </si>
  <si>
    <t>Servicio de Escuelas Deportivas</t>
  </si>
  <si>
    <t>Municipios con Escuelas Deportivas</t>
  </si>
  <si>
    <t>Fortalecimiento, hábitos y estilos de vida saludable como instrumento SALVAVIDAS en el departamento del Quindío</t>
  </si>
  <si>
    <t xml:space="preserve">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t>
  </si>
  <si>
    <t>Servicio de promoción de la actividad física, la recreación y el deporte</t>
  </si>
  <si>
    <t>Municipios vinculados al programa Supérate-Intercolegiados</t>
  </si>
  <si>
    <t>430103704</t>
  </si>
  <si>
    <t>Municipios implementando  programas de recreación, actividad física y deporte social comunitario</t>
  </si>
  <si>
    <t>Formular e  implementar una  política pública para el desarrollo y acceso al deporte, la recreación, la actividad física, la educación física y en uso adecuado del tiempo libre, como ejes de transformación humana y social en el departamento del Quindío</t>
  </si>
  <si>
    <t>Documentos normativos</t>
  </si>
  <si>
    <t>Política pública formulada e implementada</t>
  </si>
  <si>
    <t>Documentos normativos realizados</t>
  </si>
  <si>
    <t>Formación y preparación de deportistas. "Tú y yo campeones"</t>
  </si>
  <si>
    <t xml:space="preserve">Cobertura de ligas apoyadas en el departamento del Quindío.
Tasa de consumo de sustancias psicoactivas X100.000 habitantes en el Departamento del Quindío
</t>
  </si>
  <si>
    <t>Servicio de asistencia técnica para la promoción del deporte</t>
  </si>
  <si>
    <t xml:space="preserve">Organismos deportivos asistidos </t>
  </si>
  <si>
    <t>Fortalecimiento al deporte competitivo y de altos logros "TU Y    YO SOMOS SALVAVIDAS POR UN QUINDIO GANADOR" en el Departamento del Quindío</t>
  </si>
  <si>
    <t xml:space="preserve">Incrementar la cobertura de municipios qué participan en programas de recreación, actividad física , deporte social y comunitario, además de la  disminución de las tasas de sustancias psicoactivas en el Departamento del Quindío, a través  de  la definición de  nuevas metodologías para el desarrollo del deporte formativo y competitivo  </t>
  </si>
  <si>
    <t>Porcentaje de medallería del departamento del Quindío en los Juegos Nacionales.
Tasa de consumo de sustancias psicoactivas X100.000 habitantes en el Departamento del Quindío</t>
  </si>
  <si>
    <t>Servicio de organización de eventos deportivos de alto rendimiento</t>
  </si>
  <si>
    <t>Juegos Deportivos Realizados</t>
  </si>
  <si>
    <t>Eventos deportivos de alto rendimiento con sede en Colombia realizados</t>
  </si>
  <si>
    <t>Desarrollo de los  XXII JUEGOS DEPORTIVOS NACIONALES Y VI JUEGOS PARANACIONALES   2023</t>
  </si>
  <si>
    <t xml:space="preserve">Incrementar la cobertura de municipios qué participan en programas de recreación, actividad física , deporte social y comunitario, además de la  disminución de las tasas de sustancias psicoactivas en el Departamento del Quindío, a través de la participación deportiva y organización de eventos multideportivos  </t>
  </si>
  <si>
    <t xml:space="preserve">320 PROMOTORA DE VIVIENDA </t>
  </si>
  <si>
    <t xml:space="preserve">Infraestructura  deportiva y/o recreativa con procesos   constructivos, mejorados,  ampliados, mantenidos y/o  reforzados </t>
  </si>
  <si>
    <t xml:space="preserve">Infraestructura   deportiva y/o recreativa construida, mejorada, ampliada, mantenida, y/o  reforzada </t>
  </si>
  <si>
    <t>202000363-0142</t>
  </si>
  <si>
    <t>Mantenimiento de obras complementarias de la infraestructura  deportiva y recreativa en el Departamento del Quindío.</t>
  </si>
  <si>
    <t>Incrementar la cobertura de municipios qué participan en programas de recreación, actividad física y deporte social y comunitario en el Departamento del Quindío, a través del   mantenimiento de obras complementarias de infraestructura deportiva y recreativa en el Departamento del Quindío con el propósito de generar espacio para la utilización del tiempo libre.</t>
  </si>
  <si>
    <t>202000363-0143</t>
  </si>
  <si>
    <t>Mantenimiento de obras complementarias en la Infraestructura educativa en el Departamento del Quindío.</t>
  </si>
  <si>
    <t>Incrementar las tasas de cobertura bruta en preescolar, educación básica y media, a través de esfuerzos interinstitucionales para realizar  obras complementarias en  Infraestructura educativa  mantenida, en el Departamento del Quindío.</t>
  </si>
  <si>
    <t xml:space="preserve">índice de competitividad  en el sector de infraestructura vial </t>
  </si>
  <si>
    <t>202000363-0144</t>
  </si>
  <si>
    <t xml:space="preserve"> Mantenimiento de obras complementarias a la infraestructura vial en el Departamento del Quindío</t>
  </si>
  <si>
    <t>Incrementar en índice de competitividad  en el sector de infraestructura vial,    a través de obras físicas complementarias, garantizando condiciones de eficiencia, seguridad y confort a los a sus usuarios</t>
  </si>
  <si>
    <t xml:space="preserve">Servicio de asistencia técnica y jurídica en saneamiento y titulación de predios </t>
  </si>
  <si>
    <t>400100100</t>
  </si>
  <si>
    <t>Entidades territoriales asistidas técnica y jurídicamente</t>
  </si>
  <si>
    <t>202000363-0145</t>
  </si>
  <si>
    <t xml:space="preserve">Apoyo en la formulación y ejecución de proyectos de vivienda en el Departamento del Quindío  </t>
  </si>
  <si>
    <t>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t>
  </si>
  <si>
    <t>Déficit cuantitativo de viviendas por hogares</t>
  </si>
  <si>
    <t xml:space="preserve">Viviendas de Interés Prioritario urbanas construidas </t>
  </si>
  <si>
    <t>400101700</t>
  </si>
  <si>
    <t>Viviendas de Interés Prioritario urbanas construidas</t>
  </si>
  <si>
    <t xml:space="preserve">Viviendas de Interés Prioritario urbanas mejoradas </t>
  </si>
  <si>
    <t>400101800</t>
  </si>
  <si>
    <t>Viviendas de Interés Prioritario urbanas mejoradas</t>
  </si>
  <si>
    <t>Estudios de preinversión e inversión</t>
  </si>
  <si>
    <t>400103000</t>
  </si>
  <si>
    <t>Servicio de apoyo financiero para adquisición de vivienda</t>
  </si>
  <si>
    <t>Equipamientos construidos</t>
  </si>
  <si>
    <t>4001014</t>
  </si>
  <si>
    <t>Viviendas de Interés Social urbanas construidas</t>
  </si>
  <si>
    <t>400101400</t>
  </si>
  <si>
    <t>4001015</t>
  </si>
  <si>
    <t>321 INSTITUTO DEPARTAMENTAL DE TRANSITO</t>
  </si>
  <si>
    <t>Seguridad de Transporte. "Tú y yo seguros en la vía"</t>
  </si>
  <si>
    <t>Tasa de lesionados por siniestros viales por cada 100 habitantes.
Tasa de fallecidos por siniestros viales por cada 100 habitantes.</t>
  </si>
  <si>
    <t>Formular e Implementar una estrategia de movilidad saludable, segura y sostenible.</t>
  </si>
  <si>
    <t>Servicio de promoción y difusión para la seguridad de transporte</t>
  </si>
  <si>
    <t xml:space="preserve">Estrategia de movilidad saludable, segura y sostenible  formulada e implementada </t>
  </si>
  <si>
    <t xml:space="preserve">Estrategias implementadas </t>
  </si>
  <si>
    <t>202000363-0149</t>
  </si>
  <si>
    <t>Implementación del programa de seguridad vial en el Departamento del Quindío  "TU Y YO POR LA SEGURIDAD VIAL"</t>
  </si>
  <si>
    <t>Disminuir las tasa de lesionados por siniestros viales y fallecidos por siniestros viales  a través de acciones de fortalecimiento de la seguridad vial en el Departamento del Quindío.</t>
  </si>
  <si>
    <t>Formular e Implementar un programa de formación en normas de tránsito y fomento de cultura  de la seguridad en la vía.</t>
  </si>
  <si>
    <t xml:space="preserve">Servicio de educación informal en seguridad vial </t>
  </si>
  <si>
    <t>Programa de formación cultural  de la seguridad en la vía formulado e implementado.</t>
  </si>
  <si>
    <t>Programa de control y atención del tránsito y en transporte formulado e implementado</t>
  </si>
  <si>
    <t>Diseñar e Implementar un programa de señalización y demarcación en los municipios y vías de jurisdicción del IDTQ.</t>
  </si>
  <si>
    <t>Vías con dispositivos de control y señalización</t>
  </si>
  <si>
    <t>Programa de Señalización y demarcación en los municipios y vías de jurisdicción del IDTQ diseñado e Implementado</t>
  </si>
  <si>
    <t xml:space="preserve">Demarcación horizontal longitudinal realizada </t>
  </si>
  <si>
    <t>TOTAL ENTIDADES DESCENTRALIZADAS</t>
  </si>
  <si>
    <t>TOTAL POAI:</t>
  </si>
  <si>
    <t>LINEA ESTRATEGICA</t>
  </si>
  <si>
    <t>307 SECREATRÍA DE HACIENDA</t>
  </si>
  <si>
    <t>CODIGO</t>
  </si>
  <si>
    <t>RECURSO ORDINARIO</t>
  </si>
  <si>
    <t>COFINANCIACION NACION</t>
  </si>
  <si>
    <t>SGP APSB</t>
  </si>
  <si>
    <t>RECURSOS ORDINARIO</t>
  </si>
  <si>
    <t>FONDO DE SEGURIDAD</t>
  </si>
  <si>
    <t>IVA TELEFONIA</t>
  </si>
  <si>
    <t>IMPUESTO AL REGISTRO</t>
  </si>
  <si>
    <t>MONOPOLIO</t>
  </si>
  <si>
    <t>SGP EDUCACION PS</t>
  </si>
  <si>
    <t>SGP EDUCACION AP</t>
  </si>
  <si>
    <t>FONDO RECURSO PAE</t>
  </si>
  <si>
    <t>SGP SALUD</t>
  </si>
  <si>
    <t>OTROS RECURSOS</t>
  </si>
  <si>
    <t>RECURSOS NACION</t>
  </si>
  <si>
    <t>PROPIOS</t>
  </si>
  <si>
    <t>No.</t>
  </si>
  <si>
    <t>SUB TOTAL SECTOR CENTRAL</t>
  </si>
  <si>
    <t>SUB TOTAL DESCENTRALIZADOS</t>
  </si>
  <si>
    <t>TOTAL DEPARTAMENTO QUINDIO</t>
  </si>
  <si>
    <t>TOTAL</t>
  </si>
  <si>
    <t>VALOR DEL PROYECTO</t>
  </si>
  <si>
    <t>Implementación del Modelo Integrado de Planeación y de Gestión MIPG de la Administración Departamental del Quindío (Dimensiones de Talento humano, Información y Comunicación y Gestión del Conocimiento).</t>
  </si>
  <si>
    <t xml:space="preserve">Implementación de un programa de modernización de la gestión Administrativa de la Administración Departamental del Quindío. "TÚ y YO SOMOS QUINDÍO" </t>
  </si>
  <si>
    <t xml:space="preserve">Fortalecimiento del Consejo Territorial de Planeación del Departamento del Quindío. "TÚ y YO SOMOS QUINDIO" </t>
  </si>
  <si>
    <t xml:space="preserve"> Implementación de eventos de Rendición Pública de Cuentas de divulgación de gestión de la Administración Departamental “TU Y YO SOMOS QUINDIO" </t>
  </si>
  <si>
    <t xml:space="preserve"> Implementación   de instrumentos de planificación para el Ordenamiento y la Gestión Territorial Departamental del Quindío “TU Y YO SOMOS QUINDIO" </t>
  </si>
  <si>
    <t xml:space="preserve">  Implementación del Observatorio Económico de la Administración Departamental del Quindío "TU Y YO SOMOS QUINDIO"</t>
  </si>
  <si>
    <t>Fortalecimiento del Banco de Programas y Proyectos de la administración departamental “TÚ Y YO SOMOS QUINDIO"</t>
  </si>
  <si>
    <t>Asistencia Técnica en Instrumentos de Planificación y gestión territorial en los municipios del Departamento del Quindío.</t>
  </si>
  <si>
    <t xml:space="preserve"> Implementación del Modelo Integrado de Planeación y de Gestión MIPG en la Administración Departamental del   Quindío</t>
  </si>
  <si>
    <t xml:space="preserve">Implementación de un programa para en cumplimiento de las políticas y prácticas contables de la administración departamental    del Quindío.    </t>
  </si>
  <si>
    <t>Mantenimiento de las instituciones públicas y/o de seguridad y justicia del estado en el Departamento Quindío</t>
  </si>
  <si>
    <t>Mejoramiento de la infraestructura física de las instituciones de salud pública y bienestar social del departamento en el Departamento del Quindío</t>
  </si>
  <si>
    <t xml:space="preserve"> Mantenimiento de la infraestructura Educativa en el Departamento del Quindío. </t>
  </si>
  <si>
    <t xml:space="preserve">Mantenimiento, mejoramiento y/o rehabilitación de obras físicas de infraestructura deportiva y recreativa en el Departamento del Quindío  </t>
  </si>
  <si>
    <t>Mantenimiento, mejoramiento, rehabilitación y/o atención de las vías para garantizar la movilidad y competitividad del departamento del Quindío.</t>
  </si>
  <si>
    <t>Construcción, mantenimiento y/o mejoramiento de obras de estabilización de Taludes en el Departamento del Quindío</t>
  </si>
  <si>
    <t xml:space="preserve"> Construcción, mantenimiento y/o mejoramiento de obras de infraestructura para la mitigación y atención de desastres en los municipios del departamento del Quindío </t>
  </si>
  <si>
    <t>Mantenimiento de la infraestructura institucional o de edificios públicos en el Departamento del Quindío</t>
  </si>
  <si>
    <t xml:space="preserve">309 SECRETARÍA DEL INTERIOR </t>
  </si>
  <si>
    <t>Implementación de acciones con los entes municipales, para la reducción de los delitos en el Departamento del Quindío</t>
  </si>
  <si>
    <t xml:space="preserve">  Implementación de métodos para la resolución de conflictos y el fortalecimiento de la seguridad de los ciudadanos en el Departamento del Quindío  </t>
  </si>
  <si>
    <t xml:space="preserve">Implementación de acciones de apoyo para la resocialización de las personas privadas de la libertad en las Instituciones Penitenciarias del Departamento del Quindío. </t>
  </si>
  <si>
    <t xml:space="preserve"> Implementación y/o fortalecimiento de los planes para la gestión del riesgo y desastres en las Instituciones Educativas Oficiales del Departamento </t>
  </si>
  <si>
    <t>Asistencia, atención y capacitación a la población excombatiente en el Departamento del Quindío</t>
  </si>
  <si>
    <t xml:space="preserve"> Fortalecimiento de los organismos de seguridad del Departamento del Quindío, para mejorar la convivencia, preservación del orden público y la seguridad ciudadana. </t>
  </si>
  <si>
    <t xml:space="preserve"> Implementación del Plan Integral de prevención de vulneraciones de los Derechos Humanos DDHH e infracciones al Derecho Internacional Humanitario DIH en el Departamento del Quindío </t>
  </si>
  <si>
    <t>Fortalecimiento institucional de las entidades municipales para la consolidación de la convivencia, el orden público y la seguridad ciudadana en el departamento del Quindío</t>
  </si>
  <si>
    <t>Fortalecimiento de los procesos de planificación del territorio para en conocimiento y reducción del riesgo en el Departamento del Quindío.</t>
  </si>
  <si>
    <t xml:space="preserve"> Fortalecimiento de la participación ciudadana, veedurías y organizaciones comunales para el cumplimiento, protección y restablecimiento de los derechos contemplados en la Constitución Política.   </t>
  </si>
  <si>
    <t xml:space="preserve">Implementación de la "Ruta de la felicidad y la identidad quindiana", para el fortalecimiento y visibilizarían de los procesos artísticos y culturales en el Departamento del Quindío  </t>
  </si>
  <si>
    <t xml:space="preserve">Implementación del programa "Tú y Yo Somos Cultura", para el fortalecimiento a la lectura, escritura y bibliotecas en el Departamento del Quindío   </t>
  </si>
  <si>
    <t xml:space="preserve"> Apoyo artistas y gestores culturales del departamento del Quindío con el beneficio de la Seguridad Social.  </t>
  </si>
  <si>
    <t xml:space="preserve">Fortalecimiento de la competitividad y productividad en el departamento del Quindío </t>
  </si>
  <si>
    <t xml:space="preserve"> Fortalecimiento del sector empresarial para el acceso a nuevos mercados en el departamento del Quindío </t>
  </si>
  <si>
    <t xml:space="preserve"> Mejoramiento de la competitividad del departamento como destino turístico sostenible y de calidad.</t>
  </si>
  <si>
    <t xml:space="preserve"> Fortalecimiento de la promoción turística del destino Quindío a nivel nacional e internacional </t>
  </si>
  <si>
    <t xml:space="preserve"> Fortalecimiento e implementación de procesos de mercadeo y comercialización agropecuaria en el Departamento del Quindío.                </t>
  </si>
  <si>
    <t xml:space="preserve"> Servicio de apoyo en la formulación y estructuración de proyectos de Desarrollo Rural e inclusión productiva campesina en el Departamento del Quindío  </t>
  </si>
  <si>
    <t xml:space="preserve"> Fortalecimiento de eventos y ferias para la competitividad productiva y empresarial del sector rural en el Departamento del Quindío </t>
  </si>
  <si>
    <t xml:space="preserve"> Implementación de procesos de sanidad e inocuidad alimentaria en el departamento del Quindío. </t>
  </si>
  <si>
    <t xml:space="preserve"> Fortalecimiento de nuevos emprendimientos e iniciativas clúster de las cadenas promisorias agropecuarias en el Departamento del Quindío.                     </t>
  </si>
  <si>
    <t xml:space="preserve">Fortalecimiento de los procesos de Gestión Ambiental Urbana y Rural para la protección del Paisaje y la Biodiversidad en el departamento del   Quindío  </t>
  </si>
  <si>
    <t xml:space="preserve"> Apoyo a la generación de entornos amigables para los animales domésticos y silvestres, en el departamento del Quindío </t>
  </si>
  <si>
    <t xml:space="preserve">Realización de campañas de sensibilización y apropiación del patrimonio ambiental del paisaje, la biodiversidad y sus servicios ecosistémicos en el Departamento del Quindío </t>
  </si>
  <si>
    <t xml:space="preserve">Implementación de un programa de protección del patrimonio ambiental, en paisaje, la biodiversidad y sus servicios ecosistémicos en el Departamento del Quindío  </t>
  </si>
  <si>
    <t>Implementar la Política de Transparencia, Acceso a la Información Pública y Lucha Contra la Corrupción del Modelo Integrado de Planificación y Gestión MIPG, articulada con el "Pacto por la Integridad, Transparencia y Legalidad” en el departamento del Quindío</t>
  </si>
  <si>
    <t>Desarrollo e implementación de una estrategia de comunicaciones de la gestión institucional de la Administración Departamental del Quindío "Hacia un gobierno abierto".</t>
  </si>
  <si>
    <t>Fortalecimiento de las capacidades institucionales de la administración departamental del Quindío, para generar condiciones de gobernanza territorial, participación, administración eficiente y transparente.</t>
  </si>
  <si>
    <t>Fortalecimiento de las Tecnologías de Información y Comunicación TIC, para una innovación educativa de calidad en el departamento del Quindío.</t>
  </si>
  <si>
    <t>Fortalecimiento de estrategias para en acceso y la permanencia de los estudiantes egresados de los Establecimientos Educativos Oficiales a la educación superior o terciaria en el Departamento del Quindío.</t>
  </si>
  <si>
    <t>Implementación y fortalecimiento de las estrategias qué fomenten la ciencia, la tecnología y la innovación en las Instituciones Educativas Oficiales del Departamento.</t>
  </si>
  <si>
    <t xml:space="preserve">Diseño e implementación de campañas para la promoción de la vida y prevención del consumo de sustancias psicoactivas en el Departamento del Quindío, “TU Y YO UNIDOS POR LA VIDA".  </t>
  </si>
  <si>
    <t xml:space="preserve"> Implementación acciones de fortalecimiento de los entornos protectores de los jóvenes en barrios vulnerables de los municipios, del Departamento del Quindío. </t>
  </si>
  <si>
    <t>Diseño e implementación de un Modelo de Atención Integral a la Primera Infancia a través de las Rutas Integrales de Atención RIAS en el departamento del Quindío</t>
  </si>
  <si>
    <t xml:space="preserve"> Implementación de la política pública de Familia para la promoción del desarrollo integral de la población del Departamento del Quindío. </t>
  </si>
  <si>
    <t xml:space="preserve"> Revisión, ajuste e implementación de la política pública de primera infancia, infancia y adolescencia en el Departamento del Quindío  </t>
  </si>
  <si>
    <t xml:space="preserve"> Implementación de la política pública de juventud en el Departamento del Quindío  </t>
  </si>
  <si>
    <t xml:space="preserve"> Diseño e implementación de programa de acompañamiento familiar y comunitario con enfoque preventivo en los tipos de violencias en el Departamento del Quindío "TU Y YO COMPROMETIDOS CON LA FAMILIA" </t>
  </si>
  <si>
    <t xml:space="preserve"> Servicio de atención Post egreso de adolescentes y jóvenes, en los servicios de restablecimiento en la administración de justicia, con enfoque pedagógico y restaurativo encaminados a la inclusión social en el Departamento del   Quindío.</t>
  </si>
  <si>
    <t xml:space="preserve">  Fortalecimiento de unidades productivas colectivas juveniles para la generación de ingresos en el departamento del Quindío  </t>
  </si>
  <si>
    <t xml:space="preserve">  Formulación e Implementación del programa departamental para atención al ciudadano migrante y de repatriación.  </t>
  </si>
  <si>
    <t xml:space="preserve">   Desarrollo de un programa de acompañamiento familiar y comunitario en procesos de Inclusión social y productivos para el emprendimiento de alternativas de generación de ingresos en el departamento del Quindío  </t>
  </si>
  <si>
    <t xml:space="preserve">  Formulación e implementación   de proyectos productivos dirigidos a la población en condición de discapacidad y sus familias para la generación de ingresos y fortalecimiento del entorno familiar.  </t>
  </si>
  <si>
    <t xml:space="preserve">  Apoyo en la construcción e Implementación de los Planes de Vida de los Cabildos y Resguardos indígenas asentados en el Departamento del Quindío "TU Y YO UNIDOS CON DIGNIDAD".  </t>
  </si>
  <si>
    <t xml:space="preserve">   Apoyo en la articulación de la oferta social para la población habitante de calle del Departamento del Quindío  </t>
  </si>
  <si>
    <t xml:space="preserve">    Implementación de la política pública de diversidad sexual en el Departamento del Quindío 2019-2029  </t>
  </si>
  <si>
    <t xml:space="preserve"> Servicio de atención integral e inclusión para el bienestar de los adultos mayores del departamento del Quindío </t>
  </si>
  <si>
    <t xml:space="preserve">  Revisar y ajustar la política pública de discapacidad del departamento del Quindío  </t>
  </si>
  <si>
    <t xml:space="preserve">Implementación de la Casa de la Mujer Empoderada para la promoción a la participación ciudadana de Mujeres en escenarios sociales, políticos y en fortalecimiento de la asociatividad en el departamento del Quindío " TU Y YO CON LAS MUJERES EMPODERADAS." </t>
  </si>
  <si>
    <t xml:space="preserve"> Implementación de estrategias de acompañamiento y asesoría a las asociaciones de mujeres del departamento del Quindío</t>
  </si>
  <si>
    <t>Desarrollo de jornadas de capacitación, sensibilización y prevención del trabajo infantil y protección del adolescente en el departamento del Quindío.</t>
  </si>
  <si>
    <t xml:space="preserve"> Implementación del programa de liderazgo para la participación femenina en escenarios sociales y políticos del departamento del Quindío</t>
  </si>
  <si>
    <t>Formulación de la política pública de adulto mayor en el Departamento del Quindío.</t>
  </si>
  <si>
    <t xml:space="preserve"> Implementación de programas de promoción social en poblaciones especiales en el Departamento del Quindío </t>
  </si>
  <si>
    <t xml:space="preserve"> Fortalecimiento de las actividades de vigilancia y control del laboratorio de salud pública en el Departamento del Quindío  </t>
  </si>
  <si>
    <t xml:space="preserve"> Aprovechamiento biológico y consumo de alimentos inocuos en el Departamento del Quindío </t>
  </si>
  <si>
    <t>Control en Salud Ambiental para la consecución de un estado de vida saludable de la población del Departamento del Quindío.</t>
  </si>
  <si>
    <t>Prestación de Servicios a la Población no Afiliada al Sistema General de Seguridad Social en Salud y en los no POS a la Población del Régimen Subsidiado.</t>
  </si>
  <si>
    <t>324 SECRETARÍA TECNOLÓGIAS DE LA INFORMACIÓN Y COMUNICACIÓN</t>
  </si>
  <si>
    <t xml:space="preserve"> Fortalecimiento y apoyo a las tecnologías de la información y las comunicaciones en el departamento del Quindío.</t>
  </si>
  <si>
    <t xml:space="preserve">  Implementación y divulgación de la estrategia    "Quindío innovador y competitivo"   </t>
  </si>
  <si>
    <t xml:space="preserve"> Fortalecimiento de la estrategia de gobierno digital en la Administración Departamental y los Entes Territoriales del departamento del Quindío  </t>
  </si>
  <si>
    <t>TOTAL SECTOR CENTRAL</t>
  </si>
  <si>
    <t>202000363-0009</t>
  </si>
  <si>
    <t>202000363-0010</t>
  </si>
  <si>
    <t>202000363-0013</t>
  </si>
  <si>
    <t>Desarrollo de los XXII JUEGOS DEPORTIVOS NACIONALES Y VI JUEGOS PARANACIONALES   2023</t>
  </si>
  <si>
    <t>Mantenimiento de obras complementarias de la infraestructura deportiva y recreativa en el Departamento del Quindío.</t>
  </si>
  <si>
    <t xml:space="preserve">  Mantenimiento de obras complementarias a la infraestructura vial en el Departamento del Quindío </t>
  </si>
  <si>
    <t xml:space="preserve"> Apoyo en la formulación y ejecución de proyectos de vivienda en el Departamento del Quindío   </t>
  </si>
  <si>
    <t>Implementación del programa de seguridad vial en el Departamento del Quindío “TU Y YO POR LA SEGURIDAD VIAL"</t>
  </si>
  <si>
    <t>TOTAL DESCENTRALIZADOS</t>
  </si>
  <si>
    <t>TOTAL INVERSION DEPARTAMENTAL</t>
  </si>
  <si>
    <t xml:space="preserve">Programa de saneamiento fiscal y financiero ejecutado </t>
  </si>
  <si>
    <t>Rendición de cuentas realizadas</t>
  </si>
  <si>
    <t>Programa de saneamiento fiscal y financiero ejecutado</t>
  </si>
  <si>
    <t>Mantenimiento  de la infraestructura institucional o de edificios públicos en el Departamento del Quindío</t>
  </si>
  <si>
    <t xml:space="preserve"> Implementación  de acciones con los Entes Municipales, para la reducción de los delitos en el Departamento del Quindío</t>
  </si>
  <si>
    <t xml:space="preserve">Fortalecimiento institucional de la entidades municipales para la consolidación de la convivencia, el orden público  y la seguridad ciudadana  en el departamento del Quindío  </t>
  </si>
  <si>
    <t>Gestión del riesgo de desastres y emergencias. "Tú y yo preparados en gestión del riesgo"</t>
  </si>
  <si>
    <t>Municipios con organismos de Acción Comunal fortalecidos.</t>
  </si>
  <si>
    <t xml:space="preserve">Servicio de información para el sector artístico y cultural </t>
  </si>
  <si>
    <t>Sistema de información del sector artístico cultural en operación</t>
  </si>
  <si>
    <t>Servicio de asistencia técnica a las MiPymes para el acceso a nuevos mercados</t>
  </si>
  <si>
    <t>Servicio de educación informal en el marco de la conservación de la biodiversidad y los Servicio ecosistémicos</t>
  </si>
  <si>
    <t>Calidad y fomento de la Educación "Tú y yo preparados para la educación superior"</t>
  </si>
  <si>
    <t>Ciencia, Tecnología e Innovación</t>
  </si>
  <si>
    <t xml:space="preserve"> Diseño e implementación de un  Modelo de  atención integral a la primera infancia  a través de las Rutas Integrales de Atención  RIA en el Departamento del  Quindío </t>
  </si>
  <si>
    <t>Formulación de la política pública de adulto mayor en el Departamento del Quindío</t>
  </si>
  <si>
    <t>Disminuir Tasa de Suicidio  y Violencia Intrafamiliar, además del aumento de la Cobertura a los grupos de adulto mayor, a través de la formulación de la política pública de este grupo de población en el Departamento del Quindío.</t>
  </si>
  <si>
    <t>Fomento del desarrollo de aplicaciones, software y contenidos para impulsar la apropiación de las Tecnologías de la Información y las Comunicaciones (TIC) "Quindío paraíso empresarial TIC-Quindío TIC"</t>
  </si>
  <si>
    <t>Estrategias de promoción de la cultura ciudadana implementadas</t>
  </si>
  <si>
    <t>Formular e Implementar un programa de control, prevención y atención del tránsito y el transporte en los municipios y vías de jurisdicción del IDTQ.</t>
  </si>
  <si>
    <t>COMPROMISOS</t>
  </si>
  <si>
    <t>OBLIGACIONES</t>
  </si>
  <si>
    <t>PRESUPUESTADO</t>
  </si>
  <si>
    <t>F-PLA-43</t>
  </si>
  <si>
    <t xml:space="preserve"> 1 de 1</t>
  </si>
  <si>
    <t>COMPROMISO</t>
  </si>
  <si>
    <t>OBLIGACIÓN</t>
  </si>
  <si>
    <t xml:space="preserve"> Banco de Programas y Proyectos del Departamento  con procesos de fortalecimiento</t>
  </si>
  <si>
    <t>SOBRETASA ACPM</t>
  </si>
  <si>
    <t>ESTAMPILLA PRO CULTURA</t>
  </si>
  <si>
    <t>ESTAMILLA PRO DESARROLLO</t>
  </si>
  <si>
    <t xml:space="preserve">COFINANCIACIÓN NACIÓN </t>
  </si>
  <si>
    <t>ESTAMPILLA PRO ADULTO MAYOR</t>
  </si>
  <si>
    <t>COFINANCIACIÓN NACIÓN</t>
  </si>
  <si>
    <t>ESTAMPILLA PRODESARROLLO</t>
  </si>
  <si>
    <t>% OBLIG</t>
  </si>
  <si>
    <t>% COMPR</t>
  </si>
  <si>
    <t>% OBLIGACIONES</t>
  </si>
  <si>
    <t>% OBLI</t>
  </si>
  <si>
    <t>% COMPROMIOS</t>
  </si>
  <si>
    <t>Registros sanitarios expedidos</t>
  </si>
  <si>
    <t xml:space="preserve"> MONOPOLIO</t>
  </si>
  <si>
    <t>Actualizar los procesos y procedimientos implementados al interior de la entidad, que permitan desarrollar una modernización administrativa incluyente y participativa.</t>
  </si>
  <si>
    <t>APROPIACION DEFINITIVA</t>
  </si>
  <si>
    <t>% PD</t>
  </si>
  <si>
    <t>DISPONIBILIDADES</t>
  </si>
  <si>
    <t>% CD</t>
  </si>
  <si>
    <t>% RP</t>
  </si>
  <si>
    <t xml:space="preserve">OBLIGACIONES </t>
  </si>
  <si>
    <t>PAGOS</t>
  </si>
  <si>
    <t>% PAGOS</t>
  </si>
  <si>
    <t>SALDOS
DISPONIBLES</t>
  </si>
  <si>
    <t>% SALDO DISP.</t>
  </si>
  <si>
    <t>Administrativa</t>
  </si>
  <si>
    <t>Planeación</t>
  </si>
  <si>
    <t>Hacienda</t>
  </si>
  <si>
    <t>Aguas e Infraestructura</t>
  </si>
  <si>
    <t>Interior</t>
  </si>
  <si>
    <t>Turismo Industria y Comercio</t>
  </si>
  <si>
    <t>Agricultura, Desarrollo Rural y Medio Ambiente</t>
  </si>
  <si>
    <t>Oficina Privada</t>
  </si>
  <si>
    <t>Familia</t>
  </si>
  <si>
    <t>Salud</t>
  </si>
  <si>
    <t>Tecnología de la Información y las Comunicaciones</t>
  </si>
  <si>
    <t>Indeportes</t>
  </si>
  <si>
    <t>Promotora</t>
  </si>
  <si>
    <t>Presupuesto</t>
  </si>
  <si>
    <t>Valor</t>
  </si>
  <si>
    <t>%</t>
  </si>
  <si>
    <t xml:space="preserve">Disponibilidades </t>
  </si>
  <si>
    <t>Compromisos</t>
  </si>
  <si>
    <t>Obligaciones</t>
  </si>
  <si>
    <t xml:space="preserve">Pagos </t>
  </si>
  <si>
    <t>Disponible</t>
  </si>
  <si>
    <t xml:space="preserve">Sobresaliente  (Entre 80%-100%) </t>
  </si>
  <si>
    <t>Satisfactorio (Entre 70% -79%)</t>
  </si>
  <si>
    <t>Medio (Entre 60%-69%)</t>
  </si>
  <si>
    <t>Bajo (Entre 40% - 59%)</t>
  </si>
  <si>
    <t>Critico (Entre 0% - 39%)</t>
  </si>
  <si>
    <t>Sector Central</t>
  </si>
  <si>
    <t>Descentralizados</t>
  </si>
  <si>
    <t>Departamento Quindío</t>
  </si>
  <si>
    <t>TOTAL DEPARTAMENTO</t>
  </si>
  <si>
    <t>RECURSO DEL CRÉDITO</t>
  </si>
  <si>
    <t>RECURSO DEL CREDITO</t>
  </si>
  <si>
    <t>MATERIAL DE RIO</t>
  </si>
  <si>
    <t>TASA PRODEPORTE</t>
  </si>
  <si>
    <t>Prestación de servicios de salud. "Tú y yo con servicios de salud"</t>
  </si>
  <si>
    <t>Aseguramiento y prestación integral de servicios de salud</t>
  </si>
  <si>
    <t>Fortalecimiento de la educación media para la articulación con la educación superior o terciaria. "Tú y yo preparados para la educación superior"</t>
  </si>
  <si>
    <t xml:space="preserve">Calidad y fomento de la educación superior </t>
  </si>
  <si>
    <t>Facilitar el acceso y uso de las Tecnologías de la Información y las Comunicaciones en todo el departamento del Quindio. "Tú y yo somos ciudadanos TIC"</t>
  </si>
  <si>
    <t>Facilitar el acceso y uso de las Tecnologías de la Información y las Comunicaciones en todo el territorio nacional</t>
  </si>
  <si>
    <t>Desarrollo integral de la primera infancia a la juventud, y fortalecimiento de las capacidades de las familias de niñas, niños y adolescentes</t>
  </si>
  <si>
    <t>Fomento a la recreación, la actividad física y el deporte. "Tú y yo en la recreación y el deporte"</t>
  </si>
  <si>
    <t>Fomento a la recreación, la actividad física y el deporte para desarrollar entornos de convivencia y paz</t>
  </si>
  <si>
    <t>Participación ciudadana y política y respeto por los derechos humanos y diversidad de creencias. "Quindío integrado y participativo"</t>
  </si>
  <si>
    <t>Fortalecimiento del buen gobierno para el respeto y garantía de los derechos humanos</t>
  </si>
  <si>
    <t>Prevención y atención de desastres y emergencias. "Tú y yo preparados en gestión del riesgo"</t>
  </si>
  <si>
    <t>Gestión del riesgo de desastres y emergencias</t>
  </si>
  <si>
    <t>Fortalecimiento de la gestión y desempeño institucional. “Quindío con una administración al servicio de la ciudadanía"</t>
  </si>
  <si>
    <t>Fortalecimiento a la gestión y dirección de la administración pública territorial</t>
  </si>
  <si>
    <t>Promoción al acceso a la justicia</t>
  </si>
  <si>
    <t>Promoción al acceso a la justicia."Tú y yo con justicia"</t>
  </si>
  <si>
    <t>Sistema penitenciario y carcelario en el marco de los derechos humanos</t>
  </si>
  <si>
    <t xml:space="preserve">Inclusión productiva de pequeños productores rurales </t>
  </si>
  <si>
    <t>Servicios financieros y gestión del riesgo para las actividades agropecuarias y rurales</t>
  </si>
  <si>
    <t>Ordenamiento social y uso productivo del territorio rural</t>
  </si>
  <si>
    <t>Aprovechamiento de mercados externos</t>
  </si>
  <si>
    <t>Sanidad agropecuaria e inocuidad agroalimentaria</t>
  </si>
  <si>
    <t>Ciencia, tecnología e innovación agropecuaria</t>
  </si>
  <si>
    <t>Infraestructura productiva y comercialización</t>
  </si>
  <si>
    <t>Productividad y competitividad de las empresas colombianas</t>
  </si>
  <si>
    <t xml:space="preserve">Productividad y competitividad de las empresas. "Tú y yo con empresas competitivas" </t>
  </si>
  <si>
    <t>Inspección, vigilancia y control. “Tú y yo con salud certificada”</t>
  </si>
  <si>
    <t xml:space="preserve">Inspección, vigilancia y control </t>
  </si>
  <si>
    <t>Salud pública</t>
  </si>
  <si>
    <t>Calidad, cobertura y fortalecimiento de la educación inicial, prescolar, básica y media</t>
  </si>
  <si>
    <t>Fomento del desarrollo de aplicaciones, software y contenidos para impulsar la apropiación de las Tecnologías de la Información y las Comunicaciones (TIC) "Quindío paraiso empresarial TIC-Quindío TIC"</t>
  </si>
  <si>
    <t>Fomento del desarrollo de aplicaciones, software y contenidos para impulsar la apropiación de las Tecnologías de la Información y las Comunicaciones (TIC)</t>
  </si>
  <si>
    <t>Infraestructura red vial regional</t>
  </si>
  <si>
    <t>Seguridad de transporte</t>
  </si>
  <si>
    <t>Fortalecimiento del desempeño ambiental de los sectores productivos. "Tú y yo guardianes de la biodiversidad".</t>
  </si>
  <si>
    <t>Fortalecimiento del desempeño ambiental de los sectores productivos</t>
  </si>
  <si>
    <t>Conservación de la biodiversidad y sus servicios ecosistémicos</t>
  </si>
  <si>
    <t>Gestión de la información y el conocimiento ambiental.  “Tú y yo conscientes con la naturaleza”</t>
  </si>
  <si>
    <t>Ordenamiento ambiental territorial</t>
  </si>
  <si>
    <t>Gestión del cambio climático para un desarrollo bajo en carbono y resiliente al clima</t>
  </si>
  <si>
    <t>Promoción y acceso efectivo a procesos culturales y artísticos</t>
  </si>
  <si>
    <t>Gestión, protección y salvaguardia del patrimonio cultural colombiano</t>
  </si>
  <si>
    <t>Generación y formalización del empleo</t>
  </si>
  <si>
    <t>Derechos fundamentales del trabajo y fortalecimiento del diálogo social</t>
  </si>
  <si>
    <t>Generación de una cultura que valora y gestiona el conocimiento y la innovación</t>
  </si>
  <si>
    <t>Acceso a soluciones de vivienda</t>
  </si>
  <si>
    <t>Acceso de la población a los servicios de agua potable y saneamiento básico</t>
  </si>
  <si>
    <t>Atención, asistencia  y reparación integral a las víctimas</t>
  </si>
  <si>
    <t>Inclusión social y productiva para la población en situación de vulnerabilidad</t>
  </si>
  <si>
    <t>Atención integral de población en situación permanente de desprotección social y/o familiar</t>
  </si>
  <si>
    <t>Formación y preparación de deportistas</t>
  </si>
  <si>
    <t>Fortalecimiento de la convivencia y la seguridad ciudadana</t>
  </si>
  <si>
    <t xml:space="preserve">Promoción de los métodos de resolución de conflictos </t>
  </si>
  <si>
    <t>Secretaría Administrativa</t>
  </si>
  <si>
    <t>Liderazgo, gobernabilidad y transparencia</t>
  </si>
  <si>
    <t>Secretaría de Planeación</t>
  </si>
  <si>
    <t>Inclusión social y equidad</t>
  </si>
  <si>
    <t>Secretaría de Hacienda y Finanzas Públicas</t>
  </si>
  <si>
    <t>Territorio, ambiente y desarrollo sostenible</t>
  </si>
  <si>
    <t>Secretaría del Interior</t>
  </si>
  <si>
    <t>Secretaría de Aguas e Infraestructura</t>
  </si>
  <si>
    <t xml:space="preserve">Territorio, ambiente y desarrollo sostenible </t>
  </si>
  <si>
    <t>Secretaría de Cultura</t>
  </si>
  <si>
    <t>Productividad y competitividad</t>
  </si>
  <si>
    <t>Secretaría de Agricultura, Desarrollo Rural y Medio Ambiente</t>
  </si>
  <si>
    <t>Secretaría de Turismo Industria y Comercio</t>
  </si>
  <si>
    <t>Dirección Oficina Privada</t>
  </si>
  <si>
    <t>INCLUSION SOCIAL Y EQUIDAd</t>
  </si>
  <si>
    <t>Secretaría de Educación</t>
  </si>
  <si>
    <t>Secretaría de Familia</t>
  </si>
  <si>
    <t>Secretaria de Salud</t>
  </si>
  <si>
    <t>Instituto Departamental de Deporte y Recreación del Quindío</t>
  </si>
  <si>
    <t>PROYECTA Empresa para el Desarrollo Territorial</t>
  </si>
  <si>
    <t xml:space="preserve">Territorio, Ambiente y Desarrollo Sostenible </t>
  </si>
  <si>
    <t xml:space="preserve">Instituto Departamental de Tránsito del Quindío </t>
  </si>
  <si>
    <t>CÓDIGO
PDD</t>
  </si>
  <si>
    <t>NOMBRE PDD</t>
  </si>
  <si>
    <t>CÓDIGO CATÁLOGO MGA</t>
  </si>
  <si>
    <t xml:space="preserve">PROGRAMA CATÁLOGO MGA </t>
  </si>
  <si>
    <t>META PRODUCTO</t>
  </si>
  <si>
    <t>PROGRAMADA
VIGENCIA</t>
  </si>
  <si>
    <t>FUENTES DE FINANCIACIÓN</t>
  </si>
  <si>
    <t>TOTAL PRESUPUESTO</t>
  </si>
  <si>
    <t>PRESUPUESTO</t>
  </si>
  <si>
    <t xml:space="preserve"> FORMATO</t>
  </si>
  <si>
    <t>PLAN DE DESARROLLO 2020 -2023 "TÚ Y YO SOMOS QUINDIO"</t>
  </si>
  <si>
    <t xml:space="preserve">  John Harold Valencia Rodríguez, Secretario Administrativo</t>
  </si>
  <si>
    <t>Luis Alberto Rincón Quintero, Secretario de Planeación</t>
  </si>
  <si>
    <t>Maria Aleyda  Marin Betancourt, Secretaria de Hacienda</t>
  </si>
  <si>
    <t>Gilberto Gutiérrez Caro, Secretario de Aguas e Infraestructura</t>
  </si>
  <si>
    <t>Magda  Inés Montoya  Naranjo, Secretaria del Interior</t>
  </si>
  <si>
    <t>Juan Manuel Rodríguez Brito, Secretario de Cultura</t>
  </si>
  <si>
    <t>Carlos Andrés Arredondo Salazar, Secretario de Turismo, Industria y Comercio</t>
  </si>
  <si>
    <t>Julio César Cortés Pulido, Secretario de Agricultura, Desarrollo Rural y Medio Ambiente</t>
  </si>
  <si>
    <t>Jorge Hernan Zapata Botero, Director Oficina Privada</t>
  </si>
  <si>
    <t>Liliana María Sánchez Villada, Secretaria de Educación</t>
  </si>
  <si>
    <t>Alba Johana Quejada Torres, Secretaria de Familia</t>
  </si>
  <si>
    <t>Yenny Alexandra Trujillo Álzate, Secretaria de Salud</t>
  </si>
  <si>
    <t>John Mario Liévano Fernández, Secretario Tecnologías de la Información y las Comunicaciones</t>
  </si>
  <si>
    <t>Fernando  Augusto Paneso Zuluaga, Gerente INDEPORTES QUINDÍO</t>
  </si>
  <si>
    <t>Pablo César Herrera Correa, Gerente General PROYECTA para el Desarrollo Territorial</t>
  </si>
  <si>
    <t>Secretaría Tecnologías de la Información y las Comunicaciones</t>
  </si>
  <si>
    <t xml:space="preserve">Prestación de Servicios a la Población no Afiliada al Sistema General de Seguridad Social en Salud y en el NO POS a la Población del Régimen Subsidiado.  </t>
  </si>
  <si>
    <t>R - A</t>
  </si>
  <si>
    <t>Implementación del observatorio de educación, con el fin de recopilar y producir información del sector educativo con enfoque territorial</t>
  </si>
  <si>
    <t>Aumentar las tasas de cobertura bruta y disminuir las tasas  repitencia y deserción escolar, a través del diseño e implementación en   Observatorio de Investigación, Innovación y Documentación Educativa del Departamento del Quindío</t>
  </si>
  <si>
    <t>ESTAMPILLAS 
PRO - CULTURA
PRO - ADULTO MAYOR
PRO - DESARROLLO</t>
  </si>
  <si>
    <t>COFINANCIACIÓN NACION</t>
  </si>
  <si>
    <t xml:space="preserve">FONDO LOCAL - RENTAS CEDIDAS </t>
  </si>
  <si>
    <t>FONDO LOCAL DE SALUD  -  RENTAS CEDIDAS -LOTERIAS-RIFAS-PREMIO - IVA LICORES SALUD</t>
  </si>
  <si>
    <t>LINEA ESTRATÉGICA</t>
  </si>
  <si>
    <t xml:space="preserve">SGP PRESTACIÓN DE SERVICIOS - EDUCACIÓN  - Y CONECTIVIDAD
(25-21-09-188)
</t>
  </si>
  <si>
    <t>Formular el Plan de Fortalecimiento de Capacidades en Salud Ambiental en coordinación con el Consejo Territorial de Salud Ambiental COTSA</t>
  </si>
  <si>
    <t>Acumulada</t>
  </si>
  <si>
    <t>ACUMULADA (MANTENIMIENTO)
NO ACUAULADA (INCREMENTO)</t>
  </si>
  <si>
    <t>No Acumulada</t>
  </si>
  <si>
    <t>Instancias territoriales de coordinación institucional asistidas y apoyadas</t>
  </si>
  <si>
    <t>Fernando Baena Villareal Director IDTQ</t>
  </si>
  <si>
    <t xml:space="preserve">EJECUTADA
VIGENCIA </t>
  </si>
  <si>
    <t>TOTAL POAI</t>
  </si>
  <si>
    <t>Campañas de promoción de la salud  y prevención de riesgos asociados a condiciones no transmisibles implementadas</t>
  </si>
  <si>
    <t>Productividad y Competitividad</t>
  </si>
  <si>
    <t xml:space="preserve">Productividad y competitividad de las empresas "Tú y yo con empresas competitivas" </t>
  </si>
  <si>
    <t xml:space="preserve">Productividad y competitividad de las empresas colombianas </t>
  </si>
  <si>
    <t>Mejoramiento casa del artesano del municipio de filandia en el departamento del Quindío</t>
  </si>
  <si>
    <t xml:space="preserve">Índice Departamental de Competitividad Turística
Tasa de desempleo
</t>
  </si>
  <si>
    <t>202100363-0020</t>
  </si>
  <si>
    <t>Diseñar una propuesta turística que mejore la infraestructura de la casa del artesano  como oferta de diversificación que permita aprovechar las oportunidades económicas actuales del sector..</t>
  </si>
  <si>
    <t>SEGUIMIENTO PLAN OPERATIVO ANUAL DE INVERSIONES POAI 2021 
PLAN DE DESARROLLO 2020-2023 "TÚ Y YO SOMOS QUINDIO"</t>
  </si>
  <si>
    <t>DICIEMBRE 31  DE  2021</t>
  </si>
  <si>
    <t>PLAN DE DESARROLLO 2020-2023 "TÚ Y YO SOMOS QUINDIO"
PLAN OPERATIVO ANUAL DE INVERSIÓN POAI  2021 - 
DICIEMBRE 31 DE 2021</t>
  </si>
  <si>
    <t>PLAN OPERATIVO ANUAL DE INVERSIÓN POAI  2021  
PLAN DE DESARROLLO 2020-2023 "TÚ Y YO SOMOS QUINDIO" 
A DICIEMBRE 31 DE 2021</t>
  </si>
  <si>
    <t>PLAN OPERATIVO ANUAL DE INVERSIONES 2021
SECTOR CENTRAL ADMINISTRACION DEPARTAMENTAL
RECURSOS POR LINEA ESTRATÉGICA
A DICIEMBRE 31 DE 2021</t>
  </si>
  <si>
    <t>PLAN OPERATIVO ANUAL DE INVERSIONES 2021
ENTES DESCENTRALIZADOS
RECURSOS POR LINEA ESTRATÉGICA
A DICIEMBRE 31 DE 2021</t>
  </si>
  <si>
    <t>PLAN OPERATIVO ANUAL DE INVERSIONES 2021
DEPARTAMENTO DEL QUINDIO
RECURSOS POR LINEA ESTRATÉGICA
DICIEMBRE 31 DE 2021</t>
  </si>
  <si>
    <t>ESTADO DE EJECUCIÓN DE PROYECTOS DE INVERSION PUBLICA DEPARTAMENTAL VIABILIZADOS, PRIORIZADOS Y APROBADOS 
A DICIEMBRE 31 2021</t>
  </si>
  <si>
    <t>INVERSIÓN POR SECTORES
SECTOR CENTRAL ADMINISTRACION DEPARTAMENTAL
DICIEMBRE 31 DE 2021</t>
  </si>
  <si>
    <t>INVERSIÓN POR SECTORES
ENTES DESCENTRALIZADOS
DICIEMBRE 31 DE 2021</t>
  </si>
  <si>
    <t>LÍNEA ESTRATÉGICA/PROGRAMA</t>
  </si>
  <si>
    <t>LÍNEA ESTRATÉGICA/SECTOR</t>
  </si>
  <si>
    <t>INVERSIÓN POR PROGRAMAS
SECTOR CENTRAL ADMINISTRACION DEPARTAMENTAL
DICIEMBRE 31 DE 2021</t>
  </si>
  <si>
    <t>INVERSIÓN POR PROGRAMAS
ENTES DESCENTRALIZADOS
SEPTIEMBRE 30 DE 2021</t>
  </si>
  <si>
    <t>SEMAFORO CUMPLIMIENTO COMPROMISOS</t>
  </si>
  <si>
    <t>304 SECRETARÍA ADMINISTRATIVA</t>
  </si>
  <si>
    <t>SEMAFORO CUMPLIMIENTO RP</t>
  </si>
  <si>
    <t>Instituto Departamental de Transito</t>
  </si>
  <si>
    <t>PLAN DE DESARROLLO 2020 - 2023 "TÚ Y YO SOMOS QUINDIO"
CONSOLIDADO EJECUCIÓN GASTOS DE INVERSIÓN 
A DICIEMBRE 31 VIGENCIA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</si>
</sst>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quot;$&quot;\ * #,##0.00_);_(&quot;$&quot;\ * \(#,##0.00\);_(&quot;$&quot;\ * &quot;-&quot;??_);_(@_)"/>
    <numFmt numFmtId="167" formatCode="_(* #,##0.00_);_(* \(#,##0.00\);_(* &quot;-&quot;??_);_(@_)"/>
    <numFmt numFmtId="168" formatCode="_([$$-240A]\ * #,##0.00_);_([$$-240A]\ * \(#,##0.00\);_([$$-240A]\ * &quot;-&quot;??_);_(@_)"/>
    <numFmt numFmtId="169" formatCode="00"/>
    <numFmt numFmtId="170" formatCode="_(* #,##0_);_(* \(#,##0\);_(* &quot;-&quot;??_);_(@_)"/>
    <numFmt numFmtId="171" formatCode="_-* #,##0_-;\-* #,##0_-;_-* &quot;-&quot;??_-;_-@_-"/>
    <numFmt numFmtId="172" formatCode="_-* #,##0.00_-;\-* #,##0.00_-;_-* &quot;-&quot;_-;_-@_-"/>
    <numFmt numFmtId="173" formatCode="_-&quot;$&quot;\ * #,##0.00_-;\-&quot;$&quot;\ * #,##0.00_-;_-&quot;$&quot;\ * &quot;-&quot;_-;_-@_-"/>
    <numFmt numFmtId="174" formatCode="_-* #,##0.00\ _€_-;\-* #,##0.00\ _€_-;_-* &quot;-&quot;??\ _€_-;_-@_-"/>
    <numFmt numFmtId="175" formatCode="_ [$€-2]\ * #,##0.00_ ;_ [$€-2]\ * \-#,##0.00_ ;_ [$€-2]\ * &quot;-&quot;??_ "/>
    <numFmt numFmtId="176" formatCode="#,##0."/>
    <numFmt numFmtId="177" formatCode="_ * #,##0.00_ ;_ * \-#,##0.00_ ;_ * &quot;-&quot;??_ ;_ @_ "/>
    <numFmt numFmtId="178" formatCode="#,##0.00_);\-#,##0.00"/>
    <numFmt numFmtId="179" formatCode="0.0%"/>
    <numFmt numFmtId="180" formatCode="_-* #,##0.000_-;\-* #,##0.000_-;_-* &quot;-&quot;??_-;_-@_-"/>
  </numFmts>
  <fonts count="65" x14ac:knownFonts="1">
    <font>
      <sz val="11"/>
      <color theme="1"/>
      <name val="Calibri"/>
      <family val="2"/>
      <scheme val="minor"/>
    </font>
    <font>
      <sz val="11"/>
      <color theme="1"/>
      <name val="Calibri"/>
      <family val="2"/>
      <scheme val="minor"/>
    </font>
    <font>
      <sz val="12"/>
      <name val="Arial"/>
      <family val="2"/>
    </font>
    <font>
      <b/>
      <sz val="12"/>
      <name val="Arial"/>
      <family val="2"/>
    </font>
    <font>
      <b/>
      <sz val="10"/>
      <name val="Arial"/>
      <family val="2"/>
    </font>
    <font>
      <sz val="11"/>
      <color indexed="8"/>
      <name val="Calibri"/>
      <family val="2"/>
    </font>
    <font>
      <sz val="12"/>
      <color theme="1"/>
      <name val="Arial"/>
      <family val="2"/>
    </font>
    <font>
      <b/>
      <sz val="11"/>
      <color rgb="FF6F6F6E"/>
      <name val="Calibri"/>
      <family val="2"/>
      <scheme val="minor"/>
    </font>
    <font>
      <sz val="10"/>
      <name val="Arial"/>
      <family val="2"/>
    </font>
    <font>
      <sz val="8"/>
      <name val="Calibri"/>
      <family val="2"/>
      <scheme val="minor"/>
    </font>
    <font>
      <b/>
      <sz val="11"/>
      <color theme="0"/>
      <name val="Calibri"/>
      <family val="2"/>
      <scheme val="minor"/>
    </font>
    <font>
      <sz val="11"/>
      <color rgb="FF000000"/>
      <name val="Calibri"/>
      <family val="2"/>
    </font>
    <font>
      <sz val="12"/>
      <color theme="1"/>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8"/>
      <color theme="3"/>
      <name val="Calibri Light"/>
      <family val="2"/>
      <scheme val="major"/>
    </font>
    <font>
      <sz val="10"/>
      <color theme="1"/>
      <name val="Arial"/>
      <family val="2"/>
    </font>
    <font>
      <sz val="12"/>
      <color theme="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
      <color indexed="8"/>
      <name val="Courier"/>
      <family val="3"/>
    </font>
    <font>
      <b/>
      <sz val="1"/>
      <color indexed="8"/>
      <name val="Courier"/>
      <family val="3"/>
    </font>
    <font>
      <b/>
      <i/>
      <sz val="1"/>
      <color indexed="8"/>
      <name val="Courier"/>
      <family val="3"/>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0"/>
      <name val="Arial"/>
      <family val="2"/>
      <charset val="1"/>
    </font>
    <font>
      <sz val="11"/>
      <color rgb="FFFFFFFF"/>
      <name val="Arial"/>
      <family val="2"/>
      <charset val="1"/>
    </font>
    <font>
      <sz val="12"/>
      <color rgb="FF000000"/>
      <name val="Arial"/>
      <family val="2"/>
    </font>
    <font>
      <b/>
      <sz val="12"/>
      <color theme="1"/>
      <name val="Arial"/>
      <family val="2"/>
    </font>
    <font>
      <b/>
      <sz val="12"/>
      <color rgb="FF000000"/>
      <name val="Arial"/>
      <family val="2"/>
    </font>
    <font>
      <b/>
      <sz val="10"/>
      <color theme="1"/>
      <name val="Arial"/>
      <family val="2"/>
    </font>
    <font>
      <b/>
      <sz val="9"/>
      <name val="Arial"/>
      <family val="2"/>
    </font>
    <font>
      <sz val="11"/>
      <name val="Calibri"/>
      <family val="2"/>
      <scheme val="minor"/>
    </font>
    <font>
      <b/>
      <sz val="14"/>
      <name val="Arial"/>
      <family val="2"/>
    </font>
    <font>
      <sz val="11"/>
      <name val="Arial"/>
      <family val="2"/>
    </font>
    <font>
      <sz val="10"/>
      <color indexed="8"/>
      <name val="MS Sans Serif"/>
    </font>
    <font>
      <b/>
      <sz val="12"/>
      <color indexed="8"/>
      <name val="Times New Roman"/>
      <family val="1"/>
    </font>
    <font>
      <sz val="11"/>
      <color rgb="FF000000"/>
      <name val="Arial"/>
      <family val="2"/>
    </font>
    <font>
      <sz val="9"/>
      <color indexed="8"/>
      <name val="Calibri"/>
      <family val="2"/>
      <scheme val="minor"/>
    </font>
    <font>
      <sz val="10"/>
      <color theme="0"/>
      <name val="Arial"/>
      <family val="2"/>
    </font>
    <font>
      <sz val="11"/>
      <color theme="1"/>
      <name val="Arial"/>
      <family val="2"/>
    </font>
  </fonts>
  <fills count="7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92D050"/>
        <bgColor indexed="64"/>
      </patternFill>
    </fill>
    <fill>
      <patternFill patternType="solid">
        <fgColor rgb="FFFFC000"/>
        <bgColor indexed="64"/>
      </patternFill>
    </fill>
    <fill>
      <patternFill patternType="solid">
        <fgColor rgb="FFECECEC"/>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FFFF"/>
        <bgColor indexed="64"/>
      </patternFill>
    </fill>
    <fill>
      <patternFill patternType="solid">
        <fgColor rgb="FF522B57"/>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9" tint="0.39997558519241921"/>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6600"/>
        <bgColor rgb="FFFF9900"/>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3" tint="0.79998168889431442"/>
        <bgColor indexed="64"/>
      </patternFill>
    </fill>
    <fill>
      <patternFill patternType="solid">
        <fgColor theme="9" tint="0.79998168889431442"/>
        <bgColor indexed="64"/>
      </patternFill>
    </fill>
  </fills>
  <borders count="77">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522B57"/>
      </left>
      <right style="thin">
        <color rgb="FF522B57"/>
      </right>
      <top style="thin">
        <color rgb="FF522B57"/>
      </top>
      <bottom style="thin">
        <color rgb="FF522B57"/>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ECECEC"/>
      </left>
      <right style="medium">
        <color rgb="FFECECEC"/>
      </right>
      <top style="medium">
        <color rgb="FFECECEC"/>
      </top>
      <bottom style="medium">
        <color rgb="FFECECEC"/>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indexed="64"/>
      </bottom>
      <diagonal/>
    </border>
    <border>
      <left style="thin">
        <color indexed="64"/>
      </left>
      <right/>
      <top style="thin">
        <color rgb="FF000000"/>
      </top>
      <bottom style="thin">
        <color indexed="64"/>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indexed="64"/>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rgb="FF000000"/>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diagonal/>
    </border>
    <border>
      <left style="medium">
        <color indexed="64"/>
      </left>
      <right style="medium">
        <color indexed="64"/>
      </right>
      <top style="medium">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rgb="FF000000"/>
      </bottom>
      <diagonal/>
    </border>
    <border>
      <left/>
      <right style="thin">
        <color indexed="64"/>
      </right>
      <top style="thin">
        <color rgb="FF000000"/>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s>
  <cellStyleXfs count="1036">
    <xf numFmtId="168"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167" fontId="5" fillId="0" borderId="0" applyFont="0" applyFill="0" applyBorder="0" applyAlignment="0" applyProtection="0"/>
    <xf numFmtId="168" fontId="7" fillId="6" borderId="10">
      <alignment horizontal="center" vertical="center" wrapText="1"/>
    </xf>
    <xf numFmtId="0" fontId="1" fillId="0" borderId="0"/>
    <xf numFmtId="167" fontId="1" fillId="0" borderId="0" applyFont="0" applyFill="0" applyBorder="0" applyAlignment="0" applyProtection="0"/>
    <xf numFmtId="0" fontId="7" fillId="6" borderId="10">
      <alignment horizontal="center" vertical="center" wrapText="1"/>
    </xf>
    <xf numFmtId="168" fontId="8" fillId="0" borderId="0"/>
    <xf numFmtId="165"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0" fontId="10" fillId="10" borderId="14">
      <alignment horizontal="center" vertical="center" wrapText="1"/>
    </xf>
    <xf numFmtId="0" fontId="8" fillId="0" borderId="0"/>
    <xf numFmtId="0" fontId="11" fillId="0" borderId="0"/>
    <xf numFmtId="0" fontId="8" fillId="0" borderId="0"/>
    <xf numFmtId="0" fontId="1" fillId="0" borderId="0"/>
    <xf numFmtId="0" fontId="1" fillId="0" borderId="0"/>
    <xf numFmtId="0" fontId="13" fillId="0" borderId="37" applyNumberFormat="0" applyFill="0" applyAlignment="0" applyProtection="0"/>
    <xf numFmtId="0" fontId="14" fillId="0" borderId="38" applyNumberFormat="0" applyFill="0" applyAlignment="0" applyProtection="0"/>
    <xf numFmtId="0" fontId="15" fillId="0" borderId="39" applyNumberFormat="0" applyFill="0" applyAlignment="0" applyProtection="0"/>
    <xf numFmtId="0" fontId="15" fillId="0" borderId="0" applyNumberFormat="0" applyFill="0" applyBorder="0" applyAlignment="0" applyProtection="0"/>
    <xf numFmtId="0" fontId="16" fillId="14" borderId="0" applyNumberFormat="0" applyBorder="0" applyAlignment="0" applyProtection="0"/>
    <xf numFmtId="0" fontId="17" fillId="15" borderId="0" applyNumberFormat="0" applyBorder="0" applyAlignment="0" applyProtection="0"/>
    <xf numFmtId="0" fontId="18" fillId="16" borderId="40" applyNumberFormat="0" applyAlignment="0" applyProtection="0"/>
    <xf numFmtId="0" fontId="19" fillId="17" borderId="41" applyNumberFormat="0" applyAlignment="0" applyProtection="0"/>
    <xf numFmtId="0" fontId="20" fillId="17" borderId="40" applyNumberFormat="0" applyAlignment="0" applyProtection="0"/>
    <xf numFmtId="0" fontId="21" fillId="0" borderId="42" applyNumberFormat="0" applyFill="0" applyAlignment="0" applyProtection="0"/>
    <xf numFmtId="0" fontId="10" fillId="18" borderId="43" applyNumberFormat="0" applyAlignment="0" applyProtection="0"/>
    <xf numFmtId="0" fontId="22" fillId="0" borderId="0" applyNumberFormat="0" applyFill="0" applyBorder="0" applyAlignment="0" applyProtection="0"/>
    <xf numFmtId="0" fontId="1" fillId="19" borderId="44" applyNumberFormat="0" applyFont="0" applyAlignment="0" applyProtection="0"/>
    <xf numFmtId="0" fontId="23" fillId="0" borderId="0" applyNumberFormat="0" applyFill="0" applyBorder="0" applyAlignment="0" applyProtection="0"/>
    <xf numFmtId="0" fontId="24" fillId="0" borderId="45" applyNumberFormat="0" applyFill="0" applyAlignment="0" applyProtection="0"/>
    <xf numFmtId="0" fontId="25"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5" fillId="31" borderId="0" applyNumberFormat="0" applyBorder="0" applyAlignment="0" applyProtection="0"/>
    <xf numFmtId="0" fontId="25"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5" fillId="35" borderId="0" applyNumberFormat="0" applyBorder="0" applyAlignment="0" applyProtection="0"/>
    <xf numFmtId="0" fontId="25"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25" fillId="39" borderId="0" applyNumberFormat="0" applyBorder="0" applyAlignment="0" applyProtection="0"/>
    <xf numFmtId="0" fontId="25"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25" fillId="43" borderId="0" applyNumberFormat="0" applyBorder="0" applyAlignment="0" applyProtection="0"/>
    <xf numFmtId="0" fontId="1" fillId="0" borderId="0"/>
    <xf numFmtId="168" fontId="1" fillId="0" borderId="0"/>
    <xf numFmtId="175" fontId="1" fillId="29" borderId="0" applyNumberFormat="0" applyBorder="0" applyAlignment="0" applyProtection="0"/>
    <xf numFmtId="175" fontId="1" fillId="0" borderId="0"/>
    <xf numFmtId="168" fontId="1" fillId="0" borderId="0"/>
    <xf numFmtId="0" fontId="27" fillId="0" borderId="0" applyNumberFormat="0" applyFill="0" applyBorder="0" applyAlignment="0" applyProtection="0"/>
    <xf numFmtId="175" fontId="14" fillId="0" borderId="38" applyNumberFormat="0" applyFill="0" applyAlignment="0" applyProtection="0"/>
    <xf numFmtId="175" fontId="1" fillId="0" borderId="0"/>
    <xf numFmtId="175" fontId="1" fillId="42" borderId="0" applyNumberFormat="0" applyBorder="0" applyAlignment="0" applyProtection="0"/>
    <xf numFmtId="175" fontId="10" fillId="18" borderId="43" applyNumberFormat="0" applyAlignment="0" applyProtection="0"/>
    <xf numFmtId="175" fontId="20" fillId="17" borderId="40" applyNumberFormat="0" applyAlignment="0" applyProtection="0"/>
    <xf numFmtId="175" fontId="1" fillId="0" borderId="0"/>
    <xf numFmtId="168" fontId="1" fillId="0" borderId="0"/>
    <xf numFmtId="175" fontId="25" fillId="31" borderId="0" applyNumberFormat="0" applyBorder="0" applyAlignment="0" applyProtection="0"/>
    <xf numFmtId="175" fontId="1" fillId="0" borderId="0"/>
    <xf numFmtId="175" fontId="1" fillId="0" borderId="0"/>
    <xf numFmtId="175" fontId="1" fillId="0" borderId="0"/>
    <xf numFmtId="168" fontId="1" fillId="0" borderId="0"/>
    <xf numFmtId="175" fontId="17" fillId="15" borderId="0" applyNumberFormat="0" applyBorder="0" applyAlignment="0" applyProtection="0"/>
    <xf numFmtId="175" fontId="1" fillId="0" borderId="0"/>
    <xf numFmtId="168" fontId="1" fillId="0" borderId="0"/>
    <xf numFmtId="175" fontId="25" fillId="43" borderId="0" applyNumberFormat="0" applyBorder="0" applyAlignment="0" applyProtection="0"/>
    <xf numFmtId="168" fontId="1" fillId="0" borderId="0"/>
    <xf numFmtId="175" fontId="1" fillId="0" borderId="0"/>
    <xf numFmtId="17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5"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2" fontId="1" fillId="0" borderId="0" applyFont="0" applyFill="0" applyBorder="0" applyAlignment="0" applyProtection="0"/>
    <xf numFmtId="165" fontId="1"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28" fillId="0" borderId="0"/>
    <xf numFmtId="44" fontId="1" fillId="0" borderId="0" applyFont="0" applyFill="0" applyBorder="0" applyAlignment="0" applyProtection="0"/>
    <xf numFmtId="0" fontId="8" fillId="0" borderId="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174" fontId="1" fillId="0" borderId="0" applyFont="0" applyFill="0" applyBorder="0" applyAlignment="0" applyProtection="0"/>
    <xf numFmtId="42" fontId="8" fillId="0" borderId="0" applyFont="0" applyFill="0" applyBorder="0" applyAlignment="0" applyProtection="0"/>
    <xf numFmtId="175" fontId="1" fillId="0" borderId="0"/>
    <xf numFmtId="0" fontId="1" fillId="0" borderId="0"/>
    <xf numFmtId="0" fontId="1" fillId="0" borderId="0"/>
    <xf numFmtId="9"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8" fontId="8"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44"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0" fontId="1" fillId="0" borderId="0"/>
    <xf numFmtId="43" fontId="5" fillId="0" borderId="0" applyFont="0" applyFill="0" applyBorder="0" applyAlignment="0" applyProtection="0"/>
    <xf numFmtId="0" fontId="28" fillId="0" borderId="0"/>
    <xf numFmtId="164" fontId="1" fillId="0" borderId="0" applyFont="0" applyFill="0" applyBorder="0" applyAlignment="0" applyProtection="0"/>
    <xf numFmtId="0" fontId="1" fillId="0" borderId="0"/>
    <xf numFmtId="168" fontId="1" fillId="0" borderId="0"/>
    <xf numFmtId="175" fontId="21" fillId="0" borderId="42" applyNumberFormat="0" applyFill="0" applyAlignment="0" applyProtection="0"/>
    <xf numFmtId="168" fontId="1" fillId="0" borderId="0"/>
    <xf numFmtId="175" fontId="25" fillId="28" borderId="0" applyNumberFormat="0" applyBorder="0" applyAlignment="0" applyProtection="0"/>
    <xf numFmtId="175" fontId="1" fillId="0" borderId="0"/>
    <xf numFmtId="168" fontId="1" fillId="0" borderId="0"/>
    <xf numFmtId="175" fontId="1" fillId="0" borderId="0"/>
    <xf numFmtId="175" fontId="1" fillId="0" borderId="0"/>
    <xf numFmtId="175" fontId="1" fillId="0" borderId="0"/>
    <xf numFmtId="175" fontId="1" fillId="0" borderId="0"/>
    <xf numFmtId="175" fontId="1" fillId="0" borderId="0"/>
    <xf numFmtId="175" fontId="18" fillId="16" borderId="40" applyNumberFormat="0" applyAlignment="0" applyProtection="0"/>
    <xf numFmtId="168" fontId="1" fillId="0" borderId="0"/>
    <xf numFmtId="175" fontId="1" fillId="0" borderId="0"/>
    <xf numFmtId="175" fontId="25" fillId="24" borderId="0" applyNumberFormat="0" applyBorder="0" applyAlignment="0" applyProtection="0"/>
    <xf numFmtId="175" fontId="1" fillId="0" borderId="0"/>
    <xf numFmtId="175" fontId="1" fillId="0" borderId="0"/>
    <xf numFmtId="175" fontId="1" fillId="0" borderId="0"/>
    <xf numFmtId="175" fontId="25" fillId="32" borderId="0" applyNumberFormat="0" applyBorder="0" applyAlignment="0" applyProtection="0"/>
    <xf numFmtId="175" fontId="1" fillId="0" borderId="0"/>
    <xf numFmtId="175" fontId="15" fillId="0" borderId="39" applyNumberFormat="0" applyFill="0" applyAlignment="0" applyProtection="0"/>
    <xf numFmtId="168" fontId="1" fillId="0" borderId="0"/>
    <xf numFmtId="175" fontId="26" fillId="0" borderId="0" applyNumberFormat="0" applyFill="0" applyBorder="0" applyAlignment="0" applyProtection="0"/>
    <xf numFmtId="175" fontId="1" fillId="0" borderId="0"/>
    <xf numFmtId="175" fontId="1" fillId="0" borderId="0"/>
    <xf numFmtId="168" fontId="1" fillId="0" borderId="0"/>
    <xf numFmtId="175" fontId="1" fillId="22" borderId="0" applyNumberFormat="0" applyBorder="0" applyAlignment="0" applyProtection="0"/>
    <xf numFmtId="175" fontId="28" fillId="0" borderId="0"/>
    <xf numFmtId="175" fontId="1" fillId="0" borderId="0"/>
    <xf numFmtId="168" fontId="1" fillId="0" borderId="0"/>
    <xf numFmtId="175" fontId="1" fillId="0" borderId="0"/>
    <xf numFmtId="175" fontId="15" fillId="0" borderId="0" applyNumberFormat="0" applyFill="0" applyBorder="0" applyAlignment="0" applyProtection="0"/>
    <xf numFmtId="175" fontId="1" fillId="0" borderId="0"/>
    <xf numFmtId="175" fontId="1" fillId="19" borderId="44" applyNumberFormat="0" applyFont="0" applyAlignment="0" applyProtection="0"/>
    <xf numFmtId="175" fontId="1" fillId="0" borderId="0"/>
    <xf numFmtId="175" fontId="19" fillId="17" borderId="41" applyNumberFormat="0" applyAlignment="0" applyProtection="0"/>
    <xf numFmtId="168" fontId="1" fillId="0" borderId="0"/>
    <xf numFmtId="168" fontId="1" fillId="0" borderId="0"/>
    <xf numFmtId="175" fontId="1" fillId="0" borderId="0"/>
    <xf numFmtId="175" fontId="1" fillId="0" borderId="0"/>
    <xf numFmtId="175" fontId="1" fillId="0" borderId="0"/>
    <xf numFmtId="168" fontId="1" fillId="0" borderId="0"/>
    <xf numFmtId="175" fontId="8" fillId="0" borderId="0"/>
    <xf numFmtId="175" fontId="25" fillId="23" borderId="0" applyNumberFormat="0" applyBorder="0" applyAlignment="0" applyProtection="0"/>
    <xf numFmtId="168" fontId="1" fillId="0" borderId="0"/>
    <xf numFmtId="175" fontId="1" fillId="41" borderId="0" applyNumberFormat="0" applyBorder="0" applyAlignment="0" applyProtection="0"/>
    <xf numFmtId="175" fontId="1" fillId="0" borderId="0"/>
    <xf numFmtId="175" fontId="1" fillId="0" borderId="0"/>
    <xf numFmtId="175" fontId="1" fillId="34" borderId="0" applyNumberFormat="0" applyBorder="0" applyAlignment="0" applyProtection="0"/>
    <xf numFmtId="168" fontId="1" fillId="0" borderId="0"/>
    <xf numFmtId="175" fontId="24" fillId="0" borderId="45" applyNumberFormat="0" applyFill="0" applyAlignment="0" applyProtection="0"/>
    <xf numFmtId="175" fontId="8" fillId="0" borderId="0"/>
    <xf numFmtId="175" fontId="1" fillId="0" borderId="0"/>
    <xf numFmtId="175" fontId="1" fillId="37" borderId="0" applyNumberFormat="0" applyBorder="0" applyAlignment="0" applyProtection="0"/>
    <xf numFmtId="175" fontId="25" fillId="20" borderId="0" applyNumberFormat="0" applyBorder="0" applyAlignment="0" applyProtection="0"/>
    <xf numFmtId="175" fontId="1" fillId="0" borderId="0"/>
    <xf numFmtId="168" fontId="1" fillId="0" borderId="0"/>
    <xf numFmtId="175" fontId="1" fillId="0" borderId="0"/>
    <xf numFmtId="168" fontId="1" fillId="0" borderId="0"/>
    <xf numFmtId="168" fontId="1" fillId="0" borderId="0"/>
    <xf numFmtId="175" fontId="8" fillId="0" borderId="0"/>
    <xf numFmtId="175" fontId="27" fillId="0" borderId="0" applyNumberFormat="0" applyFill="0" applyBorder="0" applyAlignment="0" applyProtection="0"/>
    <xf numFmtId="175" fontId="1" fillId="0" borderId="0"/>
    <xf numFmtId="175" fontId="1" fillId="21" borderId="0" applyNumberFormat="0" applyBorder="0" applyAlignment="0" applyProtection="0"/>
    <xf numFmtId="175" fontId="1" fillId="0" borderId="0"/>
    <xf numFmtId="175" fontId="25" fillId="39" borderId="0" applyNumberFormat="0" applyBorder="0" applyAlignment="0" applyProtection="0"/>
    <xf numFmtId="175" fontId="1" fillId="0" borderId="0"/>
    <xf numFmtId="175" fontId="25" fillId="35" borderId="0" applyNumberFormat="0" applyBorder="0" applyAlignment="0" applyProtection="0"/>
    <xf numFmtId="175" fontId="1" fillId="0" borderId="0"/>
    <xf numFmtId="175" fontId="1" fillId="0" borderId="0"/>
    <xf numFmtId="175" fontId="1" fillId="0" borderId="0"/>
    <xf numFmtId="175" fontId="1" fillId="0" borderId="0"/>
    <xf numFmtId="175" fontId="25" fillId="27" borderId="0" applyNumberFormat="0" applyBorder="0" applyAlignment="0" applyProtection="0"/>
    <xf numFmtId="175" fontId="1" fillId="0" borderId="0"/>
    <xf numFmtId="175" fontId="8" fillId="0" borderId="0"/>
    <xf numFmtId="175" fontId="1" fillId="0" borderId="0"/>
    <xf numFmtId="175" fontId="11" fillId="0" borderId="0"/>
    <xf numFmtId="175" fontId="1" fillId="0" borderId="0"/>
    <xf numFmtId="175" fontId="25" fillId="40" borderId="0" applyNumberFormat="0" applyBorder="0" applyAlignment="0" applyProtection="0"/>
    <xf numFmtId="175" fontId="22" fillId="0" borderId="0" applyNumberFormat="0" applyFill="0" applyBorder="0" applyAlignment="0" applyProtection="0"/>
    <xf numFmtId="175" fontId="1" fillId="38" borderId="0" applyNumberFormat="0" applyBorder="0" applyAlignment="0" applyProtection="0"/>
    <xf numFmtId="175" fontId="1" fillId="26" borderId="0" applyNumberFormat="0" applyBorder="0" applyAlignment="0" applyProtection="0"/>
    <xf numFmtId="175" fontId="23" fillId="0" borderId="0" applyNumberFormat="0" applyFill="0" applyBorder="0" applyAlignment="0" applyProtection="0"/>
    <xf numFmtId="175" fontId="1" fillId="25" borderId="0" applyNumberFormat="0" applyBorder="0" applyAlignment="0" applyProtection="0"/>
    <xf numFmtId="175" fontId="16" fillId="14" borderId="0" applyNumberFormat="0" applyBorder="0" applyAlignment="0" applyProtection="0"/>
    <xf numFmtId="168" fontId="1" fillId="0" borderId="0"/>
    <xf numFmtId="168" fontId="1" fillId="0" borderId="0"/>
    <xf numFmtId="175" fontId="1" fillId="33" borderId="0" applyNumberFormat="0" applyBorder="0" applyAlignment="0" applyProtection="0"/>
    <xf numFmtId="175" fontId="1" fillId="0" borderId="0"/>
    <xf numFmtId="175" fontId="1" fillId="0" borderId="0"/>
    <xf numFmtId="175" fontId="1" fillId="30" borderId="0" applyNumberFormat="0" applyBorder="0" applyAlignment="0" applyProtection="0"/>
    <xf numFmtId="175" fontId="7" fillId="6" borderId="10">
      <alignment horizontal="center" vertical="center" wrapText="1"/>
    </xf>
    <xf numFmtId="175" fontId="1" fillId="0" borderId="0"/>
    <xf numFmtId="175" fontId="7" fillId="6" borderId="10">
      <alignment horizontal="center" vertical="center" wrapText="1"/>
    </xf>
    <xf numFmtId="175" fontId="1" fillId="0" borderId="0"/>
    <xf numFmtId="175" fontId="25" fillId="36" borderId="0" applyNumberFormat="0" applyBorder="0" applyAlignment="0" applyProtection="0"/>
    <xf numFmtId="168" fontId="1" fillId="0" borderId="0"/>
    <xf numFmtId="175" fontId="1" fillId="0" borderId="0"/>
    <xf numFmtId="175" fontId="1" fillId="0" borderId="0"/>
    <xf numFmtId="175" fontId="13" fillId="0" borderId="37" applyNumberFormat="0" applyFill="0" applyAlignment="0" applyProtection="0"/>
    <xf numFmtId="175" fontId="28" fillId="0" borderId="0"/>
    <xf numFmtId="175" fontId="1" fillId="0" borderId="0"/>
    <xf numFmtId="175" fontId="1" fillId="0" borderId="0"/>
    <xf numFmtId="175" fontId="1" fillId="0" borderId="0"/>
    <xf numFmtId="168" fontId="1" fillId="0" borderId="0"/>
    <xf numFmtId="175" fontId="1" fillId="0" borderId="0"/>
    <xf numFmtId="175" fontId="1" fillId="0" borderId="0"/>
    <xf numFmtId="0" fontId="8" fillId="0" borderId="0"/>
    <xf numFmtId="175" fontId="1" fillId="0" borderId="0"/>
    <xf numFmtId="175" fontId="1" fillId="0" borderId="0"/>
    <xf numFmtId="175" fontId="1" fillId="0" borderId="0"/>
    <xf numFmtId="168" fontId="1" fillId="0" borderId="0"/>
    <xf numFmtId="9" fontId="1" fillId="0" borderId="0" applyFont="0" applyFill="0" applyBorder="0" applyAlignment="0" applyProtection="0"/>
    <xf numFmtId="0" fontId="1" fillId="0" borderId="0"/>
    <xf numFmtId="0" fontId="8" fillId="0" borderId="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30" fillId="55" borderId="0" applyNumberFormat="0" applyBorder="0" applyAlignment="0" applyProtection="0"/>
    <xf numFmtId="0" fontId="30" fillId="52" borderId="0" applyNumberFormat="0" applyBorder="0" applyAlignment="0" applyProtection="0"/>
    <xf numFmtId="0" fontId="30" fillId="53" borderId="0" applyNumberFormat="0" applyBorder="0" applyAlignment="0" applyProtection="0"/>
    <xf numFmtId="0" fontId="30" fillId="56" borderId="0" applyNumberFormat="0" applyBorder="0" applyAlignment="0" applyProtection="0"/>
    <xf numFmtId="0" fontId="30" fillId="57" borderId="0" applyNumberFormat="0" applyBorder="0" applyAlignment="0" applyProtection="0"/>
    <xf numFmtId="0" fontId="30" fillId="58" borderId="0" applyNumberFormat="0" applyBorder="0" applyAlignment="0" applyProtection="0"/>
    <xf numFmtId="0" fontId="31" fillId="47" borderId="0" applyNumberFormat="0" applyBorder="0" applyAlignment="0" applyProtection="0"/>
    <xf numFmtId="0" fontId="32" fillId="59" borderId="46" applyNumberFormat="0" applyAlignment="0" applyProtection="0"/>
    <xf numFmtId="0" fontId="33" fillId="60" borderId="47" applyNumberFormat="0" applyAlignment="0" applyProtection="0"/>
    <xf numFmtId="0" fontId="34" fillId="0" borderId="48" applyNumberFormat="0" applyFill="0" applyAlignment="0" applyProtection="0"/>
    <xf numFmtId="0" fontId="35" fillId="0" borderId="0" applyNumberFormat="0" applyFill="0" applyBorder="0" applyAlignment="0" applyProtection="0"/>
    <xf numFmtId="0" fontId="30" fillId="61" borderId="0" applyNumberFormat="0" applyBorder="0" applyAlignment="0" applyProtection="0"/>
    <xf numFmtId="0" fontId="30" fillId="62" borderId="0" applyNumberFormat="0" applyBorder="0" applyAlignment="0" applyProtection="0"/>
    <xf numFmtId="0" fontId="30" fillId="63" borderId="0" applyNumberFormat="0" applyBorder="0" applyAlignment="0" applyProtection="0"/>
    <xf numFmtId="0" fontId="30" fillId="56" borderId="0" applyNumberFormat="0" applyBorder="0" applyAlignment="0" applyProtection="0"/>
    <xf numFmtId="0" fontId="30" fillId="57" borderId="0" applyNumberFormat="0" applyBorder="0" applyAlignment="0" applyProtection="0"/>
    <xf numFmtId="0" fontId="30" fillId="64" borderId="0" applyNumberFormat="0" applyBorder="0" applyAlignment="0" applyProtection="0"/>
    <xf numFmtId="0" fontId="36" fillId="50" borderId="46" applyNumberFormat="0" applyAlignment="0" applyProtection="0"/>
    <xf numFmtId="175" fontId="8" fillId="0" borderId="0" applyFont="0" applyFill="0" applyBorder="0" applyAlignment="0" applyProtection="0"/>
    <xf numFmtId="175" fontId="8" fillId="0" borderId="0" applyFont="0" applyFill="0" applyBorder="0" applyAlignment="0" applyProtection="0"/>
    <xf numFmtId="176" fontId="37" fillId="0" borderId="0">
      <protection locked="0"/>
    </xf>
    <xf numFmtId="176" fontId="37" fillId="0" borderId="0">
      <protection locked="0"/>
    </xf>
    <xf numFmtId="176" fontId="37" fillId="0" borderId="0">
      <protection locked="0"/>
    </xf>
    <xf numFmtId="176" fontId="38" fillId="0" borderId="0">
      <protection locked="0"/>
    </xf>
    <xf numFmtId="176" fontId="39" fillId="0" borderId="0">
      <protection locked="0"/>
    </xf>
    <xf numFmtId="176" fontId="38" fillId="0" borderId="0">
      <protection locked="0"/>
    </xf>
    <xf numFmtId="176" fontId="39" fillId="0" borderId="0">
      <protection locked="0"/>
    </xf>
    <xf numFmtId="0" fontId="40" fillId="46" borderId="0" applyNumberFormat="0" applyBorder="0" applyAlignment="0" applyProtection="0"/>
    <xf numFmtId="177" fontId="8" fillId="0" borderId="0" applyFont="0" applyFill="0" applyBorder="0" applyAlignment="0" applyProtection="0"/>
    <xf numFmtId="0" fontId="41" fillId="65" borderId="0" applyNumberFormat="0" applyBorder="0" applyAlignment="0" applyProtection="0"/>
    <xf numFmtId="0" fontId="8" fillId="0" borderId="0"/>
    <xf numFmtId="175" fontId="5" fillId="0" borderId="0"/>
    <xf numFmtId="0" fontId="8" fillId="0" borderId="0"/>
    <xf numFmtId="175" fontId="5" fillId="0" borderId="0"/>
    <xf numFmtId="0" fontId="8" fillId="0" borderId="0"/>
    <xf numFmtId="175" fontId="5" fillId="0" borderId="0"/>
    <xf numFmtId="0" fontId="8" fillId="0" borderId="0"/>
    <xf numFmtId="0" fontId="8" fillId="0" borderId="0"/>
    <xf numFmtId="175" fontId="5" fillId="0" borderId="0"/>
    <xf numFmtId="175" fontId="5" fillId="0" borderId="0"/>
    <xf numFmtId="0" fontId="8" fillId="0" borderId="0"/>
    <xf numFmtId="0" fontId="8" fillId="0" borderId="0"/>
    <xf numFmtId="0" fontId="8" fillId="0" borderId="0"/>
    <xf numFmtId="175" fontId="5" fillId="0" borderId="0"/>
    <xf numFmtId="175" fontId="5" fillId="0" borderId="0"/>
    <xf numFmtId="175" fontId="5" fillId="0" borderId="0"/>
    <xf numFmtId="0" fontId="8" fillId="0" borderId="0"/>
    <xf numFmtId="0" fontId="1" fillId="0" borderId="0"/>
    <xf numFmtId="175" fontId="5" fillId="0" borderId="0"/>
    <xf numFmtId="175" fontId="5" fillId="0" borderId="0"/>
    <xf numFmtId="0" fontId="8" fillId="0" borderId="0"/>
    <xf numFmtId="0" fontId="8" fillId="0" borderId="0"/>
    <xf numFmtId="0" fontId="8" fillId="0" borderId="0"/>
    <xf numFmtId="0" fontId="49" fillId="0" borderId="0"/>
    <xf numFmtId="0" fontId="8" fillId="0" borderId="0"/>
    <xf numFmtId="0" fontId="8" fillId="0" borderId="0"/>
    <xf numFmtId="0" fontId="8" fillId="66" borderId="50" applyNumberFormat="0" applyFont="0" applyAlignment="0" applyProtection="0"/>
    <xf numFmtId="0" fontId="8" fillId="66" borderId="50" applyNumberFormat="0" applyFont="0" applyAlignment="0" applyProtection="0"/>
    <xf numFmtId="0" fontId="42" fillId="59" borderId="51" applyNumberFormat="0" applyAlignment="0" applyProtection="0"/>
    <xf numFmtId="0" fontId="50" fillId="67" borderId="0"/>
    <xf numFmtId="0" fontId="43" fillId="0" borderId="0" applyNumberFormat="0" applyFill="0" applyBorder="0" applyAlignment="0" applyProtection="0"/>
    <xf numFmtId="0" fontId="44" fillId="0" borderId="0" applyNumberFormat="0" applyFill="0" applyBorder="0" applyAlignment="0" applyProtection="0"/>
    <xf numFmtId="0" fontId="45" fillId="0" borderId="49" applyNumberFormat="0" applyFill="0" applyAlignment="0" applyProtection="0"/>
    <xf numFmtId="0" fontId="46" fillId="0" borderId="52" applyNumberFormat="0" applyFill="0" applyAlignment="0" applyProtection="0"/>
    <xf numFmtId="0" fontId="35" fillId="0" borderId="53" applyNumberFormat="0" applyFill="0" applyAlignment="0" applyProtection="0"/>
    <xf numFmtId="0" fontId="47" fillId="0" borderId="0" applyNumberFormat="0" applyFill="0" applyBorder="0" applyAlignment="0" applyProtection="0"/>
    <xf numFmtId="0" fontId="48" fillId="0" borderId="54" applyNumberFormat="0" applyFill="0" applyAlignment="0" applyProtection="0"/>
    <xf numFmtId="0" fontId="8" fillId="0" borderId="0"/>
    <xf numFmtId="0" fontId="1" fillId="0" borderId="0"/>
    <xf numFmtId="167" fontId="1" fillId="0" borderId="0" applyFont="0" applyFill="0" applyBorder="0" applyAlignment="0" applyProtection="0"/>
    <xf numFmtId="168" fontId="1" fillId="0" borderId="0"/>
    <xf numFmtId="166" fontId="1" fillId="0" borderId="0" applyFont="0" applyFill="0" applyBorder="0" applyAlignment="0" applyProtection="0"/>
    <xf numFmtId="175" fontId="1" fillId="0" borderId="0"/>
    <xf numFmtId="0" fontId="27" fillId="0" borderId="0" applyNumberFormat="0" applyFill="0" applyBorder="0" applyAlignment="0" applyProtection="0"/>
    <xf numFmtId="0" fontId="1" fillId="0" borderId="0"/>
    <xf numFmtId="175" fontId="8" fillId="0" borderId="0" applyFont="0" applyFill="0" applyBorder="0" applyAlignment="0" applyProtection="0"/>
    <xf numFmtId="175" fontId="8" fillId="0" borderId="0" applyFont="0" applyFill="0" applyBorder="0" applyAlignment="0" applyProtection="0"/>
    <xf numFmtId="17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66" borderId="50" applyNumberFormat="0" applyFont="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168" fontId="8" fillId="0" borderId="0"/>
    <xf numFmtId="43" fontId="1" fillId="0" borderId="0" applyFont="0" applyFill="0" applyBorder="0" applyAlignment="0" applyProtection="0"/>
    <xf numFmtId="0" fontId="11" fillId="0" borderId="0"/>
    <xf numFmtId="168" fontId="1" fillId="0" borderId="0"/>
    <xf numFmtId="43" fontId="1" fillId="0" borderId="0" applyFont="0" applyFill="0" applyBorder="0" applyAlignment="0" applyProtection="0"/>
    <xf numFmtId="0" fontId="17" fillId="15" borderId="0" applyNumberFormat="0" applyBorder="0" applyAlignment="0" applyProtection="0"/>
    <xf numFmtId="43" fontId="1" fillId="0" borderId="0" applyFont="0" applyFill="0" applyBorder="0" applyAlignment="0" applyProtection="0"/>
    <xf numFmtId="0" fontId="25" fillId="23" borderId="0" applyNumberFormat="0" applyBorder="0" applyAlignment="0" applyProtection="0"/>
    <xf numFmtId="0" fontId="25" fillId="27" borderId="0" applyNumberFormat="0" applyBorder="0" applyAlignment="0" applyProtection="0"/>
    <xf numFmtId="0" fontId="25" fillId="31" borderId="0" applyNumberFormat="0" applyBorder="0" applyAlignment="0" applyProtection="0"/>
    <xf numFmtId="0" fontId="25" fillId="35" borderId="0" applyNumberFormat="0" applyBorder="0" applyAlignment="0" applyProtection="0"/>
    <xf numFmtId="0" fontId="25" fillId="39" borderId="0" applyNumberFormat="0" applyBorder="0" applyAlignment="0" applyProtection="0"/>
    <xf numFmtId="0" fontId="25" fillId="4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1" fontId="1" fillId="0" borderId="0" applyFont="0" applyFill="0" applyBorder="0" applyAlignment="0" applyProtection="0"/>
    <xf numFmtId="0" fontId="1" fillId="0" borderId="0"/>
    <xf numFmtId="44" fontId="1" fillId="0" borderId="0" applyFont="0" applyFill="0" applyBorder="0" applyAlignment="0" applyProtection="0"/>
    <xf numFmtId="42"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0" fontId="28" fillId="0" borderId="0"/>
    <xf numFmtId="44"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42" fontId="8" fillId="0" borderId="0" applyFont="0" applyFill="0" applyBorder="0" applyAlignment="0" applyProtection="0"/>
    <xf numFmtId="175" fontId="1" fillId="0" borderId="0"/>
    <xf numFmtId="0" fontId="1" fillId="0" borderId="0"/>
    <xf numFmtId="168" fontId="8"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0" fontId="28" fillId="0" borderId="0"/>
    <xf numFmtId="168" fontId="1"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8"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8" fontId="1" fillId="0" borderId="0"/>
    <xf numFmtId="43" fontId="1" fillId="0" borderId="0" applyFont="0" applyFill="0" applyBorder="0" applyAlignment="0" applyProtection="0"/>
    <xf numFmtId="44" fontId="1" fillId="0" borderId="0" applyFont="0" applyFill="0" applyBorder="0" applyAlignment="0" applyProtection="0"/>
    <xf numFmtId="168" fontId="1" fillId="0" borderId="0"/>
    <xf numFmtId="43" fontId="1" fillId="0" borderId="0" applyFont="0" applyFill="0" applyBorder="0" applyAlignment="0" applyProtection="0"/>
    <xf numFmtId="168" fontId="1" fillId="0" borderId="0"/>
    <xf numFmtId="43" fontId="1" fillId="0" borderId="0" applyFont="0" applyFill="0" applyBorder="0" applyAlignment="0" applyProtection="0"/>
    <xf numFmtId="44" fontId="1" fillId="0" borderId="0" applyFont="0" applyFill="0" applyBorder="0" applyAlignment="0" applyProtection="0"/>
    <xf numFmtId="168" fontId="1" fillId="0" borderId="0"/>
    <xf numFmtId="175" fontId="1" fillId="29" borderId="0" applyNumberFormat="0" applyBorder="0" applyAlignment="0" applyProtection="0"/>
    <xf numFmtId="175" fontId="1" fillId="0" borderId="0"/>
    <xf numFmtId="0" fontId="27" fillId="0" borderId="0" applyNumberFormat="0" applyFill="0" applyBorder="0" applyAlignment="0" applyProtection="0"/>
    <xf numFmtId="175" fontId="14" fillId="0" borderId="38" applyNumberFormat="0" applyFill="0" applyAlignment="0" applyProtection="0"/>
    <xf numFmtId="175" fontId="1" fillId="42" borderId="0" applyNumberFormat="0" applyBorder="0" applyAlignment="0" applyProtection="0"/>
    <xf numFmtId="175" fontId="10" fillId="18" borderId="43" applyNumberFormat="0" applyAlignment="0" applyProtection="0"/>
    <xf numFmtId="175" fontId="20" fillId="17" borderId="40" applyNumberFormat="0" applyAlignment="0" applyProtection="0"/>
    <xf numFmtId="44" fontId="1" fillId="0" borderId="0" applyFont="0" applyFill="0" applyBorder="0" applyAlignment="0" applyProtection="0"/>
    <xf numFmtId="175" fontId="25" fillId="31" borderId="0" applyNumberFormat="0" applyBorder="0" applyAlignment="0" applyProtection="0"/>
    <xf numFmtId="175" fontId="17" fillId="15" borderId="0" applyNumberFormat="0" applyBorder="0" applyAlignment="0" applyProtection="0"/>
    <xf numFmtId="175" fontId="25" fillId="43" borderId="0" applyNumberFormat="0" applyBorder="0" applyAlignment="0" applyProtection="0"/>
    <xf numFmtId="175" fontId="1" fillId="0" borderId="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168" fontId="1" fillId="0" borderId="0"/>
    <xf numFmtId="43"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8" fontId="1"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42" fontId="8" fillId="0" borderId="0" applyFont="0" applyFill="0" applyBorder="0" applyAlignment="0" applyProtection="0"/>
    <xf numFmtId="168" fontId="1"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175" fontId="21" fillId="0" borderId="42" applyNumberFormat="0" applyFill="0" applyAlignment="0" applyProtection="0"/>
    <xf numFmtId="175" fontId="25" fillId="28" borderId="0" applyNumberFormat="0" applyBorder="0" applyAlignment="0" applyProtection="0"/>
    <xf numFmtId="175" fontId="18" fillId="16" borderId="40" applyNumberFormat="0" applyAlignment="0" applyProtection="0"/>
    <xf numFmtId="175" fontId="25" fillId="24" borderId="0" applyNumberFormat="0" applyBorder="0" applyAlignment="0" applyProtection="0"/>
    <xf numFmtId="175" fontId="1" fillId="0" borderId="0"/>
    <xf numFmtId="175" fontId="25" fillId="32" borderId="0" applyNumberFormat="0" applyBorder="0" applyAlignment="0" applyProtection="0"/>
    <xf numFmtId="175" fontId="15" fillId="0" borderId="39" applyNumberFormat="0" applyFill="0" applyAlignment="0" applyProtection="0"/>
    <xf numFmtId="175" fontId="1" fillId="0" borderId="0"/>
    <xf numFmtId="175" fontId="1" fillId="22" borderId="0" applyNumberFormat="0" applyBorder="0" applyAlignment="0" applyProtection="0"/>
    <xf numFmtId="175" fontId="28" fillId="0" borderId="0"/>
    <xf numFmtId="175" fontId="15" fillId="0" borderId="0" applyNumberFormat="0" applyFill="0" applyBorder="0" applyAlignment="0" applyProtection="0"/>
    <xf numFmtId="175" fontId="1" fillId="19" borderId="44" applyNumberFormat="0" applyFont="0" applyAlignment="0" applyProtection="0"/>
    <xf numFmtId="175" fontId="19" fillId="17" borderId="41" applyNumberFormat="0" applyAlignment="0" applyProtection="0"/>
    <xf numFmtId="175" fontId="1" fillId="0" borderId="0"/>
    <xf numFmtId="175" fontId="8" fillId="0" borderId="0"/>
    <xf numFmtId="175" fontId="25" fillId="23" borderId="0" applyNumberFormat="0" applyBorder="0" applyAlignment="0" applyProtection="0"/>
    <xf numFmtId="175" fontId="1" fillId="41" borderId="0" applyNumberFormat="0" applyBorder="0" applyAlignment="0" applyProtection="0"/>
    <xf numFmtId="175" fontId="1" fillId="34" borderId="0" applyNumberFormat="0" applyBorder="0" applyAlignment="0" applyProtection="0"/>
    <xf numFmtId="175" fontId="24" fillId="0" borderId="45" applyNumberFormat="0" applyFill="0" applyAlignment="0" applyProtection="0"/>
    <xf numFmtId="175" fontId="8" fillId="0" borderId="0"/>
    <xf numFmtId="175" fontId="1" fillId="37" borderId="0" applyNumberFormat="0" applyBorder="0" applyAlignment="0" applyProtection="0"/>
    <xf numFmtId="175" fontId="25" fillId="20" borderId="0" applyNumberFormat="0" applyBorder="0" applyAlignment="0" applyProtection="0"/>
    <xf numFmtId="175" fontId="1" fillId="0" borderId="0"/>
    <xf numFmtId="175" fontId="8" fillId="0" borderId="0"/>
    <xf numFmtId="175" fontId="1" fillId="21" borderId="0" applyNumberFormat="0" applyBorder="0" applyAlignment="0" applyProtection="0"/>
    <xf numFmtId="175" fontId="25" fillId="39" borderId="0" applyNumberFormat="0" applyBorder="0" applyAlignment="0" applyProtection="0"/>
    <xf numFmtId="175" fontId="25" fillId="35" borderId="0" applyNumberFormat="0" applyBorder="0" applyAlignment="0" applyProtection="0"/>
    <xf numFmtId="175" fontId="1" fillId="0" borderId="0"/>
    <xf numFmtId="175" fontId="25" fillId="27" borderId="0" applyNumberFormat="0" applyBorder="0" applyAlignment="0" applyProtection="0"/>
    <xf numFmtId="175" fontId="11" fillId="0" borderId="0"/>
    <xf numFmtId="175" fontId="25" fillId="40" borderId="0" applyNumberFormat="0" applyBorder="0" applyAlignment="0" applyProtection="0"/>
    <xf numFmtId="175" fontId="22" fillId="0" borderId="0" applyNumberFormat="0" applyFill="0" applyBorder="0" applyAlignment="0" applyProtection="0"/>
    <xf numFmtId="175" fontId="1" fillId="38" borderId="0" applyNumberFormat="0" applyBorder="0" applyAlignment="0" applyProtection="0"/>
    <xf numFmtId="175" fontId="1" fillId="26" borderId="0" applyNumberFormat="0" applyBorder="0" applyAlignment="0" applyProtection="0"/>
    <xf numFmtId="175" fontId="23" fillId="0" borderId="0" applyNumberFormat="0" applyFill="0" applyBorder="0" applyAlignment="0" applyProtection="0"/>
    <xf numFmtId="175" fontId="1" fillId="25" borderId="0" applyNumberFormat="0" applyBorder="0" applyAlignment="0" applyProtection="0"/>
    <xf numFmtId="175" fontId="16" fillId="14" borderId="0" applyNumberFormat="0" applyBorder="0" applyAlignment="0" applyProtection="0"/>
    <xf numFmtId="175" fontId="1" fillId="33" borderId="0" applyNumberFormat="0" applyBorder="0" applyAlignment="0" applyProtection="0"/>
    <xf numFmtId="175" fontId="1" fillId="30" borderId="0" applyNumberFormat="0" applyBorder="0" applyAlignment="0" applyProtection="0"/>
    <xf numFmtId="175" fontId="1" fillId="0" borderId="0"/>
    <xf numFmtId="175" fontId="1" fillId="0" borderId="0"/>
    <xf numFmtId="175" fontId="25" fillId="36" borderId="0" applyNumberFormat="0" applyBorder="0" applyAlignment="0" applyProtection="0"/>
    <xf numFmtId="175" fontId="13" fillId="0" borderId="37" applyNumberFormat="0" applyFill="0" applyAlignment="0" applyProtection="0"/>
    <xf numFmtId="175" fontId="28" fillId="0" borderId="0"/>
    <xf numFmtId="0" fontId="8"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8" fontId="1" fillId="0" borderId="0"/>
    <xf numFmtId="43" fontId="1" fillId="0" borderId="0" applyFont="0" applyFill="0" applyBorder="0" applyAlignment="0" applyProtection="0"/>
    <xf numFmtId="168" fontId="1" fillId="0" borderId="0"/>
    <xf numFmtId="44" fontId="1" fillId="0" borderId="0" applyFont="0" applyFill="0" applyBorder="0" applyAlignment="0" applyProtection="0"/>
    <xf numFmtId="43" fontId="1" fillId="0" borderId="0" applyFont="0" applyFill="0" applyBorder="0" applyAlignment="0" applyProtection="0"/>
    <xf numFmtId="177" fontId="8" fillId="0" borderId="0" applyFont="0" applyFill="0" applyBorder="0" applyAlignment="0" applyProtection="0"/>
    <xf numFmtId="0" fontId="8" fillId="0" borderId="0"/>
    <xf numFmtId="44" fontId="1" fillId="0" borderId="0" applyFont="0" applyFill="0" applyBorder="0" applyAlignment="0" applyProtection="0"/>
    <xf numFmtId="43" fontId="1" fillId="0" borderId="0" applyFont="0" applyFill="0" applyBorder="0" applyAlignment="0" applyProtection="0"/>
    <xf numFmtId="175" fontId="5" fillId="0" borderId="0"/>
    <xf numFmtId="0" fontId="8" fillId="0" borderId="0"/>
    <xf numFmtId="168" fontId="1" fillId="0" borderId="0"/>
    <xf numFmtId="0" fontId="8" fillId="0" borderId="0"/>
    <xf numFmtId="0" fontId="8" fillId="0" borderId="0"/>
    <xf numFmtId="0" fontId="8" fillId="0" borderId="0"/>
    <xf numFmtId="168" fontId="1"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8" fontId="1" fillId="0" borderId="0"/>
    <xf numFmtId="43" fontId="1" fillId="0" borderId="0" applyFont="0" applyFill="0" applyBorder="0" applyAlignment="0" applyProtection="0"/>
    <xf numFmtId="168"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8" fontId="1" fillId="0" borderId="0"/>
    <xf numFmtId="43" fontId="1" fillId="0" borderId="0" applyFont="0" applyFill="0" applyBorder="0" applyAlignment="0" applyProtection="0"/>
    <xf numFmtId="168" fontId="1" fillId="0" borderId="0"/>
    <xf numFmtId="168" fontId="1" fillId="0" borderId="0"/>
    <xf numFmtId="168" fontId="1" fillId="0" borderId="0"/>
    <xf numFmtId="43" fontId="1" fillId="0" borderId="0" applyFont="0" applyFill="0" applyBorder="0" applyAlignment="0" applyProtection="0"/>
    <xf numFmtId="168" fontId="1" fillId="0" borderId="0"/>
    <xf numFmtId="44" fontId="1" fillId="0" borderId="0" applyFont="0" applyFill="0" applyBorder="0" applyAlignment="0" applyProtection="0"/>
    <xf numFmtId="168" fontId="1" fillId="0" borderId="0"/>
    <xf numFmtId="168" fontId="1" fillId="0" borderId="0"/>
    <xf numFmtId="43" fontId="1" fillId="0" borderId="0" applyFont="0" applyFill="0" applyBorder="0" applyAlignment="0" applyProtection="0"/>
    <xf numFmtId="43" fontId="1" fillId="0" borderId="0" applyFont="0" applyFill="0" applyBorder="0" applyAlignment="0" applyProtection="0"/>
    <xf numFmtId="168" fontId="1"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8" fontId="1" fillId="0" borderId="0"/>
    <xf numFmtId="168" fontId="1" fillId="0" borderId="0"/>
    <xf numFmtId="168" fontId="1" fillId="0" borderId="0"/>
    <xf numFmtId="43" fontId="1" fillId="0" borderId="0" applyFont="0" applyFill="0" applyBorder="0" applyAlignment="0" applyProtection="0"/>
    <xf numFmtId="168" fontId="1" fillId="0" borderId="0"/>
    <xf numFmtId="168" fontId="1" fillId="0" borderId="0"/>
    <xf numFmtId="168" fontId="1" fillId="0" borderId="0"/>
    <xf numFmtId="44" fontId="1" fillId="0" borderId="0" applyFont="0" applyFill="0" applyBorder="0" applyAlignment="0" applyProtection="0"/>
    <xf numFmtId="168" fontId="1" fillId="0" borderId="0"/>
    <xf numFmtId="168" fontId="1" fillId="0" borderId="0"/>
    <xf numFmtId="43" fontId="1" fillId="0" borderId="0" applyFont="0" applyFill="0" applyBorder="0" applyAlignment="0" applyProtection="0"/>
    <xf numFmtId="168" fontId="1"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168"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168" fontId="1" fillId="0" borderId="0"/>
    <xf numFmtId="43" fontId="1" fillId="0" borderId="0" applyFont="0" applyFill="0" applyBorder="0" applyAlignment="0" applyProtection="0"/>
    <xf numFmtId="43" fontId="1" fillId="0" borderId="0" applyFont="0" applyFill="0" applyBorder="0" applyAlignment="0" applyProtection="0"/>
    <xf numFmtId="168" fontId="1" fillId="0" borderId="0"/>
    <xf numFmtId="43" fontId="1" fillId="0" borderId="0" applyFont="0" applyFill="0" applyBorder="0" applyAlignment="0" applyProtection="0"/>
    <xf numFmtId="44" fontId="1" fillId="0" borderId="0" applyFont="0" applyFill="0" applyBorder="0" applyAlignment="0" applyProtection="0"/>
    <xf numFmtId="168" fontId="1" fillId="0" borderId="0"/>
    <xf numFmtId="44" fontId="1" fillId="0" borderId="0" applyFont="0" applyFill="0" applyBorder="0" applyAlignment="0" applyProtection="0"/>
    <xf numFmtId="168" fontId="1" fillId="0" borderId="0"/>
    <xf numFmtId="43" fontId="1" fillId="0" borderId="0" applyFont="0" applyFill="0" applyBorder="0" applyAlignment="0" applyProtection="0"/>
    <xf numFmtId="168" fontId="1" fillId="0" borderId="0"/>
    <xf numFmtId="43" fontId="1" fillId="0" borderId="0" applyFont="0" applyFill="0" applyBorder="0" applyAlignment="0" applyProtection="0"/>
    <xf numFmtId="44" fontId="1" fillId="0" borderId="0" applyFont="0" applyFill="0" applyBorder="0" applyAlignment="0" applyProtection="0"/>
    <xf numFmtId="168" fontId="1" fillId="0" borderId="0"/>
    <xf numFmtId="44" fontId="1" fillId="0" borderId="0" applyFont="0" applyFill="0" applyBorder="0" applyAlignment="0" applyProtection="0"/>
    <xf numFmtId="168" fontId="1"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8" fontId="1" fillId="0" borderId="0"/>
    <xf numFmtId="44" fontId="1" fillId="0" borderId="0" applyFont="0" applyFill="0" applyBorder="0" applyAlignment="0" applyProtection="0"/>
    <xf numFmtId="168" fontId="1" fillId="0" borderId="0"/>
    <xf numFmtId="168" fontId="1" fillId="0" borderId="0"/>
    <xf numFmtId="0" fontId="59" fillId="0" borderId="0"/>
    <xf numFmtId="41" fontId="60"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1" fontId="60" fillId="0" borderId="0" applyFont="0" applyFill="0" applyBorder="0" applyAlignment="0" applyProtection="0"/>
    <xf numFmtId="168" fontId="1"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5" fillId="0" borderId="0" applyFont="0" applyFill="0" applyBorder="0" applyAlignment="0" applyProtection="0"/>
    <xf numFmtId="165" fontId="1" fillId="0" borderId="0" applyFont="0" applyFill="0" applyBorder="0" applyAlignment="0" applyProtection="0"/>
    <xf numFmtId="0" fontId="17" fillId="15" borderId="0" applyNumberFormat="0" applyBorder="0" applyAlignment="0" applyProtection="0"/>
    <xf numFmtId="0" fontId="1" fillId="19" borderId="44" applyNumberFormat="0" applyFont="0" applyAlignment="0" applyProtection="0"/>
    <xf numFmtId="0" fontId="25" fillId="23" borderId="0" applyNumberFormat="0" applyBorder="0" applyAlignment="0" applyProtection="0"/>
    <xf numFmtId="0" fontId="25" fillId="27" borderId="0" applyNumberFormat="0" applyBorder="0" applyAlignment="0" applyProtection="0"/>
    <xf numFmtId="0" fontId="25" fillId="31" borderId="0" applyNumberFormat="0" applyBorder="0" applyAlignment="0" applyProtection="0"/>
    <xf numFmtId="0" fontId="25" fillId="35" borderId="0" applyNumberFormat="0" applyBorder="0" applyAlignment="0" applyProtection="0"/>
    <xf numFmtId="0" fontId="25" fillId="39" borderId="0" applyNumberFormat="0" applyBorder="0" applyAlignment="0" applyProtection="0"/>
    <xf numFmtId="0" fontId="25" fillId="43" borderId="0" applyNumberFormat="0" applyBorder="0" applyAlignment="0" applyProtection="0"/>
    <xf numFmtId="41" fontId="1" fillId="0" borderId="0" applyFont="0" applyFill="0" applyBorder="0" applyAlignment="0" applyProtection="0"/>
    <xf numFmtId="165"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6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6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662">
    <xf numFmtId="168" fontId="0" fillId="0" borderId="0" xfId="0"/>
    <xf numFmtId="168" fontId="2" fillId="0" borderId="0" xfId="0" applyFont="1"/>
    <xf numFmtId="168" fontId="2" fillId="2" borderId="0" xfId="0" applyFont="1" applyFill="1"/>
    <xf numFmtId="168" fontId="4" fillId="2" borderId="0" xfId="0" applyFont="1" applyFill="1" applyAlignment="1">
      <alignment horizontal="center" vertical="center"/>
    </xf>
    <xf numFmtId="168" fontId="4" fillId="0" borderId="0" xfId="0" applyFont="1" applyAlignment="1">
      <alignment horizontal="center" vertical="center"/>
    </xf>
    <xf numFmtId="168" fontId="3" fillId="2" borderId="0" xfId="0" applyFont="1" applyFill="1" applyAlignment="1">
      <alignment vertical="center"/>
    </xf>
    <xf numFmtId="168" fontId="3" fillId="0" borderId="0" xfId="0" applyFont="1" applyAlignment="1">
      <alignment vertical="center"/>
    </xf>
    <xf numFmtId="168" fontId="6" fillId="0" borderId="0" xfId="0" applyFont="1"/>
    <xf numFmtId="0" fontId="2" fillId="0" borderId="0" xfId="0" applyNumberFormat="1" applyFont="1" applyAlignment="1">
      <alignment horizontal="left" vertical="center"/>
    </xf>
    <xf numFmtId="0" fontId="2" fillId="0" borderId="0" xfId="0" applyNumberFormat="1" applyFont="1" applyAlignment="1">
      <alignment horizontal="center" vertical="center"/>
    </xf>
    <xf numFmtId="168" fontId="2" fillId="0" borderId="0" xfId="0" applyFont="1" applyAlignment="1">
      <alignment horizontal="center"/>
    </xf>
    <xf numFmtId="0" fontId="2" fillId="0" borderId="0" xfId="0" applyNumberFormat="1" applyFont="1" applyAlignment="1">
      <alignment horizontal="justify" vertical="center" wrapText="1"/>
    </xf>
    <xf numFmtId="0" fontId="2" fillId="0" borderId="0" xfId="0" applyNumberFormat="1" applyFont="1" applyAlignment="1">
      <alignment horizontal="center" vertical="center" wrapText="1"/>
    </xf>
    <xf numFmtId="168" fontId="2" fillId="0" borderId="0" xfId="0" applyFont="1" applyAlignment="1">
      <alignment horizontal="justify" vertical="center" wrapText="1"/>
    </xf>
    <xf numFmtId="168" fontId="6" fillId="2" borderId="0" xfId="0" applyFont="1" applyFill="1"/>
    <xf numFmtId="171" fontId="2" fillId="0" borderId="0" xfId="8" applyNumberFormat="1" applyFont="1" applyAlignment="1">
      <alignment horizontal="center"/>
    </xf>
    <xf numFmtId="168" fontId="2" fillId="2" borderId="0" xfId="0" applyFont="1" applyFill="1" applyAlignment="1">
      <alignment vertical="center"/>
    </xf>
    <xf numFmtId="173" fontId="2" fillId="2" borderId="0" xfId="4" applyNumberFormat="1" applyFont="1" applyFill="1" applyBorder="1"/>
    <xf numFmtId="173" fontId="2" fillId="0" borderId="0" xfId="4" applyNumberFormat="1" applyFont="1" applyFill="1" applyBorder="1"/>
    <xf numFmtId="168" fontId="3" fillId="2" borderId="0" xfId="0" applyFont="1" applyFill="1"/>
    <xf numFmtId="168" fontId="3" fillId="0" borderId="0" xfId="0" applyFont="1"/>
    <xf numFmtId="168" fontId="3" fillId="0" borderId="5" xfId="0" applyFont="1" applyBorder="1" applyAlignment="1">
      <alignment horizontal="center" vertical="center" wrapText="1"/>
    </xf>
    <xf numFmtId="168" fontId="3" fillId="0" borderId="6" xfId="0" applyFont="1" applyBorder="1" applyAlignment="1">
      <alignment horizontal="center" vertical="center" wrapText="1"/>
    </xf>
    <xf numFmtId="0" fontId="3" fillId="0" borderId="0" xfId="0" applyNumberFormat="1" applyFont="1" applyFill="1" applyAlignment="1">
      <alignment horizontal="left" vertical="center"/>
    </xf>
    <xf numFmtId="0" fontId="3" fillId="0" borderId="0" xfId="0" applyNumberFormat="1" applyFont="1" applyFill="1" applyAlignment="1">
      <alignment horizontal="center" vertical="center"/>
    </xf>
    <xf numFmtId="168" fontId="3" fillId="0" borderId="0" xfId="0" applyFont="1" applyFill="1" applyAlignment="1">
      <alignment horizontal="center"/>
    </xf>
    <xf numFmtId="168" fontId="3" fillId="0" borderId="0" xfId="0" applyFont="1" applyFill="1"/>
    <xf numFmtId="168" fontId="2" fillId="0" borderId="0" xfId="0" applyFont="1" applyFill="1"/>
    <xf numFmtId="168" fontId="6" fillId="0" borderId="0" xfId="0" applyFont="1" applyFill="1"/>
    <xf numFmtId="168" fontId="6" fillId="2" borderId="0" xfId="0" applyFont="1" applyFill="1" applyAlignment="1">
      <alignment vertical="center"/>
    </xf>
    <xf numFmtId="168" fontId="12" fillId="0" borderId="0" xfId="0" applyFont="1"/>
    <xf numFmtId="168" fontId="2" fillId="2" borderId="0" xfId="0" applyFont="1" applyFill="1" applyBorder="1"/>
    <xf numFmtId="168" fontId="4" fillId="2" borderId="0" xfId="0" applyFont="1" applyFill="1" applyBorder="1" applyAlignment="1">
      <alignment horizontal="center" vertical="center"/>
    </xf>
    <xf numFmtId="168" fontId="3" fillId="2" borderId="0" xfId="0" applyFont="1" applyFill="1" applyBorder="1" applyAlignment="1">
      <alignment vertical="center"/>
    </xf>
    <xf numFmtId="168" fontId="2" fillId="0" borderId="0" xfId="0" applyFont="1" applyFill="1" applyBorder="1"/>
    <xf numFmtId="168" fontId="6" fillId="2" borderId="0" xfId="0" applyFont="1" applyFill="1" applyBorder="1"/>
    <xf numFmtId="168" fontId="2" fillId="0" borderId="0" xfId="0" applyFont="1" applyBorder="1"/>
    <xf numFmtId="168" fontId="6" fillId="0" borderId="0" xfId="0" applyFont="1" applyFill="1" applyBorder="1"/>
    <xf numFmtId="168" fontId="3" fillId="2" borderId="0" xfId="0" applyFont="1" applyFill="1" applyBorder="1"/>
    <xf numFmtId="168" fontId="3" fillId="0" borderId="0" xfId="0" applyFont="1" applyFill="1" applyBorder="1"/>
    <xf numFmtId="168" fontId="2" fillId="2" borderId="0" xfId="0" applyFont="1" applyFill="1" applyAlignment="1">
      <alignment horizontal="center"/>
    </xf>
    <xf numFmtId="0" fontId="3" fillId="11" borderId="13" xfId="0" applyNumberFormat="1" applyFont="1" applyFill="1" applyBorder="1" applyAlignment="1">
      <alignment horizontal="left" vertical="center"/>
    </xf>
    <xf numFmtId="0" fontId="3" fillId="11" borderId="13" xfId="0" applyNumberFormat="1" applyFont="1" applyFill="1" applyBorder="1" applyAlignment="1">
      <alignment horizontal="center" vertical="center" wrapText="1"/>
    </xf>
    <xf numFmtId="168" fontId="2" fillId="2" borderId="0" xfId="0" applyFont="1" applyFill="1" applyAlignment="1">
      <alignment horizontal="justify" vertical="center"/>
    </xf>
    <xf numFmtId="0" fontId="2" fillId="0" borderId="13" xfId="0" applyNumberFormat="1" applyFont="1" applyFill="1" applyBorder="1" applyAlignment="1">
      <alignment horizontal="center" vertical="center" wrapText="1"/>
    </xf>
    <xf numFmtId="0" fontId="3" fillId="0" borderId="13" xfId="0" applyNumberFormat="1" applyFont="1" applyBorder="1" applyAlignment="1">
      <alignment horizontal="center" vertical="center" wrapText="1"/>
    </xf>
    <xf numFmtId="0" fontId="2" fillId="0" borderId="13" xfId="0" applyNumberFormat="1" applyFont="1" applyBorder="1" applyAlignment="1">
      <alignment horizontal="center" vertical="center"/>
    </xf>
    <xf numFmtId="0" fontId="2" fillId="0" borderId="13" xfId="7" applyFont="1" applyFill="1" applyBorder="1" applyAlignment="1">
      <alignment horizontal="justify" vertical="center" wrapText="1"/>
    </xf>
    <xf numFmtId="168" fontId="3" fillId="0" borderId="13" xfId="0" applyFont="1" applyBorder="1" applyAlignment="1">
      <alignment vertical="center"/>
    </xf>
    <xf numFmtId="168" fontId="2" fillId="0" borderId="13" xfId="0" applyFont="1" applyBorder="1"/>
    <xf numFmtId="43" fontId="2" fillId="0" borderId="13" xfId="1" applyFont="1" applyFill="1" applyBorder="1" applyAlignment="1">
      <alignment horizontal="justify" vertical="center"/>
    </xf>
    <xf numFmtId="0" fontId="3" fillId="0" borderId="13" xfId="0" applyNumberFormat="1" applyFont="1" applyBorder="1" applyAlignment="1">
      <alignment horizontal="center" vertical="center"/>
    </xf>
    <xf numFmtId="0" fontId="3" fillId="7" borderId="13" xfId="0" applyNumberFormat="1" applyFont="1" applyFill="1" applyBorder="1" applyAlignment="1">
      <alignment horizontal="left" vertical="center"/>
    </xf>
    <xf numFmtId="168" fontId="3" fillId="7" borderId="13" xfId="0" applyFont="1" applyFill="1" applyBorder="1" applyAlignment="1">
      <alignment horizontal="justify" vertical="center" wrapText="1"/>
    </xf>
    <xf numFmtId="168" fontId="2" fillId="0" borderId="13" xfId="0" applyFont="1" applyFill="1" applyBorder="1"/>
    <xf numFmtId="0" fontId="3" fillId="0" borderId="13" xfId="0" applyNumberFormat="1" applyFont="1" applyFill="1" applyBorder="1" applyAlignment="1">
      <alignment horizontal="center" vertical="center" wrapText="1"/>
    </xf>
    <xf numFmtId="0" fontId="2" fillId="0" borderId="13" xfId="0" applyNumberFormat="1" applyFont="1" applyFill="1" applyBorder="1" applyAlignment="1">
      <alignment horizontal="center" vertical="center"/>
    </xf>
    <xf numFmtId="168" fontId="2" fillId="0" borderId="0" xfId="0" applyFont="1" applyFill="1" applyAlignment="1">
      <alignment horizontal="left" vertical="center" wrapText="1"/>
    </xf>
    <xf numFmtId="168" fontId="2" fillId="8" borderId="3" xfId="0" applyFont="1" applyFill="1" applyBorder="1" applyAlignment="1">
      <alignment horizontal="justify" vertical="center" wrapText="1"/>
    </xf>
    <xf numFmtId="0" fontId="3" fillId="13" borderId="33" xfId="0" applyNumberFormat="1" applyFont="1" applyFill="1" applyBorder="1" applyAlignment="1">
      <alignment horizontal="left" vertical="center"/>
    </xf>
    <xf numFmtId="0" fontId="3" fillId="13" borderId="34" xfId="0" applyNumberFormat="1" applyFont="1" applyFill="1" applyBorder="1" applyAlignment="1">
      <alignment horizontal="center" vertical="center"/>
    </xf>
    <xf numFmtId="0" fontId="2" fillId="13" borderId="34" xfId="0" applyNumberFormat="1" applyFont="1" applyFill="1" applyBorder="1" applyAlignment="1">
      <alignment horizontal="center" vertical="center"/>
    </xf>
    <xf numFmtId="168" fontId="2" fillId="13" borderId="34" xfId="0" applyFont="1" applyFill="1" applyBorder="1" applyAlignment="1">
      <alignment horizontal="center"/>
    </xf>
    <xf numFmtId="168" fontId="2" fillId="0" borderId="0" xfId="0" applyFont="1" applyFill="1" applyAlignment="1">
      <alignment horizontal="center"/>
    </xf>
    <xf numFmtId="168" fontId="6" fillId="0" borderId="0" xfId="0" applyFont="1" applyAlignment="1">
      <alignment horizontal="center"/>
    </xf>
    <xf numFmtId="4" fontId="6" fillId="0" borderId="0" xfId="0" applyNumberFormat="1" applyFont="1" applyAlignment="1">
      <alignment horizontal="center"/>
    </xf>
    <xf numFmtId="168" fontId="6" fillId="0" borderId="0" xfId="0" applyFont="1" applyAlignment="1">
      <alignment wrapText="1"/>
    </xf>
    <xf numFmtId="168" fontId="6" fillId="0" borderId="0" xfId="0" applyFont="1" applyAlignment="1">
      <alignment horizontal="center" vertical="center"/>
    </xf>
    <xf numFmtId="0" fontId="3" fillId="11" borderId="16" xfId="0" applyNumberFormat="1" applyFont="1" applyFill="1" applyBorder="1" applyAlignment="1">
      <alignment horizontal="left" vertical="center"/>
    </xf>
    <xf numFmtId="0" fontId="2" fillId="44" borderId="13" xfId="0" applyNumberFormat="1" applyFont="1" applyFill="1" applyBorder="1" applyAlignment="1">
      <alignment horizontal="center" vertical="center" wrapText="1"/>
    </xf>
    <xf numFmtId="0" fontId="2" fillId="44" borderId="13" xfId="0" applyNumberFormat="1" applyFont="1" applyFill="1" applyBorder="1" applyAlignment="1">
      <alignment vertical="center"/>
    </xf>
    <xf numFmtId="0" fontId="2" fillId="44" borderId="13" xfId="0" applyNumberFormat="1" applyFont="1" applyFill="1" applyBorder="1" applyAlignment="1">
      <alignment horizontal="justify" vertical="center" wrapText="1"/>
    </xf>
    <xf numFmtId="0" fontId="2" fillId="44" borderId="13" xfId="0" applyNumberFormat="1" applyFont="1" applyFill="1" applyBorder="1" applyAlignment="1">
      <alignment horizontal="justify" vertical="center"/>
    </xf>
    <xf numFmtId="0" fontId="2" fillId="0" borderId="16" xfId="0" applyNumberFormat="1" applyFont="1" applyFill="1" applyBorder="1" applyAlignment="1">
      <alignment horizontal="center" vertical="center" wrapText="1"/>
    </xf>
    <xf numFmtId="0" fontId="2" fillId="0" borderId="3" xfId="9"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2" fillId="0" borderId="3" xfId="7" applyFont="1" applyFill="1" applyBorder="1" applyAlignment="1">
      <alignment horizontal="center" vertical="center" wrapText="1"/>
    </xf>
    <xf numFmtId="168" fontId="4" fillId="0" borderId="0" xfId="0" applyFont="1" applyFill="1" applyAlignment="1">
      <alignment horizontal="center" vertical="center"/>
    </xf>
    <xf numFmtId="168" fontId="51" fillId="9" borderId="59" xfId="0" applyFont="1" applyFill="1" applyBorder="1" applyAlignment="1">
      <alignment horizontal="center" vertical="center" wrapText="1"/>
    </xf>
    <xf numFmtId="168" fontId="51" fillId="0" borderId="59" xfId="0" applyFont="1" applyBorder="1" applyAlignment="1">
      <alignment horizontal="center" vertical="center" wrapText="1"/>
    </xf>
    <xf numFmtId="168" fontId="6" fillId="0" borderId="59" xfId="0" applyFont="1" applyBorder="1" applyAlignment="1">
      <alignment horizontal="center" vertical="center" wrapText="1"/>
    </xf>
    <xf numFmtId="168" fontId="51" fillId="9" borderId="59" xfId="0" applyFont="1" applyFill="1" applyBorder="1" applyAlignment="1">
      <alignment horizontal="center" vertical="center"/>
    </xf>
    <xf numFmtId="168" fontId="51" fillId="0" borderId="59" xfId="0" applyFont="1" applyBorder="1" applyAlignment="1">
      <alignment horizontal="center" vertical="center"/>
    </xf>
    <xf numFmtId="168" fontId="6" fillId="0" borderId="59" xfId="0" applyFont="1" applyBorder="1" applyAlignment="1">
      <alignment horizontal="center" vertical="center"/>
    </xf>
    <xf numFmtId="1" fontId="51" fillId="9" borderId="59" xfId="0" applyNumberFormat="1" applyFont="1" applyFill="1" applyBorder="1" applyAlignment="1">
      <alignment horizontal="center" vertical="center"/>
    </xf>
    <xf numFmtId="168" fontId="51" fillId="0" borderId="58" xfId="0" applyFont="1" applyBorder="1" applyAlignment="1">
      <alignment horizontal="justify" vertical="center" wrapText="1"/>
    </xf>
    <xf numFmtId="168" fontId="6" fillId="0" borderId="58" xfId="0" applyFont="1" applyBorder="1" applyAlignment="1">
      <alignment horizontal="justify" vertical="center" wrapText="1"/>
    </xf>
    <xf numFmtId="168" fontId="51" fillId="9" borderId="58" xfId="0" applyFont="1" applyFill="1" applyBorder="1" applyAlignment="1">
      <alignment horizontal="justify" vertical="center" wrapText="1"/>
    </xf>
    <xf numFmtId="0" fontId="6" fillId="0" borderId="58" xfId="0" applyNumberFormat="1" applyFont="1" applyBorder="1" applyAlignment="1">
      <alignment horizontal="justify" vertical="center" wrapText="1"/>
    </xf>
    <xf numFmtId="168" fontId="51" fillId="9" borderId="64" xfId="0" applyFont="1" applyFill="1" applyBorder="1" applyAlignment="1">
      <alignment horizontal="center" vertical="center"/>
    </xf>
    <xf numFmtId="168" fontId="51" fillId="0" borderId="0" xfId="0" applyFont="1" applyBorder="1" applyAlignment="1">
      <alignment horizontal="justify" vertical="center" wrapText="1"/>
    </xf>
    <xf numFmtId="168" fontId="6" fillId="0" borderId="0" xfId="0" applyFont="1" applyAlignment="1">
      <alignment vertical="center"/>
    </xf>
    <xf numFmtId="0" fontId="3" fillId="11" borderId="13" xfId="0" applyNumberFormat="1" applyFont="1" applyFill="1" applyBorder="1" applyAlignment="1">
      <alignment vertical="center"/>
    </xf>
    <xf numFmtId="0" fontId="2" fillId="0" borderId="0" xfId="0" applyNumberFormat="1" applyFont="1" applyBorder="1" applyAlignment="1">
      <alignment horizontal="center" vertical="center"/>
    </xf>
    <xf numFmtId="168" fontId="2" fillId="0" borderId="0" xfId="0" applyFont="1" applyBorder="1" applyAlignment="1">
      <alignment horizontal="center"/>
    </xf>
    <xf numFmtId="168" fontId="6" fillId="0" borderId="13" xfId="0" applyFont="1" applyBorder="1"/>
    <xf numFmtId="168" fontId="6" fillId="0" borderId="13" xfId="0" applyFont="1" applyFill="1" applyBorder="1"/>
    <xf numFmtId="168" fontId="2" fillId="0" borderId="0" xfId="0" applyFont="1" applyBorder="1" applyAlignment="1">
      <alignment horizontal="justify"/>
    </xf>
    <xf numFmtId="43" fontId="3" fillId="11" borderId="13" xfId="1" applyFont="1" applyFill="1" applyBorder="1" applyAlignment="1">
      <alignment vertical="center"/>
    </xf>
    <xf numFmtId="168" fontId="3" fillId="7" borderId="13" xfId="0" applyFont="1" applyFill="1" applyBorder="1" applyAlignment="1">
      <alignment horizontal="center" vertical="center"/>
    </xf>
    <xf numFmtId="43" fontId="3" fillId="7" borderId="13" xfId="0" applyNumberFormat="1" applyFont="1" applyFill="1" applyBorder="1" applyAlignment="1">
      <alignment vertical="center"/>
    </xf>
    <xf numFmtId="43" fontId="3" fillId="7" borderId="13" xfId="0" applyNumberFormat="1" applyFont="1" applyFill="1" applyBorder="1" applyAlignment="1">
      <alignment horizontal="center" vertical="center"/>
    </xf>
    <xf numFmtId="168" fontId="3" fillId="7" borderId="0" xfId="0" applyFont="1" applyFill="1" applyAlignment="1">
      <alignment vertical="center"/>
    </xf>
    <xf numFmtId="43" fontId="3" fillId="8" borderId="9" xfId="0" applyNumberFormat="1" applyFont="1" applyFill="1" applyBorder="1" applyAlignment="1">
      <alignment vertical="center"/>
    </xf>
    <xf numFmtId="43" fontId="3" fillId="8" borderId="3" xfId="0" applyNumberFormat="1" applyFont="1" applyFill="1" applyBorder="1" applyAlignment="1">
      <alignment horizontal="center" vertical="center"/>
    </xf>
    <xf numFmtId="168" fontId="2" fillId="8" borderId="0" xfId="0" applyFont="1" applyFill="1" applyAlignment="1">
      <alignment vertical="center"/>
    </xf>
    <xf numFmtId="168" fontId="51" fillId="0" borderId="59" xfId="0" applyFont="1" applyFill="1" applyBorder="1" applyAlignment="1">
      <alignment horizontal="center" vertical="center" wrapText="1"/>
    </xf>
    <xf numFmtId="168" fontId="6" fillId="0" borderId="59" xfId="0" applyFont="1" applyFill="1" applyBorder="1" applyAlignment="1">
      <alignment horizontal="center" vertical="center" wrapText="1"/>
    </xf>
    <xf numFmtId="10" fontId="6" fillId="0" borderId="57" xfId="282" applyNumberFormat="1" applyFont="1" applyBorder="1" applyAlignment="1">
      <alignment horizontal="center" vertical="center"/>
    </xf>
    <xf numFmtId="0" fontId="3" fillId="7" borderId="15" xfId="0" applyNumberFormat="1" applyFont="1" applyFill="1" applyBorder="1" applyAlignment="1">
      <alignment horizontal="left" vertical="center"/>
    </xf>
    <xf numFmtId="0" fontId="3" fillId="7" borderId="18" xfId="0" applyNumberFormat="1" applyFont="1" applyFill="1" applyBorder="1" applyAlignment="1">
      <alignment horizontal="center" vertical="center"/>
    </xf>
    <xf numFmtId="168" fontId="3" fillId="7" borderId="18" xfId="0" applyFont="1" applyFill="1" applyBorder="1" applyAlignment="1">
      <alignment horizontal="center" vertical="center"/>
    </xf>
    <xf numFmtId="0" fontId="3" fillId="7" borderId="18" xfId="0" applyNumberFormat="1" applyFont="1" applyFill="1" applyBorder="1" applyAlignment="1">
      <alignment horizontal="justify" vertical="center" wrapText="1"/>
    </xf>
    <xf numFmtId="168" fontId="3" fillId="7" borderId="18" xfId="0" applyFont="1" applyFill="1" applyBorder="1" applyAlignment="1">
      <alignment horizontal="justify" vertical="center" wrapText="1"/>
    </xf>
    <xf numFmtId="0" fontId="3" fillId="7" borderId="18" xfId="0" applyNumberFormat="1" applyFont="1" applyFill="1" applyBorder="1" applyAlignment="1">
      <alignment horizontal="center" vertical="center" wrapText="1"/>
    </xf>
    <xf numFmtId="0" fontId="3" fillId="7" borderId="16" xfId="0" applyNumberFormat="1" applyFont="1" applyFill="1" applyBorder="1" applyAlignment="1">
      <alignment horizontal="center" vertical="center" wrapText="1"/>
    </xf>
    <xf numFmtId="168" fontId="2" fillId="8" borderId="9" xfId="0" applyFont="1" applyFill="1" applyBorder="1" applyAlignment="1">
      <alignment horizontal="center" vertical="center"/>
    </xf>
    <xf numFmtId="0" fontId="2" fillId="8" borderId="18" xfId="0" applyNumberFormat="1" applyFont="1" applyFill="1" applyBorder="1" applyAlignment="1">
      <alignment horizontal="left" vertical="center"/>
    </xf>
    <xf numFmtId="0" fontId="2" fillId="8" borderId="18" xfId="0" applyNumberFormat="1" applyFont="1" applyFill="1" applyBorder="1" applyAlignment="1">
      <alignment horizontal="center" vertical="center"/>
    </xf>
    <xf numFmtId="168" fontId="2" fillId="8" borderId="18" xfId="0" applyFont="1" applyFill="1" applyBorder="1" applyAlignment="1">
      <alignment horizontal="center" vertical="center"/>
    </xf>
    <xf numFmtId="0" fontId="2" fillId="8" borderId="18" xfId="0" applyNumberFormat="1" applyFont="1" applyFill="1" applyBorder="1" applyAlignment="1">
      <alignment horizontal="justify" vertical="center" wrapText="1"/>
    </xf>
    <xf numFmtId="168" fontId="2" fillId="8" borderId="18" xfId="0" applyFont="1" applyFill="1" applyBorder="1" applyAlignment="1">
      <alignment horizontal="justify" vertical="center" wrapText="1"/>
    </xf>
    <xf numFmtId="0" fontId="2" fillId="8" borderId="18" xfId="0" applyNumberFormat="1" applyFont="1" applyFill="1" applyBorder="1" applyAlignment="1">
      <alignment horizontal="center" vertical="center" wrapText="1"/>
    </xf>
    <xf numFmtId="0" fontId="2" fillId="8" borderId="16" xfId="0" applyNumberFormat="1" applyFont="1" applyFill="1" applyBorder="1" applyAlignment="1">
      <alignment horizontal="center" vertical="center" wrapText="1"/>
    </xf>
    <xf numFmtId="43" fontId="2" fillId="0" borderId="13" xfId="1" applyFont="1" applyFill="1" applyBorder="1" applyAlignment="1">
      <alignment vertical="center"/>
    </xf>
    <xf numFmtId="167" fontId="2" fillId="0" borderId="3" xfId="5" applyFont="1" applyFill="1" applyBorder="1" applyAlignment="1" applyProtection="1">
      <alignment horizontal="right" vertical="center"/>
      <protection locked="0"/>
    </xf>
    <xf numFmtId="168" fontId="52" fillId="0" borderId="0" xfId="0" applyFont="1"/>
    <xf numFmtId="0" fontId="28" fillId="0" borderId="0" xfId="94" applyFont="1"/>
    <xf numFmtId="0" fontId="28" fillId="0" borderId="0" xfId="94" applyFont="1" applyFill="1"/>
    <xf numFmtId="0" fontId="6" fillId="0" borderId="3" xfId="94" applyFont="1" applyBorder="1" applyAlignment="1">
      <alignment horizontal="center" vertical="center"/>
    </xf>
    <xf numFmtId="0" fontId="6" fillId="0" borderId="3" xfId="94" applyFont="1" applyBorder="1" applyAlignment="1">
      <alignment horizontal="left" vertical="center"/>
    </xf>
    <xf numFmtId="167" fontId="2" fillId="0" borderId="3" xfId="103" applyNumberFormat="1" applyFont="1" applyBorder="1" applyAlignment="1">
      <alignment horizontal="right" vertical="center"/>
    </xf>
    <xf numFmtId="9" fontId="2" fillId="0" borderId="3" xfId="96" applyFont="1" applyBorder="1" applyAlignment="1">
      <alignment horizontal="center" vertical="center"/>
    </xf>
    <xf numFmtId="167" fontId="2" fillId="0" borderId="3" xfId="96" applyNumberFormat="1" applyFont="1" applyBorder="1" applyAlignment="1">
      <alignment horizontal="center" vertical="center"/>
    </xf>
    <xf numFmtId="167" fontId="2" fillId="0" borderId="3" xfId="103" applyNumberFormat="1" applyFont="1" applyFill="1" applyBorder="1" applyAlignment="1">
      <alignment horizontal="right" vertical="center"/>
    </xf>
    <xf numFmtId="167" fontId="2" fillId="0" borderId="3" xfId="282" applyNumberFormat="1" applyFont="1" applyFill="1" applyBorder="1" applyAlignment="1">
      <alignment horizontal="right" vertical="center"/>
    </xf>
    <xf numFmtId="167" fontId="2" fillId="0" borderId="3" xfId="282" applyNumberFormat="1" applyFont="1" applyBorder="1" applyAlignment="1">
      <alignment horizontal="center" vertical="center"/>
    </xf>
    <xf numFmtId="167" fontId="6" fillId="0" borderId="3" xfId="103" applyNumberFormat="1" applyFont="1" applyBorder="1" applyAlignment="1">
      <alignment vertical="center"/>
    </xf>
    <xf numFmtId="0" fontId="28" fillId="0" borderId="0" xfId="94" applyFont="1" applyAlignment="1">
      <alignment vertical="center"/>
    </xf>
    <xf numFmtId="167" fontId="6" fillId="0" borderId="3" xfId="103" applyNumberFormat="1" applyFont="1" applyFill="1" applyBorder="1" applyAlignment="1">
      <alignment vertical="center"/>
    </xf>
    <xf numFmtId="0" fontId="6" fillId="0" borderId="3" xfId="94" applyFont="1" applyBorder="1" applyAlignment="1">
      <alignment horizontal="left" vertical="center" wrapText="1"/>
    </xf>
    <xf numFmtId="0" fontId="2" fillId="0" borderId="3" xfId="94" applyFont="1" applyBorder="1" applyAlignment="1">
      <alignment horizontal="center" vertical="center"/>
    </xf>
    <xf numFmtId="167" fontId="2" fillId="0" borderId="3" xfId="94" applyNumberFormat="1" applyFont="1" applyBorder="1" applyAlignment="1">
      <alignment horizontal="right" vertical="center"/>
    </xf>
    <xf numFmtId="0" fontId="8" fillId="0" borderId="0" xfId="94" applyFont="1" applyAlignment="1">
      <alignment vertical="center"/>
    </xf>
    <xf numFmtId="167" fontId="2" fillId="0" borderId="3" xfId="103" applyNumberFormat="1" applyFont="1" applyBorder="1" applyAlignment="1">
      <alignment vertical="center"/>
    </xf>
    <xf numFmtId="0" fontId="54" fillId="0" borderId="0" xfId="94" applyFont="1" applyFill="1" applyAlignment="1">
      <alignment vertical="center"/>
    </xf>
    <xf numFmtId="170" fontId="28" fillId="0" borderId="0" xfId="103" applyNumberFormat="1" applyFont="1"/>
    <xf numFmtId="0" fontId="28" fillId="0" borderId="0" xfId="94" applyFont="1" applyAlignment="1">
      <alignment horizontal="left"/>
    </xf>
    <xf numFmtId="170" fontId="8" fillId="0" borderId="0" xfId="103" applyNumberFormat="1" applyFont="1" applyFill="1" applyBorder="1" applyAlignment="1">
      <alignment horizontal="center" vertical="center" wrapText="1"/>
    </xf>
    <xf numFmtId="170" fontId="8" fillId="0" borderId="0" xfId="103" applyNumberFormat="1" applyFont="1" applyFill="1" applyBorder="1"/>
    <xf numFmtId="0" fontId="10" fillId="2" borderId="0" xfId="94" applyFont="1" applyFill="1" applyBorder="1"/>
    <xf numFmtId="0" fontId="10" fillId="2" borderId="0" xfId="94" applyFont="1" applyFill="1" applyBorder="1" applyAlignment="1">
      <alignment horizontal="center"/>
    </xf>
    <xf numFmtId="9" fontId="25" fillId="2" borderId="0" xfId="282" applyFont="1" applyFill="1" applyBorder="1" applyAlignment="1">
      <alignment horizontal="center"/>
    </xf>
    <xf numFmtId="170" fontId="8" fillId="0" borderId="0" xfId="103" applyNumberFormat="1" applyFont="1"/>
    <xf numFmtId="9" fontId="29" fillId="0" borderId="0" xfId="282" applyFont="1" applyFill="1" applyBorder="1" applyAlignment="1">
      <alignment horizontal="center" vertical="center"/>
    </xf>
    <xf numFmtId="9" fontId="29" fillId="2" borderId="0" xfId="282" applyFont="1" applyFill="1" applyBorder="1" applyAlignment="1">
      <alignment horizontal="center" vertical="center"/>
    </xf>
    <xf numFmtId="0" fontId="25" fillId="2" borderId="0" xfId="94" applyFont="1" applyFill="1" applyBorder="1"/>
    <xf numFmtId="170" fontId="29" fillId="2" borderId="0" xfId="103" applyNumberFormat="1" applyFont="1" applyFill="1" applyBorder="1"/>
    <xf numFmtId="10" fontId="29" fillId="2" borderId="0" xfId="282" applyNumberFormat="1" applyFont="1" applyFill="1" applyBorder="1" applyAlignment="1">
      <alignment horizontal="center" vertical="center"/>
    </xf>
    <xf numFmtId="10" fontId="29" fillId="2" borderId="0" xfId="282" applyNumberFormat="1" applyFont="1" applyFill="1" applyBorder="1" applyAlignment="1">
      <alignment horizontal="center"/>
    </xf>
    <xf numFmtId="167" fontId="25" fillId="2" borderId="0" xfId="94" applyNumberFormat="1" applyFont="1" applyFill="1" applyBorder="1" applyAlignment="1">
      <alignment horizontal="left"/>
    </xf>
    <xf numFmtId="0" fontId="8" fillId="0" borderId="0" xfId="94" applyFont="1"/>
    <xf numFmtId="10" fontId="8" fillId="0" borderId="0" xfId="282" applyNumberFormat="1" applyFont="1" applyFill="1" applyBorder="1"/>
    <xf numFmtId="10" fontId="3" fillId="0" borderId="3" xfId="0" applyNumberFormat="1" applyFont="1" applyFill="1" applyBorder="1" applyAlignment="1" applyProtection="1">
      <alignment horizontal="center" vertical="center"/>
      <protection locked="0"/>
    </xf>
    <xf numFmtId="10" fontId="2" fillId="44" borderId="13" xfId="282" applyNumberFormat="1" applyFont="1" applyFill="1" applyBorder="1" applyAlignment="1">
      <alignment horizontal="center" vertical="center"/>
    </xf>
    <xf numFmtId="0" fontId="2" fillId="69" borderId="3" xfId="393" applyNumberFormat="1" applyFont="1" applyFill="1" applyBorder="1" applyAlignment="1">
      <alignment vertical="center" wrapText="1"/>
    </xf>
    <xf numFmtId="0" fontId="2" fillId="4" borderId="3" xfId="393" applyNumberFormat="1" applyFont="1" applyFill="1" applyBorder="1" applyAlignment="1">
      <alignment vertical="center" wrapText="1"/>
    </xf>
    <xf numFmtId="0" fontId="2" fillId="68" borderId="3" xfId="393" applyNumberFormat="1" applyFont="1" applyFill="1" applyBorder="1" applyAlignment="1">
      <alignment vertical="center" wrapText="1"/>
    </xf>
    <xf numFmtId="0" fontId="2" fillId="5" borderId="3" xfId="393" applyNumberFormat="1" applyFont="1" applyFill="1" applyBorder="1" applyAlignment="1">
      <alignment vertical="center" wrapText="1"/>
    </xf>
    <xf numFmtId="0" fontId="2" fillId="70" borderId="3" xfId="393" applyNumberFormat="1" applyFont="1" applyFill="1" applyBorder="1" applyAlignment="1">
      <alignment vertical="center" wrapText="1"/>
    </xf>
    <xf numFmtId="0" fontId="3" fillId="0" borderId="0" xfId="393" applyNumberFormat="1" applyFont="1" applyFill="1" applyBorder="1" applyAlignment="1">
      <alignment vertical="center" wrapText="1"/>
    </xf>
    <xf numFmtId="0" fontId="2" fillId="0" borderId="0" xfId="393" applyNumberFormat="1" applyFont="1" applyFill="1" applyBorder="1" applyAlignment="1">
      <alignment vertical="center" wrapText="1"/>
    </xf>
    <xf numFmtId="168" fontId="0" fillId="0" borderId="0" xfId="0" applyFill="1" applyBorder="1"/>
    <xf numFmtId="0" fontId="3" fillId="0" borderId="3" xfId="393" applyNumberFormat="1" applyFont="1" applyBorder="1" applyAlignment="1">
      <alignment vertical="center" wrapText="1"/>
    </xf>
    <xf numFmtId="43" fontId="2" fillId="0" borderId="0" xfId="1" applyFont="1" applyBorder="1" applyAlignment="1">
      <alignment horizontal="center"/>
    </xf>
    <xf numFmtId="43" fontId="2" fillId="0" borderId="0" xfId="1" applyFont="1" applyAlignment="1">
      <alignment horizontal="center"/>
    </xf>
    <xf numFmtId="43" fontId="3" fillId="0" borderId="0" xfId="1" applyFont="1" applyFill="1" applyAlignment="1">
      <alignment horizontal="center"/>
    </xf>
    <xf numFmtId="0" fontId="3" fillId="0" borderId="0" xfId="0" applyNumberFormat="1" applyFont="1" applyBorder="1" applyAlignment="1">
      <alignment horizontal="center" vertical="center" wrapText="1"/>
    </xf>
    <xf numFmtId="0" fontId="3" fillId="0" borderId="55" xfId="0" applyNumberFormat="1" applyFont="1" applyFill="1" applyBorder="1" applyAlignment="1">
      <alignment horizontal="center" vertical="center" wrapText="1"/>
    </xf>
    <xf numFmtId="0" fontId="3" fillId="0" borderId="56" xfId="0" applyNumberFormat="1" applyFont="1" applyFill="1" applyBorder="1" applyAlignment="1">
      <alignment horizontal="center" vertical="center" wrapText="1"/>
    </xf>
    <xf numFmtId="0" fontId="3" fillId="0" borderId="67" xfId="0" applyNumberFormat="1" applyFont="1" applyFill="1" applyBorder="1" applyAlignment="1">
      <alignment horizontal="center" vertical="center" wrapText="1"/>
    </xf>
    <xf numFmtId="0" fontId="3" fillId="0" borderId="66" xfId="0" applyNumberFormat="1" applyFont="1" applyFill="1" applyBorder="1" applyAlignment="1">
      <alignment horizontal="center" vertical="center" wrapText="1"/>
    </xf>
    <xf numFmtId="0" fontId="3" fillId="11" borderId="22" xfId="0" applyNumberFormat="1" applyFont="1" applyFill="1" applyBorder="1" applyAlignment="1">
      <alignment horizontal="center" vertical="center" wrapText="1"/>
    </xf>
    <xf numFmtId="168" fontId="2" fillId="0" borderId="0" xfId="0" applyFont="1" applyBorder="1" applyAlignment="1">
      <alignment horizontal="justify" vertical="center" wrapText="1"/>
    </xf>
    <xf numFmtId="0" fontId="2" fillId="0" borderId="12" xfId="0" applyNumberFormat="1" applyFont="1" applyFill="1" applyBorder="1" applyAlignment="1">
      <alignment horizontal="center" vertical="center" wrapText="1"/>
    </xf>
    <xf numFmtId="168" fontId="3" fillId="0" borderId="0" xfId="0" applyFont="1" applyBorder="1" applyAlignment="1">
      <alignment vertical="center" wrapText="1"/>
    </xf>
    <xf numFmtId="0" fontId="2" fillId="0" borderId="13" xfId="0" applyNumberFormat="1" applyFont="1" applyBorder="1" applyAlignment="1">
      <alignment horizontal="center" vertical="center" wrapText="1"/>
    </xf>
    <xf numFmtId="0" fontId="2" fillId="0" borderId="13" xfId="0" applyNumberFormat="1" applyFont="1" applyFill="1" applyBorder="1" applyAlignment="1">
      <alignment horizontal="justify" vertical="center" wrapText="1"/>
    </xf>
    <xf numFmtId="168" fontId="2" fillId="0" borderId="13" xfId="0" applyFont="1" applyFill="1" applyBorder="1" applyAlignment="1">
      <alignment horizontal="justify" vertical="center" wrapText="1"/>
    </xf>
    <xf numFmtId="0" fontId="2" fillId="0" borderId="4" xfId="0" applyNumberFormat="1" applyFont="1" applyBorder="1" applyAlignment="1">
      <alignment horizontal="center" vertical="center" wrapText="1"/>
    </xf>
    <xf numFmtId="0" fontId="2" fillId="0" borderId="55" xfId="0" applyNumberFormat="1" applyFont="1" applyBorder="1" applyAlignment="1">
      <alignment horizontal="center" vertical="center" wrapText="1"/>
    </xf>
    <xf numFmtId="0" fontId="2" fillId="0" borderId="16" xfId="0" applyNumberFormat="1" applyFont="1" applyFill="1" applyBorder="1" applyAlignment="1">
      <alignment horizontal="center" vertical="center"/>
    </xf>
    <xf numFmtId="43" fontId="2" fillId="0" borderId="13" xfId="1" applyFont="1" applyFill="1" applyBorder="1" applyAlignment="1">
      <alignment horizontal="left" vertical="center"/>
    </xf>
    <xf numFmtId="0" fontId="2" fillId="0" borderId="5" xfId="0" applyNumberFormat="1" applyFont="1" applyBorder="1" applyAlignment="1">
      <alignment horizontal="center" vertical="center" wrapText="1"/>
    </xf>
    <xf numFmtId="0" fontId="2" fillId="0" borderId="12" xfId="0" applyNumberFormat="1" applyFont="1" applyBorder="1" applyAlignment="1">
      <alignment horizontal="center" vertical="center" wrapText="1"/>
    </xf>
    <xf numFmtId="0" fontId="2" fillId="0" borderId="31" xfId="0" applyNumberFormat="1" applyFont="1" applyFill="1" applyBorder="1" applyAlignment="1">
      <alignment horizontal="center" vertical="center"/>
    </xf>
    <xf numFmtId="168" fontId="2" fillId="0" borderId="32" xfId="0" applyFont="1" applyFill="1" applyBorder="1" applyAlignment="1">
      <alignment horizontal="justify" vertical="center" wrapText="1"/>
    </xf>
    <xf numFmtId="43" fontId="2" fillId="0" borderId="32" xfId="1" applyFont="1" applyFill="1" applyBorder="1" applyAlignment="1">
      <alignment vertical="center"/>
    </xf>
    <xf numFmtId="0" fontId="2" fillId="0" borderId="56" xfId="0" applyNumberFormat="1" applyFont="1" applyFill="1" applyBorder="1" applyAlignment="1">
      <alignment horizontal="center" vertical="center" wrapText="1"/>
    </xf>
    <xf numFmtId="0" fontId="2" fillId="0" borderId="67" xfId="0" applyNumberFormat="1" applyFont="1" applyFill="1" applyBorder="1" applyAlignment="1">
      <alignment horizontal="center" vertical="center" wrapText="1"/>
    </xf>
    <xf numFmtId="0" fontId="2" fillId="0" borderId="11" xfId="0" applyNumberFormat="1" applyFont="1" applyFill="1" applyBorder="1" applyAlignment="1">
      <alignment horizontal="center" vertical="center" wrapText="1"/>
    </xf>
    <xf numFmtId="0" fontId="2" fillId="0" borderId="16" xfId="0" applyNumberFormat="1" applyFont="1" applyBorder="1" applyAlignment="1">
      <alignment horizontal="center" vertical="center" wrapText="1"/>
    </xf>
    <xf numFmtId="0" fontId="2" fillId="0" borderId="56" xfId="0" applyNumberFormat="1" applyFont="1" applyBorder="1" applyAlignment="1">
      <alignment horizontal="center" vertical="center" wrapText="1"/>
    </xf>
    <xf numFmtId="0" fontId="2" fillId="0" borderId="0" xfId="0" applyNumberFormat="1" applyFont="1" applyBorder="1" applyAlignment="1">
      <alignment horizontal="center" vertical="center" wrapText="1"/>
    </xf>
    <xf numFmtId="0" fontId="2" fillId="0" borderId="66" xfId="0" applyNumberFormat="1" applyFont="1" applyBorder="1" applyAlignment="1">
      <alignment horizontal="center" vertical="center" wrapText="1"/>
    </xf>
    <xf numFmtId="0" fontId="2" fillId="0" borderId="66" xfId="0" applyNumberFormat="1" applyFont="1" applyFill="1" applyBorder="1" applyAlignment="1">
      <alignment horizontal="center" vertical="center" wrapText="1"/>
    </xf>
    <xf numFmtId="0" fontId="2" fillId="0" borderId="11" xfId="0" applyNumberFormat="1" applyFont="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55"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67" xfId="0" applyNumberFormat="1" applyFont="1" applyBorder="1" applyAlignment="1">
      <alignment horizontal="center" vertical="center" wrapText="1"/>
    </xf>
    <xf numFmtId="168" fontId="2" fillId="0" borderId="0" xfId="0" applyFont="1" applyFill="1" applyAlignment="1">
      <alignment vertical="center"/>
    </xf>
    <xf numFmtId="0" fontId="2" fillId="2" borderId="9"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168" fontId="2" fillId="0" borderId="3" xfId="0" applyFont="1" applyFill="1" applyBorder="1" applyAlignment="1">
      <alignment horizontal="justify" vertical="center" wrapText="1"/>
    </xf>
    <xf numFmtId="43" fontId="2" fillId="0" borderId="3" xfId="1" applyFont="1" applyFill="1" applyBorder="1" applyAlignment="1">
      <alignment horizontal="left" vertical="center"/>
    </xf>
    <xf numFmtId="0" fontId="2" fillId="0" borderId="3" xfId="0" applyNumberFormat="1" applyFont="1" applyFill="1" applyBorder="1" applyAlignment="1">
      <alignment horizontal="justify" vertical="center" wrapText="1"/>
    </xf>
    <xf numFmtId="0" fontId="2" fillId="0" borderId="3" xfId="0" applyNumberFormat="1" applyFont="1" applyFill="1" applyBorder="1" applyAlignment="1">
      <alignment horizontal="center" vertical="center"/>
    </xf>
    <xf numFmtId="168" fontId="2" fillId="0" borderId="16" xfId="0" applyFont="1" applyFill="1" applyBorder="1" applyAlignment="1">
      <alignment horizontal="justify" vertical="center" wrapText="1"/>
    </xf>
    <xf numFmtId="168" fontId="2" fillId="0" borderId="13" xfId="0" applyFont="1" applyFill="1" applyBorder="1" applyAlignment="1">
      <alignment horizontal="justify" vertical="center"/>
    </xf>
    <xf numFmtId="0" fontId="2" fillId="0" borderId="56" xfId="0" applyNumberFormat="1" applyFont="1" applyFill="1" applyBorder="1" applyAlignment="1">
      <alignment horizontal="center" vertical="center"/>
    </xf>
    <xf numFmtId="0" fontId="2" fillId="0" borderId="12" xfId="0" applyNumberFormat="1" applyFont="1" applyFill="1" applyBorder="1" applyAlignment="1">
      <alignment horizontal="center" vertical="center"/>
    </xf>
    <xf numFmtId="0" fontId="2" fillId="0" borderId="56" xfId="0" applyNumberFormat="1" applyFont="1" applyBorder="1" applyAlignment="1">
      <alignment horizontal="center" vertical="center"/>
    </xf>
    <xf numFmtId="0" fontId="2" fillId="0" borderId="16" xfId="0" applyNumberFormat="1" applyFont="1" applyBorder="1" applyAlignment="1">
      <alignment horizontal="center" vertical="center"/>
    </xf>
    <xf numFmtId="43" fontId="2" fillId="0" borderId="13" xfId="1" applyFont="1" applyBorder="1" applyAlignment="1">
      <alignment horizontal="left" vertical="center"/>
    </xf>
    <xf numFmtId="0" fontId="2" fillId="0" borderId="12" xfId="0" applyNumberFormat="1" applyFont="1" applyBorder="1" applyAlignment="1">
      <alignment horizontal="center" vertical="center"/>
    </xf>
    <xf numFmtId="0" fontId="2" fillId="0" borderId="13" xfId="0" applyNumberFormat="1" applyFont="1" applyFill="1" applyBorder="1" applyAlignment="1">
      <alignment horizontal="justify" vertical="center"/>
    </xf>
    <xf numFmtId="168" fontId="3" fillId="0" borderId="0" xfId="0" applyFont="1" applyFill="1" applyBorder="1" applyAlignment="1">
      <alignment horizontal="left" vertical="center"/>
    </xf>
    <xf numFmtId="168" fontId="3" fillId="0" borderId="13" xfId="0" applyFont="1" applyBorder="1"/>
    <xf numFmtId="168" fontId="2" fillId="0" borderId="13" xfId="0" applyFont="1" applyFill="1" applyBorder="1" applyAlignment="1">
      <alignment vertical="center"/>
    </xf>
    <xf numFmtId="168" fontId="3" fillId="0" borderId="0" xfId="0" applyFont="1" applyBorder="1"/>
    <xf numFmtId="168" fontId="2" fillId="0" borderId="0" xfId="0" applyFont="1" applyFill="1" applyBorder="1" applyAlignment="1">
      <alignment horizontal="left" vertical="center"/>
    </xf>
    <xf numFmtId="168" fontId="2" fillId="0" borderId="0" xfId="0" applyFont="1" applyFill="1" applyBorder="1" applyAlignment="1">
      <alignment vertical="center"/>
    </xf>
    <xf numFmtId="168" fontId="3" fillId="0" borderId="0" xfId="0" applyFont="1" applyFill="1" applyAlignment="1">
      <alignment vertical="center"/>
    </xf>
    <xf numFmtId="43" fontId="2" fillId="0" borderId="3" xfId="1" applyFont="1" applyFill="1" applyBorder="1" applyAlignment="1">
      <alignment horizontal="right" vertical="center" wrapText="1"/>
    </xf>
    <xf numFmtId="43" fontId="2" fillId="0" borderId="3" xfId="1" applyFont="1" applyFill="1" applyBorder="1" applyAlignment="1">
      <alignment horizontal="center" vertical="center" wrapText="1"/>
    </xf>
    <xf numFmtId="168" fontId="2" fillId="0" borderId="3" xfId="0" applyFont="1" applyFill="1" applyBorder="1" applyAlignment="1">
      <alignment horizontal="center" vertical="center" wrapText="1"/>
    </xf>
    <xf numFmtId="0" fontId="3" fillId="8" borderId="7" xfId="0" applyNumberFormat="1" applyFont="1" applyFill="1" applyBorder="1" applyAlignment="1">
      <alignment horizontal="left" vertical="center"/>
    </xf>
    <xf numFmtId="0" fontId="3" fillId="8" borderId="8" xfId="0" applyNumberFormat="1" applyFont="1" applyFill="1" applyBorder="1" applyAlignment="1">
      <alignment horizontal="left" vertical="center"/>
    </xf>
    <xf numFmtId="43" fontId="2" fillId="0" borderId="3" xfId="1" applyFont="1" applyFill="1" applyBorder="1" applyAlignment="1">
      <alignment vertical="center"/>
    </xf>
    <xf numFmtId="170" fontId="4" fillId="7" borderId="1" xfId="5" applyNumberFormat="1" applyFont="1" applyFill="1" applyBorder="1" applyAlignment="1">
      <alignment vertical="center" wrapText="1"/>
    </xf>
    <xf numFmtId="170" fontId="4" fillId="7" borderId="2" xfId="5" applyNumberFormat="1" applyFont="1" applyFill="1" applyBorder="1" applyAlignment="1">
      <alignment vertical="center" wrapText="1"/>
    </xf>
    <xf numFmtId="170" fontId="4" fillId="7" borderId="67" xfId="5" applyNumberFormat="1" applyFont="1" applyFill="1" applyBorder="1" applyAlignment="1">
      <alignment vertical="center" wrapText="1"/>
    </xf>
    <xf numFmtId="168" fontId="4" fillId="0" borderId="3" xfId="0" applyFont="1" applyBorder="1" applyAlignment="1">
      <alignment vertical="center"/>
    </xf>
    <xf numFmtId="168" fontId="4" fillId="0" borderId="3" xfId="0" applyFont="1" applyBorder="1" applyAlignment="1">
      <alignment horizontal="left" vertical="center"/>
    </xf>
    <xf numFmtId="4" fontId="2" fillId="0" borderId="3" xfId="0" applyNumberFormat="1" applyFont="1" applyFill="1" applyBorder="1" applyAlignment="1">
      <alignment horizontal="center" vertical="center" wrapText="1"/>
    </xf>
    <xf numFmtId="167" fontId="2" fillId="0" borderId="3" xfId="0" applyNumberFormat="1" applyFont="1" applyFill="1" applyBorder="1" applyAlignment="1">
      <alignment horizontal="center" vertical="center" wrapText="1"/>
    </xf>
    <xf numFmtId="173" fontId="2" fillId="0" borderId="3" xfId="4" applyNumberFormat="1" applyFont="1" applyFill="1" applyBorder="1" applyAlignment="1">
      <alignment horizontal="center" vertical="center" wrapText="1"/>
    </xf>
    <xf numFmtId="0" fontId="2" fillId="0" borderId="13" xfId="0" applyNumberFormat="1" applyFont="1" applyFill="1" applyBorder="1" applyAlignment="1">
      <alignment horizontal="justify" vertical="center" wrapText="1"/>
    </xf>
    <xf numFmtId="168" fontId="2" fillId="0" borderId="13" xfId="0" applyFont="1" applyFill="1" applyBorder="1" applyAlignment="1">
      <alignment horizontal="justify" vertical="center" wrapText="1"/>
    </xf>
    <xf numFmtId="43" fontId="3" fillId="11" borderId="13" xfId="1" applyFont="1" applyFill="1" applyBorder="1" applyAlignment="1">
      <alignment horizontal="left" vertical="center"/>
    </xf>
    <xf numFmtId="43" fontId="3" fillId="0" borderId="13" xfId="1" applyFont="1" applyFill="1" applyBorder="1" applyAlignment="1">
      <alignment horizontal="left" vertical="center"/>
    </xf>
    <xf numFmtId="43" fontId="2" fillId="44" borderId="13" xfId="1" applyFont="1" applyFill="1" applyBorder="1" applyAlignment="1">
      <alignment vertical="center"/>
    </xf>
    <xf numFmtId="43" fontId="0" fillId="0" borderId="0" xfId="1" applyFont="1"/>
    <xf numFmtId="43" fontId="2" fillId="0" borderId="15" xfId="1" applyFont="1" applyFill="1" applyBorder="1" applyAlignment="1">
      <alignment vertical="center"/>
    </xf>
    <xf numFmtId="0" fontId="2" fillId="0" borderId="13" xfId="0" applyNumberFormat="1" applyFont="1" applyFill="1" applyBorder="1" applyAlignment="1">
      <alignment vertical="center"/>
    </xf>
    <xf numFmtId="43" fontId="6" fillId="2" borderId="0" xfId="1" applyFont="1" applyFill="1" applyAlignment="1">
      <alignment vertical="center"/>
    </xf>
    <xf numFmtId="43" fontId="6" fillId="2" borderId="0" xfId="1" applyFont="1" applyFill="1"/>
    <xf numFmtId="43" fontId="3" fillId="13" borderId="35" xfId="1" applyFont="1" applyFill="1" applyBorder="1" applyAlignment="1">
      <alignment horizontal="center" vertical="center"/>
    </xf>
    <xf numFmtId="0" fontId="58" fillId="44" borderId="13" xfId="0" applyNumberFormat="1" applyFont="1" applyFill="1" applyBorder="1" applyAlignment="1">
      <alignment vertical="center"/>
    </xf>
    <xf numFmtId="0" fontId="2" fillId="0" borderId="13" xfId="0" applyNumberFormat="1" applyFont="1" applyFill="1" applyBorder="1" applyAlignment="1">
      <alignment vertical="center" wrapText="1"/>
    </xf>
    <xf numFmtId="0" fontId="4" fillId="71" borderId="3" xfId="0" applyNumberFormat="1" applyFont="1" applyFill="1" applyBorder="1" applyAlignment="1">
      <alignment horizontal="center" vertical="center" wrapText="1"/>
    </xf>
    <xf numFmtId="168" fontId="4" fillId="0" borderId="3" xfId="0" applyFont="1" applyBorder="1" applyAlignment="1">
      <alignment horizontal="center" vertical="center"/>
    </xf>
    <xf numFmtId="169" fontId="8" fillId="0" borderId="3" xfId="0" applyNumberFormat="1" applyFont="1" applyBorder="1" applyAlignment="1">
      <alignment horizontal="left" vertical="center"/>
    </xf>
    <xf numFmtId="14" fontId="8" fillId="0" borderId="3" xfId="0" applyNumberFormat="1" applyFont="1" applyFill="1" applyBorder="1" applyAlignment="1">
      <alignment horizontal="left" vertical="center"/>
    </xf>
    <xf numFmtId="3" fontId="4" fillId="3" borderId="3" xfId="0" applyNumberFormat="1" applyFont="1" applyFill="1" applyBorder="1" applyAlignment="1">
      <alignment horizontal="center" vertical="center" wrapText="1"/>
    </xf>
    <xf numFmtId="43" fontId="56" fillId="0" borderId="3" xfId="1" applyFont="1" applyFill="1" applyBorder="1" applyAlignment="1">
      <alignment vertical="center"/>
    </xf>
    <xf numFmtId="168" fontId="58" fillId="0" borderId="3" xfId="0" applyFont="1" applyFill="1" applyBorder="1" applyAlignment="1">
      <alignment vertical="center" wrapText="1"/>
    </xf>
    <xf numFmtId="167" fontId="28" fillId="0" borderId="0" xfId="103" applyNumberFormat="1" applyFont="1"/>
    <xf numFmtId="0" fontId="3" fillId="7" borderId="18" xfId="0" applyNumberFormat="1" applyFont="1" applyFill="1" applyBorder="1" applyAlignment="1">
      <alignment horizontal="left" vertical="center"/>
    </xf>
    <xf numFmtId="0" fontId="2" fillId="0" borderId="3" xfId="0" applyNumberFormat="1" applyFont="1" applyFill="1" applyBorder="1" applyAlignment="1" applyProtection="1">
      <alignment horizontal="center" vertical="center"/>
      <protection locked="0"/>
    </xf>
    <xf numFmtId="43" fontId="56" fillId="0" borderId="3" xfId="1" applyFont="1" applyFill="1" applyBorder="1" applyAlignment="1">
      <alignment horizontal="center" vertical="center"/>
    </xf>
    <xf numFmtId="49" fontId="2" fillId="0" borderId="3" xfId="0" applyNumberFormat="1" applyFont="1" applyFill="1" applyBorder="1" applyAlignment="1">
      <alignment horizontal="center" vertical="center" wrapText="1"/>
    </xf>
    <xf numFmtId="167" fontId="2" fillId="0" borderId="3" xfId="0" applyNumberFormat="1" applyFont="1" applyFill="1" applyBorder="1" applyAlignment="1">
      <alignment vertical="center"/>
    </xf>
    <xf numFmtId="0" fontId="3" fillId="7" borderId="19" xfId="0" applyNumberFormat="1" applyFont="1" applyFill="1" applyBorder="1" applyAlignment="1">
      <alignment horizontal="left" vertical="center"/>
    </xf>
    <xf numFmtId="0" fontId="3" fillId="7" borderId="26" xfId="0" applyNumberFormat="1" applyFont="1" applyFill="1" applyBorder="1" applyAlignment="1">
      <alignment horizontal="left" vertical="center"/>
    </xf>
    <xf numFmtId="0" fontId="3" fillId="7" borderId="27" xfId="0" applyNumberFormat="1" applyFont="1" applyFill="1" applyBorder="1" applyAlignment="1">
      <alignment horizontal="left" vertical="center"/>
    </xf>
    <xf numFmtId="0" fontId="3" fillId="7" borderId="27" xfId="0" applyNumberFormat="1" applyFont="1" applyFill="1" applyBorder="1" applyAlignment="1">
      <alignment horizontal="center" vertical="center"/>
    </xf>
    <xf numFmtId="168" fontId="3" fillId="7" borderId="27" xfId="0" applyFont="1" applyFill="1" applyBorder="1" applyAlignment="1">
      <alignment horizontal="center" vertical="center"/>
    </xf>
    <xf numFmtId="0" fontId="3" fillId="7" borderId="27" xfId="0" applyNumberFormat="1" applyFont="1" applyFill="1" applyBorder="1" applyAlignment="1">
      <alignment horizontal="justify" vertical="center" wrapText="1"/>
    </xf>
    <xf numFmtId="168" fontId="3" fillId="7" borderId="27" xfId="0" applyFont="1" applyFill="1" applyBorder="1" applyAlignment="1">
      <alignment horizontal="justify" vertical="center" wrapText="1"/>
    </xf>
    <xf numFmtId="0" fontId="3" fillId="7" borderId="28" xfId="0" applyNumberFormat="1" applyFont="1" applyFill="1" applyBorder="1" applyAlignment="1">
      <alignment horizontal="center" vertical="center" wrapText="1"/>
    </xf>
    <xf numFmtId="0" fontId="3" fillId="7" borderId="27" xfId="0" applyNumberFormat="1" applyFont="1" applyFill="1" applyBorder="1" applyAlignment="1">
      <alignment horizontal="center" vertical="center" wrapText="1"/>
    </xf>
    <xf numFmtId="168" fontId="3" fillId="7" borderId="19" xfId="0" applyFont="1" applyFill="1" applyBorder="1" applyAlignment="1">
      <alignment horizontal="center" vertical="center"/>
    </xf>
    <xf numFmtId="168" fontId="3" fillId="7" borderId="19" xfId="0" applyFont="1" applyFill="1" applyBorder="1" applyAlignment="1">
      <alignment horizontal="justify" vertical="center" wrapText="1"/>
    </xf>
    <xf numFmtId="43" fontId="3" fillId="7" borderId="19" xfId="0" applyNumberFormat="1" applyFont="1" applyFill="1" applyBorder="1" applyAlignment="1">
      <alignment vertical="center"/>
    </xf>
    <xf numFmtId="43" fontId="3" fillId="7" borderId="19" xfId="0" applyNumberFormat="1" applyFont="1" applyFill="1" applyBorder="1" applyAlignment="1">
      <alignment horizontal="center" vertical="center"/>
    </xf>
    <xf numFmtId="0" fontId="2" fillId="0" borderId="3" xfId="0" applyNumberFormat="1" applyFont="1" applyFill="1" applyBorder="1" applyAlignment="1">
      <alignment horizontal="left" vertical="center" wrapText="1"/>
    </xf>
    <xf numFmtId="0" fontId="2" fillId="0" borderId="3" xfId="6" applyNumberFormat="1" applyFont="1" applyFill="1" applyBorder="1">
      <alignment horizontal="center" vertical="center" wrapText="1"/>
    </xf>
    <xf numFmtId="167" fontId="2" fillId="0" borderId="3" xfId="5" applyFont="1" applyFill="1" applyBorder="1" applyAlignment="1">
      <alignment horizontal="justify" vertical="center"/>
    </xf>
    <xf numFmtId="43" fontId="2" fillId="0" borderId="3" xfId="1" applyFont="1" applyFill="1" applyBorder="1" applyAlignment="1">
      <alignment horizontal="center" vertical="center"/>
    </xf>
    <xf numFmtId="0" fontId="2" fillId="0" borderId="3" xfId="7" applyFont="1" applyFill="1" applyBorder="1" applyAlignment="1">
      <alignment horizontal="justify" vertical="center"/>
    </xf>
    <xf numFmtId="0" fontId="2" fillId="0" borderId="3" xfId="7" applyNumberFormat="1" applyFont="1" applyFill="1" applyBorder="1" applyAlignment="1">
      <alignment horizontal="center" vertical="center" wrapText="1"/>
    </xf>
    <xf numFmtId="43" fontId="2" fillId="0" borderId="3" xfId="1" applyFont="1" applyFill="1" applyBorder="1" applyAlignment="1">
      <alignment horizontal="right" vertical="center"/>
    </xf>
    <xf numFmtId="167" fontId="2" fillId="0" borderId="3" xfId="8" applyFont="1" applyFill="1" applyBorder="1" applyAlignment="1">
      <alignment horizontal="right" vertical="center" wrapText="1"/>
    </xf>
    <xf numFmtId="0" fontId="2" fillId="0" borderId="3" xfId="7" applyNumberFormat="1" applyFont="1" applyFill="1" applyBorder="1" applyAlignment="1">
      <alignment horizontal="justify" vertical="center"/>
    </xf>
    <xf numFmtId="168" fontId="2" fillId="0" borderId="3" xfId="0" applyFont="1" applyFill="1" applyBorder="1" applyAlignment="1">
      <alignment vertical="center" wrapText="1"/>
    </xf>
    <xf numFmtId="168" fontId="2" fillId="0" borderId="3" xfId="0" applyFont="1" applyFill="1" applyBorder="1"/>
    <xf numFmtId="0" fontId="2" fillId="0" borderId="3" xfId="0" applyNumberFormat="1" applyFont="1" applyFill="1" applyBorder="1" applyAlignment="1" applyProtection="1">
      <alignment horizontal="justify" vertical="center" wrapText="1"/>
      <protection locked="0"/>
    </xf>
    <xf numFmtId="0" fontId="2" fillId="0" borderId="3" xfId="0" applyNumberFormat="1" applyFont="1" applyFill="1" applyBorder="1" applyAlignment="1" applyProtection="1">
      <alignment horizontal="center" vertical="center" wrapText="1"/>
      <protection locked="0"/>
    </xf>
    <xf numFmtId="167" fontId="3" fillId="0" borderId="3" xfId="0" applyNumberFormat="1" applyFont="1" applyFill="1" applyBorder="1" applyAlignment="1">
      <alignment horizontal="left" vertical="center"/>
    </xf>
    <xf numFmtId="167" fontId="2" fillId="0" borderId="3" xfId="0" applyNumberFormat="1" applyFont="1" applyFill="1" applyBorder="1" applyAlignment="1">
      <alignment horizontal="left" vertical="center"/>
    </xf>
    <xf numFmtId="4" fontId="2" fillId="0" borderId="3" xfId="0" applyNumberFormat="1" applyFont="1" applyFill="1" applyBorder="1" applyAlignment="1">
      <alignment horizontal="right" vertical="center" wrapText="1"/>
    </xf>
    <xf numFmtId="0" fontId="2" fillId="0" borderId="3" xfId="6" applyNumberFormat="1" applyFont="1" applyFill="1" applyBorder="1" applyAlignment="1">
      <alignment horizontal="justify" vertical="center" wrapText="1"/>
    </xf>
    <xf numFmtId="0" fontId="2" fillId="0" borderId="3" xfId="6" applyNumberFormat="1" applyFont="1" applyFill="1" applyBorder="1" applyAlignment="1">
      <alignment horizontal="center" vertical="center" wrapText="1"/>
    </xf>
    <xf numFmtId="172" fontId="2" fillId="0" borderId="3" xfId="2" applyNumberFormat="1" applyFont="1" applyFill="1" applyBorder="1" applyAlignment="1">
      <alignment horizontal="right" vertical="center"/>
    </xf>
    <xf numFmtId="167" fontId="2" fillId="0" borderId="3" xfId="5" applyFont="1" applyFill="1" applyBorder="1"/>
    <xf numFmtId="0" fontId="3" fillId="0" borderId="3" xfId="0" applyNumberFormat="1" applyFont="1" applyFill="1" applyBorder="1" applyAlignment="1">
      <alignment horizontal="center" vertical="center" wrapText="1"/>
    </xf>
    <xf numFmtId="167" fontId="3" fillId="0" borderId="3" xfId="0" applyNumberFormat="1" applyFont="1" applyFill="1" applyBorder="1" applyAlignment="1">
      <alignment vertical="center"/>
    </xf>
    <xf numFmtId="0" fontId="2" fillId="0" borderId="3" xfId="9" applyFont="1" applyFill="1" applyBorder="1" applyAlignment="1">
      <alignment horizontal="justify" vertical="center" wrapText="1"/>
    </xf>
    <xf numFmtId="0" fontId="2" fillId="0" borderId="3" xfId="0" applyNumberFormat="1" applyFont="1" applyFill="1" applyBorder="1" applyAlignment="1">
      <alignment horizontal="left" vertical="center"/>
    </xf>
    <xf numFmtId="0" fontId="2" fillId="0" borderId="3" xfId="7" applyFont="1" applyFill="1" applyBorder="1" applyAlignment="1">
      <alignment horizontal="justify" vertical="center" wrapText="1"/>
    </xf>
    <xf numFmtId="43" fontId="2" fillId="0" borderId="3" xfId="0" applyNumberFormat="1" applyFont="1" applyFill="1" applyBorder="1" applyAlignment="1">
      <alignment vertical="center"/>
    </xf>
    <xf numFmtId="0" fontId="2" fillId="0" borderId="3" xfId="9" applyFont="1" applyFill="1" applyBorder="1">
      <alignment horizontal="center" vertical="center" wrapText="1"/>
    </xf>
    <xf numFmtId="167" fontId="2" fillId="0" borderId="3" xfId="8" applyFont="1" applyFill="1" applyBorder="1" applyAlignment="1">
      <alignment horizontal="center" vertical="center" wrapText="1"/>
    </xf>
    <xf numFmtId="172" fontId="2" fillId="0" borderId="3" xfId="2" applyNumberFormat="1" applyFont="1" applyFill="1" applyBorder="1" applyAlignment="1">
      <alignment horizontal="right" vertical="center" wrapText="1"/>
    </xf>
    <xf numFmtId="0" fontId="2" fillId="0" borderId="3" xfId="8" applyNumberFormat="1" applyFont="1" applyFill="1" applyBorder="1" applyAlignment="1">
      <alignment horizontal="center" vertical="center" wrapText="1"/>
    </xf>
    <xf numFmtId="43" fontId="2" fillId="0" borderId="3" xfId="1" applyFont="1" applyFill="1" applyBorder="1" applyAlignment="1">
      <alignment horizontal="justify" vertical="center"/>
    </xf>
    <xf numFmtId="41" fontId="2" fillId="0" borderId="3" xfId="2" applyFont="1" applyFill="1" applyBorder="1" applyAlignment="1">
      <alignment horizontal="right" vertical="center" wrapText="1"/>
    </xf>
    <xf numFmtId="0" fontId="2" fillId="0" borderId="3" xfId="9" applyFont="1" applyFill="1" applyBorder="1" applyAlignment="1">
      <alignment horizontal="center" vertical="center" wrapText="1"/>
    </xf>
    <xf numFmtId="49" fontId="2" fillId="0" borderId="3" xfId="0" applyNumberFormat="1" applyFont="1" applyFill="1" applyBorder="1" applyAlignment="1">
      <alignment horizontal="justify" vertical="center" wrapText="1"/>
    </xf>
    <xf numFmtId="41" fontId="2" fillId="0" borderId="3" xfId="2" applyFont="1" applyFill="1" applyBorder="1" applyAlignment="1">
      <alignment vertical="center"/>
    </xf>
    <xf numFmtId="167" fontId="2" fillId="0" borderId="3" xfId="8" applyFont="1" applyFill="1" applyBorder="1" applyAlignment="1">
      <alignment horizontal="center" vertical="center"/>
    </xf>
    <xf numFmtId="167" fontId="2" fillId="0" borderId="3" xfId="5" applyFont="1" applyFill="1" applyBorder="1" applyAlignment="1">
      <alignment vertical="center"/>
    </xf>
    <xf numFmtId="168" fontId="2" fillId="0" borderId="3" xfId="0" applyFont="1" applyFill="1" applyBorder="1" applyAlignment="1">
      <alignment horizontal="center" vertical="center"/>
    </xf>
    <xf numFmtId="168" fontId="2" fillId="0" borderId="3" xfId="0" applyFont="1" applyFill="1" applyBorder="1" applyAlignment="1">
      <alignment horizontal="justify" vertical="center"/>
    </xf>
    <xf numFmtId="167" fontId="2" fillId="0" borderId="3" xfId="8" applyFont="1" applyFill="1" applyBorder="1" applyAlignment="1">
      <alignment vertical="center"/>
    </xf>
    <xf numFmtId="0" fontId="2" fillId="0" borderId="3" xfId="0" applyNumberFormat="1" applyFont="1" applyFill="1" applyBorder="1" applyAlignment="1">
      <alignment horizontal="justify" vertical="center"/>
    </xf>
    <xf numFmtId="43" fontId="2" fillId="0" borderId="3" xfId="1" applyFont="1" applyFill="1" applyBorder="1" applyAlignment="1">
      <alignment horizontal="justify" vertical="center" wrapText="1"/>
    </xf>
    <xf numFmtId="170" fontId="2" fillId="0" borderId="3" xfId="8" applyNumberFormat="1" applyFont="1" applyFill="1" applyBorder="1" applyAlignment="1">
      <alignment horizontal="right" vertical="center" wrapText="1"/>
    </xf>
    <xf numFmtId="167" fontId="2" fillId="0" borderId="3" xfId="8" applyFont="1" applyFill="1" applyBorder="1" applyAlignment="1">
      <alignment horizontal="left" vertical="center" wrapText="1"/>
    </xf>
    <xf numFmtId="1" fontId="2" fillId="0" borderId="3" xfId="13" applyNumberFormat="1" applyFont="1" applyFill="1" applyBorder="1" applyAlignment="1">
      <alignment horizontal="center" vertical="center"/>
    </xf>
    <xf numFmtId="43" fontId="2" fillId="0" borderId="3" xfId="1" applyFont="1" applyFill="1" applyBorder="1"/>
    <xf numFmtId="43" fontId="2" fillId="0" borderId="3" xfId="1" applyFont="1" applyFill="1" applyBorder="1" applyAlignment="1">
      <alignment vertical="center" wrapText="1"/>
    </xf>
    <xf numFmtId="0" fontId="2" fillId="0" borderId="3" xfId="1" applyNumberFormat="1" applyFont="1" applyFill="1" applyBorder="1" applyAlignment="1">
      <alignment horizontal="center" vertical="center" wrapText="1"/>
    </xf>
    <xf numFmtId="43" fontId="2" fillId="0" borderId="3" xfId="1" applyFont="1" applyFill="1" applyBorder="1" applyAlignment="1">
      <alignment horizontal="left" vertical="center" wrapText="1"/>
    </xf>
    <xf numFmtId="173" fontId="2" fillId="0" borderId="3" xfId="4" applyNumberFormat="1" applyFont="1" applyFill="1" applyBorder="1" applyAlignment="1">
      <alignment horizontal="center" vertical="center"/>
    </xf>
    <xf numFmtId="167" fontId="2" fillId="0" borderId="3" xfId="0" applyNumberFormat="1" applyFont="1" applyFill="1" applyBorder="1" applyAlignment="1">
      <alignment horizontal="justify" vertical="center"/>
    </xf>
    <xf numFmtId="0" fontId="2" fillId="0" borderId="3" xfId="6" applyNumberFormat="1" applyFont="1" applyFill="1" applyBorder="1" applyAlignment="1">
      <alignment horizontal="center" vertical="center"/>
    </xf>
    <xf numFmtId="0" fontId="2" fillId="0" borderId="3" xfId="7" applyFont="1" applyFill="1" applyBorder="1" applyAlignment="1">
      <alignment horizontal="center" vertical="center"/>
    </xf>
    <xf numFmtId="43" fontId="2" fillId="0" borderId="3" xfId="8" applyNumberFormat="1" applyFont="1" applyFill="1" applyBorder="1" applyAlignment="1">
      <alignment vertical="center"/>
    </xf>
    <xf numFmtId="167" fontId="3" fillId="0" borderId="3" xfId="5" applyFont="1" applyFill="1" applyBorder="1" applyAlignment="1">
      <alignment horizontal="justify" vertical="center"/>
    </xf>
    <xf numFmtId="167" fontId="2" fillId="0" borderId="3" xfId="5" applyFont="1" applyFill="1" applyBorder="1" applyAlignment="1">
      <alignment horizontal="justify" vertical="center" wrapText="1"/>
    </xf>
    <xf numFmtId="0" fontId="2" fillId="0" borderId="3" xfId="8" applyNumberFormat="1" applyFont="1" applyFill="1" applyBorder="1" applyAlignment="1">
      <alignment horizontal="justify" vertical="center" wrapText="1"/>
    </xf>
    <xf numFmtId="167" fontId="2" fillId="0" borderId="3" xfId="0" applyNumberFormat="1" applyFont="1" applyFill="1" applyBorder="1" applyAlignment="1">
      <alignment horizontal="justify" vertical="center" wrapText="1"/>
    </xf>
    <xf numFmtId="167" fontId="2" fillId="0" borderId="3" xfId="0" applyNumberFormat="1" applyFont="1" applyFill="1" applyBorder="1" applyAlignment="1">
      <alignment horizontal="right" vertical="center"/>
    </xf>
    <xf numFmtId="1" fontId="2" fillId="0" borderId="3" xfId="0" applyNumberFormat="1" applyFont="1" applyFill="1" applyBorder="1" applyAlignment="1">
      <alignment horizontal="center" vertical="center" wrapText="1"/>
    </xf>
    <xf numFmtId="168" fontId="2" fillId="0" borderId="3" xfId="0" applyFont="1" applyFill="1" applyBorder="1" applyAlignment="1" applyProtection="1">
      <alignment horizontal="justify" vertical="center" wrapText="1"/>
      <protection locked="0"/>
    </xf>
    <xf numFmtId="49" fontId="2" fillId="0" borderId="3" xfId="7" applyNumberFormat="1" applyFont="1" applyFill="1" applyBorder="1" applyAlignment="1">
      <alignment horizontal="justify" vertical="center" wrapText="1"/>
    </xf>
    <xf numFmtId="4" fontId="2" fillId="0" borderId="3" xfId="0" applyNumberFormat="1" applyFont="1" applyFill="1" applyBorder="1" applyAlignment="1">
      <alignment vertical="center" wrapText="1"/>
    </xf>
    <xf numFmtId="49" fontId="2" fillId="0" borderId="3" xfId="0" applyNumberFormat="1" applyFont="1" applyFill="1" applyBorder="1" applyAlignment="1">
      <alignment horizontal="center" vertical="center"/>
    </xf>
    <xf numFmtId="4" fontId="2" fillId="0" borderId="3" xfId="0" applyNumberFormat="1" applyFont="1" applyFill="1" applyBorder="1" applyAlignment="1">
      <alignment horizontal="center" vertical="center"/>
    </xf>
    <xf numFmtId="44" fontId="2" fillId="0" borderId="3" xfId="3" applyFont="1" applyFill="1" applyBorder="1" applyAlignment="1">
      <alignment horizontal="center" vertical="center"/>
    </xf>
    <xf numFmtId="0" fontId="2" fillId="0" borderId="3" xfId="7" applyNumberFormat="1" applyFont="1" applyFill="1" applyBorder="1" applyAlignment="1">
      <alignment horizontal="justify" vertical="center" wrapText="1"/>
    </xf>
    <xf numFmtId="4" fontId="2" fillId="0" borderId="3" xfId="0" applyNumberFormat="1" applyFont="1" applyFill="1" applyBorder="1" applyAlignment="1">
      <alignment vertical="center"/>
    </xf>
    <xf numFmtId="3" fontId="2" fillId="0" borderId="3" xfId="0" applyNumberFormat="1" applyFont="1" applyFill="1" applyBorder="1" applyAlignment="1">
      <alignment horizontal="right" vertical="center" wrapText="1"/>
    </xf>
    <xf numFmtId="167" fontId="2" fillId="0" borderId="3" xfId="5" applyFont="1" applyFill="1" applyBorder="1" applyAlignment="1">
      <alignment horizontal="right" vertical="center"/>
    </xf>
    <xf numFmtId="167" fontId="2" fillId="0" borderId="3" xfId="0" applyNumberFormat="1" applyFont="1" applyFill="1" applyBorder="1" applyAlignment="1">
      <alignment horizontal="right" vertical="center" wrapText="1"/>
    </xf>
    <xf numFmtId="0" fontId="2" fillId="0" borderId="3" xfId="0" applyNumberFormat="1" applyFont="1" applyFill="1" applyBorder="1" applyAlignment="1">
      <alignment vertical="center" wrapText="1"/>
    </xf>
    <xf numFmtId="167" fontId="2" fillId="0" borderId="3" xfId="8" applyFont="1" applyFill="1" applyBorder="1" applyAlignment="1">
      <alignment horizontal="right" vertical="center"/>
    </xf>
    <xf numFmtId="167" fontId="2" fillId="0" borderId="3" xfId="5" applyFont="1" applyFill="1" applyBorder="1" applyAlignment="1">
      <alignment horizontal="center" vertical="center" wrapText="1"/>
    </xf>
    <xf numFmtId="167" fontId="2" fillId="0" borderId="3" xfId="0" applyNumberFormat="1" applyFont="1" applyFill="1" applyBorder="1" applyAlignment="1">
      <alignment horizontal="center" vertical="center"/>
    </xf>
    <xf numFmtId="0" fontId="2" fillId="0" borderId="3" xfId="12" applyNumberFormat="1" applyFont="1" applyFill="1" applyBorder="1" applyAlignment="1">
      <alignment horizontal="center" vertical="center" wrapText="1"/>
    </xf>
    <xf numFmtId="1" fontId="2" fillId="0" borderId="3" xfId="0" applyNumberFormat="1" applyFont="1" applyFill="1" applyBorder="1" applyAlignment="1">
      <alignment horizontal="center" vertical="center"/>
    </xf>
    <xf numFmtId="3" fontId="2" fillId="0" borderId="3" xfId="0" applyNumberFormat="1" applyFont="1" applyFill="1" applyBorder="1" applyAlignment="1">
      <alignment horizontal="justify" vertical="center" wrapText="1"/>
    </xf>
    <xf numFmtId="170" fontId="2" fillId="0" borderId="3" xfId="0" applyNumberFormat="1" applyFont="1" applyFill="1" applyBorder="1" applyAlignment="1">
      <alignment horizontal="justify" vertical="center" wrapText="1"/>
    </xf>
    <xf numFmtId="167" fontId="58" fillId="0" borderId="13" xfId="8" applyFont="1" applyFill="1" applyBorder="1" applyAlignment="1">
      <alignment horizontal="right" vertical="center" wrapText="1"/>
    </xf>
    <xf numFmtId="170" fontId="58" fillId="0" borderId="13" xfId="8" applyNumberFormat="1" applyFont="1" applyFill="1" applyBorder="1" applyAlignment="1">
      <alignment horizontal="right" vertical="center" wrapText="1"/>
    </xf>
    <xf numFmtId="167" fontId="58" fillId="0" borderId="13" xfId="0" applyNumberFormat="1" applyFont="1" applyFill="1" applyBorder="1" applyAlignment="1">
      <alignment horizontal="justify" vertical="center" wrapText="1"/>
    </xf>
    <xf numFmtId="167" fontId="61" fillId="0" borderId="13" xfId="8" applyFont="1" applyFill="1" applyBorder="1" applyAlignment="1">
      <alignment vertical="center" wrapText="1"/>
    </xf>
    <xf numFmtId="167" fontId="58" fillId="0" borderId="13" xfId="8" applyFont="1" applyFill="1" applyBorder="1" applyAlignment="1">
      <alignment vertical="center" wrapText="1"/>
    </xf>
    <xf numFmtId="167" fontId="61" fillId="0" borderId="13" xfId="8" applyFont="1" applyFill="1" applyBorder="1" applyAlignment="1">
      <alignment horizontal="right" vertical="center" wrapText="1"/>
    </xf>
    <xf numFmtId="167" fontId="58" fillId="0" borderId="13" xfId="8" applyFont="1" applyFill="1" applyBorder="1" applyAlignment="1">
      <alignment horizontal="center" vertical="center" wrapText="1"/>
    </xf>
    <xf numFmtId="167" fontId="58" fillId="0" borderId="13" xfId="5" applyFont="1" applyFill="1" applyBorder="1" applyAlignment="1">
      <alignment horizontal="justify" vertical="center" wrapText="1"/>
    </xf>
    <xf numFmtId="0" fontId="3" fillId="0" borderId="16" xfId="0" applyNumberFormat="1" applyFont="1" applyFill="1" applyBorder="1" applyAlignment="1">
      <alignment horizontal="center" vertical="center" wrapText="1"/>
    </xf>
    <xf numFmtId="168" fontId="2" fillId="0" borderId="3" xfId="0" applyFont="1" applyBorder="1"/>
    <xf numFmtId="0" fontId="2" fillId="0" borderId="15" xfId="0" applyNumberFormat="1" applyFont="1" applyFill="1" applyBorder="1" applyAlignment="1">
      <alignment horizontal="center" vertical="center" wrapText="1"/>
    </xf>
    <xf numFmtId="9" fontId="3" fillId="0" borderId="3" xfId="0" applyNumberFormat="1" applyFont="1" applyFill="1" applyBorder="1" applyAlignment="1" applyProtection="1">
      <alignment horizontal="center" vertical="center"/>
      <protection locked="0"/>
    </xf>
    <xf numFmtId="9" fontId="2" fillId="0" borderId="3" xfId="0" applyNumberFormat="1" applyFont="1" applyFill="1" applyBorder="1" applyAlignment="1" applyProtection="1">
      <alignment horizontal="center" vertical="center"/>
      <protection locked="0"/>
    </xf>
    <xf numFmtId="43" fontId="6" fillId="0" borderId="57" xfId="1" applyFont="1" applyBorder="1" applyAlignment="1">
      <alignment vertical="center"/>
    </xf>
    <xf numFmtId="43" fontId="6" fillId="0" borderId="65" xfId="1" applyFont="1" applyBorder="1" applyAlignment="1">
      <alignment vertical="center"/>
    </xf>
    <xf numFmtId="43" fontId="58" fillId="0" borderId="13" xfId="1" applyFont="1" applyFill="1" applyBorder="1" applyAlignment="1">
      <alignment horizontal="center" vertical="center" wrapText="1"/>
    </xf>
    <xf numFmtId="9" fontId="3" fillId="0" borderId="3" xfId="94" applyNumberFormat="1" applyFont="1" applyFill="1" applyBorder="1" applyAlignment="1" applyProtection="1">
      <alignment horizontal="center" vertical="center"/>
      <protection locked="0"/>
    </xf>
    <xf numFmtId="9" fontId="28" fillId="0" borderId="0" xfId="103" applyNumberFormat="1" applyFont="1"/>
    <xf numFmtId="9" fontId="2" fillId="0" borderId="3" xfId="96" applyNumberFormat="1" applyFont="1" applyBorder="1" applyAlignment="1">
      <alignment horizontal="center" vertical="center"/>
    </xf>
    <xf numFmtId="9" fontId="8" fillId="0" borderId="0" xfId="103" applyNumberFormat="1" applyFont="1" applyFill="1" applyBorder="1"/>
    <xf numFmtId="9" fontId="2" fillId="0" borderId="3" xfId="282" applyNumberFormat="1" applyFont="1" applyBorder="1" applyAlignment="1">
      <alignment horizontal="center" vertical="center"/>
    </xf>
    <xf numFmtId="9" fontId="6" fillId="0" borderId="3" xfId="96" applyNumberFormat="1" applyFont="1" applyBorder="1" applyAlignment="1">
      <alignment horizontal="center" vertical="center"/>
    </xf>
    <xf numFmtId="9" fontId="28" fillId="0" borderId="0" xfId="94" applyNumberFormat="1" applyFont="1"/>
    <xf numFmtId="168" fontId="2" fillId="0" borderId="0" xfId="0" applyFont="1" applyAlignment="1">
      <alignment horizontal="center" vertical="center"/>
    </xf>
    <xf numFmtId="41" fontId="2" fillId="0" borderId="3" xfId="2" applyFont="1" applyFill="1" applyBorder="1" applyAlignment="1">
      <alignment horizontal="justify" vertical="center"/>
    </xf>
    <xf numFmtId="178" fontId="62" fillId="0" borderId="0" xfId="680" applyNumberFormat="1" applyFont="1" applyFill="1" applyAlignment="1">
      <alignment horizontal="right" vertical="center"/>
    </xf>
    <xf numFmtId="9" fontId="2" fillId="0" borderId="13" xfId="282" applyNumberFormat="1" applyFont="1" applyFill="1" applyBorder="1" applyAlignment="1">
      <alignment horizontal="center" vertical="center"/>
    </xf>
    <xf numFmtId="9" fontId="0" fillId="0" borderId="0" xfId="0" applyNumberFormat="1"/>
    <xf numFmtId="0" fontId="25" fillId="0" borderId="0" xfId="94" applyFont="1" applyFill="1" applyBorder="1"/>
    <xf numFmtId="170" fontId="29" fillId="0" borderId="0" xfId="103" applyNumberFormat="1" applyFont="1" applyFill="1" applyBorder="1"/>
    <xf numFmtId="10" fontId="29" fillId="0" borderId="0" xfId="282" applyNumberFormat="1" applyFont="1" applyFill="1" applyBorder="1" applyAlignment="1">
      <alignment horizontal="center" vertical="center"/>
    </xf>
    <xf numFmtId="10" fontId="29" fillId="0" borderId="0" xfId="282" applyNumberFormat="1" applyFont="1" applyFill="1" applyBorder="1" applyAlignment="1">
      <alignment horizontal="center"/>
    </xf>
    <xf numFmtId="167" fontId="25" fillId="0" borderId="0" xfId="94" applyNumberFormat="1" applyFont="1" applyFill="1" applyBorder="1" applyAlignment="1">
      <alignment horizontal="left"/>
    </xf>
    <xf numFmtId="0" fontId="63" fillId="0" borderId="0" xfId="94" applyFont="1" applyAlignment="1">
      <alignment horizontal="left"/>
    </xf>
    <xf numFmtId="170" fontId="63" fillId="0" borderId="0" xfId="103" applyNumberFormat="1" applyFont="1"/>
    <xf numFmtId="0" fontId="63" fillId="0" borderId="0" xfId="94" applyFont="1" applyFill="1" applyBorder="1" applyAlignment="1">
      <alignment horizontal="left"/>
    </xf>
    <xf numFmtId="170" fontId="63" fillId="0" borderId="0" xfId="103" applyNumberFormat="1" applyFont="1" applyFill="1" applyBorder="1"/>
    <xf numFmtId="10" fontId="63" fillId="0" borderId="0" xfId="282" applyNumberFormat="1" applyFont="1" applyFill="1" applyBorder="1"/>
    <xf numFmtId="168" fontId="3" fillId="0" borderId="6" xfId="0" applyFont="1" applyBorder="1" applyAlignment="1">
      <alignment horizontal="center" vertical="center" wrapText="1"/>
    </xf>
    <xf numFmtId="0" fontId="3" fillId="11" borderId="13" xfId="0" applyNumberFormat="1" applyFont="1" applyFill="1" applyBorder="1" applyAlignment="1">
      <alignment horizontal="center" vertical="center"/>
    </xf>
    <xf numFmtId="43" fontId="3" fillId="11" borderId="13" xfId="1" applyFont="1" applyFill="1" applyBorder="1" applyAlignment="1">
      <alignment horizontal="center" vertical="center"/>
    </xf>
    <xf numFmtId="0" fontId="3" fillId="11" borderId="15" xfId="0" applyNumberFormat="1" applyFont="1" applyFill="1" applyBorder="1" applyAlignment="1">
      <alignment horizontal="center" vertical="center"/>
    </xf>
    <xf numFmtId="168" fontId="3" fillId="11" borderId="16" xfId="0" applyFont="1" applyFill="1" applyBorder="1" applyAlignment="1">
      <alignment horizontal="center" vertical="center"/>
    </xf>
    <xf numFmtId="0" fontId="3" fillId="7" borderId="24" xfId="0" applyNumberFormat="1" applyFont="1" applyFill="1" applyBorder="1" applyAlignment="1">
      <alignment horizontal="center" vertical="center" wrapText="1"/>
    </xf>
    <xf numFmtId="0" fontId="3" fillId="7" borderId="13" xfId="0" applyNumberFormat="1" applyFont="1" applyFill="1" applyBorder="1" applyAlignment="1">
      <alignment vertical="center"/>
    </xf>
    <xf numFmtId="43" fontId="3" fillId="7" borderId="13" xfId="1" applyFont="1" applyFill="1" applyBorder="1" applyAlignment="1">
      <alignment vertical="center"/>
    </xf>
    <xf numFmtId="0" fontId="3" fillId="71" borderId="22" xfId="0" applyNumberFormat="1" applyFont="1" applyFill="1" applyBorder="1" applyAlignment="1">
      <alignment horizontal="center" vertical="center" wrapText="1"/>
    </xf>
    <xf numFmtId="0" fontId="3" fillId="71" borderId="13" xfId="0" applyNumberFormat="1" applyFont="1" applyFill="1" applyBorder="1" applyAlignment="1">
      <alignment horizontal="left" vertical="center"/>
    </xf>
    <xf numFmtId="0" fontId="3" fillId="71" borderId="13" xfId="0" applyNumberFormat="1" applyFont="1" applyFill="1" applyBorder="1" applyAlignment="1">
      <alignment vertical="center"/>
    </xf>
    <xf numFmtId="43" fontId="3" fillId="71" borderId="13" xfId="1" applyFont="1" applyFill="1" applyBorder="1" applyAlignment="1">
      <alignment vertical="center"/>
    </xf>
    <xf numFmtId="43" fontId="3" fillId="71" borderId="13" xfId="0" applyNumberFormat="1" applyFont="1" applyFill="1" applyBorder="1" applyAlignment="1">
      <alignment vertical="center"/>
    </xf>
    <xf numFmtId="0" fontId="3" fillId="71" borderId="16" xfId="0" applyNumberFormat="1" applyFont="1" applyFill="1" applyBorder="1" applyAlignment="1">
      <alignment horizontal="center" vertical="center" wrapText="1"/>
    </xf>
    <xf numFmtId="0" fontId="3" fillId="71" borderId="15" xfId="0" applyNumberFormat="1" applyFont="1" applyFill="1" applyBorder="1" applyAlignment="1">
      <alignment horizontal="center" vertical="center" wrapText="1"/>
    </xf>
    <xf numFmtId="0" fontId="3" fillId="71" borderId="16" xfId="0" applyNumberFormat="1" applyFont="1" applyFill="1" applyBorder="1" applyAlignment="1">
      <alignment vertical="center"/>
    </xf>
    <xf numFmtId="0" fontId="3" fillId="71" borderId="25" xfId="0" applyNumberFormat="1" applyFont="1" applyFill="1" applyBorder="1" applyAlignment="1">
      <alignment horizontal="center" vertical="center" wrapText="1"/>
    </xf>
    <xf numFmtId="0" fontId="3" fillId="71" borderId="29" xfId="0" applyNumberFormat="1" applyFont="1" applyFill="1" applyBorder="1" applyAlignment="1">
      <alignment horizontal="center" vertical="center" wrapText="1"/>
    </xf>
    <xf numFmtId="0" fontId="3" fillId="71" borderId="13" xfId="0" applyNumberFormat="1" applyFont="1" applyFill="1" applyBorder="1" applyAlignment="1">
      <alignment horizontal="center" vertical="center" wrapText="1"/>
    </xf>
    <xf numFmtId="0" fontId="3" fillId="71" borderId="28" xfId="0" applyNumberFormat="1" applyFont="1" applyFill="1" applyBorder="1" applyAlignment="1">
      <alignment horizontal="center" vertical="center" wrapText="1"/>
    </xf>
    <xf numFmtId="0" fontId="2" fillId="71" borderId="13" xfId="0" applyNumberFormat="1" applyFont="1" applyFill="1" applyBorder="1" applyAlignment="1">
      <alignment vertical="center"/>
    </xf>
    <xf numFmtId="43" fontId="2" fillId="71" borderId="13" xfId="1" applyFont="1" applyFill="1" applyBorder="1" applyAlignment="1">
      <alignment vertical="center"/>
    </xf>
    <xf numFmtId="0" fontId="3" fillId="71" borderId="13" xfId="0" applyNumberFormat="1" applyFont="1" applyFill="1" applyBorder="1" applyAlignment="1">
      <alignment horizontal="justify" vertical="center"/>
    </xf>
    <xf numFmtId="0" fontId="3" fillId="71" borderId="17" xfId="0" applyNumberFormat="1" applyFont="1" applyFill="1" applyBorder="1" applyAlignment="1">
      <alignment horizontal="left" vertical="center"/>
    </xf>
    <xf numFmtId="0" fontId="3" fillId="71" borderId="17" xfId="0" applyNumberFormat="1" applyFont="1" applyFill="1" applyBorder="1" applyAlignment="1">
      <alignment vertical="center"/>
    </xf>
    <xf numFmtId="43" fontId="3" fillId="71" borderId="17" xfId="1" applyFont="1" applyFill="1" applyBorder="1" applyAlignment="1">
      <alignment vertical="center"/>
    </xf>
    <xf numFmtId="0" fontId="3" fillId="71" borderId="76" xfId="0" applyNumberFormat="1" applyFont="1" applyFill="1" applyBorder="1" applyAlignment="1">
      <alignment horizontal="center" vertical="center" wrapText="1"/>
    </xf>
    <xf numFmtId="0" fontId="3" fillId="71" borderId="16" xfId="0" applyNumberFormat="1" applyFont="1" applyFill="1" applyBorder="1" applyAlignment="1">
      <alignment horizontal="left" vertical="center"/>
    </xf>
    <xf numFmtId="0" fontId="3" fillId="71" borderId="15" xfId="0" applyNumberFormat="1" applyFont="1" applyFill="1" applyBorder="1" applyAlignment="1">
      <alignment vertical="center"/>
    </xf>
    <xf numFmtId="0" fontId="3" fillId="11" borderId="15" xfId="0" applyNumberFormat="1" applyFont="1" applyFill="1" applyBorder="1" applyAlignment="1">
      <alignment horizontal="left" vertical="center"/>
    </xf>
    <xf numFmtId="168" fontId="3" fillId="13" borderId="34" xfId="0" applyFont="1" applyFill="1" applyBorder="1" applyAlignment="1">
      <alignment horizontal="center"/>
    </xf>
    <xf numFmtId="43" fontId="3" fillId="13" borderId="57" xfId="1" applyFont="1" applyFill="1" applyBorder="1" applyAlignment="1">
      <alignment horizontal="center" vertical="center"/>
    </xf>
    <xf numFmtId="0" fontId="3" fillId="7" borderId="13" xfId="0" applyNumberFormat="1" applyFont="1" applyFill="1" applyBorder="1" applyAlignment="1">
      <alignment horizontal="center" vertical="center"/>
    </xf>
    <xf numFmtId="0" fontId="3" fillId="7" borderId="15" xfId="0" applyNumberFormat="1" applyFont="1" applyFill="1" applyBorder="1" applyAlignment="1">
      <alignment horizontal="center" vertical="center"/>
    </xf>
    <xf numFmtId="168" fontId="3" fillId="7" borderId="16" xfId="0" applyFont="1" applyFill="1" applyBorder="1" applyAlignment="1">
      <alignment horizontal="center" vertical="center"/>
    </xf>
    <xf numFmtId="43" fontId="3" fillId="7" borderId="13" xfId="1" applyFont="1" applyFill="1" applyBorder="1" applyAlignment="1">
      <alignment horizontal="center" vertical="center"/>
    </xf>
    <xf numFmtId="0" fontId="3" fillId="7" borderId="17" xfId="0" applyNumberFormat="1" applyFont="1" applyFill="1" applyBorder="1" applyAlignment="1">
      <alignment horizontal="center" vertical="center" wrapText="1"/>
    </xf>
    <xf numFmtId="0" fontId="3" fillId="7" borderId="19" xfId="0" applyNumberFormat="1" applyFont="1" applyFill="1" applyBorder="1" applyAlignment="1">
      <alignment vertical="center"/>
    </xf>
    <xf numFmtId="0" fontId="3" fillId="7" borderId="17" xfId="0" applyNumberFormat="1" applyFont="1" applyFill="1" applyBorder="1" applyAlignment="1">
      <alignment horizontal="center" vertical="center"/>
    </xf>
    <xf numFmtId="0" fontId="3" fillId="7" borderId="13" xfId="0" applyNumberFormat="1" applyFont="1" applyFill="1" applyBorder="1" applyAlignment="1">
      <alignment horizontal="justify" vertical="center"/>
    </xf>
    <xf numFmtId="0" fontId="3" fillId="7" borderId="22" xfId="0" applyNumberFormat="1" applyFont="1" applyFill="1" applyBorder="1" applyAlignment="1">
      <alignment horizontal="center" vertical="center" wrapText="1"/>
    </xf>
    <xf numFmtId="0" fontId="3" fillId="7" borderId="13" xfId="0" applyNumberFormat="1" applyFont="1" applyFill="1" applyBorder="1" applyAlignment="1">
      <alignment horizontal="center" vertical="center" wrapText="1"/>
    </xf>
    <xf numFmtId="0" fontId="3" fillId="7" borderId="19" xfId="0" applyNumberFormat="1" applyFont="1" applyFill="1" applyBorder="1" applyAlignment="1">
      <alignment horizontal="center" vertical="center" wrapText="1"/>
    </xf>
    <xf numFmtId="170" fontId="4" fillId="7" borderId="3" xfId="5" applyNumberFormat="1" applyFont="1" applyFill="1" applyBorder="1" applyAlignment="1">
      <alignment horizontal="center" vertical="center" wrapText="1"/>
    </xf>
    <xf numFmtId="170" fontId="4" fillId="7" borderId="9" xfId="5" applyNumberFormat="1" applyFont="1" applyFill="1" applyBorder="1" applyAlignment="1">
      <alignment horizontal="center" vertical="center" wrapText="1"/>
    </xf>
    <xf numFmtId="170" fontId="4" fillId="7" borderId="0" xfId="5" applyNumberFormat="1" applyFont="1" applyFill="1" applyBorder="1" applyAlignment="1">
      <alignment horizontal="center" vertical="center" wrapText="1"/>
    </xf>
    <xf numFmtId="0" fontId="3" fillId="72" borderId="13" xfId="0" applyNumberFormat="1" applyFont="1" applyFill="1" applyBorder="1" applyAlignment="1">
      <alignment horizontal="center" vertical="center" wrapText="1"/>
    </xf>
    <xf numFmtId="0" fontId="3" fillId="72" borderId="13" xfId="0" applyNumberFormat="1" applyFont="1" applyFill="1" applyBorder="1" applyAlignment="1">
      <alignment vertical="center"/>
    </xf>
    <xf numFmtId="0" fontId="3" fillId="72" borderId="13" xfId="0" applyNumberFormat="1" applyFont="1" applyFill="1" applyBorder="1" applyAlignment="1">
      <alignment horizontal="justify" vertical="center"/>
    </xf>
    <xf numFmtId="43" fontId="3" fillId="72" borderId="13" xfId="1" applyFont="1" applyFill="1" applyBorder="1" applyAlignment="1">
      <alignment vertical="center"/>
    </xf>
    <xf numFmtId="43" fontId="3" fillId="72" borderId="13" xfId="1" applyFont="1" applyFill="1" applyBorder="1" applyAlignment="1">
      <alignment horizontal="justify" vertical="center"/>
    </xf>
    <xf numFmtId="0" fontId="3" fillId="72" borderId="13" xfId="0" applyNumberFormat="1" applyFont="1" applyFill="1" applyBorder="1" applyAlignment="1">
      <alignment horizontal="center" vertical="center"/>
    </xf>
    <xf numFmtId="0" fontId="3" fillId="72" borderId="19" xfId="0" applyNumberFormat="1" applyFont="1" applyFill="1" applyBorder="1" applyAlignment="1">
      <alignment horizontal="justify" vertical="center"/>
    </xf>
    <xf numFmtId="43" fontId="3" fillId="72" borderId="19" xfId="1" applyFont="1" applyFill="1" applyBorder="1" applyAlignment="1">
      <alignment vertical="center"/>
    </xf>
    <xf numFmtId="0" fontId="3" fillId="72" borderId="19" xfId="0" applyNumberFormat="1" applyFont="1" applyFill="1" applyBorder="1" applyAlignment="1">
      <alignment horizontal="center" vertical="center" wrapText="1"/>
    </xf>
    <xf numFmtId="0" fontId="3" fillId="72" borderId="13" xfId="0" applyNumberFormat="1" applyFont="1" applyFill="1" applyBorder="1" applyAlignment="1">
      <alignment horizontal="left" vertical="center"/>
    </xf>
    <xf numFmtId="168" fontId="2" fillId="0" borderId="6" xfId="0" applyFont="1" applyBorder="1"/>
    <xf numFmtId="43" fontId="3" fillId="71" borderId="13" xfId="1" applyFont="1" applyFill="1" applyBorder="1" applyAlignment="1">
      <alignment horizontal="left" vertical="center"/>
    </xf>
    <xf numFmtId="43" fontId="3" fillId="71" borderId="16" xfId="1" applyFont="1" applyFill="1" applyBorder="1" applyAlignment="1">
      <alignment vertical="center"/>
    </xf>
    <xf numFmtId="168" fontId="3" fillId="71" borderId="13" xfId="0" applyFont="1" applyFill="1" applyBorder="1" applyAlignment="1">
      <alignment horizontal="justify" vertical="center" wrapText="1"/>
    </xf>
    <xf numFmtId="0" fontId="3" fillId="71" borderId="22" xfId="0" applyNumberFormat="1" applyFont="1" applyFill="1" applyBorder="1" applyAlignment="1">
      <alignment vertical="center"/>
    </xf>
    <xf numFmtId="0" fontId="3" fillId="71" borderId="18" xfId="0" applyNumberFormat="1" applyFont="1" applyFill="1" applyBorder="1" applyAlignment="1">
      <alignment horizontal="left" vertical="center" wrapText="1"/>
    </xf>
    <xf numFmtId="0" fontId="3" fillId="11" borderId="19" xfId="0" applyNumberFormat="1" applyFont="1" applyFill="1" applyBorder="1" applyAlignment="1">
      <alignment horizontal="left" vertical="center"/>
    </xf>
    <xf numFmtId="0" fontId="3" fillId="11" borderId="19" xfId="0" applyNumberFormat="1" applyFont="1" applyFill="1" applyBorder="1" applyAlignment="1">
      <alignment horizontal="center" vertical="center"/>
    </xf>
    <xf numFmtId="168" fontId="3" fillId="11" borderId="19" xfId="0" applyFont="1" applyFill="1" applyBorder="1" applyAlignment="1">
      <alignment horizontal="justify" vertical="center"/>
    </xf>
    <xf numFmtId="43" fontId="3" fillId="11" borderId="19" xfId="1" applyFont="1" applyFill="1" applyBorder="1" applyAlignment="1">
      <alignment horizontal="justify" vertical="center"/>
    </xf>
    <xf numFmtId="43" fontId="3" fillId="11" borderId="19" xfId="1" applyFont="1" applyFill="1" applyBorder="1" applyAlignment="1">
      <alignment horizontal="center" vertical="center"/>
    </xf>
    <xf numFmtId="43" fontId="3" fillId="11" borderId="15" xfId="1" applyFont="1" applyFill="1" applyBorder="1" applyAlignment="1">
      <alignment horizontal="center" vertical="center"/>
    </xf>
    <xf numFmtId="168" fontId="3" fillId="11" borderId="13" xfId="0" applyFont="1" applyFill="1" applyBorder="1" applyAlignment="1">
      <alignment horizontal="justify" vertical="center"/>
    </xf>
    <xf numFmtId="168" fontId="3" fillId="11" borderId="19" xfId="0" applyFont="1" applyFill="1" applyBorder="1" applyAlignment="1">
      <alignment horizontal="center" vertical="center"/>
    </xf>
    <xf numFmtId="0" fontId="3" fillId="11" borderId="7" xfId="0" applyNumberFormat="1" applyFont="1" applyFill="1" applyBorder="1" applyAlignment="1">
      <alignment horizontal="left" vertical="center"/>
    </xf>
    <xf numFmtId="0" fontId="3" fillId="11" borderId="8" xfId="0" applyNumberFormat="1" applyFont="1" applyFill="1" applyBorder="1" applyAlignment="1">
      <alignment horizontal="left" vertical="center"/>
    </xf>
    <xf numFmtId="43" fontId="3" fillId="11" borderId="3" xfId="1" applyFont="1" applyFill="1" applyBorder="1" applyAlignment="1">
      <alignment horizontal="left" vertical="center"/>
    </xf>
    <xf numFmtId="43" fontId="3" fillId="11" borderId="9" xfId="1" applyFont="1" applyFill="1" applyBorder="1" applyAlignment="1">
      <alignment horizontal="left" vertical="center"/>
    </xf>
    <xf numFmtId="9" fontId="3" fillId="71" borderId="3" xfId="0" applyNumberFormat="1" applyFont="1" applyFill="1" applyBorder="1" applyAlignment="1" applyProtection="1">
      <alignment horizontal="center" vertical="center"/>
      <protection locked="0"/>
    </xf>
    <xf numFmtId="9" fontId="3" fillId="71" borderId="19" xfId="282" applyNumberFormat="1" applyFont="1" applyFill="1" applyBorder="1" applyAlignment="1">
      <alignment horizontal="center" vertical="center"/>
    </xf>
    <xf numFmtId="9" fontId="3" fillId="11" borderId="3" xfId="0" applyNumberFormat="1" applyFont="1" applyFill="1" applyBorder="1" applyAlignment="1" applyProtection="1">
      <alignment horizontal="center" vertical="center"/>
      <protection locked="0"/>
    </xf>
    <xf numFmtId="9" fontId="3" fillId="11" borderId="19" xfId="282" applyNumberFormat="1" applyFont="1" applyFill="1" applyBorder="1" applyAlignment="1">
      <alignment horizontal="center" vertical="center"/>
    </xf>
    <xf numFmtId="0" fontId="3" fillId="71" borderId="19" xfId="0" applyNumberFormat="1" applyFont="1" applyFill="1" applyBorder="1" applyAlignment="1">
      <alignment horizontal="center" vertical="center" wrapText="1"/>
    </xf>
    <xf numFmtId="0" fontId="3" fillId="71" borderId="19" xfId="0" applyNumberFormat="1" applyFont="1" applyFill="1" applyBorder="1" applyAlignment="1">
      <alignment vertical="center"/>
    </xf>
    <xf numFmtId="43" fontId="3" fillId="71" borderId="19" xfId="1" applyFont="1" applyFill="1" applyBorder="1" applyAlignment="1">
      <alignment vertical="center"/>
    </xf>
    <xf numFmtId="9" fontId="3" fillId="71" borderId="12" xfId="0" applyNumberFormat="1" applyFont="1" applyFill="1" applyBorder="1" applyAlignment="1" applyProtection="1">
      <alignment horizontal="center" vertical="center"/>
      <protection locked="0"/>
    </xf>
    <xf numFmtId="168" fontId="3" fillId="7" borderId="3" xfId="0" applyFont="1" applyFill="1" applyBorder="1" applyAlignment="1">
      <alignment horizontal="center" vertical="center"/>
    </xf>
    <xf numFmtId="168" fontId="3" fillId="7" borderId="3" xfId="0" applyFont="1" applyFill="1" applyBorder="1" applyAlignment="1">
      <alignment vertical="center"/>
    </xf>
    <xf numFmtId="43" fontId="3" fillId="7" borderId="3" xfId="1" applyFont="1" applyFill="1" applyBorder="1" applyAlignment="1">
      <alignment horizontal="center" vertical="center"/>
    </xf>
    <xf numFmtId="168" fontId="0" fillId="0" borderId="0" xfId="0" applyBorder="1"/>
    <xf numFmtId="9" fontId="3" fillId="72" borderId="3" xfId="0" applyNumberFormat="1" applyFont="1" applyFill="1" applyBorder="1" applyAlignment="1" applyProtection="1">
      <alignment horizontal="center" vertical="center"/>
      <protection locked="0"/>
    </xf>
    <xf numFmtId="9" fontId="3" fillId="72" borderId="19" xfId="282" applyNumberFormat="1" applyFont="1" applyFill="1" applyBorder="1" applyAlignment="1">
      <alignment horizontal="center" vertical="center"/>
    </xf>
    <xf numFmtId="10" fontId="3" fillId="71" borderId="3" xfId="0" applyNumberFormat="1" applyFont="1" applyFill="1" applyBorder="1" applyAlignment="1" applyProtection="1">
      <alignment horizontal="center" vertical="center"/>
      <protection locked="0"/>
    </xf>
    <xf numFmtId="9" fontId="3" fillId="71" borderId="13" xfId="282" applyNumberFormat="1" applyFont="1" applyFill="1" applyBorder="1" applyAlignment="1">
      <alignment horizontal="center" vertical="center"/>
    </xf>
    <xf numFmtId="9" fontId="3" fillId="7" borderId="3" xfId="0" applyNumberFormat="1" applyFont="1" applyFill="1" applyBorder="1" applyAlignment="1" applyProtection="1">
      <alignment horizontal="center" vertical="center"/>
      <protection locked="0"/>
    </xf>
    <xf numFmtId="9" fontId="3" fillId="7" borderId="13" xfId="282" applyNumberFormat="1" applyFont="1" applyFill="1" applyBorder="1" applyAlignment="1">
      <alignment horizontal="center" vertical="center"/>
    </xf>
    <xf numFmtId="10" fontId="3" fillId="11" borderId="3" xfId="0" applyNumberFormat="1" applyFont="1" applyFill="1" applyBorder="1" applyAlignment="1" applyProtection="1">
      <alignment horizontal="center" vertical="center"/>
      <protection locked="0"/>
    </xf>
    <xf numFmtId="9" fontId="3" fillId="11" borderId="13" xfId="282" applyNumberFormat="1" applyFont="1" applyFill="1" applyBorder="1" applyAlignment="1">
      <alignment horizontal="center" vertical="center"/>
    </xf>
    <xf numFmtId="9" fontId="2" fillId="11" borderId="13" xfId="282" applyNumberFormat="1" applyFont="1" applyFill="1" applyBorder="1" applyAlignment="1">
      <alignment horizontal="center" vertical="center"/>
    </xf>
    <xf numFmtId="0" fontId="3" fillId="72" borderId="19" xfId="0" applyNumberFormat="1" applyFont="1" applyFill="1" applyBorder="1" applyAlignment="1">
      <alignment vertical="center"/>
    </xf>
    <xf numFmtId="10" fontId="3" fillId="72" borderId="3" xfId="0" applyNumberFormat="1" applyFont="1" applyFill="1" applyBorder="1" applyAlignment="1" applyProtection="1">
      <alignment horizontal="center" vertical="center"/>
      <protection locked="0"/>
    </xf>
    <xf numFmtId="9" fontId="3" fillId="72" borderId="13" xfId="282" applyNumberFormat="1" applyFont="1" applyFill="1" applyBorder="1" applyAlignment="1">
      <alignment horizontal="center" vertical="center"/>
    </xf>
    <xf numFmtId="168" fontId="3" fillId="11" borderId="0" xfId="0" applyFont="1" applyFill="1" applyAlignment="1">
      <alignment horizontal="center"/>
    </xf>
    <xf numFmtId="168" fontId="3" fillId="11" borderId="0" xfId="0" applyFont="1" applyFill="1"/>
    <xf numFmtId="43" fontId="3" fillId="11" borderId="0" xfId="1" applyFont="1" applyFill="1" applyAlignment="1">
      <alignment horizontal="center"/>
    </xf>
    <xf numFmtId="0" fontId="2" fillId="44" borderId="19" xfId="0" applyNumberFormat="1" applyFont="1" applyFill="1" applyBorder="1" applyAlignment="1">
      <alignment horizontal="center" vertical="center" wrapText="1"/>
    </xf>
    <xf numFmtId="0" fontId="58" fillId="44" borderId="19" xfId="0" applyNumberFormat="1" applyFont="1" applyFill="1" applyBorder="1" applyAlignment="1">
      <alignment vertical="center"/>
    </xf>
    <xf numFmtId="43" fontId="2" fillId="44" borderId="19" xfId="1" applyFont="1" applyFill="1" applyBorder="1" applyAlignment="1">
      <alignment vertical="center"/>
    </xf>
    <xf numFmtId="9" fontId="2" fillId="0" borderId="12" xfId="0" applyNumberFormat="1" applyFont="1" applyFill="1" applyBorder="1" applyAlignment="1" applyProtection="1">
      <alignment horizontal="center" vertical="center"/>
      <protection locked="0"/>
    </xf>
    <xf numFmtId="10" fontId="2" fillId="44" borderId="19" xfId="282" applyNumberFormat="1" applyFont="1" applyFill="1" applyBorder="1" applyAlignment="1">
      <alignment horizontal="center" vertical="center"/>
    </xf>
    <xf numFmtId="10" fontId="3" fillId="11" borderId="13" xfId="0" applyNumberFormat="1" applyFont="1" applyFill="1" applyBorder="1" applyAlignment="1">
      <alignment horizontal="center" vertical="center"/>
    </xf>
    <xf numFmtId="43" fontId="3" fillId="11" borderId="57" xfId="1" applyFont="1" applyFill="1" applyBorder="1" applyAlignment="1">
      <alignment vertical="center"/>
    </xf>
    <xf numFmtId="43" fontId="3" fillId="11" borderId="35" xfId="1" applyFont="1" applyFill="1" applyBorder="1" applyAlignment="1">
      <alignment vertical="center"/>
    </xf>
    <xf numFmtId="10" fontId="52" fillId="11" borderId="57" xfId="282" applyNumberFormat="1" applyFont="1" applyFill="1" applyBorder="1" applyAlignment="1">
      <alignment horizontal="center" vertical="center"/>
    </xf>
    <xf numFmtId="43" fontId="3" fillId="7" borderId="57" xfId="1" applyFont="1" applyFill="1" applyBorder="1" applyAlignment="1">
      <alignment vertical="center"/>
    </xf>
    <xf numFmtId="43" fontId="3" fillId="7" borderId="35" xfId="1" applyFont="1" applyFill="1" applyBorder="1" applyAlignment="1">
      <alignment vertical="center"/>
    </xf>
    <xf numFmtId="10" fontId="3" fillId="7" borderId="57" xfId="282" applyNumberFormat="1" applyFont="1" applyFill="1" applyBorder="1" applyAlignment="1">
      <alignment horizontal="center" vertical="center"/>
    </xf>
    <xf numFmtId="43" fontId="3" fillId="72" borderId="57" xfId="1" applyFont="1" applyFill="1" applyBorder="1" applyAlignment="1">
      <alignment vertical="center"/>
    </xf>
    <xf numFmtId="10" fontId="3" fillId="72" borderId="57" xfId="282" applyNumberFormat="1" applyFont="1" applyFill="1" applyBorder="1" applyAlignment="1">
      <alignment horizontal="center" vertical="center"/>
    </xf>
    <xf numFmtId="168" fontId="53" fillId="7" borderId="71" xfId="0" applyFont="1" applyFill="1" applyBorder="1" applyAlignment="1">
      <alignment horizontal="center" vertical="center" wrapText="1"/>
    </xf>
    <xf numFmtId="10" fontId="53" fillId="7" borderId="71" xfId="0" applyNumberFormat="1" applyFont="1" applyFill="1" applyBorder="1" applyAlignment="1">
      <alignment horizontal="center" vertical="center" wrapText="1"/>
    </xf>
    <xf numFmtId="43" fontId="3" fillId="71" borderId="57" xfId="1" applyFont="1" applyFill="1" applyBorder="1" applyAlignment="1">
      <alignment vertical="center"/>
    </xf>
    <xf numFmtId="10" fontId="3" fillId="71" borderId="57" xfId="282" applyNumberFormat="1" applyFont="1" applyFill="1" applyBorder="1" applyAlignment="1">
      <alignment horizontal="center" vertical="center"/>
    </xf>
    <xf numFmtId="10" fontId="2" fillId="71" borderId="57" xfId="282" applyNumberFormat="1" applyFont="1" applyFill="1" applyBorder="1" applyAlignment="1">
      <alignment horizontal="center" vertical="center"/>
    </xf>
    <xf numFmtId="0" fontId="3" fillId="71" borderId="0" xfId="94" applyFont="1" applyFill="1" applyAlignment="1">
      <alignment horizontal="left" vertical="center"/>
    </xf>
    <xf numFmtId="167" fontId="3" fillId="71" borderId="3" xfId="103" applyNumberFormat="1" applyFont="1" applyFill="1" applyBorder="1" applyAlignment="1">
      <alignment vertical="center"/>
    </xf>
    <xf numFmtId="9" fontId="3" fillId="71" borderId="3" xfId="96" applyFont="1" applyFill="1" applyBorder="1" applyAlignment="1">
      <alignment horizontal="center" vertical="center"/>
    </xf>
    <xf numFmtId="9" fontId="3" fillId="71" borderId="3" xfId="96" applyNumberFormat="1" applyFont="1" applyFill="1" applyBorder="1" applyAlignment="1">
      <alignment horizontal="center" vertical="center"/>
    </xf>
    <xf numFmtId="9" fontId="3" fillId="71" borderId="3" xfId="94" applyNumberFormat="1" applyFont="1" applyFill="1" applyBorder="1" applyAlignment="1" applyProtection="1">
      <alignment horizontal="center" vertical="center"/>
      <protection locked="0"/>
    </xf>
    <xf numFmtId="9" fontId="3" fillId="71" borderId="3" xfId="282" applyNumberFormat="1" applyFont="1" applyFill="1" applyBorder="1" applyAlignment="1">
      <alignment horizontal="center" vertical="center"/>
    </xf>
    <xf numFmtId="0" fontId="3" fillId="71" borderId="7" xfId="94" applyFont="1" applyFill="1" applyBorder="1" applyAlignment="1">
      <alignment horizontal="left" vertical="center"/>
    </xf>
    <xf numFmtId="0" fontId="3" fillId="71" borderId="9" xfId="94" applyFont="1" applyFill="1" applyBorder="1" applyAlignment="1">
      <alignment horizontal="left" vertical="center"/>
    </xf>
    <xf numFmtId="170" fontId="4" fillId="7" borderId="7" xfId="103" applyNumberFormat="1" applyFont="1" applyFill="1" applyBorder="1" applyAlignment="1">
      <alignment vertical="center" wrapText="1"/>
    </xf>
    <xf numFmtId="170" fontId="4" fillId="7" borderId="9" xfId="103" applyNumberFormat="1" applyFont="1" applyFill="1" applyBorder="1" applyAlignment="1">
      <alignment vertical="center" wrapText="1"/>
    </xf>
    <xf numFmtId="170" fontId="4" fillId="7" borderId="3" xfId="103" applyNumberFormat="1" applyFont="1" applyFill="1" applyBorder="1" applyAlignment="1">
      <alignment horizontal="center" vertical="center" wrapText="1"/>
    </xf>
    <xf numFmtId="170" fontId="55" fillId="7" borderId="3" xfId="103" applyNumberFormat="1" applyFont="1" applyFill="1" applyBorder="1" applyAlignment="1">
      <alignment horizontal="center" vertical="center" wrapText="1"/>
    </xf>
    <xf numFmtId="167" fontId="4" fillId="7" borderId="3" xfId="103" applyNumberFormat="1" applyFont="1" applyFill="1" applyBorder="1" applyAlignment="1">
      <alignment horizontal="center" vertical="center" wrapText="1"/>
    </xf>
    <xf numFmtId="0" fontId="3" fillId="13" borderId="7" xfId="94" applyFont="1" applyFill="1" applyBorder="1" applyAlignment="1">
      <alignment horizontal="left" vertical="center"/>
    </xf>
    <xf numFmtId="0" fontId="3" fillId="13" borderId="9" xfId="94" applyFont="1" applyFill="1" applyBorder="1" applyAlignment="1">
      <alignment horizontal="left" vertical="center"/>
    </xf>
    <xf numFmtId="167" fontId="3" fillId="13" borderId="3" xfId="103" applyNumberFormat="1" applyFont="1" applyFill="1" applyBorder="1" applyAlignment="1">
      <alignment vertical="center"/>
    </xf>
    <xf numFmtId="9" fontId="3" fillId="13" borderId="3" xfId="96" applyFont="1" applyFill="1" applyBorder="1" applyAlignment="1">
      <alignment horizontal="center" vertical="center"/>
    </xf>
    <xf numFmtId="9" fontId="3" fillId="13" borderId="3" xfId="96" applyNumberFormat="1" applyFont="1" applyFill="1" applyBorder="1" applyAlignment="1">
      <alignment horizontal="center" vertical="center"/>
    </xf>
    <xf numFmtId="9" fontId="3" fillId="13" borderId="3" xfId="94" applyNumberFormat="1" applyFont="1" applyFill="1" applyBorder="1" applyAlignment="1" applyProtection="1">
      <alignment horizontal="center" vertical="center"/>
      <protection locked="0"/>
    </xf>
    <xf numFmtId="9" fontId="3" fillId="13" borderId="3" xfId="282" applyNumberFormat="1" applyFont="1" applyFill="1" applyBorder="1" applyAlignment="1">
      <alignment horizontal="center" vertical="center"/>
    </xf>
    <xf numFmtId="172" fontId="2" fillId="0" borderId="3" xfId="2" applyNumberFormat="1" applyFont="1" applyFill="1" applyBorder="1" applyAlignment="1">
      <alignment horizontal="center" vertical="center"/>
    </xf>
    <xf numFmtId="172" fontId="2" fillId="0" borderId="3" xfId="694" applyNumberFormat="1" applyFont="1" applyFill="1" applyBorder="1" applyAlignment="1" applyProtection="1">
      <alignment horizontal="left" vertical="center"/>
      <protection locked="0"/>
    </xf>
    <xf numFmtId="172" fontId="2" fillId="0" borderId="0" xfId="694" applyNumberFormat="1" applyFont="1" applyFill="1" applyAlignment="1" applyProtection="1">
      <alignment horizontal="left" vertical="center"/>
      <protection locked="0"/>
    </xf>
    <xf numFmtId="179" fontId="2" fillId="0" borderId="3" xfId="282" applyNumberFormat="1" applyFont="1" applyBorder="1" applyAlignment="1">
      <alignment horizontal="center" vertical="center"/>
    </xf>
    <xf numFmtId="43" fontId="2" fillId="0" borderId="3" xfId="12" applyFont="1" applyFill="1" applyBorder="1" applyAlignment="1">
      <alignment horizontal="right" vertical="center" wrapText="1"/>
    </xf>
    <xf numFmtId="172" fontId="2" fillId="0" borderId="3" xfId="694" applyNumberFormat="1" applyFont="1" applyFill="1" applyBorder="1" applyAlignment="1" applyProtection="1">
      <alignment horizontal="center" vertical="center" wrapText="1"/>
      <protection locked="0"/>
    </xf>
    <xf numFmtId="172" fontId="2" fillId="0" borderId="3" xfId="5" applyNumberFormat="1" applyFont="1" applyFill="1" applyBorder="1" applyAlignment="1">
      <alignment horizontal="justify" vertical="center"/>
    </xf>
    <xf numFmtId="172" fontId="2" fillId="0" borderId="3" xfId="0" applyNumberFormat="1" applyFont="1" applyFill="1" applyBorder="1" applyAlignment="1">
      <alignment vertical="center"/>
    </xf>
    <xf numFmtId="172" fontId="62" fillId="0" borderId="3" xfId="680" applyNumberFormat="1" applyFont="1" applyFill="1" applyBorder="1"/>
    <xf numFmtId="172" fontId="2" fillId="0" borderId="3" xfId="688" applyNumberFormat="1" applyFont="1" applyFill="1" applyBorder="1" applyAlignment="1" applyProtection="1">
      <alignment horizontal="right" vertical="center"/>
      <protection locked="0"/>
    </xf>
    <xf numFmtId="172" fontId="2" fillId="0" borderId="3" xfId="418" applyNumberFormat="1" applyFont="1" applyFill="1" applyBorder="1" applyAlignment="1" applyProtection="1">
      <alignment horizontal="right" vertical="center"/>
      <protection locked="0"/>
    </xf>
    <xf numFmtId="172" fontId="2" fillId="0" borderId="3" xfId="708" applyNumberFormat="1" applyFont="1" applyFill="1" applyBorder="1" applyAlignment="1" applyProtection="1">
      <alignment horizontal="right" vertical="center"/>
      <protection locked="0"/>
    </xf>
    <xf numFmtId="180" fontId="2" fillId="0" borderId="3" xfId="1" applyNumberFormat="1" applyFont="1" applyFill="1" applyBorder="1" applyAlignment="1">
      <alignment horizontal="right" vertical="center" wrapText="1"/>
    </xf>
    <xf numFmtId="172" fontId="64" fillId="0" borderId="0" xfId="2" applyNumberFormat="1" applyFont="1" applyFill="1" applyAlignment="1">
      <alignment horizontal="center" vertical="center"/>
    </xf>
    <xf numFmtId="168" fontId="0" fillId="0" borderId="0" xfId="0" applyFill="1" applyAlignment="1">
      <alignment vertical="center" wrapText="1"/>
    </xf>
    <xf numFmtId="0" fontId="3" fillId="0" borderId="7" xfId="0" applyNumberFormat="1" applyFont="1" applyBorder="1" applyAlignment="1">
      <alignment horizontal="center" vertical="center" wrapText="1"/>
    </xf>
    <xf numFmtId="0" fontId="3" fillId="0" borderId="8" xfId="0" applyNumberFormat="1" applyFont="1" applyBorder="1" applyAlignment="1">
      <alignment horizontal="center" vertical="center" wrapText="1"/>
    </xf>
    <xf numFmtId="0" fontId="3" fillId="0" borderId="9" xfId="0" applyNumberFormat="1" applyFont="1" applyBorder="1" applyAlignment="1">
      <alignment horizontal="center" vertical="center" wrapText="1"/>
    </xf>
    <xf numFmtId="168" fontId="57" fillId="0" borderId="4" xfId="0" applyFont="1" applyBorder="1" applyAlignment="1">
      <alignment horizontal="center" vertical="center" wrapText="1"/>
    </xf>
    <xf numFmtId="168" fontId="57" fillId="0" borderId="0" xfId="0" applyFont="1" applyBorder="1" applyAlignment="1">
      <alignment horizontal="center" vertical="center" wrapText="1"/>
    </xf>
    <xf numFmtId="168" fontId="57" fillId="0" borderId="0" xfId="0" applyFont="1" applyAlignment="1">
      <alignment horizontal="center" vertical="center" wrapText="1"/>
    </xf>
    <xf numFmtId="0" fontId="4" fillId="12" borderId="7" xfId="0" applyNumberFormat="1" applyFont="1" applyFill="1" applyBorder="1" applyAlignment="1">
      <alignment horizontal="center" vertical="center" wrapText="1"/>
    </xf>
    <xf numFmtId="0" fontId="4" fillId="12" borderId="8" xfId="0" applyNumberFormat="1" applyFont="1" applyFill="1" applyBorder="1" applyAlignment="1">
      <alignment horizontal="center" vertical="center" wrapText="1"/>
    </xf>
    <xf numFmtId="0" fontId="4" fillId="12" borderId="9" xfId="0" applyNumberFormat="1" applyFont="1" applyFill="1" applyBorder="1" applyAlignment="1">
      <alignment horizontal="center" vertical="center" wrapText="1"/>
    </xf>
    <xf numFmtId="168" fontId="4" fillId="71" borderId="55" xfId="0" applyFont="1" applyFill="1" applyBorder="1" applyAlignment="1">
      <alignment horizontal="center" vertical="center" wrapText="1"/>
    </xf>
    <xf numFmtId="168" fontId="4" fillId="71" borderId="12" xfId="0" applyFont="1" applyFill="1" applyBorder="1" applyAlignment="1">
      <alignment horizontal="center" vertical="center" wrapText="1"/>
    </xf>
    <xf numFmtId="0" fontId="4" fillId="12" borderId="55" xfId="0" applyNumberFormat="1" applyFont="1" applyFill="1" applyBorder="1" applyAlignment="1">
      <alignment horizontal="center" vertical="center" wrapText="1"/>
    </xf>
    <xf numFmtId="0" fontId="4" fillId="12" borderId="12" xfId="0" applyNumberFormat="1" applyFont="1" applyFill="1" applyBorder="1" applyAlignment="1">
      <alignment horizontal="center" vertical="center" wrapText="1"/>
    </xf>
    <xf numFmtId="0" fontId="4" fillId="71" borderId="3" xfId="0" applyNumberFormat="1" applyFont="1" applyFill="1" applyBorder="1" applyAlignment="1">
      <alignment horizontal="center" vertical="center" wrapText="1"/>
    </xf>
    <xf numFmtId="168" fontId="4" fillId="71" borderId="3" xfId="0" applyFont="1" applyFill="1" applyBorder="1" applyAlignment="1">
      <alignment horizontal="center" vertical="center" wrapText="1"/>
    </xf>
    <xf numFmtId="170" fontId="4" fillId="12" borderId="56" xfId="5" applyNumberFormat="1" applyFont="1" applyFill="1" applyBorder="1" applyAlignment="1">
      <alignment horizontal="center" vertical="center" wrapText="1"/>
    </xf>
    <xf numFmtId="170" fontId="4" fillId="12" borderId="12" xfId="5" applyNumberFormat="1" applyFont="1" applyFill="1" applyBorder="1" applyAlignment="1">
      <alignment horizontal="center" vertical="center" wrapText="1"/>
    </xf>
    <xf numFmtId="168" fontId="3" fillId="7" borderId="7" xfId="0" applyFont="1" applyFill="1" applyBorder="1" applyAlignment="1">
      <alignment horizontal="center" vertical="center" wrapText="1"/>
    </xf>
    <xf numFmtId="168" fontId="3" fillId="7" borderId="8" xfId="0" applyFont="1" applyFill="1" applyBorder="1" applyAlignment="1">
      <alignment horizontal="center" vertical="center" wrapText="1"/>
    </xf>
    <xf numFmtId="168" fontId="3" fillId="7" borderId="9" xfId="0" applyFont="1" applyFill="1" applyBorder="1" applyAlignment="1">
      <alignment horizontal="center" vertical="center" wrapText="1"/>
    </xf>
    <xf numFmtId="168" fontId="3" fillId="7" borderId="1" xfId="0" applyFont="1" applyFill="1" applyBorder="1" applyAlignment="1">
      <alignment horizontal="center" vertical="center" wrapText="1"/>
    </xf>
    <xf numFmtId="168" fontId="3" fillId="7" borderId="2" xfId="0" applyFont="1" applyFill="1" applyBorder="1" applyAlignment="1">
      <alignment horizontal="center" vertical="center" wrapText="1"/>
    </xf>
    <xf numFmtId="168" fontId="3" fillId="7" borderId="67" xfId="0" applyFont="1" applyFill="1" applyBorder="1" applyAlignment="1">
      <alignment horizontal="center" vertical="center" wrapText="1"/>
    </xf>
    <xf numFmtId="0" fontId="3" fillId="7" borderId="7" xfId="0" applyNumberFormat="1" applyFont="1" applyFill="1" applyBorder="1" applyAlignment="1">
      <alignment horizontal="center" vertical="center" wrapText="1"/>
    </xf>
    <xf numFmtId="0" fontId="3" fillId="7" borderId="9" xfId="0" applyNumberFormat="1" applyFont="1" applyFill="1" applyBorder="1" applyAlignment="1">
      <alignment horizontal="center" vertical="center" wrapText="1"/>
    </xf>
    <xf numFmtId="0" fontId="4" fillId="71" borderId="55" xfId="0" applyNumberFormat="1" applyFont="1" applyFill="1" applyBorder="1" applyAlignment="1">
      <alignment horizontal="center" vertical="center" wrapText="1"/>
    </xf>
    <xf numFmtId="0" fontId="4" fillId="71" borderId="12" xfId="0" applyNumberFormat="1" applyFont="1" applyFill="1" applyBorder="1" applyAlignment="1">
      <alignment horizontal="center" vertical="center" wrapText="1"/>
    </xf>
    <xf numFmtId="168" fontId="3" fillId="7" borderId="3" xfId="0" applyFont="1" applyFill="1" applyBorder="1" applyAlignment="1">
      <alignment horizontal="center" vertical="center" wrapText="1"/>
    </xf>
    <xf numFmtId="170" fontId="4" fillId="7" borderId="3" xfId="5" applyNumberFormat="1" applyFont="1" applyFill="1" applyBorder="1" applyAlignment="1">
      <alignment horizontal="center" vertical="center" wrapText="1"/>
    </xf>
    <xf numFmtId="168" fontId="3" fillId="0" borderId="2" xfId="0" applyFont="1" applyBorder="1" applyAlignment="1">
      <alignment horizontal="center" vertical="center" wrapText="1"/>
    </xf>
    <xf numFmtId="168" fontId="3" fillId="0" borderId="67" xfId="0" applyFont="1" applyBorder="1" applyAlignment="1">
      <alignment horizontal="center" vertical="center" wrapText="1"/>
    </xf>
    <xf numFmtId="168" fontId="3" fillId="0" borderId="0" xfId="0" applyFont="1" applyBorder="1" applyAlignment="1">
      <alignment horizontal="center" vertical="center" wrapText="1"/>
    </xf>
    <xf numFmtId="168" fontId="3" fillId="0" borderId="66" xfId="0" applyFont="1" applyBorder="1" applyAlignment="1">
      <alignment horizontal="center" vertical="center" wrapText="1"/>
    </xf>
    <xf numFmtId="168" fontId="3" fillId="0" borderId="6" xfId="0" applyFont="1" applyBorder="1" applyAlignment="1">
      <alignment horizontal="center" vertical="center" wrapText="1"/>
    </xf>
    <xf numFmtId="168" fontId="3" fillId="0" borderId="11" xfId="0" applyFont="1" applyBorder="1" applyAlignment="1">
      <alignment horizontal="center" vertical="center" wrapText="1"/>
    </xf>
    <xf numFmtId="0" fontId="4" fillId="7" borderId="2" xfId="0" applyNumberFormat="1" applyFont="1" applyFill="1" applyBorder="1" applyAlignment="1">
      <alignment horizontal="center" vertical="center" wrapText="1"/>
    </xf>
    <xf numFmtId="0" fontId="4" fillId="7" borderId="27" xfId="0" applyNumberFormat="1" applyFont="1" applyFill="1" applyBorder="1" applyAlignment="1">
      <alignment horizontal="center" vertical="center" wrapText="1"/>
    </xf>
    <xf numFmtId="168" fontId="4" fillId="7" borderId="2" xfId="0" applyFont="1" applyFill="1" applyBorder="1" applyAlignment="1">
      <alignment horizontal="center" vertical="center" wrapText="1"/>
    </xf>
    <xf numFmtId="168" fontId="4" fillId="7" borderId="27" xfId="0" applyFont="1" applyFill="1" applyBorder="1" applyAlignment="1">
      <alignment horizontal="center" vertical="center" wrapText="1"/>
    </xf>
    <xf numFmtId="170" fontId="4" fillId="7" borderId="15" xfId="5" applyNumberFormat="1" applyFont="1" applyFill="1" applyBorder="1" applyAlignment="1">
      <alignment horizontal="center" vertical="center" wrapText="1"/>
    </xf>
    <xf numFmtId="170" fontId="4" fillId="7" borderId="18" xfId="5" applyNumberFormat="1" applyFont="1" applyFill="1" applyBorder="1" applyAlignment="1">
      <alignment horizontal="center" vertical="center" wrapText="1"/>
    </xf>
    <xf numFmtId="170" fontId="4" fillId="7" borderId="16" xfId="5" applyNumberFormat="1" applyFont="1" applyFill="1" applyBorder="1" applyAlignment="1">
      <alignment horizontal="center" vertical="center" wrapText="1"/>
    </xf>
    <xf numFmtId="0" fontId="4" fillId="7" borderId="3" xfId="0" applyNumberFormat="1" applyFont="1" applyFill="1" applyBorder="1" applyAlignment="1">
      <alignment horizontal="center" vertical="center" wrapText="1"/>
    </xf>
    <xf numFmtId="168" fontId="4" fillId="7" borderId="3" xfId="0" applyFont="1" applyFill="1" applyBorder="1" applyAlignment="1">
      <alignment horizontal="center" vertical="center" wrapText="1"/>
    </xf>
    <xf numFmtId="170" fontId="4" fillId="7" borderId="20" xfId="5" applyNumberFormat="1" applyFont="1" applyFill="1" applyBorder="1" applyAlignment="1">
      <alignment horizontal="center" vertical="center" wrapText="1"/>
    </xf>
    <xf numFmtId="170" fontId="4" fillId="7" borderId="36" xfId="5" applyNumberFormat="1" applyFont="1" applyFill="1" applyBorder="1" applyAlignment="1">
      <alignment horizontal="center" vertical="center" wrapText="1"/>
    </xf>
    <xf numFmtId="170" fontId="4" fillId="7" borderId="31" xfId="5" applyNumberFormat="1" applyFont="1" applyFill="1" applyBorder="1" applyAlignment="1">
      <alignment horizontal="center" vertical="center" wrapText="1"/>
    </xf>
    <xf numFmtId="170" fontId="4" fillId="7" borderId="21" xfId="5" applyNumberFormat="1" applyFont="1" applyFill="1" applyBorder="1" applyAlignment="1">
      <alignment horizontal="center" vertical="center" wrapText="1"/>
    </xf>
    <xf numFmtId="170" fontId="4" fillId="7" borderId="29" xfId="5" applyNumberFormat="1" applyFont="1" applyFill="1" applyBorder="1" applyAlignment="1">
      <alignment horizontal="center" vertical="center" wrapText="1"/>
    </xf>
    <xf numFmtId="0" fontId="4" fillId="7" borderId="67" xfId="0" applyNumberFormat="1" applyFont="1" applyFill="1" applyBorder="1" applyAlignment="1">
      <alignment horizontal="center" vertical="center" wrapText="1"/>
    </xf>
    <xf numFmtId="0" fontId="4" fillId="7" borderId="68" xfId="0" applyNumberFormat="1" applyFont="1" applyFill="1" applyBorder="1" applyAlignment="1">
      <alignment horizontal="center" vertical="center" wrapText="1"/>
    </xf>
    <xf numFmtId="168" fontId="3" fillId="0" borderId="0" xfId="0" applyFont="1" applyBorder="1" applyAlignment="1">
      <alignment horizontal="center" vertical="top" wrapText="1"/>
    </xf>
    <xf numFmtId="168" fontId="3" fillId="0" borderId="0" xfId="0" applyFont="1" applyBorder="1" applyAlignment="1">
      <alignment horizontal="center" vertical="top"/>
    </xf>
    <xf numFmtId="170" fontId="4" fillId="7" borderId="7" xfId="5" applyNumberFormat="1" applyFont="1" applyFill="1" applyBorder="1" applyAlignment="1">
      <alignment horizontal="center" vertical="center" wrapText="1"/>
    </xf>
    <xf numFmtId="170" fontId="4" fillId="7" borderId="8" xfId="5" applyNumberFormat="1" applyFont="1" applyFill="1" applyBorder="1" applyAlignment="1">
      <alignment horizontal="center" vertical="center" wrapText="1"/>
    </xf>
    <xf numFmtId="170" fontId="4" fillId="7" borderId="9" xfId="5" applyNumberFormat="1" applyFont="1" applyFill="1" applyBorder="1" applyAlignment="1">
      <alignment horizontal="center" vertical="center" wrapText="1"/>
    </xf>
    <xf numFmtId="170" fontId="4" fillId="7" borderId="69" xfId="5" applyNumberFormat="1" applyFont="1" applyFill="1" applyBorder="1" applyAlignment="1">
      <alignment horizontal="center" vertical="center" wrapText="1"/>
    </xf>
    <xf numFmtId="0" fontId="4" fillId="7" borderId="30" xfId="0" applyNumberFormat="1" applyFont="1" applyFill="1" applyBorder="1" applyAlignment="1">
      <alignment horizontal="center" vertical="center" wrapText="1"/>
    </xf>
    <xf numFmtId="0" fontId="4" fillId="7" borderId="26" xfId="0" applyNumberFormat="1" applyFont="1" applyFill="1" applyBorder="1" applyAlignment="1">
      <alignment horizontal="center" vertical="center" wrapText="1"/>
    </xf>
    <xf numFmtId="170" fontId="4" fillId="7" borderId="23" xfId="5" applyNumberFormat="1" applyFont="1" applyFill="1" applyBorder="1" applyAlignment="1">
      <alignment horizontal="center" vertical="center" wrapText="1"/>
    </xf>
    <xf numFmtId="170" fontId="4" fillId="7" borderId="22" xfId="5" applyNumberFormat="1" applyFont="1" applyFill="1" applyBorder="1" applyAlignment="1">
      <alignment horizontal="center" vertical="center" wrapText="1"/>
    </xf>
    <xf numFmtId="168" fontId="24" fillId="0" borderId="3" xfId="0" applyFont="1" applyFill="1" applyBorder="1" applyAlignment="1">
      <alignment horizontal="center" vertical="center" wrapText="1"/>
    </xf>
    <xf numFmtId="168" fontId="24" fillId="0" borderId="7" xfId="0" applyFont="1" applyFill="1" applyBorder="1" applyAlignment="1">
      <alignment horizontal="center" vertical="center" wrapText="1"/>
    </xf>
    <xf numFmtId="168" fontId="24" fillId="0" borderId="8" xfId="0" applyFont="1" applyFill="1" applyBorder="1" applyAlignment="1">
      <alignment horizontal="center" vertical="center" wrapText="1"/>
    </xf>
    <xf numFmtId="168" fontId="24" fillId="0" borderId="9" xfId="0" applyFont="1" applyFill="1" applyBorder="1" applyAlignment="1">
      <alignment horizontal="center" vertical="center" wrapText="1"/>
    </xf>
    <xf numFmtId="0" fontId="3" fillId="7" borderId="15" xfId="0" applyNumberFormat="1" applyFont="1" applyFill="1" applyBorder="1" applyAlignment="1">
      <alignment horizontal="center" vertical="center"/>
    </xf>
    <xf numFmtId="0" fontId="3" fillId="7" borderId="16" xfId="0" applyNumberFormat="1" applyFont="1" applyFill="1" applyBorder="1" applyAlignment="1">
      <alignment horizontal="center" vertical="center"/>
    </xf>
    <xf numFmtId="0" fontId="2" fillId="5" borderId="75" xfId="393" applyNumberFormat="1" applyFont="1" applyFill="1" applyBorder="1" applyAlignment="1">
      <alignment horizontal="left" vertical="center" wrapText="1"/>
    </xf>
    <xf numFmtId="0" fontId="2" fillId="5" borderId="3" xfId="393" applyNumberFormat="1" applyFont="1" applyFill="1" applyBorder="1" applyAlignment="1">
      <alignment horizontal="left" vertical="center" wrapText="1"/>
    </xf>
    <xf numFmtId="0" fontId="2" fillId="70" borderId="75" xfId="393" applyNumberFormat="1" applyFont="1" applyFill="1" applyBorder="1" applyAlignment="1">
      <alignment horizontal="left" vertical="center" wrapText="1"/>
    </xf>
    <xf numFmtId="0" fontId="2" fillId="70" borderId="3" xfId="393" applyNumberFormat="1" applyFont="1" applyFill="1" applyBorder="1" applyAlignment="1">
      <alignment horizontal="left" vertical="center" wrapText="1"/>
    </xf>
    <xf numFmtId="0" fontId="3" fillId="0" borderId="72" xfId="393" applyNumberFormat="1" applyFont="1" applyBorder="1" applyAlignment="1">
      <alignment horizontal="center" vertical="center" wrapText="1"/>
    </xf>
    <xf numFmtId="0" fontId="3" fillId="0" borderId="73" xfId="393" applyNumberFormat="1" applyFont="1" applyBorder="1" applyAlignment="1">
      <alignment horizontal="center" vertical="center" wrapText="1"/>
    </xf>
    <xf numFmtId="0" fontId="2" fillId="69" borderId="75" xfId="393" applyNumberFormat="1" applyFont="1" applyFill="1" applyBorder="1" applyAlignment="1">
      <alignment horizontal="left" vertical="center" wrapText="1"/>
    </xf>
    <xf numFmtId="0" fontId="2" fillId="69" borderId="3" xfId="393" applyNumberFormat="1" applyFont="1" applyFill="1" applyBorder="1" applyAlignment="1">
      <alignment horizontal="left" vertical="center" wrapText="1"/>
    </xf>
    <xf numFmtId="0" fontId="2" fillId="4" borderId="75" xfId="393" applyNumberFormat="1" applyFont="1" applyFill="1" applyBorder="1" applyAlignment="1">
      <alignment horizontal="left" vertical="center" wrapText="1"/>
    </xf>
    <xf numFmtId="0" fontId="2" fillId="4" borderId="3" xfId="393" applyNumberFormat="1" applyFont="1" applyFill="1" applyBorder="1" applyAlignment="1">
      <alignment horizontal="left" vertical="center" wrapText="1"/>
    </xf>
    <xf numFmtId="0" fontId="2" fillId="68" borderId="75" xfId="393" applyNumberFormat="1" applyFont="1" applyFill="1" applyBorder="1" applyAlignment="1">
      <alignment horizontal="left" vertical="center" wrapText="1"/>
    </xf>
    <xf numFmtId="0" fontId="2" fillId="68" borderId="3" xfId="393" applyNumberFormat="1" applyFont="1" applyFill="1" applyBorder="1" applyAlignment="1">
      <alignment horizontal="left" vertical="center" wrapText="1"/>
    </xf>
    <xf numFmtId="168" fontId="52" fillId="7" borderId="0" xfId="0" applyFont="1" applyFill="1" applyBorder="1" applyAlignment="1">
      <alignment horizontal="center" vertical="center" wrapText="1"/>
    </xf>
    <xf numFmtId="168" fontId="52" fillId="7" borderId="70" xfId="0" applyFont="1" applyFill="1" applyBorder="1" applyAlignment="1">
      <alignment horizontal="center" vertical="center" wrapText="1"/>
    </xf>
    <xf numFmtId="168" fontId="53" fillId="7" borderId="0" xfId="0" applyFont="1" applyFill="1" applyBorder="1" applyAlignment="1">
      <alignment horizontal="center" vertical="center" wrapText="1"/>
    </xf>
    <xf numFmtId="168" fontId="53" fillId="7" borderId="70" xfId="0" applyFont="1" applyFill="1" applyBorder="1" applyAlignment="1">
      <alignment horizontal="center" vertical="center" wrapText="1"/>
    </xf>
    <xf numFmtId="168" fontId="53" fillId="7" borderId="72" xfId="0" applyFont="1" applyFill="1" applyBorder="1" applyAlignment="1">
      <alignment horizontal="center" vertical="center" wrapText="1"/>
    </xf>
    <xf numFmtId="168" fontId="53" fillId="7" borderId="73" xfId="0" applyFont="1" applyFill="1" applyBorder="1" applyAlignment="1">
      <alignment horizontal="center" vertical="center" wrapText="1"/>
    </xf>
    <xf numFmtId="168" fontId="53" fillId="7" borderId="74" xfId="0" applyFont="1" applyFill="1" applyBorder="1" applyAlignment="1">
      <alignment horizontal="center" vertical="center" wrapText="1"/>
    </xf>
    <xf numFmtId="168" fontId="52" fillId="0" borderId="33" xfId="0" applyFont="1" applyBorder="1" applyAlignment="1">
      <alignment horizontal="center" vertical="center" wrapText="1"/>
    </xf>
    <xf numFmtId="168" fontId="52" fillId="0" borderId="34" xfId="0" applyFont="1" applyBorder="1" applyAlignment="1">
      <alignment horizontal="center" vertical="center" wrapText="1"/>
    </xf>
    <xf numFmtId="168" fontId="52" fillId="0" borderId="35" xfId="0" applyFont="1" applyBorder="1" applyAlignment="1">
      <alignment horizontal="center" vertical="center" wrapText="1"/>
    </xf>
    <xf numFmtId="168" fontId="3" fillId="7" borderId="33" xfId="0" applyFont="1" applyFill="1" applyBorder="1" applyAlignment="1">
      <alignment horizontal="left" vertical="center"/>
    </xf>
    <xf numFmtId="168" fontId="3" fillId="7" borderId="34" xfId="0" applyFont="1" applyFill="1" applyBorder="1" applyAlignment="1">
      <alignment horizontal="left" vertical="center"/>
    </xf>
    <xf numFmtId="168" fontId="3" fillId="11" borderId="33" xfId="0" applyFont="1" applyFill="1" applyBorder="1" applyAlignment="1">
      <alignment horizontal="left" vertical="center"/>
    </xf>
    <xf numFmtId="168" fontId="3" fillId="11" borderId="34" xfId="0" applyFont="1" applyFill="1" applyBorder="1" applyAlignment="1">
      <alignment horizontal="left" vertical="center"/>
    </xf>
    <xf numFmtId="168" fontId="3" fillId="71" borderId="62" xfId="0" applyFont="1" applyFill="1" applyBorder="1" applyAlignment="1">
      <alignment horizontal="left" vertical="center"/>
    </xf>
    <xf numFmtId="168" fontId="3" fillId="71" borderId="63" xfId="0" applyFont="1" applyFill="1" applyBorder="1" applyAlignment="1">
      <alignment horizontal="left" vertical="center"/>
    </xf>
    <xf numFmtId="168" fontId="3" fillId="71" borderId="62" xfId="0" applyFont="1" applyFill="1" applyBorder="1" applyAlignment="1">
      <alignment horizontal="justify" vertical="center"/>
    </xf>
    <xf numFmtId="168" fontId="3" fillId="71" borderId="63" xfId="0" applyFont="1" applyFill="1" applyBorder="1" applyAlignment="1">
      <alignment horizontal="justify" vertical="center"/>
    </xf>
    <xf numFmtId="168" fontId="3" fillId="71" borderId="60" xfId="0" applyFont="1" applyFill="1" applyBorder="1" applyAlignment="1">
      <alignment horizontal="left" vertical="center"/>
    </xf>
    <xf numFmtId="168" fontId="3" fillId="71" borderId="61" xfId="0" applyFont="1" applyFill="1" applyBorder="1" applyAlignment="1">
      <alignment horizontal="left" vertical="center"/>
    </xf>
    <xf numFmtId="168" fontId="3" fillId="72" borderId="62" xfId="0" applyFont="1" applyFill="1" applyBorder="1" applyAlignment="1">
      <alignment horizontal="left" vertical="center"/>
    </xf>
    <xf numFmtId="168" fontId="3" fillId="72" borderId="63" xfId="0" applyFont="1" applyFill="1" applyBorder="1" applyAlignment="1">
      <alignment horizontal="left" vertical="center"/>
    </xf>
    <xf numFmtId="0" fontId="54" fillId="0" borderId="5" xfId="94" applyFont="1" applyBorder="1" applyAlignment="1">
      <alignment horizontal="center" vertical="center" wrapText="1"/>
    </xf>
    <xf numFmtId="0" fontId="54" fillId="0" borderId="6" xfId="94" applyFont="1" applyBorder="1" applyAlignment="1">
      <alignment horizontal="center" vertical="center" wrapText="1"/>
    </xf>
  </cellXfs>
  <cellStyles count="1036">
    <cellStyle name="20% - Énfasis1" xfId="36" builtinId="30" customBuiltin="1"/>
    <cellStyle name="20% - Énfasis1 2" xfId="233"/>
    <cellStyle name="20% - Énfasis1 2 2" xfId="286"/>
    <cellStyle name="20% - Énfasis1 2 3" xfId="287"/>
    <cellStyle name="20% - Énfasis1 2 4" xfId="285"/>
    <cellStyle name="20% - Énfasis1 2 5" xfId="561"/>
    <cellStyle name="20% - Énfasis2" xfId="40" builtinId="34" customBuiltin="1"/>
    <cellStyle name="20% - Énfasis2 2" xfId="253"/>
    <cellStyle name="20% - Énfasis2 2 2" xfId="289"/>
    <cellStyle name="20% - Énfasis2 2 3" xfId="290"/>
    <cellStyle name="20% - Énfasis2 2 4" xfId="288"/>
    <cellStyle name="20% - Énfasis2 2 5" xfId="572"/>
    <cellStyle name="20% - Énfasis3" xfId="44" builtinId="38" customBuiltin="1"/>
    <cellStyle name="20% - Énfasis3 2" xfId="61"/>
    <cellStyle name="20% - Énfasis3 2 2" xfId="292"/>
    <cellStyle name="20% - Énfasis3 2 3" xfId="293"/>
    <cellStyle name="20% - Énfasis3 2 4" xfId="291"/>
    <cellStyle name="20% - Énfasis3 2 5" xfId="487"/>
    <cellStyle name="20% - Énfasis4" xfId="48" builtinId="42" customBuiltin="1"/>
    <cellStyle name="20% - Énfasis4 2" xfId="257"/>
    <cellStyle name="20% - Énfasis4 2 2" xfId="295"/>
    <cellStyle name="20% - Énfasis4 2 3" xfId="296"/>
    <cellStyle name="20% - Énfasis4 2 4" xfId="294"/>
    <cellStyle name="20% - Énfasis4 2 5" xfId="574"/>
    <cellStyle name="20% - Énfasis5" xfId="52" builtinId="46" customBuiltin="1"/>
    <cellStyle name="20% - Énfasis5 2" xfId="223"/>
    <cellStyle name="20% - Énfasis5 2 2" xfId="298"/>
    <cellStyle name="20% - Énfasis5 2 3" xfId="299"/>
    <cellStyle name="20% - Énfasis5 2 4" xfId="297"/>
    <cellStyle name="20% - Énfasis5 2 5" xfId="557"/>
    <cellStyle name="20% - Énfasis6" xfId="56" builtinId="50" customBuiltin="1"/>
    <cellStyle name="20% - Énfasis6 2" xfId="215"/>
    <cellStyle name="20% - Énfasis6 2 2" xfId="301"/>
    <cellStyle name="20% - Énfasis6 2 3" xfId="302"/>
    <cellStyle name="20% - Énfasis6 2 4" xfId="300"/>
    <cellStyle name="20% - Énfasis6 2 5" xfId="553"/>
    <cellStyle name="40% - Énfasis1" xfId="37" builtinId="31" customBuiltin="1"/>
    <cellStyle name="40% - Énfasis1 2" xfId="196"/>
    <cellStyle name="40% - Énfasis1 2 2" xfId="304"/>
    <cellStyle name="40% - Énfasis1 2 3" xfId="305"/>
    <cellStyle name="40% - Énfasis1 2 4" xfId="303"/>
    <cellStyle name="40% - Énfasis1 2 5" xfId="545"/>
    <cellStyle name="40% - Énfasis2" xfId="41" builtinId="35" customBuiltin="1"/>
    <cellStyle name="40% - Énfasis2 2" xfId="251"/>
    <cellStyle name="40% - Énfasis2 2 2" xfId="307"/>
    <cellStyle name="40% - Énfasis2 2 3" xfId="308"/>
    <cellStyle name="40% - Énfasis2 2 4" xfId="306"/>
    <cellStyle name="40% - Énfasis2 2 5" xfId="570"/>
    <cellStyle name="40% - Énfasis3" xfId="45" builtinId="39" customBuiltin="1"/>
    <cellStyle name="40% - Énfasis3 2" xfId="260"/>
    <cellStyle name="40% - Énfasis3 2 2" xfId="310"/>
    <cellStyle name="40% - Énfasis3 2 3" xfId="311"/>
    <cellStyle name="40% - Énfasis3 2 4" xfId="309"/>
    <cellStyle name="40% - Énfasis3 2 5" xfId="575"/>
    <cellStyle name="40% - Énfasis4" xfId="49" builtinId="43" customBuiltin="1"/>
    <cellStyle name="40% - Énfasis4 2" xfId="218"/>
    <cellStyle name="40% - Énfasis4 2 2" xfId="313"/>
    <cellStyle name="40% - Énfasis4 2 3" xfId="314"/>
    <cellStyle name="40% - Énfasis4 2 4" xfId="312"/>
    <cellStyle name="40% - Énfasis4 2 5" xfId="554"/>
    <cellStyle name="40% - Énfasis5" xfId="53" builtinId="47" customBuiltin="1"/>
    <cellStyle name="40% - Énfasis5 2" xfId="250"/>
    <cellStyle name="40% - Énfasis5 2 2" xfId="316"/>
    <cellStyle name="40% - Énfasis5 2 3" xfId="317"/>
    <cellStyle name="40% - Énfasis5 2 4" xfId="315"/>
    <cellStyle name="40% - Énfasis5 2 5" xfId="569"/>
    <cellStyle name="40% - Énfasis6" xfId="57" builtinId="51" customBuiltin="1"/>
    <cellStyle name="40% - Énfasis6 2" xfId="67"/>
    <cellStyle name="40% - Énfasis6 2 2" xfId="319"/>
    <cellStyle name="40% - Énfasis6 2 3" xfId="320"/>
    <cellStyle name="40% - Énfasis6 2 4" xfId="318"/>
    <cellStyle name="40% - Énfasis6 2 5" xfId="491"/>
    <cellStyle name="60% - Énfasis1" xfId="38" builtinId="32" customBuiltin="1"/>
    <cellStyle name="60% - Énfasis1 2" xfId="213"/>
    <cellStyle name="60% - Énfasis1 2 2" xfId="321"/>
    <cellStyle name="60% - Énfasis1 2 3" xfId="552"/>
    <cellStyle name="60% - Énfasis1 3" xfId="427"/>
    <cellStyle name="60% - Énfasis1 4" xfId="719"/>
    <cellStyle name="60% - Énfasis2" xfId="42" builtinId="36" customBuiltin="1"/>
    <cellStyle name="60% - Énfasis2 2" xfId="242"/>
    <cellStyle name="60% - Énfasis2 2 2" xfId="322"/>
    <cellStyle name="60% - Énfasis2 2 3" xfId="565"/>
    <cellStyle name="60% - Énfasis2 3" xfId="428"/>
    <cellStyle name="60% - Énfasis2 4" xfId="720"/>
    <cellStyle name="60% - Énfasis3" xfId="46" builtinId="40" customBuiltin="1"/>
    <cellStyle name="60% - Énfasis3 2" xfId="72"/>
    <cellStyle name="60% - Énfasis3 2 2" xfId="323"/>
    <cellStyle name="60% - Énfasis3 2 3" xfId="495"/>
    <cellStyle name="60% - Énfasis3 3" xfId="429"/>
    <cellStyle name="60% - Énfasis3 4" xfId="721"/>
    <cellStyle name="60% - Énfasis4" xfId="50" builtinId="44" customBuiltin="1"/>
    <cellStyle name="60% - Énfasis4 2" xfId="237"/>
    <cellStyle name="60% - Énfasis4 2 2" xfId="324"/>
    <cellStyle name="60% - Énfasis4 2 3" xfId="563"/>
    <cellStyle name="60% - Énfasis4 3" xfId="430"/>
    <cellStyle name="60% - Énfasis4 4" xfId="722"/>
    <cellStyle name="60% - Énfasis5" xfId="54" builtinId="48" customBuiltin="1"/>
    <cellStyle name="60% - Énfasis5 2" xfId="235"/>
    <cellStyle name="60% - Énfasis5 2 2" xfId="325"/>
    <cellStyle name="60% - Énfasis5 2 3" xfId="562"/>
    <cellStyle name="60% - Énfasis5 3" xfId="431"/>
    <cellStyle name="60% - Énfasis5 4" xfId="723"/>
    <cellStyle name="60% - Énfasis6" xfId="58" builtinId="52" customBuiltin="1"/>
    <cellStyle name="60% - Énfasis6 2" xfId="80"/>
    <cellStyle name="60% - Énfasis6 2 2" xfId="326"/>
    <cellStyle name="60% - Énfasis6 2 3" xfId="497"/>
    <cellStyle name="60% - Énfasis6 3" xfId="432"/>
    <cellStyle name="60% - Énfasis6 4" xfId="724"/>
    <cellStyle name="Buena 2" xfId="327"/>
    <cellStyle name="Cálculo" xfId="28" builtinId="22" customBuiltin="1"/>
    <cellStyle name="Cálculo 2" xfId="69"/>
    <cellStyle name="Cálculo 2 2" xfId="328"/>
    <cellStyle name="Cálculo 2 3" xfId="493"/>
    <cellStyle name="Celda de comprobación" xfId="30" builtinId="23" customBuiltin="1"/>
    <cellStyle name="Celda de comprobación 2" xfId="68"/>
    <cellStyle name="Celda de comprobación 2 2" xfId="329"/>
    <cellStyle name="Celda de comprobación 2 3" xfId="492"/>
    <cellStyle name="Celda vinculada" xfId="29" builtinId="24" customBuiltin="1"/>
    <cellStyle name="Celda vinculada 2" xfId="171"/>
    <cellStyle name="Celda vinculada 2 2" xfId="330"/>
    <cellStyle name="Celda vinculada 2 3" xfId="537"/>
    <cellStyle name="Encabezado 1" xfId="20" builtinId="16" customBuiltin="1"/>
    <cellStyle name="Encabezado 4" xfId="23" builtinId="19" customBuiltin="1"/>
    <cellStyle name="Encabezado 4 2" xfId="201"/>
    <cellStyle name="Encabezado 4 2 2" xfId="331"/>
    <cellStyle name="Encabezado 4 2 3" xfId="547"/>
    <cellStyle name="Énfasis1" xfId="35" builtinId="29" customBuiltin="1"/>
    <cellStyle name="Énfasis1 2" xfId="224"/>
    <cellStyle name="Énfasis1 2 2" xfId="332"/>
    <cellStyle name="Énfasis1 2 3" xfId="558"/>
    <cellStyle name="Énfasis2" xfId="39" builtinId="33" customBuiltin="1"/>
    <cellStyle name="Énfasis2 2" xfId="184"/>
    <cellStyle name="Énfasis2 2 2" xfId="333"/>
    <cellStyle name="Énfasis2 2 3" xfId="540"/>
    <cellStyle name="Énfasis3" xfId="43" builtinId="37" customBuiltin="1"/>
    <cellStyle name="Énfasis3 2" xfId="173"/>
    <cellStyle name="Énfasis3 2 2" xfId="334"/>
    <cellStyle name="Énfasis3 2 3" xfId="538"/>
    <cellStyle name="Énfasis4" xfId="47" builtinId="41" customBuiltin="1"/>
    <cellStyle name="Énfasis4 2" xfId="188"/>
    <cellStyle name="Énfasis4 2 2" xfId="335"/>
    <cellStyle name="Énfasis4 2 3" xfId="542"/>
    <cellStyle name="Énfasis5" xfId="51" builtinId="45" customBuiltin="1"/>
    <cellStyle name="Énfasis5 2" xfId="265"/>
    <cellStyle name="Énfasis5 2 2" xfId="336"/>
    <cellStyle name="Énfasis5 2 3" xfId="578"/>
    <cellStyle name="Énfasis6" xfId="55" builtinId="49" customBuiltin="1"/>
    <cellStyle name="Énfasis6 2" xfId="248"/>
    <cellStyle name="Énfasis6 2 2" xfId="337"/>
    <cellStyle name="Énfasis6 2 3" xfId="567"/>
    <cellStyle name="Entrada" xfId="26" builtinId="20" customBuiltin="1"/>
    <cellStyle name="Entrada 2" xfId="181"/>
    <cellStyle name="Entrada 2 2" xfId="338"/>
    <cellStyle name="Entrada 2 3" xfId="539"/>
    <cellStyle name="Euro" xfId="339"/>
    <cellStyle name="Euro 2" xfId="340"/>
    <cellStyle name="Euro 2 2" xfId="397"/>
    <cellStyle name="Euro 3" xfId="396"/>
    <cellStyle name="Excel Built-in Normal 2" xfId="119"/>
    <cellStyle name="Excel Built-in Normal 2 2" xfId="244"/>
    <cellStyle name="F2" xfId="341"/>
    <cellStyle name="F3" xfId="342"/>
    <cellStyle name="F4" xfId="343"/>
    <cellStyle name="F5" xfId="344"/>
    <cellStyle name="F6" xfId="345"/>
    <cellStyle name="F7" xfId="346"/>
    <cellStyle name="F8" xfId="347"/>
    <cellStyle name="Hipervínculo 2" xfId="192"/>
    <cellStyle name="Incorrecto" xfId="24" builtinId="27" customBuiltin="1"/>
    <cellStyle name="Incorrecto 2" xfId="254"/>
    <cellStyle name="Incorrecto 2 2" xfId="348"/>
    <cellStyle name="Incorrecto 2 3" xfId="573"/>
    <cellStyle name="KPT04" xfId="6"/>
    <cellStyle name="KPT04 2" xfId="9"/>
    <cellStyle name="KPT04 2 2" xfId="261"/>
    <cellStyle name="KPT04 3" xfId="263"/>
    <cellStyle name="KPT04_Main" xfId="14"/>
    <cellStyle name="Millares" xfId="1" builtinId="3"/>
    <cellStyle name="Millares [0]" xfId="2" builtinId="6"/>
    <cellStyle name="Millares [0] 10" xfId="709"/>
    <cellStyle name="Millares [0] 10 2" xfId="935"/>
    <cellStyle name="Millares [0] 11" xfId="821"/>
    <cellStyle name="Millares [0] 2" xfId="97"/>
    <cellStyle name="Millares [0] 2 2" xfId="160"/>
    <cellStyle name="Millares [0] 2 2 2" xfId="532"/>
    <cellStyle name="Millares [0] 2 2 2 2" xfId="786"/>
    <cellStyle name="Millares [0] 2 2 2 2 2" xfId="1000"/>
    <cellStyle name="Millares [0] 2 2 2 3" xfId="885"/>
    <cellStyle name="Millares [0] 2 2 3" xfId="457"/>
    <cellStyle name="Millares [0] 2 2 3 2" xfId="757"/>
    <cellStyle name="Millares [0] 2 2 3 2 2" xfId="971"/>
    <cellStyle name="Millares [0] 2 2 3 3" xfId="856"/>
    <cellStyle name="Millares [0] 2 2 4" xfId="735"/>
    <cellStyle name="Millares [0] 2 2 4 2" xfId="950"/>
    <cellStyle name="Millares [0] 2 2 5" xfId="835"/>
    <cellStyle name="Millares [0] 2 3" xfId="502"/>
    <cellStyle name="Millares [0] 2 3 2" xfId="771"/>
    <cellStyle name="Millares [0] 2 3 2 2" xfId="985"/>
    <cellStyle name="Millares [0] 2 3 3" xfId="870"/>
    <cellStyle name="Millares [0] 2 4" xfId="440"/>
    <cellStyle name="Millares [0] 2 4 2" xfId="749"/>
    <cellStyle name="Millares [0] 2 4 2 2" xfId="963"/>
    <cellStyle name="Millares [0] 2 4 3" xfId="848"/>
    <cellStyle name="Millares [0] 2 5" xfId="725"/>
    <cellStyle name="Millares [0] 2 5 2" xfId="940"/>
    <cellStyle name="Millares [0] 2 6" xfId="825"/>
    <cellStyle name="Millares [0] 3" xfId="123"/>
    <cellStyle name="Millares [0] 3 2" xfId="519"/>
    <cellStyle name="Millares [0] 3 2 2" xfId="779"/>
    <cellStyle name="Millares [0] 3 2 2 2" xfId="993"/>
    <cellStyle name="Millares [0] 3 2 3" xfId="878"/>
    <cellStyle name="Millares [0] 3 3" xfId="451"/>
    <cellStyle name="Millares [0] 3 3 2" xfId="755"/>
    <cellStyle name="Millares [0] 3 3 2 2" xfId="969"/>
    <cellStyle name="Millares [0] 3 3 3" xfId="854"/>
    <cellStyle name="Millares [0] 3 4" xfId="732"/>
    <cellStyle name="Millares [0] 3 4 2" xfId="947"/>
    <cellStyle name="Millares [0] 3 5" xfId="832"/>
    <cellStyle name="Millares [0] 4" xfId="164"/>
    <cellStyle name="Millares [0] 4 2" xfId="535"/>
    <cellStyle name="Millares [0] 4 2 2" xfId="787"/>
    <cellStyle name="Millares [0] 4 2 2 2" xfId="1001"/>
    <cellStyle name="Millares [0] 4 2 3" xfId="886"/>
    <cellStyle name="Millares [0] 4 3" xfId="460"/>
    <cellStyle name="Millares [0] 4 3 2" xfId="758"/>
    <cellStyle name="Millares [0] 4 3 2 2" xfId="972"/>
    <cellStyle name="Millares [0] 4 3 3" xfId="857"/>
    <cellStyle name="Millares [0] 4 4" xfId="736"/>
    <cellStyle name="Millares [0] 4 4 2" xfId="951"/>
    <cellStyle name="Millares [0] 4 5" xfId="836"/>
    <cellStyle name="Millares [0] 5" xfId="416"/>
    <cellStyle name="Millares [0] 5 2" xfId="742"/>
    <cellStyle name="Millares [0] 5 2 2" xfId="956"/>
    <cellStyle name="Millares [0] 5 3" xfId="841"/>
    <cellStyle name="Millares [0] 6" xfId="465"/>
    <cellStyle name="Millares [0] 6 2" xfId="761"/>
    <cellStyle name="Millares [0] 6 2 2" xfId="975"/>
    <cellStyle name="Millares [0] 6 3" xfId="860"/>
    <cellStyle name="Millares [0] 7" xfId="681"/>
    <cellStyle name="Millares [0] 7 2" xfId="819"/>
    <cellStyle name="Millares [0] 7 2 2" xfId="1033"/>
    <cellStyle name="Millares [0] 7 3" xfId="919"/>
    <cellStyle name="Millares [0] 8" xfId="694"/>
    <cellStyle name="Millares [0] 8 2" xfId="928"/>
    <cellStyle name="Millares [0] 9" xfId="712"/>
    <cellStyle name="Millares [0] 9 2" xfId="937"/>
    <cellStyle name="Millares 10" xfId="475"/>
    <cellStyle name="Millares 10 2" xfId="765"/>
    <cellStyle name="Millares 10 2 2" xfId="979"/>
    <cellStyle name="Millares 10 3" xfId="864"/>
    <cellStyle name="Millares 11" xfId="619"/>
    <cellStyle name="Millares 11 2" xfId="802"/>
    <cellStyle name="Millares 11 2 2" xfId="1016"/>
    <cellStyle name="Millares 11 3" xfId="902"/>
    <cellStyle name="Millares 12" xfId="515"/>
    <cellStyle name="Millares 12 2" xfId="775"/>
    <cellStyle name="Millares 12 2 2" xfId="989"/>
    <cellStyle name="Millares 12 3" xfId="874"/>
    <cellStyle name="Millares 13" xfId="591"/>
    <cellStyle name="Millares 13 2" xfId="792"/>
    <cellStyle name="Millares 13 2 2" xfId="1006"/>
    <cellStyle name="Millares 13 3" xfId="891"/>
    <cellStyle name="Millares 14" xfId="473"/>
    <cellStyle name="Millares 14 2" xfId="764"/>
    <cellStyle name="Millares 14 2 2" xfId="978"/>
    <cellStyle name="Millares 14 3" xfId="863"/>
    <cellStyle name="Millares 15" xfId="629"/>
    <cellStyle name="Millares 15 2" xfId="805"/>
    <cellStyle name="Millares 15 2 2" xfId="1019"/>
    <cellStyle name="Millares 15 3" xfId="905"/>
    <cellStyle name="Millares 16" xfId="614"/>
    <cellStyle name="Millares 16 2" xfId="799"/>
    <cellStyle name="Millares 16 2 2" xfId="1013"/>
    <cellStyle name="Millares 16 3" xfId="899"/>
    <cellStyle name="Millares 17" xfId="610"/>
    <cellStyle name="Millares 17 2" xfId="797"/>
    <cellStyle name="Millares 17 2 2" xfId="1011"/>
    <cellStyle name="Millares 17 3" xfId="896"/>
    <cellStyle name="Millares 18" xfId="666"/>
    <cellStyle name="Millares 18 2" xfId="817"/>
    <cellStyle name="Millares 18 2 2" xfId="1031"/>
    <cellStyle name="Millares 18 3" xfId="917"/>
    <cellStyle name="Millares 19" xfId="598"/>
    <cellStyle name="Millares 19 2" xfId="794"/>
    <cellStyle name="Millares 19 2 2" xfId="1008"/>
    <cellStyle name="Millares 19 3" xfId="893"/>
    <cellStyle name="Millares 2" xfId="5"/>
    <cellStyle name="Millares 2 2" xfId="8"/>
    <cellStyle name="Millares 2 2 2" xfId="12"/>
    <cellStyle name="Millares 2 2 2 2" xfId="95"/>
    <cellStyle name="Millares 2 2 2 2 2" xfId="159"/>
    <cellStyle name="Millares 2 2 2 2 2 2" xfId="531"/>
    <cellStyle name="Millares 2 2 2 2 2 2 2" xfId="785"/>
    <cellStyle name="Millares 2 2 2 2 2 2 2 2" xfId="999"/>
    <cellStyle name="Millares 2 2 2 2 2 2 3" xfId="884"/>
    <cellStyle name="Millares 2 2 2 2 2 3" xfId="456"/>
    <cellStyle name="Millares 2 2 2 2 2 3 2" xfId="756"/>
    <cellStyle name="Millares 2 2 2 2 2 3 2 2" xfId="970"/>
    <cellStyle name="Millares 2 2 2 2 2 3 3" xfId="855"/>
    <cellStyle name="Millares 2 2 2 2 2 4" xfId="734"/>
    <cellStyle name="Millares 2 2 2 2 2 4 2" xfId="949"/>
    <cellStyle name="Millares 2 2 2 2 2 5" xfId="834"/>
    <cellStyle name="Millares 2 2 2 2 3" xfId="501"/>
    <cellStyle name="Millares 2 2 2 2 3 2" xfId="770"/>
    <cellStyle name="Millares 2 2 2 2 3 2 2" xfId="984"/>
    <cellStyle name="Millares 2 2 2 2 3 3" xfId="869"/>
    <cellStyle name="Millares 2 2 2 2 4" xfId="438"/>
    <cellStyle name="Millares 2 2 2 2 4 2" xfId="748"/>
    <cellStyle name="Millares 2 2 2 2 4 2 2" xfId="962"/>
    <cellStyle name="Millares 2 2 2 2 4 3" xfId="847"/>
    <cellStyle name="Millares 2 2 2 2 5" xfId="689"/>
    <cellStyle name="Millares 2 2 2 2 5 2" xfId="923"/>
    <cellStyle name="Millares 2 2 2 2 6" xfId="824"/>
    <cellStyle name="Millares 2 2 2 3" xfId="471"/>
    <cellStyle name="Millares 2 2 2 3 2" xfId="762"/>
    <cellStyle name="Millares 2 2 2 3 2 2" xfId="976"/>
    <cellStyle name="Millares 2 2 2 3 3" xfId="861"/>
    <cellStyle name="Millares 2 2 2 4" xfId="421"/>
    <cellStyle name="Millares 2 2 2 4 2" xfId="745"/>
    <cellStyle name="Millares 2 2 2 4 2 2" xfId="959"/>
    <cellStyle name="Millares 2 2 2 4 3" xfId="844"/>
    <cellStyle name="Millares 2 2 2 5" xfId="823"/>
    <cellStyle name="Millares 2 2 3" xfId="419"/>
    <cellStyle name="Millares 2 2 3 2" xfId="744"/>
    <cellStyle name="Millares 2 2 3 2 2" xfId="958"/>
    <cellStyle name="Millares 2 2 3 3" xfId="843"/>
    <cellStyle name="Millares 2 2 4" xfId="398"/>
    <cellStyle name="Millares 2 3" xfId="349"/>
    <cellStyle name="Millares 2 3 2" xfId="595"/>
    <cellStyle name="Millares 2 3 3" xfId="418"/>
    <cellStyle name="Millares 2 3 3 2" xfId="743"/>
    <cellStyle name="Millares 2 3 3 2 2" xfId="957"/>
    <cellStyle name="Millares 2 3 3 3" xfId="842"/>
    <cellStyle name="Millares 2 4" xfId="103"/>
    <cellStyle name="Millares 2 4 2" xfId="166"/>
    <cellStyle name="Millares 2 4 2 2" xfId="536"/>
    <cellStyle name="Millares 2 4 2 2 2" xfId="788"/>
    <cellStyle name="Millares 2 4 2 2 2 2" xfId="1002"/>
    <cellStyle name="Millares 2 4 2 2 3" xfId="887"/>
    <cellStyle name="Millares 2 4 2 3" xfId="461"/>
    <cellStyle name="Millares 2 4 2 3 2" xfId="759"/>
    <cellStyle name="Millares 2 4 2 3 2 2" xfId="973"/>
    <cellStyle name="Millares 2 4 2 3 3" xfId="858"/>
    <cellStyle name="Millares 2 4 2 4" xfId="737"/>
    <cellStyle name="Millares 2 4 2 4 2" xfId="952"/>
    <cellStyle name="Millares 2 4 2 5" xfId="837"/>
    <cellStyle name="Millares 2 4 3" xfId="506"/>
    <cellStyle name="Millares 2 4 3 2" xfId="772"/>
    <cellStyle name="Millares 2 4 3 2 2" xfId="986"/>
    <cellStyle name="Millares 2 4 3 3" xfId="871"/>
    <cellStyle name="Millares 2 4 4" xfId="444"/>
    <cellStyle name="Millares 2 4 4 2" xfId="750"/>
    <cellStyle name="Millares 2 4 4 2 2" xfId="964"/>
    <cellStyle name="Millares 2 4 4 3" xfId="849"/>
    <cellStyle name="Millares 2 4 5" xfId="727"/>
    <cellStyle name="Millares 2 4 5 2" xfId="942"/>
    <cellStyle name="Millares 2 4 6" xfId="827"/>
    <cellStyle name="Millares 2 5" xfId="715"/>
    <cellStyle name="Millares 2 5 2" xfId="938"/>
    <cellStyle name="Millares 20" xfId="632"/>
    <cellStyle name="Millares 20 2" xfId="806"/>
    <cellStyle name="Millares 20 2 2" xfId="1020"/>
    <cellStyle name="Millares 20 3" xfId="906"/>
    <cellStyle name="Millares 21" xfId="615"/>
    <cellStyle name="Millares 21 2" xfId="800"/>
    <cellStyle name="Millares 21 2 2" xfId="1014"/>
    <cellStyle name="Millares 21 3" xfId="900"/>
    <cellStyle name="Millares 22" xfId="583"/>
    <cellStyle name="Millares 22 2" xfId="789"/>
    <cellStyle name="Millares 22 2 2" xfId="1003"/>
    <cellStyle name="Millares 22 3" xfId="888"/>
    <cellStyle name="Millares 23" xfId="646"/>
    <cellStyle name="Millares 23 2" xfId="809"/>
    <cellStyle name="Millares 23 2 2" xfId="1023"/>
    <cellStyle name="Millares 23 3" xfId="909"/>
    <cellStyle name="Millares 24" xfId="594"/>
    <cellStyle name="Millares 24 2" xfId="793"/>
    <cellStyle name="Millares 24 2 2" xfId="1007"/>
    <cellStyle name="Millares 24 3" xfId="892"/>
    <cellStyle name="Millares 25" xfId="613"/>
    <cellStyle name="Millares 25 2" xfId="798"/>
    <cellStyle name="Millares 25 2 2" xfId="1012"/>
    <cellStyle name="Millares 25 3" xfId="898"/>
    <cellStyle name="Millares 26" xfId="526"/>
    <cellStyle name="Millares 26 2" xfId="781"/>
    <cellStyle name="Millares 26 2 2" xfId="995"/>
    <cellStyle name="Millares 26 3" xfId="880"/>
    <cellStyle name="Millares 27" xfId="616"/>
    <cellStyle name="Millares 27 2" xfId="801"/>
    <cellStyle name="Millares 27 2 2" xfId="1015"/>
    <cellStyle name="Millares 27 3" xfId="901"/>
    <cellStyle name="Millares 28" xfId="654"/>
    <cellStyle name="Millares 28 2" xfId="812"/>
    <cellStyle name="Millares 28 2 2" xfId="1026"/>
    <cellStyle name="Millares 28 3" xfId="912"/>
    <cellStyle name="Millares 29" xfId="607"/>
    <cellStyle name="Millares 29 2" xfId="796"/>
    <cellStyle name="Millares 29 2 2" xfId="1010"/>
    <cellStyle name="Millares 29 3" xfId="895"/>
    <cellStyle name="Millares 3" xfId="115"/>
    <cellStyle name="Millares 3 2" xfId="124"/>
    <cellStyle name="Millares 3 3" xfId="121"/>
    <cellStyle name="Millares 3 3 2" xfId="517"/>
    <cellStyle name="Millares 3 3 2 2" xfId="777"/>
    <cellStyle name="Millares 3 3 2 2 2" xfId="991"/>
    <cellStyle name="Millares 3 3 2 3" xfId="876"/>
    <cellStyle name="Millares 3 3 3" xfId="449"/>
    <cellStyle name="Millares 3 3 3 2" xfId="753"/>
    <cellStyle name="Millares 3 3 3 2 2" xfId="967"/>
    <cellStyle name="Millares 3 3 3 3" xfId="852"/>
    <cellStyle name="Millares 3 3 4" xfId="730"/>
    <cellStyle name="Millares 3 3 4 2" xfId="945"/>
    <cellStyle name="Millares 3 3 5" xfId="830"/>
    <cellStyle name="Millares 3 4" xfId="390"/>
    <cellStyle name="Millares 3 4 2" xfId="606"/>
    <cellStyle name="Millares 3 4 2 2" xfId="795"/>
    <cellStyle name="Millares 3 4 2 2 2" xfId="1009"/>
    <cellStyle name="Millares 3 4 2 3" xfId="894"/>
    <cellStyle name="Millares 3 4 3" xfId="740"/>
    <cellStyle name="Millares 3 4 3 2" xfId="954"/>
    <cellStyle name="Millares 3 5" xfId="513"/>
    <cellStyle name="Millares 3 5 2" xfId="774"/>
    <cellStyle name="Millares 3 5 2 2" xfId="988"/>
    <cellStyle name="Millares 3 5 3" xfId="873"/>
    <cellStyle name="Millares 3 6" xfId="445"/>
    <cellStyle name="Millares 3 6 2" xfId="751"/>
    <cellStyle name="Millares 3 6 2 2" xfId="965"/>
    <cellStyle name="Millares 3 6 3" xfId="850"/>
    <cellStyle name="Millares 3 7" xfId="728"/>
    <cellStyle name="Millares 3 7 2" xfId="943"/>
    <cellStyle name="Millares 3 8" xfId="828"/>
    <cellStyle name="Millares 30" xfId="650"/>
    <cellStyle name="Millares 30 2" xfId="810"/>
    <cellStyle name="Millares 30 2 2" xfId="1024"/>
    <cellStyle name="Millares 30 3" xfId="910"/>
    <cellStyle name="Millares 31" xfId="659"/>
    <cellStyle name="Millares 31 2" xfId="815"/>
    <cellStyle name="Millares 31 2 2" xfId="1029"/>
    <cellStyle name="Millares 31 3" xfId="915"/>
    <cellStyle name="Millares 32" xfId="672"/>
    <cellStyle name="Millares 32 2" xfId="818"/>
    <cellStyle name="Millares 32 2 2" xfId="1032"/>
    <cellStyle name="Millares 32 3" xfId="918"/>
    <cellStyle name="Millares 33" xfId="479"/>
    <cellStyle name="Millares 33 2" xfId="767"/>
    <cellStyle name="Millares 33 2 2" xfId="981"/>
    <cellStyle name="Millares 33 3" xfId="866"/>
    <cellStyle name="Millares 34" xfId="657"/>
    <cellStyle name="Millares 34 2" xfId="814"/>
    <cellStyle name="Millares 34 2 2" xfId="1028"/>
    <cellStyle name="Millares 34 3" xfId="914"/>
    <cellStyle name="Millares 35" xfId="637"/>
    <cellStyle name="Millares 35 2" xfId="807"/>
    <cellStyle name="Millares 35 2 2" xfId="1021"/>
    <cellStyle name="Millares 35 3" xfId="907"/>
    <cellStyle name="Millares 36" xfId="484"/>
    <cellStyle name="Millares 36 2" xfId="769"/>
    <cellStyle name="Millares 36 2 2" xfId="983"/>
    <cellStyle name="Millares 36 3" xfId="868"/>
    <cellStyle name="Millares 37" xfId="664"/>
    <cellStyle name="Millares 37 2" xfId="816"/>
    <cellStyle name="Millares 37 2 2" xfId="1030"/>
    <cellStyle name="Millares 37 3" xfId="916"/>
    <cellStyle name="Millares 38" xfId="652"/>
    <cellStyle name="Millares 38 2" xfId="811"/>
    <cellStyle name="Millares 38 2 2" xfId="1025"/>
    <cellStyle name="Millares 38 3" xfId="911"/>
    <cellStyle name="Millares 39" xfId="644"/>
    <cellStyle name="Millares 39 2" xfId="808"/>
    <cellStyle name="Millares 39 2 2" xfId="1022"/>
    <cellStyle name="Millares 39 3" xfId="908"/>
    <cellStyle name="Millares 4" xfId="120"/>
    <cellStyle name="Millares 4 2" xfId="516"/>
    <cellStyle name="Millares 4 2 2" xfId="776"/>
    <cellStyle name="Millares 4 2 2 2" xfId="990"/>
    <cellStyle name="Millares 4 2 3" xfId="875"/>
    <cellStyle name="Millares 4 3" xfId="448"/>
    <cellStyle name="Millares 4 3 2" xfId="752"/>
    <cellStyle name="Millares 4 3 2 2" xfId="966"/>
    <cellStyle name="Millares 4 3 3" xfId="851"/>
    <cellStyle name="Millares 4 4" xfId="729"/>
    <cellStyle name="Millares 4 4 2" xfId="944"/>
    <cellStyle name="Millares 4 5" xfId="829"/>
    <cellStyle name="Millares 40" xfId="628"/>
    <cellStyle name="Millares 40 2" xfId="804"/>
    <cellStyle name="Millares 40 2 2" xfId="1018"/>
    <cellStyle name="Millares 40 3" xfId="904"/>
    <cellStyle name="Millares 41" xfId="510"/>
    <cellStyle name="Millares 41 2" xfId="773"/>
    <cellStyle name="Millares 41 2 2" xfId="987"/>
    <cellStyle name="Millares 41 3" xfId="872"/>
    <cellStyle name="Millares 42" xfId="623"/>
    <cellStyle name="Millares 42 2" xfId="803"/>
    <cellStyle name="Millares 42 2 2" xfId="1017"/>
    <cellStyle name="Millares 42 3" xfId="903"/>
    <cellStyle name="Millares 43" xfId="584"/>
    <cellStyle name="Millares 43 2" xfId="790"/>
    <cellStyle name="Millares 43 2 2" xfId="1004"/>
    <cellStyle name="Millares 43 3" xfId="889"/>
    <cellStyle name="Millares 44" xfId="585"/>
    <cellStyle name="Millares 44 2" xfId="791"/>
    <cellStyle name="Millares 44 2 2" xfId="1005"/>
    <cellStyle name="Millares 44 3" xfId="890"/>
    <cellStyle name="Millares 45" xfId="522"/>
    <cellStyle name="Millares 45 2" xfId="780"/>
    <cellStyle name="Millares 45 2 2" xfId="994"/>
    <cellStyle name="Millares 45 3" xfId="879"/>
    <cellStyle name="Millares 46" xfId="528"/>
    <cellStyle name="Millares 46 2" xfId="783"/>
    <cellStyle name="Millares 46 2 2" xfId="997"/>
    <cellStyle name="Millares 46 3" xfId="882"/>
    <cellStyle name="Millares 47" xfId="530"/>
    <cellStyle name="Millares 47 2" xfId="784"/>
    <cellStyle name="Millares 47 2 2" xfId="998"/>
    <cellStyle name="Millares 47 3" xfId="883"/>
    <cellStyle name="Millares 48" xfId="482"/>
    <cellStyle name="Millares 48 2" xfId="768"/>
    <cellStyle name="Millares 48 2 2" xfId="982"/>
    <cellStyle name="Millares 48 3" xfId="867"/>
    <cellStyle name="Millares 49" xfId="527"/>
    <cellStyle name="Millares 49 2" xfId="782"/>
    <cellStyle name="Millares 49 2 2" xfId="996"/>
    <cellStyle name="Millares 49 3" xfId="881"/>
    <cellStyle name="Millares 5" xfId="415"/>
    <cellStyle name="Millares 5 2" xfId="741"/>
    <cellStyle name="Millares 5 2 2" xfId="955"/>
    <cellStyle name="Millares 5 3" xfId="840"/>
    <cellStyle name="Millares 50" xfId="472"/>
    <cellStyle name="Millares 50 2" xfId="763"/>
    <cellStyle name="Millares 50 2 2" xfId="977"/>
    <cellStyle name="Millares 50 3" xfId="862"/>
    <cellStyle name="Millares 51" xfId="476"/>
    <cellStyle name="Millares 51 2" xfId="766"/>
    <cellStyle name="Millares 51 2 2" xfId="980"/>
    <cellStyle name="Millares 51 3" xfId="865"/>
    <cellStyle name="Millares 52" xfId="656"/>
    <cellStyle name="Millares 52 2" xfId="813"/>
    <cellStyle name="Millares 52 2 2" xfId="1027"/>
    <cellStyle name="Millares 52 3" xfId="913"/>
    <cellStyle name="Millares 53" xfId="683"/>
    <cellStyle name="Millares 53 2" xfId="920"/>
    <cellStyle name="Millares 54" xfId="686"/>
    <cellStyle name="Millares 54 2" xfId="922"/>
    <cellStyle name="Millares 55" xfId="696"/>
    <cellStyle name="Millares 55 2" xfId="929"/>
    <cellStyle name="Millares 56" xfId="690"/>
    <cellStyle name="Millares 56 2" xfId="924"/>
    <cellStyle name="Millares 57" xfId="699"/>
    <cellStyle name="Millares 57 2" xfId="930"/>
    <cellStyle name="Millares 58" xfId="692"/>
    <cellStyle name="Millares 58 2" xfId="926"/>
    <cellStyle name="Millares 59" xfId="684"/>
    <cellStyle name="Millares 59 2" xfId="921"/>
    <cellStyle name="Millares 6" xfId="122"/>
    <cellStyle name="Millares 6 2" xfId="518"/>
    <cellStyle name="Millares 6 2 2" xfId="778"/>
    <cellStyle name="Millares 6 2 2 2" xfId="992"/>
    <cellStyle name="Millares 6 2 3" xfId="877"/>
    <cellStyle name="Millares 6 3" xfId="450"/>
    <cellStyle name="Millares 6 3 2" xfId="754"/>
    <cellStyle name="Millares 6 3 2 2" xfId="968"/>
    <cellStyle name="Millares 6 3 3" xfId="853"/>
    <cellStyle name="Millares 6 4" xfId="731"/>
    <cellStyle name="Millares 6 4 2" xfId="946"/>
    <cellStyle name="Millares 6 5" xfId="831"/>
    <cellStyle name="Millares 60" xfId="701"/>
    <cellStyle name="Millares 60 2" xfId="931"/>
    <cellStyle name="Millares 61" xfId="703"/>
    <cellStyle name="Millares 61 2" xfId="932"/>
    <cellStyle name="Millares 62" xfId="691"/>
    <cellStyle name="Millares 62 2" xfId="925"/>
    <cellStyle name="Millares 63" xfId="707"/>
    <cellStyle name="Millares 63 2" xfId="934"/>
    <cellStyle name="Millares 64" xfId="706"/>
    <cellStyle name="Millares 64 2" xfId="933"/>
    <cellStyle name="Millares 65" xfId="711"/>
    <cellStyle name="Millares 65 2" xfId="936"/>
    <cellStyle name="Millares 66" xfId="820"/>
    <cellStyle name="Millares 67" xfId="839"/>
    <cellStyle name="Millares 68" xfId="897"/>
    <cellStyle name="Millares 69" xfId="1034"/>
    <cellStyle name="Millares 7" xfId="424"/>
    <cellStyle name="Millares 7 2" xfId="746"/>
    <cellStyle name="Millares 7 2 2" xfId="960"/>
    <cellStyle name="Millares 7 3" xfId="845"/>
    <cellStyle name="Millares 70" xfId="1035"/>
    <cellStyle name="Millares 8" xfId="426"/>
    <cellStyle name="Millares 8 2" xfId="747"/>
    <cellStyle name="Millares 8 2 2" xfId="961"/>
    <cellStyle name="Millares 8 3" xfId="846"/>
    <cellStyle name="Millares 9" xfId="464"/>
    <cellStyle name="Millares 9 2" xfId="760"/>
    <cellStyle name="Millares 9 2 2" xfId="974"/>
    <cellStyle name="Millares 9 3" xfId="859"/>
    <cellStyle name="Moneda" xfId="3" builtinId="4"/>
    <cellStyle name="Moneda [0]" xfId="4" builtinId="7"/>
    <cellStyle name="Moneda [0] 2" xfId="101"/>
    <cellStyle name="Moneda [0] 2 2" xfId="125"/>
    <cellStyle name="Moneda [0] 2 2 2" xfId="168"/>
    <cellStyle name="Moneda [0] 2 2 2 2" xfId="738"/>
    <cellStyle name="Moneda [0] 2 2 2 2 2" xfId="953"/>
    <cellStyle name="Moneda [0] 2 2 2 3" xfId="838"/>
    <cellStyle name="Moneda [0] 2 2 3" xfId="520"/>
    <cellStyle name="Moneda [0] 2 2 4" xfId="452"/>
    <cellStyle name="Moneda [0] 2 3" xfId="163"/>
    <cellStyle name="Moneda [0] 2 3 2" xfId="534"/>
    <cellStyle name="Moneda [0] 2 3 3" xfId="459"/>
    <cellStyle name="Moneda [0] 2 4" xfId="504"/>
    <cellStyle name="Moneda [0] 2 5" xfId="443"/>
    <cellStyle name="Moneda [0] 3" xfId="417"/>
    <cellStyle name="Moneda [0] 4" xfId="467"/>
    <cellStyle name="Moneda [0] 5" xfId="693"/>
    <cellStyle name="Moneda [0] 5 2" xfId="927"/>
    <cellStyle name="Moneda [0] 6" xfId="714"/>
    <cellStyle name="Moneda 10" xfId="139"/>
    <cellStyle name="Moneda 11" xfId="144"/>
    <cellStyle name="Moneda 12" xfId="145"/>
    <cellStyle name="Moneda 13" xfId="146"/>
    <cellStyle name="Moneda 14" xfId="147"/>
    <cellStyle name="Moneda 15" xfId="148"/>
    <cellStyle name="Moneda 16" xfId="149"/>
    <cellStyle name="Moneda 17" xfId="466"/>
    <cellStyle name="Moneda 18" xfId="480"/>
    <cellStyle name="Moneda 19" xfId="625"/>
    <cellStyle name="Moneda 2" xfId="11"/>
    <cellStyle name="Moneda 2 2" xfId="102"/>
    <cellStyle name="Moneda 2 2 2" xfId="726"/>
    <cellStyle name="Moneda 2 2 2 2" xfId="941"/>
    <cellStyle name="Moneda 2 2 3" xfId="826"/>
    <cellStyle name="Moneda 2 3" xfId="100"/>
    <cellStyle name="Moneda 2 3 2" xfId="503"/>
    <cellStyle name="Moneda 2 3 3" xfId="442"/>
    <cellStyle name="Moneda 2 4" xfId="131"/>
    <cellStyle name="Moneda 2 4 2" xfId="733"/>
    <cellStyle name="Moneda 2 4 2 2" xfId="948"/>
    <cellStyle name="Moneda 2 4 3" xfId="833"/>
    <cellStyle name="Moneda 2 5" xfId="162"/>
    <cellStyle name="Moneda 2 5 2" xfId="533"/>
    <cellStyle name="Moneda 2 5 3" xfId="458"/>
    <cellStyle name="Moneda 2 6" xfId="716"/>
    <cellStyle name="Moneda 2 6 2" xfId="939"/>
    <cellStyle name="Moneda 2 7" xfId="822"/>
    <cellStyle name="Moneda 20" xfId="485"/>
    <cellStyle name="Moneda 21" xfId="477"/>
    <cellStyle name="Moneda 22" xfId="587"/>
    <cellStyle name="Moneda 23" xfId="474"/>
    <cellStyle name="Moneda 24" xfId="511"/>
    <cellStyle name="Moneda 25" xfId="633"/>
    <cellStyle name="Moneda 26" xfId="612"/>
    <cellStyle name="Moneda 27" xfId="649"/>
    <cellStyle name="Moneda 28" xfId="507"/>
    <cellStyle name="Moneda 29" xfId="525"/>
    <cellStyle name="Moneda 3" xfId="13"/>
    <cellStyle name="Moneda 3 2" xfId="118"/>
    <cellStyle name="Moneda 3 2 2" xfId="414"/>
    <cellStyle name="Moneda 3 2 3" xfId="447"/>
    <cellStyle name="Moneda 3 2 4" xfId="514"/>
    <cellStyle name="Moneda 3 2 5" xfId="412"/>
    <cellStyle name="Moneda 3 3" xfId="413"/>
    <cellStyle name="Moneda 30" xfId="617"/>
    <cellStyle name="Moneda 31" xfId="653"/>
    <cellStyle name="Moneda 32" xfId="667"/>
    <cellStyle name="Moneda 33" xfId="523"/>
    <cellStyle name="Moneda 34" xfId="500"/>
    <cellStyle name="Moneda 35" xfId="589"/>
    <cellStyle name="Moneda 36" xfId="647"/>
    <cellStyle name="Moneda 37" xfId="671"/>
    <cellStyle name="Moneda 38" xfId="674"/>
    <cellStyle name="Moneda 39" xfId="588"/>
    <cellStyle name="Moneda 4" xfId="130"/>
    <cellStyle name="Moneda 4 2" xfId="392"/>
    <cellStyle name="Moneda 40" xfId="499"/>
    <cellStyle name="Moneda 41" xfId="582"/>
    <cellStyle name="Moneda 42" xfId="529"/>
    <cellStyle name="Moneda 43" xfId="675"/>
    <cellStyle name="Moneda 44" xfId="662"/>
    <cellStyle name="Moneda 45" xfId="524"/>
    <cellStyle name="Moneda 46" xfId="469"/>
    <cellStyle name="Moneda 47" xfId="512"/>
    <cellStyle name="Moneda 48" xfId="648"/>
    <cellStyle name="Moneda 49" xfId="608"/>
    <cellStyle name="Moneda 5" xfId="134"/>
    <cellStyle name="Moneda 50" xfId="631"/>
    <cellStyle name="Moneda 51" xfId="677"/>
    <cellStyle name="Moneda 52" xfId="593"/>
    <cellStyle name="Moneda 53" xfId="494"/>
    <cellStyle name="Moneda 54" xfId="669"/>
    <cellStyle name="Moneda 55" xfId="660"/>
    <cellStyle name="Moneda 56" xfId="508"/>
    <cellStyle name="Moneda 57" xfId="673"/>
    <cellStyle name="Moneda 58" xfId="641"/>
    <cellStyle name="Moneda 59" xfId="597"/>
    <cellStyle name="Moneda 6" xfId="135"/>
    <cellStyle name="Moneda 60" xfId="468"/>
    <cellStyle name="Moneda 61" xfId="713"/>
    <cellStyle name="Moneda 7" xfId="136"/>
    <cellStyle name="Moneda 8" xfId="138"/>
    <cellStyle name="Moneda 9" xfId="137"/>
    <cellStyle name="Neutral" xfId="25" builtinId="28" customBuiltin="1"/>
    <cellStyle name="Neutral 2" xfId="77"/>
    <cellStyle name="Neutral 2 2" xfId="350"/>
    <cellStyle name="Neutral 2 3" xfId="496"/>
    <cellStyle name="Neutral 3" xfId="425"/>
    <cellStyle name="Neutral 4" xfId="717"/>
    <cellStyle name="Normal" xfId="0" builtinId="0"/>
    <cellStyle name="Normal 10" xfId="94"/>
    <cellStyle name="Normal 10 2" xfId="194"/>
    <cellStyle name="Normal 10 2 2" xfId="544"/>
    <cellStyle name="Normal 10 2 3" xfId="437"/>
    <cellStyle name="Normal 10 3" xfId="388"/>
    <cellStyle name="Normal 100" xfId="634"/>
    <cellStyle name="Normal 101" xfId="605"/>
    <cellStyle name="Normal 102" xfId="592"/>
    <cellStyle name="Normal 103" xfId="620"/>
    <cellStyle name="Normal 104" xfId="640"/>
    <cellStyle name="Normal 105" xfId="618"/>
    <cellStyle name="Normal 106" xfId="626"/>
    <cellStyle name="Normal 107" xfId="635"/>
    <cellStyle name="Normal 108" xfId="609"/>
    <cellStyle name="Normal 109" xfId="590"/>
    <cellStyle name="Normal 11" xfId="107"/>
    <cellStyle name="Normal 11 2" xfId="247"/>
    <cellStyle name="Normal 110" xfId="636"/>
    <cellStyle name="Normal 111" xfId="505"/>
    <cellStyle name="Normal 112" xfId="651"/>
    <cellStyle name="Normal 113" xfId="521"/>
    <cellStyle name="Normal 114" xfId="621"/>
    <cellStyle name="Normal 115" xfId="586"/>
    <cellStyle name="Normal 116" xfId="678"/>
    <cellStyle name="Normal 117" xfId="478"/>
    <cellStyle name="Normal 118" xfId="663"/>
    <cellStyle name="Normal 119" xfId="611"/>
    <cellStyle name="Normal 12" xfId="104"/>
    <cellStyle name="Normal 12 2" xfId="208"/>
    <cellStyle name="Normal 120" xfId="627"/>
    <cellStyle name="Normal 121" xfId="624"/>
    <cellStyle name="Normal 122" xfId="642"/>
    <cellStyle name="Normal 123" xfId="470"/>
    <cellStyle name="Normal 124" xfId="665"/>
    <cellStyle name="Normal 125" xfId="509"/>
    <cellStyle name="Normal 126" xfId="679"/>
    <cellStyle name="Normal 127" xfId="643"/>
    <cellStyle name="Normal 128" xfId="483"/>
    <cellStyle name="Normal 129" xfId="676"/>
    <cellStyle name="Normal 13" xfId="90"/>
    <cellStyle name="Normal 13 2" xfId="227"/>
    <cellStyle name="Normal 130" xfId="655"/>
    <cellStyle name="Normal 131" xfId="486"/>
    <cellStyle name="Normal 132" xfId="630"/>
    <cellStyle name="Normal 133" xfId="395"/>
    <cellStyle name="Normal 134" xfId="680"/>
    <cellStyle name="Normal 135" xfId="682"/>
    <cellStyle name="Normal 136" xfId="687"/>
    <cellStyle name="Normal 137" xfId="685"/>
    <cellStyle name="Normal 138" xfId="698"/>
    <cellStyle name="Normal 139" xfId="697"/>
    <cellStyle name="Normal 14" xfId="92"/>
    <cellStyle name="Normal 14 2" xfId="238"/>
    <cellStyle name="Normal 14 2 2" xfId="564"/>
    <cellStyle name="Normal 14 2 3" xfId="399"/>
    <cellStyle name="Normal 14 3" xfId="351"/>
    <cellStyle name="Normal 14 3 2" xfId="596"/>
    <cellStyle name="Normal 14 3 3" xfId="435"/>
    <cellStyle name="Normal 140" xfId="700"/>
    <cellStyle name="Normal 141" xfId="702"/>
    <cellStyle name="Normal 142" xfId="704"/>
    <cellStyle name="Normal 143" xfId="705"/>
    <cellStyle name="Normal 144" xfId="695"/>
    <cellStyle name="Normal 145" xfId="688"/>
    <cellStyle name="Normal 146" xfId="708"/>
    <cellStyle name="Normal 147" xfId="710"/>
    <cellStyle name="Normal 15" xfId="105"/>
    <cellStyle name="Normal 15 2" xfId="216"/>
    <cellStyle name="Normal 16" xfId="88"/>
    <cellStyle name="Normal 16 2" xfId="74"/>
    <cellStyle name="Normal 17" xfId="106"/>
    <cellStyle name="Normal 17 2" xfId="178"/>
    <cellStyle name="Normal 18" xfId="87"/>
    <cellStyle name="Normal 18 2" xfId="187"/>
    <cellStyle name="Normal 19" xfId="108"/>
    <cellStyle name="Normal 19 2" xfId="204"/>
    <cellStyle name="Normal 2" xfId="7"/>
    <cellStyle name="Normal 2 2" xfId="10"/>
    <cellStyle name="Normal 2 2 10" xfId="353"/>
    <cellStyle name="Normal 2 2 10 2" xfId="401"/>
    <cellStyle name="Normal 2 2 2" xfId="15"/>
    <cellStyle name="Normal 2 2 2 2" xfId="132"/>
    <cellStyle name="Normal 2 2 2 2 2" xfId="230"/>
    <cellStyle name="Normal 2 2 2 2 2 2" xfId="357"/>
    <cellStyle name="Normal 2 2 2 2 2 2 2" xfId="402"/>
    <cellStyle name="Normal 2 2 2 2 2 3" xfId="356"/>
    <cellStyle name="Normal 2 2 2 2 2 4" xfId="560"/>
    <cellStyle name="Normal 2 2 2 2 3" xfId="355"/>
    <cellStyle name="Normal 2 2 2 2 4" xfId="455"/>
    <cellStyle name="Normal 2 2 2 3" xfId="212"/>
    <cellStyle name="Normal 2 2 2 3 2" xfId="358"/>
    <cellStyle name="Normal 2 2 2 3 3" xfId="551"/>
    <cellStyle name="Normal 2 2 2 4" xfId="359"/>
    <cellStyle name="Normal 2 2 2 5" xfId="354"/>
    <cellStyle name="Normal 2 2 3" xfId="221"/>
    <cellStyle name="Normal 2 2 3 2" xfId="360"/>
    <cellStyle name="Normal 2 2 3 3" xfId="556"/>
    <cellStyle name="Normal 2 2 4" xfId="400"/>
    <cellStyle name="Normal 2 2 5" xfId="420"/>
    <cellStyle name="Normal 2 2 7" xfId="361"/>
    <cellStyle name="Normal 2 2 7 2" xfId="403"/>
    <cellStyle name="Normal 2 2 8" xfId="362"/>
    <cellStyle name="Normal 2 2 8 2" xfId="404"/>
    <cellStyle name="Normal 2 2 9" xfId="363"/>
    <cellStyle name="Normal 2 2 9 2" xfId="405"/>
    <cellStyle name="Normal 2 3" xfId="16"/>
    <cellStyle name="Normal 2 3 2" xfId="126"/>
    <cellStyle name="Normal 2 3 2 2" xfId="365"/>
    <cellStyle name="Normal 2 3 2 2 2" xfId="599"/>
    <cellStyle name="Normal 2 3 2 2 3" xfId="453"/>
    <cellStyle name="Normal 2 3 3" xfId="167"/>
    <cellStyle name="Normal 2 3 3 2" xfId="270"/>
    <cellStyle name="Normal 2 3 3 2 2" xfId="580"/>
    <cellStyle name="Normal 2 3 3 2 3" xfId="462"/>
    <cellStyle name="Normal 2 3 3 3" xfId="366"/>
    <cellStyle name="Normal 2 3 3 4" xfId="393"/>
    <cellStyle name="Normal 2 3 4" xfId="246"/>
    <cellStyle name="Normal 2 3 4 2" xfId="566"/>
    <cellStyle name="Normal 2 3 4 3" xfId="422"/>
    <cellStyle name="Normal 2 3 5" xfId="364"/>
    <cellStyle name="Normal 2 4" xfId="117"/>
    <cellStyle name="Normal 2 4 2" xfId="197"/>
    <cellStyle name="Normal 2 4 2 2" xfId="546"/>
    <cellStyle name="Normal 2 4 2 3" xfId="406"/>
    <cellStyle name="Normal 2 4 3" xfId="367"/>
    <cellStyle name="Normal 2 4 3 2" xfId="600"/>
    <cellStyle name="Normal 2 4 3 3" xfId="446"/>
    <cellStyle name="Normal 2 5" xfId="368"/>
    <cellStyle name="Normal 2 6" xfId="369"/>
    <cellStyle name="Normal 2 7" xfId="352"/>
    <cellStyle name="Normal 2_FUT INGRESOS 2010 Y FLS Y TESORERIA FLS AGOSTO 26" xfId="370"/>
    <cellStyle name="Normal 20" xfId="86"/>
    <cellStyle name="Normal 20 2" xfId="234"/>
    <cellStyle name="Normal 21" xfId="91"/>
    <cellStyle name="Normal 21 2" xfId="209"/>
    <cellStyle name="Normal 22" xfId="89"/>
    <cellStyle name="Normal 22 2" xfId="193"/>
    <cellStyle name="Normal 23" xfId="109"/>
    <cellStyle name="Normal 23 2" xfId="239"/>
    <cellStyle name="Normal 24" xfId="110"/>
    <cellStyle name="Normal 24 2" xfId="268"/>
    <cellStyle name="Normal 25" xfId="111"/>
    <cellStyle name="Normal 25 2" xfId="240"/>
    <cellStyle name="Normal 26" xfId="112"/>
    <cellStyle name="Normal 26 2" xfId="258"/>
    <cellStyle name="Normal 27" xfId="113"/>
    <cellStyle name="Normal 27 2" xfId="241"/>
    <cellStyle name="Normal 28" xfId="114"/>
    <cellStyle name="Normal 28 2" xfId="78"/>
    <cellStyle name="Normal 29" xfId="116"/>
    <cellStyle name="Normal 29 2" xfId="75"/>
    <cellStyle name="Normal 3" xfId="17"/>
    <cellStyle name="Normal 3 2" xfId="127"/>
    <cellStyle name="Normal 3 2 2" xfId="210"/>
    <cellStyle name="Normal 3 2 2 2" xfId="550"/>
    <cellStyle name="Normal 3 2 2 3" xfId="408"/>
    <cellStyle name="Normal 3 2 3" xfId="371"/>
    <cellStyle name="Normal 3 2 3 2" xfId="602"/>
    <cellStyle name="Normal 3 2 3 3" xfId="454"/>
    <cellStyle name="Normal 3 3" xfId="264"/>
    <cellStyle name="Normal 3 3 2" xfId="577"/>
    <cellStyle name="Normal 3 3 3" xfId="407"/>
    <cellStyle name="Normal 3 4" xfId="277"/>
    <cellStyle name="Normal 3 4 2" xfId="581"/>
    <cellStyle name="Normal 3 4 3" xfId="423"/>
    <cellStyle name="Normal 3 5" xfId="63"/>
    <cellStyle name="Normal 30" xfId="128"/>
    <cellStyle name="Normal 30 2" xfId="176"/>
    <cellStyle name="Normal 31" xfId="142"/>
    <cellStyle name="Normal 31 2" xfId="82"/>
    <cellStyle name="Normal 32" xfId="140"/>
    <cellStyle name="Normal 32 2" xfId="73"/>
    <cellStyle name="Normal 33" xfId="141"/>
    <cellStyle name="Normal 33 2" xfId="200"/>
    <cellStyle name="Normal 34" xfId="133"/>
    <cellStyle name="Normal 34 2" xfId="180"/>
    <cellStyle name="Normal 35" xfId="143"/>
    <cellStyle name="Normal 35 2" xfId="174"/>
    <cellStyle name="Normal 36" xfId="150"/>
    <cellStyle name="Normal 36 2" xfId="198"/>
    <cellStyle name="Normal 37" xfId="158"/>
    <cellStyle name="Normal 37 2" xfId="217"/>
    <cellStyle name="Normal 38" xfId="153"/>
    <cellStyle name="Normal 38 2" xfId="243"/>
    <cellStyle name="Normal 39" xfId="161"/>
    <cellStyle name="Normal 39 2" xfId="189"/>
    <cellStyle name="Normal 4" xfId="84"/>
    <cellStyle name="Normal 4 2" xfId="262"/>
    <cellStyle name="Normal 4 2 2" xfId="373"/>
    <cellStyle name="Normal 4 2 3" xfId="576"/>
    <cellStyle name="Normal 4 3" xfId="372"/>
    <cellStyle name="Normal 4 4" xfId="433"/>
    <cellStyle name="Normal 40" xfId="151"/>
    <cellStyle name="Normal 40 2" xfId="179"/>
    <cellStyle name="Normal 41" xfId="165"/>
    <cellStyle name="Normal 41 2" xfId="222"/>
    <cellStyle name="Normal 42" xfId="169"/>
    <cellStyle name="Normal 42 2" xfId="272"/>
    <cellStyle name="Normal 43" xfId="157"/>
    <cellStyle name="Normal 43 2" xfId="183"/>
    <cellStyle name="Normal 44" xfId="154"/>
    <cellStyle name="Normal 44 2" xfId="185"/>
    <cellStyle name="Normal 45" xfId="155"/>
    <cellStyle name="Normal 45 2" xfId="259"/>
    <cellStyle name="Normal 46" xfId="152"/>
    <cellStyle name="Normal 46 2" xfId="236"/>
    <cellStyle name="Normal 47" xfId="156"/>
    <cellStyle name="Normal 47 2" xfId="232"/>
    <cellStyle name="Normal 48" xfId="60"/>
    <cellStyle name="Normal 49" xfId="71"/>
    <cellStyle name="Normal 5" xfId="93"/>
    <cellStyle name="Normal 5 2" xfId="186"/>
    <cellStyle name="Normal 5 2 2" xfId="541"/>
    <cellStyle name="Normal 5 2 3" xfId="436"/>
    <cellStyle name="Normal 5 3" xfId="374"/>
    <cellStyle name="Normal 50" xfId="79"/>
    <cellStyle name="Normal 51" xfId="211"/>
    <cellStyle name="Normal 52" xfId="219"/>
    <cellStyle name="Normal 53" xfId="175"/>
    <cellStyle name="Normal 54" xfId="191"/>
    <cellStyle name="Normal 55" xfId="214"/>
    <cellStyle name="Normal 56" xfId="170"/>
    <cellStyle name="Normal 57" xfId="226"/>
    <cellStyle name="Normal 58" xfId="76"/>
    <cellStyle name="Normal 59" xfId="207"/>
    <cellStyle name="Normal 6" xfId="19"/>
    <cellStyle name="Normal 6 2" xfId="70"/>
    <cellStyle name="Normal 60" xfId="228"/>
    <cellStyle name="Normal 61" xfId="195"/>
    <cellStyle name="Normal 62" xfId="182"/>
    <cellStyle name="Normal 63" xfId="81"/>
    <cellStyle name="Normal 64" xfId="172"/>
    <cellStyle name="Normal 65" xfId="199"/>
    <cellStyle name="Normal 66" xfId="206"/>
    <cellStyle name="Normal 67" xfId="229"/>
    <cellStyle name="Normal 68" xfId="256"/>
    <cellStyle name="Normal 69" xfId="266"/>
    <cellStyle name="Normal 7" xfId="18"/>
    <cellStyle name="Normal 7 2" xfId="225"/>
    <cellStyle name="Normal 7 2 2" xfId="559"/>
    <cellStyle name="Normal 7 2 3" xfId="409"/>
    <cellStyle name="Normal 7 3" xfId="375"/>
    <cellStyle name="Normal 7 3 2" xfId="603"/>
    <cellStyle name="Normal 7 3 3" xfId="439"/>
    <cellStyle name="Normal 70" xfId="267"/>
    <cellStyle name="Normal 71" xfId="245"/>
    <cellStyle name="Normal 72" xfId="202"/>
    <cellStyle name="Normal 73" xfId="278"/>
    <cellStyle name="Normal 74" xfId="271"/>
    <cellStyle name="Normal 75" xfId="280"/>
    <cellStyle name="Normal 76" xfId="66"/>
    <cellStyle name="Normal 77" xfId="275"/>
    <cellStyle name="Normal 78" xfId="276"/>
    <cellStyle name="Normal 79" xfId="273"/>
    <cellStyle name="Normal 8" xfId="85"/>
    <cellStyle name="Normal 8 2" xfId="83"/>
    <cellStyle name="Normal 8 2 2" xfId="498"/>
    <cellStyle name="Normal 8 2 3" xfId="410"/>
    <cellStyle name="Normal 8 3" xfId="376"/>
    <cellStyle name="Normal 8 3 2" xfId="604"/>
    <cellStyle name="Normal 8 3 3" xfId="434"/>
    <cellStyle name="Normal 80" xfId="279"/>
    <cellStyle name="Normal 81" xfId="177"/>
    <cellStyle name="Normal 82" xfId="274"/>
    <cellStyle name="Normal 83" xfId="255"/>
    <cellStyle name="Normal 84" xfId="281"/>
    <cellStyle name="Normal 85" xfId="59"/>
    <cellStyle name="Normal 86" xfId="283"/>
    <cellStyle name="Normal 87" xfId="391"/>
    <cellStyle name="Normal 88" xfId="389"/>
    <cellStyle name="Normal 89" xfId="463"/>
    <cellStyle name="Normal 9" xfId="99"/>
    <cellStyle name="Normal 9 2" xfId="62"/>
    <cellStyle name="Normal 9 2 2" xfId="488"/>
    <cellStyle name="Normal 9 2 3" xfId="441"/>
    <cellStyle name="Normal 9 3" xfId="284"/>
    <cellStyle name="Normal 90" xfId="481"/>
    <cellStyle name="Normal 91" xfId="670"/>
    <cellStyle name="Normal 92" xfId="645"/>
    <cellStyle name="Normal 93" xfId="658"/>
    <cellStyle name="Normal 94" xfId="601"/>
    <cellStyle name="Normal 95" xfId="668"/>
    <cellStyle name="Normal 96" xfId="638"/>
    <cellStyle name="Normal 97" xfId="639"/>
    <cellStyle name="Normal 98" xfId="661"/>
    <cellStyle name="Normal 99" xfId="622"/>
    <cellStyle name="Notas" xfId="32" builtinId="10" customBuiltin="1"/>
    <cellStyle name="Notas 2" xfId="203"/>
    <cellStyle name="Notas 2 2" xfId="377"/>
    <cellStyle name="Notas 2 3" xfId="548"/>
    <cellStyle name="Notas 3" xfId="378"/>
    <cellStyle name="Notas 3 2" xfId="411"/>
    <cellStyle name="Notas 4" xfId="718"/>
    <cellStyle name="Porcentaje" xfId="282" builtinId="5"/>
    <cellStyle name="Porcentaje 2" xfId="739"/>
    <cellStyle name="Porcentaje 2 2" xfId="96"/>
    <cellStyle name="Porcentaje 2 2 2" xfId="98"/>
    <cellStyle name="Porcentaje 2 3" xfId="129"/>
    <cellStyle name="Salida" xfId="27" builtinId="21" customBuiltin="1"/>
    <cellStyle name="Salida 2" xfId="205"/>
    <cellStyle name="Salida 2 2" xfId="379"/>
    <cellStyle name="Salida 2 3" xfId="549"/>
    <cellStyle name="TableStyleLight1" xfId="380"/>
    <cellStyle name="Texto de advertencia" xfId="31" builtinId="11" customBuiltin="1"/>
    <cellStyle name="Texto de advertencia 2" xfId="249"/>
    <cellStyle name="Texto de advertencia 2 2" xfId="381"/>
    <cellStyle name="Texto de advertencia 2 3" xfId="568"/>
    <cellStyle name="Texto explicativo" xfId="33" builtinId="53" customBuiltin="1"/>
    <cellStyle name="Texto explicativo 2" xfId="252"/>
    <cellStyle name="Texto explicativo 2 2" xfId="382"/>
    <cellStyle name="Texto explicativo 2 3" xfId="571"/>
    <cellStyle name="Título" xfId="394" builtinId="15" customBuiltin="1"/>
    <cellStyle name="Título 1 2" xfId="269"/>
    <cellStyle name="Título 1 2 2" xfId="383"/>
    <cellStyle name="Título 1 2 3" xfId="579"/>
    <cellStyle name="Título 2" xfId="21" builtinId="17" customBuiltin="1"/>
    <cellStyle name="Título 2 2" xfId="65"/>
    <cellStyle name="Título 2 2 2" xfId="384"/>
    <cellStyle name="Título 2 2 3" xfId="490"/>
    <cellStyle name="Título 3" xfId="22" builtinId="18" customBuiltin="1"/>
    <cellStyle name="Título 3 2" xfId="190"/>
    <cellStyle name="Título 3 2 2" xfId="385"/>
    <cellStyle name="Título 3 2 3" xfId="543"/>
    <cellStyle name="Título 4" xfId="64"/>
    <cellStyle name="Título 4 2" xfId="386"/>
    <cellStyle name="Título 4 3" xfId="489"/>
    <cellStyle name="Título 5" xfId="231"/>
    <cellStyle name="Total" xfId="34" builtinId="25" customBuiltin="1"/>
    <cellStyle name="Total 2" xfId="220"/>
    <cellStyle name="Total 2 2" xfId="387"/>
    <cellStyle name="Total 2 3" xfId="555"/>
  </cellStyles>
  <dxfs count="157">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24-5CC6-11CF-8D67-00AA00BDCE1D}" ax:persistence="persistStream" r:id="rId1"/>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ESTADO DE EJECUCIÓN POAI</a:t>
            </a:r>
          </a:p>
          <a:p>
            <a:pPr>
              <a:defRPr/>
            </a:pPr>
            <a:r>
              <a:rPr lang="es-CO"/>
              <a:t>SECTOR CENTRAL</a:t>
            </a:r>
          </a:p>
          <a:p>
            <a:pPr>
              <a:defRPr/>
            </a:pPr>
            <a:r>
              <a:rPr lang="es-CO" baseline="0"/>
              <a:t>DICIEMBRE 31 DE 2021</a:t>
            </a:r>
            <a:endParaRPr lang="es-CO"/>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'EJE ESTRATEGICO'!$C$3</c:f>
              <c:strCache>
                <c:ptCount val="1"/>
                <c:pt idx="0">
                  <c:v>Inclusión social y equidad</c:v>
                </c:pt>
              </c:strCache>
            </c:strRef>
          </c:tx>
          <c:spPr>
            <a:solidFill>
              <a:schemeClr val="accent6">
                <a:lumMod val="60000"/>
                <a:lumOff val="40000"/>
              </a:schemeClr>
            </a:solidFill>
            <a:ln>
              <a:noFill/>
            </a:ln>
            <a:effectLst/>
            <a:sp3d/>
          </c:spPr>
          <c:invertIfNegative val="0"/>
          <c:cat>
            <c:strRef>
              <c:f>'EJE ESTRATEGICO'!$D$2:$H$2</c:f>
              <c:strCache>
                <c:ptCount val="5"/>
                <c:pt idx="0">
                  <c:v>PRESUPUESTADO</c:v>
                </c:pt>
                <c:pt idx="1">
                  <c:v>COMPROMISOS</c:v>
                </c:pt>
                <c:pt idx="2">
                  <c:v>% COMPR</c:v>
                </c:pt>
                <c:pt idx="3">
                  <c:v>OBLIGACIONES</c:v>
                </c:pt>
                <c:pt idx="4">
                  <c:v>% OBLIG</c:v>
                </c:pt>
              </c:strCache>
            </c:strRef>
          </c:cat>
          <c:val>
            <c:numRef>
              <c:f>'EJE ESTRATEGICO'!$D$3:$H$3</c:f>
              <c:numCache>
                <c:formatCode>_(* #,##0.00_);_(* \(#,##0.00\);_(* "-"??_);_(@_)</c:formatCode>
                <c:ptCount val="5"/>
                <c:pt idx="0">
                  <c:v>289944507382.05005</c:v>
                </c:pt>
                <c:pt idx="1">
                  <c:v>270593268666.09003</c:v>
                </c:pt>
                <c:pt idx="2" formatCode="0%">
                  <c:v>0.93325881945243561</c:v>
                </c:pt>
                <c:pt idx="3">
                  <c:v>270593268666.09003</c:v>
                </c:pt>
                <c:pt idx="4" formatCode="0.00%">
                  <c:v>1</c:v>
                </c:pt>
              </c:numCache>
            </c:numRef>
          </c:val>
          <c:extLst>
            <c:ext xmlns:c16="http://schemas.microsoft.com/office/drawing/2014/chart" uri="{C3380CC4-5D6E-409C-BE32-E72D297353CC}">
              <c16:uniqueId val="{00000000-193A-4AAF-822B-6C775BAB9851}"/>
            </c:ext>
          </c:extLst>
        </c:ser>
        <c:ser>
          <c:idx val="1"/>
          <c:order val="1"/>
          <c:tx>
            <c:strRef>
              <c:f>'EJE ESTRATEGICO'!$C$4</c:f>
              <c:strCache>
                <c:ptCount val="1"/>
                <c:pt idx="0">
                  <c:v>Productividad y competitividad</c:v>
                </c:pt>
              </c:strCache>
            </c:strRef>
          </c:tx>
          <c:spPr>
            <a:solidFill>
              <a:srgbClr val="C00000"/>
            </a:solidFill>
            <a:ln>
              <a:noFill/>
            </a:ln>
            <a:effectLst/>
            <a:sp3d/>
          </c:spPr>
          <c:invertIfNegative val="0"/>
          <c:cat>
            <c:strRef>
              <c:f>'EJE ESTRATEGICO'!$D$2:$H$2</c:f>
              <c:strCache>
                <c:ptCount val="5"/>
                <c:pt idx="0">
                  <c:v>PRESUPUESTADO</c:v>
                </c:pt>
                <c:pt idx="1">
                  <c:v>COMPROMISOS</c:v>
                </c:pt>
                <c:pt idx="2">
                  <c:v>% COMPR</c:v>
                </c:pt>
                <c:pt idx="3">
                  <c:v>OBLIGACIONES</c:v>
                </c:pt>
                <c:pt idx="4">
                  <c:v>% OBLIG</c:v>
                </c:pt>
              </c:strCache>
            </c:strRef>
          </c:cat>
          <c:val>
            <c:numRef>
              <c:f>'EJE ESTRATEGICO'!$D$4:$H$4</c:f>
              <c:numCache>
                <c:formatCode>_(* #,##0.00_);_(* \(#,##0.00\);_(* "-"??_);_(@_)</c:formatCode>
                <c:ptCount val="5"/>
                <c:pt idx="0">
                  <c:v>5899994710.2399998</c:v>
                </c:pt>
                <c:pt idx="1">
                  <c:v>4757390366.5100002</c:v>
                </c:pt>
                <c:pt idx="2" formatCode="0%">
                  <c:v>0.8063380731940486</c:v>
                </c:pt>
                <c:pt idx="3">
                  <c:v>4757390366.5100002</c:v>
                </c:pt>
                <c:pt idx="4" formatCode="0.00%">
                  <c:v>1</c:v>
                </c:pt>
              </c:numCache>
            </c:numRef>
          </c:val>
          <c:extLst>
            <c:ext xmlns:c16="http://schemas.microsoft.com/office/drawing/2014/chart" uri="{C3380CC4-5D6E-409C-BE32-E72D297353CC}">
              <c16:uniqueId val="{00000001-193A-4AAF-822B-6C775BAB9851}"/>
            </c:ext>
          </c:extLst>
        </c:ser>
        <c:ser>
          <c:idx val="2"/>
          <c:order val="2"/>
          <c:tx>
            <c:strRef>
              <c:f>'EJE ESTRATEGICO'!$C$5</c:f>
              <c:strCache>
                <c:ptCount val="1"/>
                <c:pt idx="0">
                  <c:v>Territorio, ambiente y desarrollo sostenible</c:v>
                </c:pt>
              </c:strCache>
            </c:strRef>
          </c:tx>
          <c:spPr>
            <a:solidFill>
              <a:schemeClr val="accent3"/>
            </a:solidFill>
            <a:ln>
              <a:noFill/>
            </a:ln>
            <a:effectLst/>
            <a:sp3d/>
          </c:spPr>
          <c:invertIfNegative val="0"/>
          <c:cat>
            <c:strRef>
              <c:f>'EJE ESTRATEGICO'!$D$2:$H$2</c:f>
              <c:strCache>
                <c:ptCount val="5"/>
                <c:pt idx="0">
                  <c:v>PRESUPUESTADO</c:v>
                </c:pt>
                <c:pt idx="1">
                  <c:v>COMPROMISOS</c:v>
                </c:pt>
                <c:pt idx="2">
                  <c:v>% COMPR</c:v>
                </c:pt>
                <c:pt idx="3">
                  <c:v>OBLIGACIONES</c:v>
                </c:pt>
                <c:pt idx="4">
                  <c:v>% OBLIG</c:v>
                </c:pt>
              </c:strCache>
            </c:strRef>
          </c:cat>
          <c:val>
            <c:numRef>
              <c:f>'EJE ESTRATEGICO'!$D$5:$H$5</c:f>
              <c:numCache>
                <c:formatCode>_(* #,##0.00_);_(* \(#,##0.00\);_(* "-"??_);_(@_)</c:formatCode>
                <c:ptCount val="5"/>
                <c:pt idx="0">
                  <c:v>16883128288.780001</c:v>
                </c:pt>
                <c:pt idx="1">
                  <c:v>4858397431.4200001</c:v>
                </c:pt>
                <c:pt idx="2" formatCode="0%">
                  <c:v>0.28776642268653135</c:v>
                </c:pt>
                <c:pt idx="3">
                  <c:v>4858397431.4200001</c:v>
                </c:pt>
                <c:pt idx="4" formatCode="0.00%">
                  <c:v>1</c:v>
                </c:pt>
              </c:numCache>
            </c:numRef>
          </c:val>
          <c:extLst>
            <c:ext xmlns:c16="http://schemas.microsoft.com/office/drawing/2014/chart" uri="{C3380CC4-5D6E-409C-BE32-E72D297353CC}">
              <c16:uniqueId val="{00000002-193A-4AAF-822B-6C775BAB9851}"/>
            </c:ext>
          </c:extLst>
        </c:ser>
        <c:ser>
          <c:idx val="3"/>
          <c:order val="3"/>
          <c:tx>
            <c:strRef>
              <c:f>'EJE ESTRATEGICO'!$C$6</c:f>
              <c:strCache>
                <c:ptCount val="1"/>
                <c:pt idx="0">
                  <c:v>Liderazgo, gobernabilidad y transparencia</c:v>
                </c:pt>
              </c:strCache>
            </c:strRef>
          </c:tx>
          <c:spPr>
            <a:solidFill>
              <a:schemeClr val="accent4"/>
            </a:solidFill>
            <a:ln>
              <a:noFill/>
            </a:ln>
            <a:effectLst/>
            <a:sp3d/>
          </c:spPr>
          <c:invertIfNegative val="0"/>
          <c:cat>
            <c:strRef>
              <c:f>'EJE ESTRATEGICO'!$D$2:$H$2</c:f>
              <c:strCache>
                <c:ptCount val="5"/>
                <c:pt idx="0">
                  <c:v>PRESUPUESTADO</c:v>
                </c:pt>
                <c:pt idx="1">
                  <c:v>COMPROMISOS</c:v>
                </c:pt>
                <c:pt idx="2">
                  <c:v>% COMPR</c:v>
                </c:pt>
                <c:pt idx="3">
                  <c:v>OBLIGACIONES</c:v>
                </c:pt>
                <c:pt idx="4">
                  <c:v>% OBLIG</c:v>
                </c:pt>
              </c:strCache>
            </c:strRef>
          </c:cat>
          <c:val>
            <c:numRef>
              <c:f>'EJE ESTRATEGICO'!$D$6:$H$6</c:f>
              <c:numCache>
                <c:formatCode>_(* #,##0.00_);_(* \(#,##0.00\);_(* "-"??_);_(@_)</c:formatCode>
                <c:ptCount val="5"/>
                <c:pt idx="0">
                  <c:v>6762833750.8400002</c:v>
                </c:pt>
                <c:pt idx="1">
                  <c:v>5856182897.5600004</c:v>
                </c:pt>
                <c:pt idx="2" formatCode="0%">
                  <c:v>0.86593624999766017</c:v>
                </c:pt>
                <c:pt idx="3">
                  <c:v>5856182897.5600004</c:v>
                </c:pt>
                <c:pt idx="4" formatCode="0.00%">
                  <c:v>1</c:v>
                </c:pt>
              </c:numCache>
            </c:numRef>
          </c:val>
          <c:extLst>
            <c:ext xmlns:c16="http://schemas.microsoft.com/office/drawing/2014/chart" uri="{C3380CC4-5D6E-409C-BE32-E72D297353CC}">
              <c16:uniqueId val="{00000003-193A-4AAF-822B-6C775BAB9851}"/>
            </c:ext>
          </c:extLst>
        </c:ser>
        <c:ser>
          <c:idx val="4"/>
          <c:order val="4"/>
          <c:tx>
            <c:strRef>
              <c:f>'EJE ESTRATEGICO'!$C$7</c:f>
              <c:strCache>
                <c:ptCount val="1"/>
                <c:pt idx="0">
                  <c:v>TOTAL</c:v>
                </c:pt>
              </c:strCache>
            </c:strRef>
          </c:tx>
          <c:spPr>
            <a:solidFill>
              <a:schemeClr val="tx2">
                <a:lumMod val="60000"/>
                <a:lumOff val="40000"/>
              </a:schemeClr>
            </a:solidFill>
            <a:ln>
              <a:noFill/>
            </a:ln>
            <a:effectLst/>
            <a:sp3d/>
          </c:spPr>
          <c:invertIfNegative val="0"/>
          <c:cat>
            <c:strRef>
              <c:f>'EJE ESTRATEGICO'!$D$2:$H$2</c:f>
              <c:strCache>
                <c:ptCount val="5"/>
                <c:pt idx="0">
                  <c:v>PRESUPUESTADO</c:v>
                </c:pt>
                <c:pt idx="1">
                  <c:v>COMPROMISOS</c:v>
                </c:pt>
                <c:pt idx="2">
                  <c:v>% COMPR</c:v>
                </c:pt>
                <c:pt idx="3">
                  <c:v>OBLIGACIONES</c:v>
                </c:pt>
                <c:pt idx="4">
                  <c:v>% OBLIG</c:v>
                </c:pt>
              </c:strCache>
            </c:strRef>
          </c:cat>
          <c:val>
            <c:numRef>
              <c:f>'EJE ESTRATEGICO'!$D$7:$H$7</c:f>
              <c:numCache>
                <c:formatCode>_(* #,##0.00_);_(* \(#,##0.00\);_(* "-"??_);_(@_)</c:formatCode>
                <c:ptCount val="5"/>
                <c:pt idx="0">
                  <c:v>319490464131.9101</c:v>
                </c:pt>
                <c:pt idx="1">
                  <c:v>286065239361.58002</c:v>
                </c:pt>
                <c:pt idx="2" formatCode="0%">
                  <c:v>0.89537958554991615</c:v>
                </c:pt>
                <c:pt idx="3">
                  <c:v>286065239361.58002</c:v>
                </c:pt>
                <c:pt idx="4" formatCode="0.00%">
                  <c:v>1</c:v>
                </c:pt>
              </c:numCache>
            </c:numRef>
          </c:val>
          <c:extLst>
            <c:ext xmlns:c16="http://schemas.microsoft.com/office/drawing/2014/chart" uri="{C3380CC4-5D6E-409C-BE32-E72D297353CC}">
              <c16:uniqueId val="{00000004-193A-4AAF-822B-6C775BAB9851}"/>
            </c:ext>
          </c:extLst>
        </c:ser>
        <c:dLbls>
          <c:showLegendKey val="0"/>
          <c:showVal val="0"/>
          <c:showCatName val="0"/>
          <c:showSerName val="0"/>
          <c:showPercent val="0"/>
          <c:showBubbleSize val="0"/>
        </c:dLbls>
        <c:gapWidth val="150"/>
        <c:shape val="box"/>
        <c:axId val="180715424"/>
        <c:axId val="180715984"/>
        <c:axId val="0"/>
      </c:bar3DChart>
      <c:catAx>
        <c:axId val="18071542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0715984"/>
        <c:crosses val="autoZero"/>
        <c:auto val="1"/>
        <c:lblAlgn val="ctr"/>
        <c:lblOffset val="100"/>
        <c:noMultiLvlLbl val="0"/>
      </c:catAx>
      <c:valAx>
        <c:axId val="180715984"/>
        <c:scaling>
          <c:orientation val="minMax"/>
        </c:scaling>
        <c:delete val="0"/>
        <c:axPos val="l"/>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071542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ESTADO DE EJECUCIÓN POAI</a:t>
            </a:r>
          </a:p>
          <a:p>
            <a:pPr>
              <a:defRPr/>
            </a:pPr>
            <a:r>
              <a:rPr lang="es-CO"/>
              <a:t>DESCENTRALIZADOS</a:t>
            </a:r>
          </a:p>
          <a:p>
            <a:pPr>
              <a:defRPr/>
            </a:pPr>
            <a:r>
              <a:rPr lang="es-CO"/>
              <a:t>DICIEMBRE 31 </a:t>
            </a:r>
            <a:r>
              <a:rPr lang="es-CO" baseline="0"/>
              <a:t>DE 2021</a:t>
            </a:r>
            <a:endParaRPr lang="es-CO"/>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'EJE ESTRATEGICO'!$C$16</c:f>
              <c:strCache>
                <c:ptCount val="1"/>
                <c:pt idx="0">
                  <c:v>Liderazgo, gobernabilidad y transparencia</c:v>
                </c:pt>
              </c:strCache>
            </c:strRef>
          </c:tx>
          <c:spPr>
            <a:solidFill>
              <a:schemeClr val="accent6">
                <a:lumMod val="60000"/>
                <a:lumOff val="40000"/>
              </a:schemeClr>
            </a:solidFill>
            <a:ln>
              <a:noFill/>
            </a:ln>
            <a:effectLst/>
            <a:sp3d/>
          </c:spPr>
          <c:invertIfNegative val="0"/>
          <c:cat>
            <c:strRef>
              <c:f>'EJE ESTRATEGICO'!$D$15:$H$15</c:f>
              <c:strCache>
                <c:ptCount val="5"/>
                <c:pt idx="0">
                  <c:v>PRESUPUESTADO</c:v>
                </c:pt>
                <c:pt idx="1">
                  <c:v>COMPROMISOS</c:v>
                </c:pt>
                <c:pt idx="2">
                  <c:v>% COMPR</c:v>
                </c:pt>
                <c:pt idx="3">
                  <c:v>OBLIGACIONES</c:v>
                </c:pt>
                <c:pt idx="4">
                  <c:v>% OBLIG</c:v>
                </c:pt>
              </c:strCache>
            </c:strRef>
          </c:cat>
          <c:val>
            <c:numRef>
              <c:f>'EJE ESTRATEGICO'!$D$16:$H$16</c:f>
              <c:numCache>
                <c:formatCode>_(* #,##0.00_);_(* \(#,##0.00\);_(* "-"??_);_(@_)</c:formatCode>
                <c:ptCount val="5"/>
                <c:pt idx="0">
                  <c:v>8179890631.7399998</c:v>
                </c:pt>
                <c:pt idx="1">
                  <c:v>5647345281.7799997</c:v>
                </c:pt>
                <c:pt idx="2" formatCode="0%">
                  <c:v>0.69039373947946225</c:v>
                </c:pt>
                <c:pt idx="3">
                  <c:v>5626430281.7799997</c:v>
                </c:pt>
                <c:pt idx="4" formatCode="0.00%">
                  <c:v>0.99629648995122044</c:v>
                </c:pt>
              </c:numCache>
            </c:numRef>
          </c:val>
          <c:extLst>
            <c:ext xmlns:c16="http://schemas.microsoft.com/office/drawing/2014/chart" uri="{C3380CC4-5D6E-409C-BE32-E72D297353CC}">
              <c16:uniqueId val="{00000000-206B-4998-B2DA-83EF624BACE3}"/>
            </c:ext>
          </c:extLst>
        </c:ser>
        <c:ser>
          <c:idx val="1"/>
          <c:order val="1"/>
          <c:tx>
            <c:strRef>
              <c:f>'EJE ESTRATEGICO'!$C$17</c:f>
              <c:strCache>
                <c:ptCount val="1"/>
                <c:pt idx="0">
                  <c:v>Territorio, ambiente y desarrollo sostenible</c:v>
                </c:pt>
              </c:strCache>
            </c:strRef>
          </c:tx>
          <c:spPr>
            <a:solidFill>
              <a:srgbClr val="C00000"/>
            </a:solidFill>
            <a:ln>
              <a:noFill/>
            </a:ln>
            <a:effectLst/>
            <a:sp3d/>
          </c:spPr>
          <c:invertIfNegative val="0"/>
          <c:cat>
            <c:strRef>
              <c:f>'EJE ESTRATEGICO'!$D$15:$H$15</c:f>
              <c:strCache>
                <c:ptCount val="5"/>
                <c:pt idx="0">
                  <c:v>PRESUPUESTADO</c:v>
                </c:pt>
                <c:pt idx="1">
                  <c:v>COMPROMISOS</c:v>
                </c:pt>
                <c:pt idx="2">
                  <c:v>% COMPR</c:v>
                </c:pt>
                <c:pt idx="3">
                  <c:v>OBLIGACIONES</c:v>
                </c:pt>
                <c:pt idx="4">
                  <c:v>% OBLIG</c:v>
                </c:pt>
              </c:strCache>
            </c:strRef>
          </c:cat>
          <c:val>
            <c:numRef>
              <c:f>'EJE ESTRATEGICO'!$D$17:$H$17</c:f>
              <c:numCache>
                <c:formatCode>_(* #,##0.00_);_(* \(#,##0.00\);_(* "-"??_);_(@_)</c:formatCode>
                <c:ptCount val="5"/>
                <c:pt idx="0">
                  <c:v>1728023393.23</c:v>
                </c:pt>
                <c:pt idx="1">
                  <c:v>1517155332.4140139</c:v>
                </c:pt>
                <c:pt idx="2" formatCode="0%">
                  <c:v>0.87797152420382796</c:v>
                </c:pt>
                <c:pt idx="3">
                  <c:v>1350245069.4825239</c:v>
                </c:pt>
                <c:pt idx="4" formatCode="0.00%">
                  <c:v>0.88998472380154281</c:v>
                </c:pt>
              </c:numCache>
            </c:numRef>
          </c:val>
          <c:extLst>
            <c:ext xmlns:c16="http://schemas.microsoft.com/office/drawing/2014/chart" uri="{C3380CC4-5D6E-409C-BE32-E72D297353CC}">
              <c16:uniqueId val="{00000001-206B-4998-B2DA-83EF624BACE3}"/>
            </c:ext>
          </c:extLst>
        </c:ser>
        <c:ser>
          <c:idx val="2"/>
          <c:order val="2"/>
          <c:tx>
            <c:strRef>
              <c:f>'EJE ESTRATEGICO'!$C$18</c:f>
              <c:strCache>
                <c:ptCount val="1"/>
                <c:pt idx="0">
                  <c:v>TOTAL</c:v>
                </c:pt>
              </c:strCache>
            </c:strRef>
          </c:tx>
          <c:spPr>
            <a:solidFill>
              <a:schemeClr val="tx2">
                <a:lumMod val="60000"/>
                <a:lumOff val="40000"/>
              </a:schemeClr>
            </a:solidFill>
            <a:ln>
              <a:noFill/>
            </a:ln>
            <a:effectLst/>
            <a:sp3d/>
          </c:spPr>
          <c:invertIfNegative val="0"/>
          <c:cat>
            <c:strRef>
              <c:f>'EJE ESTRATEGICO'!$D$15:$H$15</c:f>
              <c:strCache>
                <c:ptCount val="5"/>
                <c:pt idx="0">
                  <c:v>PRESUPUESTADO</c:v>
                </c:pt>
                <c:pt idx="1">
                  <c:v>COMPROMISOS</c:v>
                </c:pt>
                <c:pt idx="2">
                  <c:v>% COMPR</c:v>
                </c:pt>
                <c:pt idx="3">
                  <c:v>OBLIGACIONES</c:v>
                </c:pt>
                <c:pt idx="4">
                  <c:v>% OBLIG</c:v>
                </c:pt>
              </c:strCache>
            </c:strRef>
          </c:cat>
          <c:val>
            <c:numRef>
              <c:f>'EJE ESTRATEGICO'!$D$18:$H$18</c:f>
              <c:numCache>
                <c:formatCode>_(* #,##0.00_);_(* \(#,##0.00\);_(* "-"??_);_(@_)</c:formatCode>
                <c:ptCount val="5"/>
                <c:pt idx="0">
                  <c:v>9907914024.9699993</c:v>
                </c:pt>
                <c:pt idx="1">
                  <c:v>7164500614.1940136</c:v>
                </c:pt>
                <c:pt idx="2" formatCode="0%">
                  <c:v>0.72310888004659557</c:v>
                </c:pt>
                <c:pt idx="3">
                  <c:v>6976675351.2625237</c:v>
                </c:pt>
                <c:pt idx="4" formatCode="0.00%">
                  <c:v>0.97378390022615413</c:v>
                </c:pt>
              </c:numCache>
            </c:numRef>
          </c:val>
          <c:extLst>
            <c:ext xmlns:c16="http://schemas.microsoft.com/office/drawing/2014/chart" uri="{C3380CC4-5D6E-409C-BE32-E72D297353CC}">
              <c16:uniqueId val="{00000002-206B-4998-B2DA-83EF624BACE3}"/>
            </c:ext>
          </c:extLst>
        </c:ser>
        <c:dLbls>
          <c:showLegendKey val="0"/>
          <c:showVal val="0"/>
          <c:showCatName val="0"/>
          <c:showSerName val="0"/>
          <c:showPercent val="0"/>
          <c:showBubbleSize val="0"/>
        </c:dLbls>
        <c:gapWidth val="150"/>
        <c:shape val="box"/>
        <c:axId val="180720464"/>
        <c:axId val="180721024"/>
        <c:axId val="0"/>
      </c:bar3DChart>
      <c:catAx>
        <c:axId val="18072046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0721024"/>
        <c:crosses val="autoZero"/>
        <c:auto val="1"/>
        <c:lblAlgn val="ctr"/>
        <c:lblOffset val="100"/>
        <c:noMultiLvlLbl val="0"/>
      </c:catAx>
      <c:valAx>
        <c:axId val="180721024"/>
        <c:scaling>
          <c:orientation val="minMax"/>
        </c:scaling>
        <c:delete val="0"/>
        <c:axPos val="l"/>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072046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ESTADO DE EJECUCIÓN POAI</a:t>
            </a:r>
          </a:p>
          <a:p>
            <a:pPr>
              <a:defRPr/>
            </a:pPr>
            <a:r>
              <a:rPr lang="es-CO"/>
              <a:t>DEPARTAMENTO QUINDIO</a:t>
            </a:r>
          </a:p>
          <a:p>
            <a:pPr>
              <a:defRPr/>
            </a:pPr>
            <a:r>
              <a:rPr lang="es-CO"/>
              <a:t>DICIEMBRE 31 DE 2021</a:t>
            </a:r>
          </a:p>
        </c:rich>
      </c:tx>
      <c:layout>
        <c:manualLayout>
          <c:xMode val="edge"/>
          <c:yMode val="edge"/>
          <c:x val="0.46791676913284214"/>
          <c:y val="4.270937753884689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'EJE ESTRATEGICO'!$C$32</c:f>
              <c:strCache>
                <c:ptCount val="1"/>
                <c:pt idx="0">
                  <c:v>Inclusión social y equidad</c:v>
                </c:pt>
              </c:strCache>
            </c:strRef>
          </c:tx>
          <c:spPr>
            <a:solidFill>
              <a:schemeClr val="accent6">
                <a:lumMod val="60000"/>
                <a:lumOff val="40000"/>
              </a:schemeClr>
            </a:solidFill>
            <a:ln>
              <a:noFill/>
            </a:ln>
            <a:effectLst/>
            <a:sp3d/>
          </c:spPr>
          <c:invertIfNegative val="0"/>
          <c:cat>
            <c:strRef>
              <c:f>'EJE ESTRATEGICO'!$D$31:$H$31</c:f>
              <c:strCache>
                <c:ptCount val="5"/>
                <c:pt idx="0">
                  <c:v>PRESUPUESTADO</c:v>
                </c:pt>
                <c:pt idx="1">
                  <c:v>COMPROMISOS</c:v>
                </c:pt>
                <c:pt idx="2">
                  <c:v>% COMPR</c:v>
                </c:pt>
                <c:pt idx="3">
                  <c:v>OBLIGACIONES</c:v>
                </c:pt>
                <c:pt idx="4">
                  <c:v>% OBLIG</c:v>
                </c:pt>
              </c:strCache>
            </c:strRef>
          </c:cat>
          <c:val>
            <c:numRef>
              <c:f>'EJE ESTRATEGICO'!$D$32:$H$32</c:f>
              <c:numCache>
                <c:formatCode>_(* #,##0.00_);_(* \(#,##0.00\);_(* "-"??_);_(@_)</c:formatCode>
                <c:ptCount val="5"/>
                <c:pt idx="0">
                  <c:v>298124398013.79004</c:v>
                </c:pt>
                <c:pt idx="1">
                  <c:v>276240613947.87006</c:v>
                </c:pt>
                <c:pt idx="2" formatCode="0%">
                  <c:v>0.92659512535130473</c:v>
                </c:pt>
                <c:pt idx="3">
                  <c:v>276219698947.87006</c:v>
                </c:pt>
                <c:pt idx="4" formatCode="0.00%">
                  <c:v>0.99992428702028602</c:v>
                </c:pt>
              </c:numCache>
            </c:numRef>
          </c:val>
          <c:extLst>
            <c:ext xmlns:c16="http://schemas.microsoft.com/office/drawing/2014/chart" uri="{C3380CC4-5D6E-409C-BE32-E72D297353CC}">
              <c16:uniqueId val="{00000000-7AD6-4CDD-B170-98AB75964132}"/>
            </c:ext>
          </c:extLst>
        </c:ser>
        <c:ser>
          <c:idx val="1"/>
          <c:order val="1"/>
          <c:tx>
            <c:strRef>
              <c:f>'EJE ESTRATEGICO'!$C$33</c:f>
              <c:strCache>
                <c:ptCount val="1"/>
                <c:pt idx="0">
                  <c:v>Productividad y competitividad</c:v>
                </c:pt>
              </c:strCache>
            </c:strRef>
          </c:tx>
          <c:spPr>
            <a:solidFill>
              <a:srgbClr val="C00000"/>
            </a:solidFill>
            <a:ln>
              <a:noFill/>
            </a:ln>
            <a:effectLst/>
            <a:sp3d/>
          </c:spPr>
          <c:invertIfNegative val="0"/>
          <c:cat>
            <c:strRef>
              <c:f>'EJE ESTRATEGICO'!$D$31:$H$31</c:f>
              <c:strCache>
                <c:ptCount val="5"/>
                <c:pt idx="0">
                  <c:v>PRESUPUESTADO</c:v>
                </c:pt>
                <c:pt idx="1">
                  <c:v>COMPROMISOS</c:v>
                </c:pt>
                <c:pt idx="2">
                  <c:v>% COMPR</c:v>
                </c:pt>
                <c:pt idx="3">
                  <c:v>OBLIGACIONES</c:v>
                </c:pt>
                <c:pt idx="4">
                  <c:v>% OBLIG</c:v>
                </c:pt>
              </c:strCache>
            </c:strRef>
          </c:cat>
          <c:val>
            <c:numRef>
              <c:f>'EJE ESTRATEGICO'!$D$33:$H$33</c:f>
              <c:numCache>
                <c:formatCode>_(* #,##0.00_);_(* \(#,##0.00\);_(* "-"??_);_(@_)</c:formatCode>
                <c:ptCount val="5"/>
                <c:pt idx="0">
                  <c:v>5899994710.2399998</c:v>
                </c:pt>
                <c:pt idx="1">
                  <c:v>4757390366.5100002</c:v>
                </c:pt>
                <c:pt idx="2" formatCode="0%">
                  <c:v>0.8063380731940486</c:v>
                </c:pt>
                <c:pt idx="3">
                  <c:v>4757390366.5100002</c:v>
                </c:pt>
                <c:pt idx="4" formatCode="0.00%">
                  <c:v>1</c:v>
                </c:pt>
              </c:numCache>
            </c:numRef>
          </c:val>
          <c:extLst>
            <c:ext xmlns:c16="http://schemas.microsoft.com/office/drawing/2014/chart" uri="{C3380CC4-5D6E-409C-BE32-E72D297353CC}">
              <c16:uniqueId val="{00000001-7AD6-4CDD-B170-98AB75964132}"/>
            </c:ext>
          </c:extLst>
        </c:ser>
        <c:ser>
          <c:idx val="2"/>
          <c:order val="2"/>
          <c:tx>
            <c:strRef>
              <c:f>'EJE ESTRATEGICO'!$C$34</c:f>
              <c:strCache>
                <c:ptCount val="1"/>
                <c:pt idx="0">
                  <c:v>Territorio, ambiente y desarrollo sostenible</c:v>
                </c:pt>
              </c:strCache>
            </c:strRef>
          </c:tx>
          <c:spPr>
            <a:solidFill>
              <a:schemeClr val="accent3"/>
            </a:solidFill>
            <a:ln>
              <a:noFill/>
            </a:ln>
            <a:effectLst/>
            <a:sp3d/>
          </c:spPr>
          <c:invertIfNegative val="0"/>
          <c:cat>
            <c:strRef>
              <c:f>'EJE ESTRATEGICO'!$D$31:$H$31</c:f>
              <c:strCache>
                <c:ptCount val="5"/>
                <c:pt idx="0">
                  <c:v>PRESUPUESTADO</c:v>
                </c:pt>
                <c:pt idx="1">
                  <c:v>COMPROMISOS</c:v>
                </c:pt>
                <c:pt idx="2">
                  <c:v>% COMPR</c:v>
                </c:pt>
                <c:pt idx="3">
                  <c:v>OBLIGACIONES</c:v>
                </c:pt>
                <c:pt idx="4">
                  <c:v>% OBLIG</c:v>
                </c:pt>
              </c:strCache>
            </c:strRef>
          </c:cat>
          <c:val>
            <c:numRef>
              <c:f>'EJE ESTRATEGICO'!$D$34:$H$34</c:f>
              <c:numCache>
                <c:formatCode>_(* #,##0.00_);_(* \(#,##0.00\);_(* "-"??_);_(@_)</c:formatCode>
                <c:ptCount val="5"/>
                <c:pt idx="0">
                  <c:v>18611151682.010002</c:v>
                </c:pt>
                <c:pt idx="1">
                  <c:v>6375552763.8340139</c:v>
                </c:pt>
                <c:pt idx="2" formatCode="0%">
                  <c:v>0.34256626740605101</c:v>
                </c:pt>
                <c:pt idx="3">
                  <c:v>6208642500.902524</c:v>
                </c:pt>
                <c:pt idx="4" formatCode="0.00%">
                  <c:v>0.9738202679651079</c:v>
                </c:pt>
              </c:numCache>
            </c:numRef>
          </c:val>
          <c:extLst>
            <c:ext xmlns:c16="http://schemas.microsoft.com/office/drawing/2014/chart" uri="{C3380CC4-5D6E-409C-BE32-E72D297353CC}">
              <c16:uniqueId val="{00000002-7AD6-4CDD-B170-98AB75964132}"/>
            </c:ext>
          </c:extLst>
        </c:ser>
        <c:ser>
          <c:idx val="3"/>
          <c:order val="3"/>
          <c:tx>
            <c:strRef>
              <c:f>'EJE ESTRATEGICO'!$C$35</c:f>
              <c:strCache>
                <c:ptCount val="1"/>
                <c:pt idx="0">
                  <c:v>Liderazgo, gobernabilidad y transparencia</c:v>
                </c:pt>
              </c:strCache>
            </c:strRef>
          </c:tx>
          <c:spPr>
            <a:solidFill>
              <a:schemeClr val="accent4"/>
            </a:solidFill>
            <a:ln>
              <a:noFill/>
            </a:ln>
            <a:effectLst/>
            <a:sp3d/>
          </c:spPr>
          <c:invertIfNegative val="0"/>
          <c:cat>
            <c:strRef>
              <c:f>'EJE ESTRATEGICO'!$D$31:$H$31</c:f>
              <c:strCache>
                <c:ptCount val="5"/>
                <c:pt idx="0">
                  <c:v>PRESUPUESTADO</c:v>
                </c:pt>
                <c:pt idx="1">
                  <c:v>COMPROMISOS</c:v>
                </c:pt>
                <c:pt idx="2">
                  <c:v>% COMPR</c:v>
                </c:pt>
                <c:pt idx="3">
                  <c:v>OBLIGACIONES</c:v>
                </c:pt>
                <c:pt idx="4">
                  <c:v>% OBLIG</c:v>
                </c:pt>
              </c:strCache>
            </c:strRef>
          </c:cat>
          <c:val>
            <c:numRef>
              <c:f>'EJE ESTRATEGICO'!$D$35:$H$35</c:f>
              <c:numCache>
                <c:formatCode>_(* #,##0.00_);_(* \(#,##0.00\);_(* "-"??_);_(@_)</c:formatCode>
                <c:ptCount val="5"/>
                <c:pt idx="0">
                  <c:v>6762833750.8400002</c:v>
                </c:pt>
                <c:pt idx="1">
                  <c:v>5856182897.5600004</c:v>
                </c:pt>
                <c:pt idx="2" formatCode="0%">
                  <c:v>0.86593624999766017</c:v>
                </c:pt>
                <c:pt idx="3">
                  <c:v>5856182897.5600004</c:v>
                </c:pt>
                <c:pt idx="4" formatCode="0.00%">
                  <c:v>1</c:v>
                </c:pt>
              </c:numCache>
            </c:numRef>
          </c:val>
          <c:extLst>
            <c:ext xmlns:c16="http://schemas.microsoft.com/office/drawing/2014/chart" uri="{C3380CC4-5D6E-409C-BE32-E72D297353CC}">
              <c16:uniqueId val="{00000003-7AD6-4CDD-B170-98AB75964132}"/>
            </c:ext>
          </c:extLst>
        </c:ser>
        <c:ser>
          <c:idx val="4"/>
          <c:order val="4"/>
          <c:tx>
            <c:strRef>
              <c:f>'EJE ESTRATEGICO'!$C$36</c:f>
              <c:strCache>
                <c:ptCount val="1"/>
                <c:pt idx="0">
                  <c:v>TOTAL</c:v>
                </c:pt>
              </c:strCache>
            </c:strRef>
          </c:tx>
          <c:spPr>
            <a:solidFill>
              <a:schemeClr val="tx2">
                <a:lumMod val="60000"/>
                <a:lumOff val="40000"/>
              </a:schemeClr>
            </a:solidFill>
            <a:ln>
              <a:noFill/>
            </a:ln>
            <a:effectLst/>
            <a:sp3d/>
          </c:spPr>
          <c:invertIfNegative val="0"/>
          <c:cat>
            <c:strRef>
              <c:f>'EJE ESTRATEGICO'!$D$31:$H$31</c:f>
              <c:strCache>
                <c:ptCount val="5"/>
                <c:pt idx="0">
                  <c:v>PRESUPUESTADO</c:v>
                </c:pt>
                <c:pt idx="1">
                  <c:v>COMPROMISOS</c:v>
                </c:pt>
                <c:pt idx="2">
                  <c:v>% COMPR</c:v>
                </c:pt>
                <c:pt idx="3">
                  <c:v>OBLIGACIONES</c:v>
                </c:pt>
                <c:pt idx="4">
                  <c:v>% OBLIG</c:v>
                </c:pt>
              </c:strCache>
            </c:strRef>
          </c:cat>
          <c:val>
            <c:numRef>
              <c:f>'EJE ESTRATEGICO'!$D$36:$H$36</c:f>
              <c:numCache>
                <c:formatCode>_(* #,##0.00_);_(* \(#,##0.00\);_(* "-"??_);_(@_)</c:formatCode>
                <c:ptCount val="5"/>
                <c:pt idx="0">
                  <c:v>329398378156.88007</c:v>
                </c:pt>
                <c:pt idx="1">
                  <c:v>293229739975.77405</c:v>
                </c:pt>
                <c:pt idx="2" formatCode="0%">
                  <c:v>0.890197886269251</c:v>
                </c:pt>
                <c:pt idx="3">
                  <c:v>293041914712.84259</c:v>
                </c:pt>
                <c:pt idx="4" formatCode="0.00%">
                  <c:v>0.99935946039120394</c:v>
                </c:pt>
              </c:numCache>
            </c:numRef>
          </c:val>
          <c:extLst>
            <c:ext xmlns:c16="http://schemas.microsoft.com/office/drawing/2014/chart" uri="{C3380CC4-5D6E-409C-BE32-E72D297353CC}">
              <c16:uniqueId val="{00000004-7AD6-4CDD-B170-98AB75964132}"/>
            </c:ext>
          </c:extLst>
        </c:ser>
        <c:dLbls>
          <c:showLegendKey val="0"/>
          <c:showVal val="0"/>
          <c:showCatName val="0"/>
          <c:showSerName val="0"/>
          <c:showPercent val="0"/>
          <c:showBubbleSize val="0"/>
        </c:dLbls>
        <c:gapWidth val="150"/>
        <c:shape val="box"/>
        <c:axId val="181301120"/>
        <c:axId val="181301680"/>
        <c:axId val="0"/>
      </c:bar3DChart>
      <c:catAx>
        <c:axId val="1813011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1301680"/>
        <c:crosses val="autoZero"/>
        <c:auto val="1"/>
        <c:lblAlgn val="ctr"/>
        <c:lblOffset val="100"/>
        <c:noMultiLvlLbl val="0"/>
      </c:catAx>
      <c:valAx>
        <c:axId val="181301680"/>
        <c:scaling>
          <c:orientation val="minMax"/>
        </c:scaling>
        <c:delete val="0"/>
        <c:axPos val="l"/>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130112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baseline="0">
                <a:latin typeface="Arial" panose="020B0604020202020204" pitchFamily="34" charset="0"/>
                <a:cs typeface="Arial" panose="020B0604020202020204" pitchFamily="34" charset="0"/>
              </a:rPr>
              <a:t>Estado de Ejecución  Sector Central</a:t>
            </a:r>
          </a:p>
          <a:p>
            <a:pPr>
              <a:defRPr sz="1200" b="1">
                <a:latin typeface="Arial" panose="020B0604020202020204" pitchFamily="34" charset="0"/>
                <a:cs typeface="Arial" panose="020B0604020202020204" pitchFamily="34" charset="0"/>
              </a:defRPr>
            </a:pPr>
            <a:r>
              <a:rPr lang="es-CO" sz="1200" b="1" baseline="0">
                <a:latin typeface="Arial" panose="020B0604020202020204" pitchFamily="34" charset="0"/>
                <a:cs typeface="Arial" panose="020B0604020202020204" pitchFamily="34" charset="0"/>
              </a:rPr>
              <a:t>Gastos de Inversión con corte al 31 de diciembre de 2021</a:t>
            </a:r>
            <a:endParaRPr lang="es-CO" sz="1200" b="1">
              <a:latin typeface="Arial" panose="020B0604020202020204" pitchFamily="34" charset="0"/>
              <a:cs typeface="Arial" panose="020B0604020202020204" pitchFamily="34" charset="0"/>
            </a:endParaRPr>
          </a:p>
        </c:rich>
      </c:tx>
      <c:layout>
        <c:manualLayout>
          <c:xMode val="edge"/>
          <c:yMode val="edge"/>
          <c:x val="0.30090106814323747"/>
          <c:y val="8.664423424037955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0.13410779548565621"/>
          <c:y val="0.15784037952389388"/>
          <c:w val="0.85302418680714087"/>
          <c:h val="0.71588350508700771"/>
        </c:manualLayout>
      </c:layout>
      <c:barChart>
        <c:barDir val="col"/>
        <c:grouping val="clustered"/>
        <c:varyColors val="0"/>
        <c:ser>
          <c:idx val="0"/>
          <c:order val="0"/>
          <c:tx>
            <c:strRef>
              <c:f>'CONSOLIDADO UNIDADES'!$C$23</c:f>
              <c:strCache>
                <c:ptCount val="1"/>
                <c:pt idx="0">
                  <c:v>Valor</c:v>
                </c:pt>
              </c:strCache>
            </c:strRef>
          </c:tx>
          <c:spPr>
            <a:solidFill>
              <a:srgbClr val="002060"/>
            </a:solidFill>
            <a:ln>
              <a:noFill/>
            </a:ln>
            <a:effectLst/>
          </c:spPr>
          <c:invertIfNegative val="0"/>
          <c:dPt>
            <c:idx val="1"/>
            <c:invertIfNegative val="0"/>
            <c:bubble3D val="0"/>
            <c:spPr>
              <a:solidFill>
                <a:srgbClr val="C00000"/>
              </a:solidFill>
              <a:ln>
                <a:noFill/>
              </a:ln>
              <a:effectLst/>
            </c:spPr>
            <c:extLst>
              <c:ext xmlns:c16="http://schemas.microsoft.com/office/drawing/2014/chart" uri="{C3380CC4-5D6E-409C-BE32-E72D297353CC}">
                <c16:uniqueId val="{00000003-3960-46AD-8AEB-A9264092E8AD}"/>
              </c:ext>
            </c:extLst>
          </c:dPt>
          <c:dPt>
            <c:idx val="2"/>
            <c:invertIfNegative val="0"/>
            <c:bubble3D val="0"/>
            <c:spPr>
              <a:solidFill>
                <a:srgbClr val="00B0F0"/>
              </a:solidFill>
              <a:ln>
                <a:noFill/>
              </a:ln>
              <a:effectLst/>
            </c:spPr>
            <c:extLst>
              <c:ext xmlns:c16="http://schemas.microsoft.com/office/drawing/2014/chart" uri="{C3380CC4-5D6E-409C-BE32-E72D297353CC}">
                <c16:uniqueId val="{00000006-3960-46AD-8AEB-A9264092E8AD}"/>
              </c:ext>
            </c:extLst>
          </c:dPt>
          <c:dPt>
            <c:idx val="3"/>
            <c:invertIfNegative val="0"/>
            <c:bubble3D val="0"/>
            <c:spPr>
              <a:solidFill>
                <a:schemeClr val="accent4">
                  <a:lumMod val="75000"/>
                </a:schemeClr>
              </a:solidFill>
              <a:ln>
                <a:noFill/>
              </a:ln>
              <a:effectLst/>
            </c:spPr>
            <c:extLst>
              <c:ext xmlns:c16="http://schemas.microsoft.com/office/drawing/2014/chart" uri="{C3380CC4-5D6E-409C-BE32-E72D297353CC}">
                <c16:uniqueId val="{00000009-3960-46AD-8AEB-A9264092E8AD}"/>
              </c:ext>
            </c:extLst>
          </c:dPt>
          <c:dPt>
            <c:idx val="4"/>
            <c:invertIfNegative val="0"/>
            <c:bubble3D val="0"/>
            <c:spPr>
              <a:solidFill>
                <a:srgbClr val="92D050"/>
              </a:solidFill>
              <a:ln>
                <a:noFill/>
              </a:ln>
              <a:effectLst/>
            </c:spPr>
            <c:extLst>
              <c:ext xmlns:c16="http://schemas.microsoft.com/office/drawing/2014/chart" uri="{C3380CC4-5D6E-409C-BE32-E72D297353CC}">
                <c16:uniqueId val="{0000000E-3960-46AD-8AEB-A9264092E8AD}"/>
              </c:ext>
            </c:extLst>
          </c:dPt>
          <c:dPt>
            <c:idx val="5"/>
            <c:invertIfNegative val="0"/>
            <c:bubble3D val="0"/>
            <c:spPr>
              <a:solidFill>
                <a:srgbClr val="FFFF00"/>
              </a:solidFill>
              <a:ln>
                <a:noFill/>
              </a:ln>
              <a:effectLst/>
            </c:spPr>
            <c:extLst>
              <c:ext xmlns:c16="http://schemas.microsoft.com/office/drawing/2014/chart" uri="{C3380CC4-5D6E-409C-BE32-E72D297353CC}">
                <c16:uniqueId val="{00000012-3960-46AD-8AEB-A9264092E8AD}"/>
              </c:ext>
            </c:extLst>
          </c:dPt>
          <c:cat>
            <c:strRef>
              <c:f>'CONSOLIDADO UNIDADES'!$B$24:$B$29</c:f>
              <c:strCache>
                <c:ptCount val="6"/>
                <c:pt idx="0">
                  <c:v>Sector Central</c:v>
                </c:pt>
                <c:pt idx="1">
                  <c:v>Disponibilidades </c:v>
                </c:pt>
                <c:pt idx="2">
                  <c:v>Compromisos</c:v>
                </c:pt>
                <c:pt idx="3">
                  <c:v>Obligaciones</c:v>
                </c:pt>
                <c:pt idx="4">
                  <c:v>Pagos </c:v>
                </c:pt>
                <c:pt idx="5">
                  <c:v>Disponible</c:v>
                </c:pt>
              </c:strCache>
            </c:strRef>
          </c:cat>
          <c:val>
            <c:numRef>
              <c:f>'CONSOLIDADO UNIDADES'!$C$24:$C$29</c:f>
              <c:numCache>
                <c:formatCode>_(* #,##0_);_(* \(#,##0\);_(* "-"??_);_(@_)</c:formatCode>
                <c:ptCount val="6"/>
                <c:pt idx="0">
                  <c:v>319490464131.91003</c:v>
                </c:pt>
                <c:pt idx="1">
                  <c:v>286065239361.54999</c:v>
                </c:pt>
                <c:pt idx="2">
                  <c:v>286065239361.58002</c:v>
                </c:pt>
                <c:pt idx="3">
                  <c:v>286065239361.58002</c:v>
                </c:pt>
                <c:pt idx="4">
                  <c:v>285435942243.58002</c:v>
                </c:pt>
                <c:pt idx="5">
                  <c:v>33425224770.360085</c:v>
                </c:pt>
              </c:numCache>
            </c:numRef>
          </c:val>
          <c:extLst>
            <c:ext xmlns:c16="http://schemas.microsoft.com/office/drawing/2014/chart" uri="{C3380CC4-5D6E-409C-BE32-E72D297353CC}">
              <c16:uniqueId val="{00000000-3960-46AD-8AEB-A9264092E8AD}"/>
            </c:ext>
          </c:extLst>
        </c:ser>
        <c:ser>
          <c:idx val="1"/>
          <c:order val="1"/>
          <c:tx>
            <c:strRef>
              <c:f>'CONSOLIDADO UNIDADES'!$D$23</c:f>
              <c:strCache>
                <c:ptCount val="1"/>
                <c:pt idx="0">
                  <c:v>%</c:v>
                </c:pt>
              </c:strCache>
            </c:strRef>
          </c:tx>
          <c:spPr>
            <a:solidFill>
              <a:schemeClr val="accent2"/>
            </a:solidFill>
            <a:ln>
              <a:noFill/>
            </a:ln>
            <a:effectLst/>
          </c:spPr>
          <c:invertIfNegative val="0"/>
          <c:cat>
            <c:strRef>
              <c:f>'CONSOLIDADO UNIDADES'!$B$24:$B$29</c:f>
              <c:strCache>
                <c:ptCount val="6"/>
                <c:pt idx="0">
                  <c:v>Sector Central</c:v>
                </c:pt>
                <c:pt idx="1">
                  <c:v>Disponibilidades </c:v>
                </c:pt>
                <c:pt idx="2">
                  <c:v>Compromisos</c:v>
                </c:pt>
                <c:pt idx="3">
                  <c:v>Obligaciones</c:v>
                </c:pt>
                <c:pt idx="4">
                  <c:v>Pagos </c:v>
                </c:pt>
                <c:pt idx="5">
                  <c:v>Disponible</c:v>
                </c:pt>
              </c:strCache>
            </c:strRef>
          </c:cat>
          <c:val>
            <c:numRef>
              <c:f>'CONSOLIDADO UNIDADES'!$D$24:$D$29</c:f>
              <c:numCache>
                <c:formatCode>0.00%</c:formatCode>
                <c:ptCount val="6"/>
                <c:pt idx="0" formatCode="0%">
                  <c:v>1</c:v>
                </c:pt>
                <c:pt idx="1">
                  <c:v>0.89537958554982233</c:v>
                </c:pt>
                <c:pt idx="2">
                  <c:v>0.89537958554991637</c:v>
                </c:pt>
                <c:pt idx="3">
                  <c:v>1</c:v>
                </c:pt>
                <c:pt idx="4">
                  <c:v>0.99780016223080992</c:v>
                </c:pt>
                <c:pt idx="5">
                  <c:v>0.10462041445017778</c:v>
                </c:pt>
              </c:numCache>
            </c:numRef>
          </c:val>
          <c:extLst>
            <c:ext xmlns:c16="http://schemas.microsoft.com/office/drawing/2014/chart" uri="{C3380CC4-5D6E-409C-BE32-E72D297353CC}">
              <c16:uniqueId val="{00000001-3960-46AD-8AEB-A9264092E8AD}"/>
            </c:ext>
          </c:extLst>
        </c:ser>
        <c:dLbls>
          <c:showLegendKey val="0"/>
          <c:showVal val="0"/>
          <c:showCatName val="0"/>
          <c:showSerName val="0"/>
          <c:showPercent val="0"/>
          <c:showBubbleSize val="0"/>
        </c:dLbls>
        <c:gapWidth val="219"/>
        <c:overlap val="-27"/>
        <c:axId val="181518960"/>
        <c:axId val="181519520"/>
      </c:barChart>
      <c:catAx>
        <c:axId val="181518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1519520"/>
        <c:crosses val="autoZero"/>
        <c:auto val="1"/>
        <c:lblAlgn val="ctr"/>
        <c:lblOffset val="100"/>
        <c:noMultiLvlLbl val="0"/>
      </c:catAx>
      <c:valAx>
        <c:axId val="181519520"/>
        <c:scaling>
          <c:orientation val="minMax"/>
        </c:scaling>
        <c:delete val="0"/>
        <c:axPos val="l"/>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151896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latin typeface="Arial" panose="020B0604020202020204" pitchFamily="34" charset="0"/>
                <a:cs typeface="Arial" panose="020B0604020202020204" pitchFamily="34" charset="0"/>
              </a:rPr>
              <a:t>Estado de Ejecución Entes</a:t>
            </a:r>
            <a:r>
              <a:rPr lang="es-CO" sz="1200" b="1" baseline="0">
                <a:latin typeface="Arial" panose="020B0604020202020204" pitchFamily="34" charset="0"/>
                <a:cs typeface="Arial" panose="020B0604020202020204" pitchFamily="34" charset="0"/>
              </a:rPr>
              <a:t> Descentralizados</a:t>
            </a:r>
          </a:p>
          <a:p>
            <a:pPr>
              <a:defRPr sz="1200" b="1">
                <a:latin typeface="Arial" panose="020B0604020202020204" pitchFamily="34" charset="0"/>
                <a:cs typeface="Arial" panose="020B0604020202020204" pitchFamily="34" charset="0"/>
              </a:defRPr>
            </a:pPr>
            <a:r>
              <a:rPr lang="es-CO" sz="1200" b="1" baseline="0">
                <a:latin typeface="Arial" panose="020B0604020202020204" pitchFamily="34" charset="0"/>
                <a:cs typeface="Arial" panose="020B0604020202020204" pitchFamily="34" charset="0"/>
              </a:rPr>
              <a:t>Gastos de Inversión con corte al 31 de diciembre de 2021</a:t>
            </a:r>
            <a:endParaRPr lang="es-CO" sz="1200" b="1">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02060"/>
              </a:solidFill>
              <a:ln>
                <a:noFill/>
              </a:ln>
              <a:effectLst/>
            </c:spPr>
            <c:extLst>
              <c:ext xmlns:c16="http://schemas.microsoft.com/office/drawing/2014/chart" uri="{C3380CC4-5D6E-409C-BE32-E72D297353CC}">
                <c16:uniqueId val="{00000001-4880-4938-84D7-1118D55666C7}"/>
              </c:ext>
            </c:extLst>
          </c:dPt>
          <c:dPt>
            <c:idx val="5"/>
            <c:invertIfNegative val="0"/>
            <c:bubble3D val="0"/>
            <c:spPr>
              <a:solidFill>
                <a:srgbClr val="FFFF00"/>
              </a:solidFill>
              <a:ln>
                <a:noFill/>
              </a:ln>
              <a:effectLst/>
            </c:spPr>
            <c:extLst>
              <c:ext xmlns:c16="http://schemas.microsoft.com/office/drawing/2014/chart" uri="{C3380CC4-5D6E-409C-BE32-E72D297353CC}">
                <c16:uniqueId val="{00000003-4880-4938-84D7-1118D55666C7}"/>
              </c:ext>
            </c:extLst>
          </c:dPt>
          <c:cat>
            <c:strRef>
              <c:f>'CONSOLIDADO UNIDADES'!$B$33:$B$38</c:f>
              <c:strCache>
                <c:ptCount val="6"/>
                <c:pt idx="0">
                  <c:v>Descentralizados</c:v>
                </c:pt>
                <c:pt idx="1">
                  <c:v>Disponibilidades </c:v>
                </c:pt>
                <c:pt idx="2">
                  <c:v>Compromisos</c:v>
                </c:pt>
                <c:pt idx="3">
                  <c:v>Obligaciones</c:v>
                </c:pt>
                <c:pt idx="4">
                  <c:v>Pagos </c:v>
                </c:pt>
                <c:pt idx="5">
                  <c:v>Disponible</c:v>
                </c:pt>
              </c:strCache>
            </c:strRef>
          </c:cat>
          <c:val>
            <c:numRef>
              <c:f>'CONSOLIDADO UNIDADES'!$C$33:$C$38</c:f>
              <c:numCache>
                <c:formatCode>_(* #,##0_);_(* \(#,##0\);_(* "-"??_);_(@_)</c:formatCode>
                <c:ptCount val="6"/>
                <c:pt idx="0">
                  <c:v>9907914024.9700012</c:v>
                </c:pt>
                <c:pt idx="1">
                  <c:v>7164500614.1940126</c:v>
                </c:pt>
                <c:pt idx="2">
                  <c:v>7164500614.1940126</c:v>
                </c:pt>
                <c:pt idx="3">
                  <c:v>6976675351.2625227</c:v>
                </c:pt>
                <c:pt idx="4">
                  <c:v>6976675351.2625237</c:v>
                </c:pt>
                <c:pt idx="5">
                  <c:v>2743413410.7759881</c:v>
                </c:pt>
              </c:numCache>
            </c:numRef>
          </c:val>
          <c:extLst>
            <c:ext xmlns:c16="http://schemas.microsoft.com/office/drawing/2014/chart" uri="{C3380CC4-5D6E-409C-BE32-E72D297353CC}">
              <c16:uniqueId val="{00000004-4880-4938-84D7-1118D55666C7}"/>
            </c:ext>
          </c:extLst>
        </c:ser>
        <c:ser>
          <c:idx val="1"/>
          <c:order val="1"/>
          <c:spPr>
            <a:solidFill>
              <a:schemeClr val="accent2"/>
            </a:solidFill>
            <a:ln>
              <a:noFill/>
            </a:ln>
            <a:effectLst/>
          </c:spPr>
          <c:invertIfNegative val="0"/>
          <c:cat>
            <c:strRef>
              <c:f>'CONSOLIDADO UNIDADES'!$B$33:$B$38</c:f>
              <c:strCache>
                <c:ptCount val="6"/>
                <c:pt idx="0">
                  <c:v>Descentralizados</c:v>
                </c:pt>
                <c:pt idx="1">
                  <c:v>Disponibilidades </c:v>
                </c:pt>
                <c:pt idx="2">
                  <c:v>Compromisos</c:v>
                </c:pt>
                <c:pt idx="3">
                  <c:v>Obligaciones</c:v>
                </c:pt>
                <c:pt idx="4">
                  <c:v>Pagos </c:v>
                </c:pt>
                <c:pt idx="5">
                  <c:v>Disponible</c:v>
                </c:pt>
              </c:strCache>
            </c:strRef>
          </c:cat>
          <c:val>
            <c:numRef>
              <c:f>'CONSOLIDADO UNIDADES'!$D$33:$D$38</c:f>
              <c:numCache>
                <c:formatCode>0.00%</c:formatCode>
                <c:ptCount val="6"/>
                <c:pt idx="0" formatCode="0%">
                  <c:v>1</c:v>
                </c:pt>
                <c:pt idx="1">
                  <c:v>0.72310888004659535</c:v>
                </c:pt>
                <c:pt idx="2">
                  <c:v>0.72310888004659535</c:v>
                </c:pt>
                <c:pt idx="3">
                  <c:v>0.97378390022615413</c:v>
                </c:pt>
                <c:pt idx="4">
                  <c:v>0.97378390022615435</c:v>
                </c:pt>
                <c:pt idx="5">
                  <c:v>0.2768911199534046</c:v>
                </c:pt>
              </c:numCache>
            </c:numRef>
          </c:val>
          <c:extLst>
            <c:ext xmlns:c16="http://schemas.microsoft.com/office/drawing/2014/chart" uri="{C3380CC4-5D6E-409C-BE32-E72D297353CC}">
              <c16:uniqueId val="{00000005-4880-4938-84D7-1118D55666C7}"/>
            </c:ext>
          </c:extLst>
        </c:ser>
        <c:dLbls>
          <c:showLegendKey val="0"/>
          <c:showVal val="0"/>
          <c:showCatName val="0"/>
          <c:showSerName val="0"/>
          <c:showPercent val="0"/>
          <c:showBubbleSize val="0"/>
        </c:dLbls>
        <c:gapWidth val="219"/>
        <c:overlap val="-27"/>
        <c:axId val="181523440"/>
        <c:axId val="181524000"/>
      </c:barChart>
      <c:catAx>
        <c:axId val="181523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1524000"/>
        <c:crosses val="autoZero"/>
        <c:auto val="1"/>
        <c:lblAlgn val="ctr"/>
        <c:lblOffset val="100"/>
        <c:noMultiLvlLbl val="0"/>
      </c:catAx>
      <c:valAx>
        <c:axId val="181524000"/>
        <c:scaling>
          <c:orientation val="minMax"/>
        </c:scaling>
        <c:delete val="0"/>
        <c:axPos val="l"/>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152344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i="0" baseline="0">
                <a:effectLst/>
                <a:latin typeface="Arial" panose="020B0604020202020204" pitchFamily="34" charset="0"/>
                <a:cs typeface="Arial" panose="020B0604020202020204" pitchFamily="34" charset="0"/>
              </a:rPr>
              <a:t>Estado de Ejecución Departamento Quindiío</a:t>
            </a:r>
            <a:endParaRPr lang="es-CO" sz="1200" b="1">
              <a:effectLst/>
              <a:latin typeface="Arial" panose="020B0604020202020204" pitchFamily="34" charset="0"/>
              <a:cs typeface="Arial" panose="020B0604020202020204" pitchFamily="34" charset="0"/>
            </a:endParaRPr>
          </a:p>
          <a:p>
            <a:pPr>
              <a:defRPr sz="1200" b="1">
                <a:latin typeface="Arial" panose="020B0604020202020204" pitchFamily="34" charset="0"/>
                <a:cs typeface="Arial" panose="020B0604020202020204" pitchFamily="34" charset="0"/>
              </a:defRPr>
            </a:pPr>
            <a:r>
              <a:rPr lang="es-CO" sz="1200" b="1" i="0" baseline="0">
                <a:effectLst/>
                <a:latin typeface="Arial" panose="020B0604020202020204" pitchFamily="34" charset="0"/>
                <a:cs typeface="Arial" panose="020B0604020202020204" pitchFamily="34" charset="0"/>
              </a:rPr>
              <a:t>Gastos de Inversión con corte al 31 de diciembre de 2021</a:t>
            </a:r>
            <a:endParaRPr lang="es-CO" sz="1200" b="1">
              <a:effectLst/>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02060"/>
              </a:solidFill>
              <a:ln>
                <a:noFill/>
              </a:ln>
              <a:effectLst/>
            </c:spPr>
            <c:extLst>
              <c:ext xmlns:c16="http://schemas.microsoft.com/office/drawing/2014/chart" uri="{C3380CC4-5D6E-409C-BE32-E72D297353CC}">
                <c16:uniqueId val="{00000001-206E-4B7B-8B49-00214891761A}"/>
              </c:ext>
            </c:extLst>
          </c:dPt>
          <c:dPt>
            <c:idx val="1"/>
            <c:invertIfNegative val="0"/>
            <c:bubble3D val="0"/>
            <c:spPr>
              <a:solidFill>
                <a:srgbClr val="C00000"/>
              </a:solidFill>
              <a:ln>
                <a:noFill/>
              </a:ln>
              <a:effectLst/>
            </c:spPr>
            <c:extLst>
              <c:ext xmlns:c16="http://schemas.microsoft.com/office/drawing/2014/chart" uri="{C3380CC4-5D6E-409C-BE32-E72D297353CC}">
                <c16:uniqueId val="{00000003-206E-4B7B-8B49-00214891761A}"/>
              </c:ext>
            </c:extLst>
          </c:dPt>
          <c:dPt>
            <c:idx val="2"/>
            <c:invertIfNegative val="0"/>
            <c:bubble3D val="0"/>
            <c:spPr>
              <a:solidFill>
                <a:srgbClr val="00B0F0"/>
              </a:solidFill>
              <a:ln>
                <a:noFill/>
              </a:ln>
              <a:effectLst/>
            </c:spPr>
            <c:extLst>
              <c:ext xmlns:c16="http://schemas.microsoft.com/office/drawing/2014/chart" uri="{C3380CC4-5D6E-409C-BE32-E72D297353CC}">
                <c16:uniqueId val="{00000005-206E-4B7B-8B49-00214891761A}"/>
              </c:ext>
            </c:extLst>
          </c:dPt>
          <c:dPt>
            <c:idx val="3"/>
            <c:invertIfNegative val="0"/>
            <c:bubble3D val="0"/>
            <c:spPr>
              <a:solidFill>
                <a:schemeClr val="accent4">
                  <a:lumMod val="75000"/>
                </a:schemeClr>
              </a:solidFill>
              <a:ln>
                <a:noFill/>
              </a:ln>
              <a:effectLst/>
            </c:spPr>
            <c:extLst>
              <c:ext xmlns:c16="http://schemas.microsoft.com/office/drawing/2014/chart" uri="{C3380CC4-5D6E-409C-BE32-E72D297353CC}">
                <c16:uniqueId val="{00000007-206E-4B7B-8B49-00214891761A}"/>
              </c:ext>
            </c:extLst>
          </c:dPt>
          <c:dPt>
            <c:idx val="4"/>
            <c:invertIfNegative val="0"/>
            <c:bubble3D val="0"/>
            <c:spPr>
              <a:solidFill>
                <a:srgbClr val="92D050"/>
              </a:solidFill>
              <a:ln>
                <a:noFill/>
              </a:ln>
              <a:effectLst/>
            </c:spPr>
            <c:extLst>
              <c:ext xmlns:c16="http://schemas.microsoft.com/office/drawing/2014/chart" uri="{C3380CC4-5D6E-409C-BE32-E72D297353CC}">
                <c16:uniqueId val="{00000009-206E-4B7B-8B49-00214891761A}"/>
              </c:ext>
            </c:extLst>
          </c:dPt>
          <c:dPt>
            <c:idx val="5"/>
            <c:invertIfNegative val="0"/>
            <c:bubble3D val="0"/>
            <c:spPr>
              <a:solidFill>
                <a:srgbClr val="FFFF00"/>
              </a:solidFill>
              <a:ln>
                <a:noFill/>
              </a:ln>
              <a:effectLst/>
            </c:spPr>
            <c:extLst>
              <c:ext xmlns:c16="http://schemas.microsoft.com/office/drawing/2014/chart" uri="{C3380CC4-5D6E-409C-BE32-E72D297353CC}">
                <c16:uniqueId val="{0000000B-206E-4B7B-8B49-00214891761A}"/>
              </c:ext>
            </c:extLst>
          </c:dPt>
          <c:cat>
            <c:strRef>
              <c:f>'CONSOLIDADO UNIDADES'!$B$47:$B$52</c:f>
              <c:strCache>
                <c:ptCount val="6"/>
                <c:pt idx="0">
                  <c:v>Departamento Quindío</c:v>
                </c:pt>
                <c:pt idx="1">
                  <c:v>Disponibilidades </c:v>
                </c:pt>
                <c:pt idx="2">
                  <c:v>Compromisos</c:v>
                </c:pt>
                <c:pt idx="3">
                  <c:v>Obligaciones</c:v>
                </c:pt>
                <c:pt idx="4">
                  <c:v>Pagos </c:v>
                </c:pt>
                <c:pt idx="5">
                  <c:v>Disponible</c:v>
                </c:pt>
              </c:strCache>
            </c:strRef>
          </c:cat>
          <c:val>
            <c:numRef>
              <c:f>'CONSOLIDADO UNIDADES'!$C$47:$C$52</c:f>
              <c:numCache>
                <c:formatCode>_(* #,##0_);_(* \(#,##0\);_(* "-"??_);_(@_)</c:formatCode>
                <c:ptCount val="6"/>
                <c:pt idx="0">
                  <c:v>329398378156.88</c:v>
                </c:pt>
                <c:pt idx="1">
                  <c:v>293229739975.74402</c:v>
                </c:pt>
                <c:pt idx="2">
                  <c:v>293229739975.77405</c:v>
                </c:pt>
                <c:pt idx="3">
                  <c:v>293041914712.84253</c:v>
                </c:pt>
                <c:pt idx="4">
                  <c:v>292412617594.84253</c:v>
                </c:pt>
                <c:pt idx="5">
                  <c:v>36168638181.13607</c:v>
                </c:pt>
              </c:numCache>
            </c:numRef>
          </c:val>
          <c:extLst>
            <c:ext xmlns:c16="http://schemas.microsoft.com/office/drawing/2014/chart" uri="{C3380CC4-5D6E-409C-BE32-E72D297353CC}">
              <c16:uniqueId val="{0000000C-206E-4B7B-8B49-00214891761A}"/>
            </c:ext>
          </c:extLst>
        </c:ser>
        <c:ser>
          <c:idx val="1"/>
          <c:order val="1"/>
          <c:spPr>
            <a:solidFill>
              <a:schemeClr val="accent2"/>
            </a:solidFill>
            <a:ln>
              <a:noFill/>
            </a:ln>
            <a:effectLst/>
          </c:spPr>
          <c:invertIfNegative val="0"/>
          <c:cat>
            <c:strRef>
              <c:f>'CONSOLIDADO UNIDADES'!$B$47:$B$52</c:f>
              <c:strCache>
                <c:ptCount val="6"/>
                <c:pt idx="0">
                  <c:v>Departamento Quindío</c:v>
                </c:pt>
                <c:pt idx="1">
                  <c:v>Disponibilidades </c:v>
                </c:pt>
                <c:pt idx="2">
                  <c:v>Compromisos</c:v>
                </c:pt>
                <c:pt idx="3">
                  <c:v>Obligaciones</c:v>
                </c:pt>
                <c:pt idx="4">
                  <c:v>Pagos </c:v>
                </c:pt>
                <c:pt idx="5">
                  <c:v>Disponible</c:v>
                </c:pt>
              </c:strCache>
            </c:strRef>
          </c:cat>
          <c:val>
            <c:numRef>
              <c:f>'CONSOLIDADO UNIDADES'!$D$47:$D$52</c:f>
              <c:numCache>
                <c:formatCode>0.00%</c:formatCode>
                <c:ptCount val="6"/>
                <c:pt idx="0" formatCode="0%">
                  <c:v>1</c:v>
                </c:pt>
                <c:pt idx="1">
                  <c:v>0.89019788626915997</c:v>
                </c:pt>
                <c:pt idx="2">
                  <c:v>0.89019788626925112</c:v>
                </c:pt>
                <c:pt idx="3">
                  <c:v>0.99935946039120371</c:v>
                </c:pt>
                <c:pt idx="4">
                  <c:v>0.997213371396097</c:v>
                </c:pt>
                <c:pt idx="5">
                  <c:v>0.10980211373084027</c:v>
                </c:pt>
              </c:numCache>
            </c:numRef>
          </c:val>
          <c:extLst>
            <c:ext xmlns:c16="http://schemas.microsoft.com/office/drawing/2014/chart" uri="{C3380CC4-5D6E-409C-BE32-E72D297353CC}">
              <c16:uniqueId val="{0000000D-206E-4B7B-8B49-00214891761A}"/>
            </c:ext>
          </c:extLst>
        </c:ser>
        <c:dLbls>
          <c:showLegendKey val="0"/>
          <c:showVal val="0"/>
          <c:showCatName val="0"/>
          <c:showSerName val="0"/>
          <c:showPercent val="0"/>
          <c:showBubbleSize val="0"/>
        </c:dLbls>
        <c:gapWidth val="219"/>
        <c:overlap val="-27"/>
        <c:axId val="182053808"/>
        <c:axId val="182054368"/>
      </c:barChart>
      <c:catAx>
        <c:axId val="182053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2054368"/>
        <c:crosses val="autoZero"/>
        <c:auto val="1"/>
        <c:lblAlgn val="ctr"/>
        <c:lblOffset val="100"/>
        <c:noMultiLvlLbl val="0"/>
      </c:catAx>
      <c:valAx>
        <c:axId val="182054368"/>
        <c:scaling>
          <c:orientation val="minMax"/>
        </c:scaling>
        <c:delete val="0"/>
        <c:axPos val="l"/>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20538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800" b="1">
                <a:effectLst/>
              </a:rPr>
              <a:t>COMPARATIVO  DISPONIBILIDADES  Vs. REGISTROS PRESUPUESTALES </a:t>
            </a:r>
            <a:endParaRPr lang="es-CO">
              <a:effectLst/>
            </a:endParaRPr>
          </a:p>
          <a:p>
            <a:pPr>
              <a:defRPr/>
            </a:pPr>
            <a:r>
              <a:rPr lang="es-CO" sz="1800" b="1">
                <a:effectLst/>
              </a:rPr>
              <a:t>PLAN OPERATIVO ANUAL DE INVERSIONES POAI   CON CORTE AL 30 DE NOVIMBRE DE 2021 </a:t>
            </a:r>
          </a:p>
          <a:p>
            <a:pPr>
              <a:defRPr/>
            </a:pPr>
            <a:r>
              <a:rPr lang="es-CO" sz="1800" b="1">
                <a:effectLst/>
              </a:rPr>
              <a:t>POR UNIDADES EJECUTORAS</a:t>
            </a:r>
            <a:endParaRPr lang="es-CO">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'CONSOLIDADO UNIDADES'!$D$2</c:f>
              <c:strCache>
                <c:ptCount val="1"/>
                <c:pt idx="0">
                  <c:v>% PD</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'CONSOLIDADO UNIDADES'!$B$3:$B$22</c15:sqref>
                  </c15:fullRef>
                </c:ext>
              </c:extLst>
              <c:f>('CONSOLIDADO UNIDADES'!$B$3:$B$15,'CONSOLIDADO UNIDADES'!$B$17:$B$19,'CONSOLIDADO UNIDADES'!$B$22)</c:f>
              <c:strCache>
                <c:ptCount val="17"/>
                <c:pt idx="0">
                  <c:v>Administrativa</c:v>
                </c:pt>
                <c:pt idx="1">
                  <c:v>Planeación</c:v>
                </c:pt>
                <c:pt idx="2">
                  <c:v>Hacienda</c:v>
                </c:pt>
                <c:pt idx="3">
                  <c:v>Aguas e Infraestructura</c:v>
                </c:pt>
                <c:pt idx="4">
                  <c:v>Interior</c:v>
                </c:pt>
                <c:pt idx="5">
                  <c:v>Cultura</c:v>
                </c:pt>
                <c:pt idx="6">
                  <c:v>Turismo Industria y Comercio</c:v>
                </c:pt>
                <c:pt idx="7">
                  <c:v>Agricultura, Desarrollo Rural y Medio Ambiente</c:v>
                </c:pt>
                <c:pt idx="8">
                  <c:v>Oficina Privada</c:v>
                </c:pt>
                <c:pt idx="9">
                  <c:v>Educación</c:v>
                </c:pt>
                <c:pt idx="10">
                  <c:v>Familia</c:v>
                </c:pt>
                <c:pt idx="11">
                  <c:v>Salud</c:v>
                </c:pt>
                <c:pt idx="12">
                  <c:v>Tecnología de la Información y las Comunicaciones</c:v>
                </c:pt>
                <c:pt idx="13">
                  <c:v>Indeportes</c:v>
                </c:pt>
                <c:pt idx="14">
                  <c:v>Promotora</c:v>
                </c:pt>
                <c:pt idx="15">
                  <c:v>Instituto Departamental de Transito</c:v>
                </c:pt>
                <c:pt idx="16">
                  <c:v>TOTAL DEPARTAMENTO</c:v>
                </c:pt>
              </c:strCache>
            </c:strRef>
          </c:cat>
          <c:val>
            <c:numRef>
              <c:extLst>
                <c:ext xmlns:c15="http://schemas.microsoft.com/office/drawing/2012/chart" uri="{02D57815-91ED-43cb-92C2-25804820EDAC}">
                  <c15:fullRef>
                    <c15:sqref>'CONSOLIDADO UNIDADES'!$D$3:$D$22</c15:sqref>
                  </c15:fullRef>
                </c:ext>
              </c:extLst>
              <c:f>('CONSOLIDADO UNIDADES'!$D$3:$D$15,'CONSOLIDADO UNIDADES'!$D$17:$D$19,'CONSOLIDADO UNIDADES'!$D$22)</c:f>
              <c:numCache>
                <c:formatCode>0%</c:formatCode>
                <c:ptCount val="17"/>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numCache>
            </c:numRef>
          </c:val>
          <c:extLst>
            <c:ext xmlns:c16="http://schemas.microsoft.com/office/drawing/2014/chart" uri="{C3380CC4-5D6E-409C-BE32-E72D297353CC}">
              <c16:uniqueId val="{00000000-FCAC-40E9-A580-28F5882046CC}"/>
            </c:ext>
          </c:extLst>
        </c:ser>
        <c:ser>
          <c:idx val="1"/>
          <c:order val="1"/>
          <c:tx>
            <c:strRef>
              <c:f>'CONSOLIDADO UNIDADES'!$F$2</c:f>
              <c:strCache>
                <c:ptCount val="1"/>
                <c:pt idx="0">
                  <c:v>% CD</c:v>
                </c:pt>
              </c:strCache>
            </c:strRef>
          </c:tx>
          <c:spPr>
            <a:solidFill>
              <a:schemeClr val="accent4">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'CONSOLIDADO UNIDADES'!$B$3:$B$22</c15:sqref>
                  </c15:fullRef>
                </c:ext>
              </c:extLst>
              <c:f>('CONSOLIDADO UNIDADES'!$B$3:$B$15,'CONSOLIDADO UNIDADES'!$B$17:$B$19,'CONSOLIDADO UNIDADES'!$B$22)</c:f>
              <c:strCache>
                <c:ptCount val="17"/>
                <c:pt idx="0">
                  <c:v>Administrativa</c:v>
                </c:pt>
                <c:pt idx="1">
                  <c:v>Planeación</c:v>
                </c:pt>
                <c:pt idx="2">
                  <c:v>Hacienda</c:v>
                </c:pt>
                <c:pt idx="3">
                  <c:v>Aguas e Infraestructura</c:v>
                </c:pt>
                <c:pt idx="4">
                  <c:v>Interior</c:v>
                </c:pt>
                <c:pt idx="5">
                  <c:v>Cultura</c:v>
                </c:pt>
                <c:pt idx="6">
                  <c:v>Turismo Industria y Comercio</c:v>
                </c:pt>
                <c:pt idx="7">
                  <c:v>Agricultura, Desarrollo Rural y Medio Ambiente</c:v>
                </c:pt>
                <c:pt idx="8">
                  <c:v>Oficina Privada</c:v>
                </c:pt>
                <c:pt idx="9">
                  <c:v>Educación</c:v>
                </c:pt>
                <c:pt idx="10">
                  <c:v>Familia</c:v>
                </c:pt>
                <c:pt idx="11">
                  <c:v>Salud</c:v>
                </c:pt>
                <c:pt idx="12">
                  <c:v>Tecnología de la Información y las Comunicaciones</c:v>
                </c:pt>
                <c:pt idx="13">
                  <c:v>Indeportes</c:v>
                </c:pt>
                <c:pt idx="14">
                  <c:v>Promotora</c:v>
                </c:pt>
                <c:pt idx="15">
                  <c:v>Instituto Departamental de Transito</c:v>
                </c:pt>
                <c:pt idx="16">
                  <c:v>TOTAL DEPARTAMENTO</c:v>
                </c:pt>
              </c:strCache>
            </c:strRef>
          </c:cat>
          <c:val>
            <c:numRef>
              <c:extLst>
                <c:ext xmlns:c15="http://schemas.microsoft.com/office/drawing/2012/chart" uri="{02D57815-91ED-43cb-92C2-25804820EDAC}">
                  <c15:fullRef>
                    <c15:sqref>'CONSOLIDADO UNIDADES'!$F$3:$F$22</c15:sqref>
                  </c15:fullRef>
                </c:ext>
              </c:extLst>
              <c:f>('CONSOLIDADO UNIDADES'!$F$3:$F$15,'CONSOLIDADO UNIDADES'!$F$17:$F$19,'CONSOLIDADO UNIDADES'!$F$22)</c:f>
              <c:numCache>
                <c:formatCode>0%</c:formatCode>
                <c:ptCount val="17"/>
                <c:pt idx="0">
                  <c:v>0.92147290326949161</c:v>
                </c:pt>
                <c:pt idx="1">
                  <c:v>0.96366562191361571</c:v>
                </c:pt>
                <c:pt idx="2">
                  <c:v>0.78143375747048593</c:v>
                </c:pt>
                <c:pt idx="3">
                  <c:v>0.25074521533160732</c:v>
                </c:pt>
                <c:pt idx="4">
                  <c:v>0.4009010438114019</c:v>
                </c:pt>
                <c:pt idx="5">
                  <c:v>0.85215344146474281</c:v>
                </c:pt>
                <c:pt idx="6">
                  <c:v>0.82352954141855728</c:v>
                </c:pt>
                <c:pt idx="7">
                  <c:v>0.60155701603807477</c:v>
                </c:pt>
                <c:pt idx="8">
                  <c:v>0.99852052330501262</c:v>
                </c:pt>
                <c:pt idx="9">
                  <c:v>0.97745793548076387</c:v>
                </c:pt>
                <c:pt idx="10">
                  <c:v>0.78909873842127687</c:v>
                </c:pt>
                <c:pt idx="11">
                  <c:v>0.92930984606065081</c:v>
                </c:pt>
                <c:pt idx="12">
                  <c:v>0.88386868471571911</c:v>
                </c:pt>
                <c:pt idx="13">
                  <c:v>0.6526147299307089</c:v>
                </c:pt>
                <c:pt idx="14">
                  <c:v>0.90388007007143811</c:v>
                </c:pt>
                <c:pt idx="15">
                  <c:v>0.97737047454858905</c:v>
                </c:pt>
                <c:pt idx="16">
                  <c:v>0.89019788626915997</c:v>
                </c:pt>
              </c:numCache>
            </c:numRef>
          </c:val>
          <c:extLst>
            <c:ext xmlns:c16="http://schemas.microsoft.com/office/drawing/2014/chart" uri="{C3380CC4-5D6E-409C-BE32-E72D297353CC}">
              <c16:uniqueId val="{00000001-FCAC-40E9-A580-28F5882046CC}"/>
            </c:ext>
          </c:extLst>
        </c:ser>
        <c:ser>
          <c:idx val="2"/>
          <c:order val="2"/>
          <c:tx>
            <c:strRef>
              <c:f>'CONSOLIDADO UNIDADES'!$H$2</c:f>
              <c:strCache>
                <c:ptCount val="1"/>
                <c:pt idx="0">
                  <c:v>% RP</c:v>
                </c:pt>
              </c:strCache>
            </c:strRef>
          </c:tx>
          <c:spPr>
            <a:solidFill>
              <a:srgbClr val="FFC000"/>
            </a:solidFill>
            <a:ln>
              <a:noFill/>
            </a:ln>
            <a:effectLst/>
          </c:spPr>
          <c:invertIfNegative val="0"/>
          <c:dLbls>
            <c:dLbl>
              <c:idx val="0"/>
              <c:layout>
                <c:manualLayout>
                  <c:x val="3.3096929178304886E-3"/>
                  <c:y val="-4.201364450998278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CAC-40E9-A580-28F5882046CC}"/>
                </c:ext>
              </c:extLst>
            </c:dLbl>
            <c:dLbl>
              <c:idx val="9"/>
              <c:layout>
                <c:manualLayout>
                  <c:x val="3.3096929178304886E-3"/>
                  <c:y val="-3.57115978334854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CAC-40E9-A580-28F5882046CC}"/>
                </c:ext>
              </c:extLst>
            </c:dLbl>
            <c:dLbl>
              <c:idx val="13"/>
              <c:layout>
                <c:manualLayout>
                  <c:x val="6.6193858356610579E-3"/>
                  <c:y val="-3.781228005898458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CAC-40E9-A580-28F5882046CC}"/>
                </c:ext>
              </c:extLst>
            </c:dLbl>
            <c:dLbl>
              <c:idx val="14"/>
              <c:layout>
                <c:manualLayout>
                  <c:x val="1.1032309726101627E-3"/>
                  <c:y val="-3.361091560798630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CAC-40E9-A580-28F5882046CC}"/>
                </c:ext>
              </c:extLst>
            </c:dLbl>
            <c:dLbl>
              <c:idx val="15"/>
              <c:layout>
                <c:manualLayout>
                  <c:x val="1.1032309726101629E-2"/>
                  <c:y val="-4.201364450998278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CAC-40E9-A580-28F5882046C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'CONSOLIDADO UNIDADES'!$B$3:$B$22</c15:sqref>
                  </c15:fullRef>
                </c:ext>
              </c:extLst>
              <c:f>('CONSOLIDADO UNIDADES'!$B$3:$B$15,'CONSOLIDADO UNIDADES'!$B$17:$B$19,'CONSOLIDADO UNIDADES'!$B$22)</c:f>
              <c:strCache>
                <c:ptCount val="17"/>
                <c:pt idx="0">
                  <c:v>Administrativa</c:v>
                </c:pt>
                <c:pt idx="1">
                  <c:v>Planeación</c:v>
                </c:pt>
                <c:pt idx="2">
                  <c:v>Hacienda</c:v>
                </c:pt>
                <c:pt idx="3">
                  <c:v>Aguas e Infraestructura</c:v>
                </c:pt>
                <c:pt idx="4">
                  <c:v>Interior</c:v>
                </c:pt>
                <c:pt idx="5">
                  <c:v>Cultura</c:v>
                </c:pt>
                <c:pt idx="6">
                  <c:v>Turismo Industria y Comercio</c:v>
                </c:pt>
                <c:pt idx="7">
                  <c:v>Agricultura, Desarrollo Rural y Medio Ambiente</c:v>
                </c:pt>
                <c:pt idx="8">
                  <c:v>Oficina Privada</c:v>
                </c:pt>
                <c:pt idx="9">
                  <c:v>Educación</c:v>
                </c:pt>
                <c:pt idx="10">
                  <c:v>Familia</c:v>
                </c:pt>
                <c:pt idx="11">
                  <c:v>Salud</c:v>
                </c:pt>
                <c:pt idx="12">
                  <c:v>Tecnología de la Información y las Comunicaciones</c:v>
                </c:pt>
                <c:pt idx="13">
                  <c:v>Indeportes</c:v>
                </c:pt>
                <c:pt idx="14">
                  <c:v>Promotora</c:v>
                </c:pt>
                <c:pt idx="15">
                  <c:v>Instituto Departamental de Transito</c:v>
                </c:pt>
                <c:pt idx="16">
                  <c:v>TOTAL DEPARTAMENTO</c:v>
                </c:pt>
              </c:strCache>
            </c:strRef>
          </c:cat>
          <c:val>
            <c:numRef>
              <c:extLst>
                <c:ext xmlns:c15="http://schemas.microsoft.com/office/drawing/2012/chart" uri="{02D57815-91ED-43cb-92C2-25804820EDAC}">
                  <c15:fullRef>
                    <c15:sqref>'CONSOLIDADO UNIDADES'!$H$3:$H$22</c15:sqref>
                  </c15:fullRef>
                </c:ext>
              </c:extLst>
              <c:f>('CONSOLIDADO UNIDADES'!$H$3:$H$15,'CONSOLIDADO UNIDADES'!$H$17:$H$19,'CONSOLIDADO UNIDADES'!$H$22)</c:f>
              <c:numCache>
                <c:formatCode>0%</c:formatCode>
                <c:ptCount val="17"/>
                <c:pt idx="0">
                  <c:v>0.92147290326949161</c:v>
                </c:pt>
                <c:pt idx="1">
                  <c:v>0.96366562191361571</c:v>
                </c:pt>
                <c:pt idx="2">
                  <c:v>0.78143375747048616</c:v>
                </c:pt>
                <c:pt idx="3">
                  <c:v>0.25074521533160732</c:v>
                </c:pt>
                <c:pt idx="4">
                  <c:v>0.4009010438114019</c:v>
                </c:pt>
                <c:pt idx="5">
                  <c:v>0.85215344146474281</c:v>
                </c:pt>
                <c:pt idx="6">
                  <c:v>0.82352954141855728</c:v>
                </c:pt>
                <c:pt idx="7">
                  <c:v>0.60155701603807477</c:v>
                </c:pt>
                <c:pt idx="8">
                  <c:v>0.99852052330501262</c:v>
                </c:pt>
                <c:pt idx="9">
                  <c:v>0.97745793548076387</c:v>
                </c:pt>
                <c:pt idx="10">
                  <c:v>0.78909873842127687</c:v>
                </c:pt>
                <c:pt idx="11">
                  <c:v>0.92930984606104994</c:v>
                </c:pt>
                <c:pt idx="12">
                  <c:v>0.88386868471571911</c:v>
                </c:pt>
                <c:pt idx="13">
                  <c:v>0.6526147299307089</c:v>
                </c:pt>
                <c:pt idx="14">
                  <c:v>0.90388007007143811</c:v>
                </c:pt>
                <c:pt idx="15">
                  <c:v>0.97737047454858905</c:v>
                </c:pt>
                <c:pt idx="16">
                  <c:v>0.89019788626925112</c:v>
                </c:pt>
              </c:numCache>
            </c:numRef>
          </c:val>
          <c:extLst>
            <c:ext xmlns:c15="http://schemas.microsoft.com/office/drawing/2012/chart" uri="{02D57815-91ED-43cb-92C2-25804820EDAC}">
              <c15:categoryFilterExceptions>
                <c15:categoryFilterException>
                  <c15:sqref>'CONSOLIDADO UNIDADES'!$H$20</c15:sqref>
                  <c15:dLbl>
                    <c:idx val="15"/>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0-9102-4AF0-919B-FACFDA26457D}"/>
                      </c:ext>
                    </c:extLst>
                  </c15:dLbl>
                </c15:categoryFilterException>
              </c15:categoryFilterExceptions>
            </c:ext>
            <c:ext xmlns:c16="http://schemas.microsoft.com/office/drawing/2014/chart" uri="{C3380CC4-5D6E-409C-BE32-E72D297353CC}">
              <c16:uniqueId val="{00000007-FCAC-40E9-A580-28F5882046CC}"/>
            </c:ext>
          </c:extLst>
        </c:ser>
        <c:dLbls>
          <c:dLblPos val="outEnd"/>
          <c:showLegendKey val="0"/>
          <c:showVal val="1"/>
          <c:showCatName val="0"/>
          <c:showSerName val="0"/>
          <c:showPercent val="0"/>
          <c:showBubbleSize val="0"/>
        </c:dLbls>
        <c:gapWidth val="219"/>
        <c:overlap val="-27"/>
        <c:axId val="182058288"/>
        <c:axId val="182058848"/>
      </c:barChart>
      <c:catAx>
        <c:axId val="182058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2058848"/>
        <c:crosses val="autoZero"/>
        <c:auto val="1"/>
        <c:lblAlgn val="ctr"/>
        <c:lblOffset val="100"/>
        <c:noMultiLvlLbl val="0"/>
      </c:catAx>
      <c:valAx>
        <c:axId val="1820588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2058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63</xdr:col>
          <xdr:colOff>1817914</xdr:colOff>
          <xdr:row>304</xdr:row>
          <xdr:rowOff>176893</xdr:rowOff>
        </xdr:from>
        <xdr:to>
          <xdr:col>64</xdr:col>
          <xdr:colOff>193221</xdr:colOff>
          <xdr:row>304</xdr:row>
          <xdr:rowOff>510268</xdr:rowOff>
        </xdr:to>
        <xdr:sp macro="" textlink="">
          <xdr:nvSpPr>
            <xdr:cNvPr id="1032" name="Control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oneCellAnchor>
    <xdr:from>
      <xdr:col>0</xdr:col>
      <xdr:colOff>421822</xdr:colOff>
      <xdr:row>0</xdr:row>
      <xdr:rowOff>0</xdr:rowOff>
    </xdr:from>
    <xdr:ext cx="984249" cy="825500"/>
    <xdr:pic>
      <xdr:nvPicPr>
        <xdr:cNvPr id="3" name="Imagen 2" descr="C:\Users\AUXPLANEACION03\Desktop\Gobernacion_del_quindio.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1822" y="0"/>
          <a:ext cx="984249" cy="82550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9</xdr:col>
      <xdr:colOff>440531</xdr:colOff>
      <xdr:row>0</xdr:row>
      <xdr:rowOff>265509</xdr:rowOff>
    </xdr:from>
    <xdr:to>
      <xdr:col>22</xdr:col>
      <xdr:colOff>714375</xdr:colOff>
      <xdr:row>18</xdr:row>
      <xdr:rowOff>59531</xdr:rowOff>
    </xdr:to>
    <xdr:graphicFrame macro="">
      <xdr:nvGraphicFramePr>
        <xdr:cNvPr id="5" name="Gráfico 4">
          <a:extLst>
            <a:ext uri="{FF2B5EF4-FFF2-40B4-BE49-F238E27FC236}">
              <a16:creationId xmlns:a16="http://schemas.microsoft.com/office/drawing/2014/main" id="{00000000-0008-0000-05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631031</xdr:colOff>
      <xdr:row>20</xdr:row>
      <xdr:rowOff>3570</xdr:rowOff>
    </xdr:from>
    <xdr:to>
      <xdr:col>22</xdr:col>
      <xdr:colOff>726281</xdr:colOff>
      <xdr:row>33</xdr:row>
      <xdr:rowOff>71436</xdr:rowOff>
    </xdr:to>
    <xdr:graphicFrame macro="">
      <xdr:nvGraphicFramePr>
        <xdr:cNvPr id="6" name="Gráfico 5">
          <a:extLst>
            <a:ext uri="{FF2B5EF4-FFF2-40B4-BE49-F238E27FC236}">
              <a16:creationId xmlns:a16="http://schemas.microsoft.com/office/drawing/2014/main"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750092</xdr:colOff>
      <xdr:row>37</xdr:row>
      <xdr:rowOff>27384</xdr:rowOff>
    </xdr:from>
    <xdr:to>
      <xdr:col>24</xdr:col>
      <xdr:colOff>83344</xdr:colOff>
      <xdr:row>58</xdr:row>
      <xdr:rowOff>107156</xdr:rowOff>
    </xdr:to>
    <xdr:graphicFrame macro="">
      <xdr:nvGraphicFramePr>
        <xdr:cNvPr id="7" name="Gráfico 6">
          <a:extLst>
            <a:ext uri="{FF2B5EF4-FFF2-40B4-BE49-F238E27FC236}">
              <a16:creationId xmlns:a16="http://schemas.microsoft.com/office/drawing/2014/main" id="{00000000-0008-0000-05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276225</xdr:colOff>
      <xdr:row>23</xdr:row>
      <xdr:rowOff>4158</xdr:rowOff>
    </xdr:from>
    <xdr:to>
      <xdr:col>13</xdr:col>
      <xdr:colOff>1224642</xdr:colOff>
      <xdr:row>39</xdr:row>
      <xdr:rowOff>95252</xdr:rowOff>
    </xdr:to>
    <xdr:graphicFrame macro="">
      <xdr:nvGraphicFramePr>
        <xdr:cNvPr id="2" name="Grá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326571</xdr:colOff>
      <xdr:row>41</xdr:row>
      <xdr:rowOff>159202</xdr:rowOff>
    </xdr:from>
    <xdr:to>
      <xdr:col>13</xdr:col>
      <xdr:colOff>1455964</xdr:colOff>
      <xdr:row>57</xdr:row>
      <xdr:rowOff>27214</xdr:rowOff>
    </xdr:to>
    <xdr:graphicFrame macro="">
      <xdr:nvGraphicFramePr>
        <xdr:cNvPr id="4" name="Gráfico 3">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340179</xdr:colOff>
      <xdr:row>59</xdr:row>
      <xdr:rowOff>145596</xdr:rowOff>
    </xdr:from>
    <xdr:to>
      <xdr:col>14</xdr:col>
      <xdr:colOff>40821</xdr:colOff>
      <xdr:row>79</xdr:row>
      <xdr:rowOff>40822</xdr:rowOff>
    </xdr:to>
    <xdr:graphicFrame macro="">
      <xdr:nvGraphicFramePr>
        <xdr:cNvPr id="5" name="Gráfico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54429</xdr:colOff>
      <xdr:row>0</xdr:row>
      <xdr:rowOff>853166</xdr:rowOff>
    </xdr:from>
    <xdr:to>
      <xdr:col>32</xdr:col>
      <xdr:colOff>353785</xdr:colOff>
      <xdr:row>29</xdr:row>
      <xdr:rowOff>81643</xdr:rowOff>
    </xdr:to>
    <xdr:graphicFrame macro="">
      <xdr:nvGraphicFramePr>
        <xdr:cNvPr id="6" name="Gráfico 5">
          <a:extLst>
            <a:ext uri="{FF2B5EF4-FFF2-40B4-BE49-F238E27FC236}">
              <a16:creationId xmlns:a16="http://schemas.microsoft.com/office/drawing/2014/main" id="{00000000-0008-0000-07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obernaci&#243;n%202021/SGTO%20PDD%202021/SGTO%20DIC%202021%20TRABAJO/ejecucion%202021%20indeport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perado_Hoja1"/>
    </sheetNames>
    <sheetDataSet>
      <sheetData sheetId="0">
        <row r="204">
          <cell r="J204">
            <v>517196936.83999997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DF316"/>
  <sheetViews>
    <sheetView showGridLines="0" tabSelected="1" zoomScale="70" zoomScaleNormal="70" workbookViewId="0">
      <selection activeCell="E9" sqref="E9"/>
    </sheetView>
  </sheetViews>
  <sheetFormatPr baseColWidth="10" defaultColWidth="11.42578125" defaultRowHeight="15" x14ac:dyDescent="0.2"/>
  <cols>
    <col min="1" max="1" width="11.42578125" style="10" customWidth="1"/>
    <col min="2" max="2" width="24.5703125" style="1" customWidth="1"/>
    <col min="3" max="3" width="10.7109375" style="8" customWidth="1"/>
    <col min="4" max="4" width="20.28515625" style="8" customWidth="1"/>
    <col min="5" max="5" width="10.85546875" style="8" customWidth="1"/>
    <col min="6" max="6" width="17.85546875" style="8" customWidth="1"/>
    <col min="7" max="7" width="11.5703125" style="9" customWidth="1"/>
    <col min="8" max="8" width="39" style="10" customWidth="1"/>
    <col min="9" max="9" width="16.85546875" style="10" customWidth="1"/>
    <col min="10" max="10" width="37.140625" style="10" customWidth="1"/>
    <col min="11" max="11" width="44" style="11" customWidth="1"/>
    <col min="12" max="12" width="15.7109375" style="11" customWidth="1"/>
    <col min="13" max="13" width="18.5703125" style="11" customWidth="1"/>
    <col min="14" max="14" width="13.28515625" style="9" customWidth="1"/>
    <col min="15" max="15" width="23.28515625" style="11" customWidth="1"/>
    <col min="16" max="16" width="16.28515625" style="11" customWidth="1"/>
    <col min="17" max="17" width="26" style="13" customWidth="1"/>
    <col min="18" max="18" width="13.42578125" style="12" customWidth="1"/>
    <col min="19" max="19" width="27.140625" style="13" customWidth="1"/>
    <col min="20" max="20" width="18.7109375" style="10" customWidth="1"/>
    <col min="21" max="21" width="12.42578125" style="12" customWidth="1"/>
    <col min="22" max="22" width="11.85546875" style="12" customWidth="1"/>
    <col min="23" max="23" width="24.140625" style="389" customWidth="1"/>
    <col min="24" max="24" width="37.7109375" style="13" customWidth="1"/>
    <col min="25" max="25" width="64.140625" style="13" customWidth="1"/>
    <col min="26" max="26" width="31.7109375" style="1" customWidth="1"/>
    <col min="27" max="28" width="28.85546875" style="1" customWidth="1"/>
    <col min="29" max="31" width="27.7109375" style="1" customWidth="1"/>
    <col min="32" max="34" width="24.42578125" style="1" customWidth="1"/>
    <col min="35" max="37" width="28.28515625" style="1" customWidth="1"/>
    <col min="38" max="40" width="29.140625" style="1" customWidth="1"/>
    <col min="41" max="42" width="30.7109375" style="1" customWidth="1"/>
    <col min="43" max="43" width="30.140625" style="1" customWidth="1"/>
    <col min="44" max="44" width="24.85546875" style="2" customWidth="1"/>
    <col min="45" max="45" width="24.28515625" style="2" customWidth="1"/>
    <col min="46" max="46" width="26" style="2" customWidth="1"/>
    <col min="47" max="47" width="24.85546875" style="2" customWidth="1"/>
    <col min="48" max="48" width="24.28515625" style="2" customWidth="1"/>
    <col min="49" max="49" width="22" style="2" customWidth="1"/>
    <col min="50" max="50" width="24.85546875" style="1" customWidth="1"/>
    <col min="51" max="51" width="24.28515625" style="1" customWidth="1"/>
    <col min="52" max="52" width="22" style="1" customWidth="1"/>
    <col min="53" max="53" width="24.85546875" style="1" customWidth="1"/>
    <col min="54" max="54" width="24.28515625" style="1" customWidth="1"/>
    <col min="55" max="55" width="22" style="1" customWidth="1"/>
    <col min="56" max="56" width="24.85546875" style="15" customWidth="1"/>
    <col min="57" max="58" width="29.7109375" style="15" customWidth="1"/>
    <col min="59" max="61" width="28.7109375" style="1" customWidth="1"/>
    <col min="62" max="67" width="28.42578125" style="1" customWidth="1"/>
    <col min="68" max="70" width="24.7109375" style="2" customWidth="1"/>
    <col min="71" max="71" width="43.42578125" style="40" customWidth="1"/>
    <col min="72" max="72" width="23.42578125" style="2" customWidth="1"/>
    <col min="73" max="73" width="25.140625" style="2" customWidth="1"/>
    <col min="74" max="110" width="11.42578125" style="2"/>
    <col min="111" max="16384" width="11.42578125" style="1"/>
  </cols>
  <sheetData>
    <row r="1" spans="1:110" ht="24" customHeight="1" x14ac:dyDescent="0.2">
      <c r="C1" s="559" t="s">
        <v>1642</v>
      </c>
      <c r="D1" s="560"/>
      <c r="E1" s="560"/>
      <c r="F1" s="560"/>
      <c r="G1" s="560"/>
      <c r="H1" s="560"/>
      <c r="I1" s="560"/>
      <c r="J1" s="560"/>
      <c r="K1" s="560"/>
      <c r="L1" s="560"/>
      <c r="M1" s="560"/>
      <c r="N1" s="560"/>
      <c r="O1" s="560"/>
      <c r="P1" s="560"/>
      <c r="Q1" s="560"/>
      <c r="R1" s="560"/>
      <c r="S1" s="560"/>
      <c r="T1" s="560"/>
      <c r="U1" s="560"/>
      <c r="V1" s="560"/>
      <c r="W1" s="560"/>
      <c r="X1" s="560"/>
      <c r="Y1" s="560"/>
      <c r="Z1" s="560"/>
      <c r="AA1" s="560"/>
      <c r="AB1" s="560"/>
      <c r="AC1" s="560"/>
      <c r="AD1" s="560"/>
      <c r="AE1" s="560"/>
      <c r="AF1" s="560"/>
      <c r="AG1" s="560"/>
      <c r="AH1" s="560"/>
      <c r="AI1" s="560"/>
      <c r="AJ1" s="560"/>
      <c r="AK1" s="560"/>
      <c r="AL1" s="560"/>
      <c r="AM1" s="560"/>
      <c r="AN1" s="560"/>
      <c r="AO1" s="560"/>
      <c r="AP1" s="560"/>
      <c r="AQ1" s="560"/>
      <c r="AR1" s="560"/>
      <c r="AS1" s="560"/>
      <c r="AT1" s="560"/>
      <c r="AU1" s="560"/>
      <c r="AV1" s="560"/>
      <c r="AW1" s="560"/>
      <c r="AX1" s="560"/>
      <c r="AY1" s="560"/>
      <c r="AZ1" s="560"/>
      <c r="BA1" s="560"/>
      <c r="BB1" s="560"/>
      <c r="BC1" s="560"/>
      <c r="BD1" s="560"/>
      <c r="BE1" s="560"/>
      <c r="BF1" s="560"/>
      <c r="BG1" s="560"/>
      <c r="BH1" s="560"/>
      <c r="BI1" s="560"/>
      <c r="BJ1" s="560"/>
      <c r="BK1" s="560"/>
      <c r="BL1" s="560"/>
      <c r="BM1" s="560"/>
      <c r="BN1" s="560"/>
      <c r="BO1" s="560"/>
      <c r="BP1" s="560"/>
      <c r="BQ1" s="561"/>
      <c r="BR1" s="243" t="s">
        <v>0</v>
      </c>
      <c r="BS1" s="262" t="s">
        <v>1493</v>
      </c>
    </row>
    <row r="2" spans="1:110" ht="17.25" customHeight="1" x14ac:dyDescent="0.2">
      <c r="C2" s="562" t="s">
        <v>1686</v>
      </c>
      <c r="D2" s="564"/>
      <c r="E2" s="564"/>
      <c r="F2" s="564"/>
      <c r="G2" s="564"/>
      <c r="H2" s="564"/>
      <c r="I2" s="564"/>
      <c r="J2" s="564"/>
      <c r="K2" s="564"/>
      <c r="L2" s="564"/>
      <c r="M2" s="564"/>
      <c r="N2" s="564"/>
      <c r="O2" s="564"/>
      <c r="P2" s="564"/>
      <c r="Q2" s="564"/>
      <c r="R2" s="564"/>
      <c r="S2" s="564"/>
      <c r="T2" s="564"/>
      <c r="U2" s="564"/>
      <c r="V2" s="564"/>
      <c r="W2" s="564"/>
      <c r="X2" s="564"/>
      <c r="Y2" s="564"/>
      <c r="Z2" s="564"/>
      <c r="AA2" s="564"/>
      <c r="AB2" s="564"/>
      <c r="AC2" s="564"/>
      <c r="AD2" s="564"/>
      <c r="AE2" s="564"/>
      <c r="AF2" s="564"/>
      <c r="AG2" s="564"/>
      <c r="AH2" s="564"/>
      <c r="AI2" s="564"/>
      <c r="AJ2" s="564"/>
      <c r="AK2" s="564"/>
      <c r="AL2" s="564"/>
      <c r="AM2" s="564"/>
      <c r="AN2" s="564"/>
      <c r="AO2" s="564"/>
      <c r="AP2" s="564"/>
      <c r="AQ2" s="564"/>
      <c r="AR2" s="564"/>
      <c r="AS2" s="564"/>
      <c r="AT2" s="564"/>
      <c r="AU2" s="564"/>
      <c r="AV2" s="564"/>
      <c r="AW2" s="564"/>
      <c r="AX2" s="564"/>
      <c r="AY2" s="564"/>
      <c r="AZ2" s="564"/>
      <c r="BA2" s="564"/>
      <c r="BB2" s="564"/>
      <c r="BC2" s="564"/>
      <c r="BD2" s="564"/>
      <c r="BE2" s="564"/>
      <c r="BF2" s="564"/>
      <c r="BG2" s="564"/>
      <c r="BH2" s="564"/>
      <c r="BI2" s="564"/>
      <c r="BJ2" s="564"/>
      <c r="BK2" s="564"/>
      <c r="BL2" s="564"/>
      <c r="BM2" s="564"/>
      <c r="BN2" s="564"/>
      <c r="BO2" s="564"/>
      <c r="BP2" s="564"/>
      <c r="BQ2" s="564"/>
      <c r="BR2" s="244" t="s">
        <v>1</v>
      </c>
      <c r="BS2" s="263">
        <v>3</v>
      </c>
    </row>
    <row r="3" spans="1:110" ht="17.25" customHeight="1" x14ac:dyDescent="0.2">
      <c r="C3" s="562" t="s">
        <v>1643</v>
      </c>
      <c r="D3" s="563"/>
      <c r="E3" s="563"/>
      <c r="F3" s="563"/>
      <c r="G3" s="563"/>
      <c r="H3" s="563"/>
      <c r="I3" s="563"/>
      <c r="J3" s="563"/>
      <c r="K3" s="563"/>
      <c r="L3" s="563"/>
      <c r="M3" s="563"/>
      <c r="N3" s="563"/>
      <c r="O3" s="563"/>
      <c r="P3" s="563"/>
      <c r="Q3" s="563"/>
      <c r="R3" s="563"/>
      <c r="S3" s="563"/>
      <c r="T3" s="563"/>
      <c r="U3" s="563"/>
      <c r="V3" s="563"/>
      <c r="W3" s="563"/>
      <c r="X3" s="563"/>
      <c r="Y3" s="563"/>
      <c r="Z3" s="563"/>
      <c r="AA3" s="563"/>
      <c r="AB3" s="563"/>
      <c r="AC3" s="563"/>
      <c r="AD3" s="563"/>
      <c r="AE3" s="563"/>
      <c r="AF3" s="563"/>
      <c r="AG3" s="563"/>
      <c r="AH3" s="563"/>
      <c r="AI3" s="563"/>
      <c r="AJ3" s="563"/>
      <c r="AK3" s="563"/>
      <c r="AL3" s="563"/>
      <c r="AM3" s="563"/>
      <c r="AN3" s="563"/>
      <c r="AO3" s="563"/>
      <c r="AP3" s="563"/>
      <c r="AQ3" s="563"/>
      <c r="AR3" s="563"/>
      <c r="AS3" s="563"/>
      <c r="AT3" s="563"/>
      <c r="AU3" s="563"/>
      <c r="AV3" s="563"/>
      <c r="AW3" s="563"/>
      <c r="AX3" s="563"/>
      <c r="AY3" s="563"/>
      <c r="AZ3" s="563"/>
      <c r="BA3" s="563"/>
      <c r="BB3" s="563"/>
      <c r="BC3" s="563"/>
      <c r="BD3" s="563"/>
      <c r="BE3" s="563"/>
      <c r="BF3" s="563"/>
      <c r="BG3" s="563"/>
      <c r="BH3" s="563"/>
      <c r="BI3" s="563"/>
      <c r="BJ3" s="563"/>
      <c r="BK3" s="563"/>
      <c r="BL3" s="563"/>
      <c r="BM3" s="563"/>
      <c r="BN3" s="563"/>
      <c r="BO3" s="563"/>
      <c r="BP3" s="563"/>
      <c r="BQ3" s="563"/>
      <c r="BR3" s="243" t="s">
        <v>2</v>
      </c>
      <c r="BS3" s="264">
        <v>44469</v>
      </c>
    </row>
    <row r="4" spans="1:110" ht="17.25" customHeight="1" x14ac:dyDescent="0.2">
      <c r="C4" s="562" t="s">
        <v>1687</v>
      </c>
      <c r="D4" s="563"/>
      <c r="E4" s="563"/>
      <c r="F4" s="563"/>
      <c r="G4" s="563"/>
      <c r="H4" s="563"/>
      <c r="I4" s="563"/>
      <c r="J4" s="563"/>
      <c r="K4" s="563"/>
      <c r="L4" s="563"/>
      <c r="M4" s="563"/>
      <c r="N4" s="563"/>
      <c r="O4" s="563"/>
      <c r="P4" s="563"/>
      <c r="Q4" s="563"/>
      <c r="R4" s="563"/>
      <c r="S4" s="563"/>
      <c r="T4" s="563"/>
      <c r="U4" s="563"/>
      <c r="V4" s="563"/>
      <c r="W4" s="563"/>
      <c r="X4" s="563"/>
      <c r="Y4" s="563"/>
      <c r="Z4" s="563"/>
      <c r="AA4" s="563"/>
      <c r="AB4" s="563"/>
      <c r="AC4" s="563"/>
      <c r="AD4" s="563"/>
      <c r="AE4" s="563"/>
      <c r="AF4" s="563"/>
      <c r="AG4" s="563"/>
      <c r="AH4" s="563"/>
      <c r="AI4" s="563"/>
      <c r="AJ4" s="563"/>
      <c r="AK4" s="563"/>
      <c r="AL4" s="563"/>
      <c r="AM4" s="563"/>
      <c r="AN4" s="563"/>
      <c r="AO4" s="563"/>
      <c r="AP4" s="563"/>
      <c r="AQ4" s="563"/>
      <c r="AR4" s="563"/>
      <c r="AS4" s="563"/>
      <c r="AT4" s="563"/>
      <c r="AU4" s="563"/>
      <c r="AV4" s="563"/>
      <c r="AW4" s="563"/>
      <c r="AX4" s="563"/>
      <c r="AY4" s="563"/>
      <c r="AZ4" s="563"/>
      <c r="BA4" s="563"/>
      <c r="BB4" s="563"/>
      <c r="BC4" s="563"/>
      <c r="BD4" s="563"/>
      <c r="BE4" s="563"/>
      <c r="BF4" s="563"/>
      <c r="BG4" s="563"/>
      <c r="BH4" s="563"/>
      <c r="BI4" s="563"/>
      <c r="BJ4" s="563"/>
      <c r="BK4" s="563"/>
      <c r="BL4" s="563"/>
      <c r="BM4" s="563"/>
      <c r="BN4" s="563"/>
      <c r="BO4" s="563"/>
      <c r="BP4" s="563"/>
      <c r="BQ4" s="563"/>
      <c r="BR4" s="243" t="s">
        <v>3</v>
      </c>
      <c r="BS4" s="265" t="s">
        <v>1494</v>
      </c>
    </row>
    <row r="5" spans="1:110" s="4" customFormat="1" ht="24.75" customHeight="1" x14ac:dyDescent="0.25">
      <c r="A5" s="582" t="s">
        <v>4</v>
      </c>
      <c r="B5" s="583"/>
      <c r="C5" s="586" t="s">
        <v>5</v>
      </c>
      <c r="D5" s="586"/>
      <c r="E5" s="586" t="s">
        <v>6</v>
      </c>
      <c r="F5" s="586"/>
      <c r="G5" s="576" t="s">
        <v>7</v>
      </c>
      <c r="H5" s="577"/>
      <c r="I5" s="577"/>
      <c r="J5" s="577"/>
      <c r="K5" s="578"/>
      <c r="L5" s="586" t="s">
        <v>9</v>
      </c>
      <c r="M5" s="586"/>
      <c r="N5" s="586"/>
      <c r="O5" s="576"/>
      <c r="P5" s="586" t="s">
        <v>10</v>
      </c>
      <c r="Q5" s="586"/>
      <c r="R5" s="586"/>
      <c r="S5" s="576"/>
      <c r="T5" s="576" t="s">
        <v>1637</v>
      </c>
      <c r="U5" s="577"/>
      <c r="V5" s="578"/>
      <c r="W5" s="586" t="s">
        <v>11</v>
      </c>
      <c r="X5" s="586"/>
      <c r="Y5" s="586"/>
      <c r="Z5" s="579" t="s">
        <v>1639</v>
      </c>
      <c r="AA5" s="580"/>
      <c r="AB5" s="580"/>
      <c r="AC5" s="580"/>
      <c r="AD5" s="580"/>
      <c r="AE5" s="580"/>
      <c r="AF5" s="580"/>
      <c r="AG5" s="580"/>
      <c r="AH5" s="580"/>
      <c r="AI5" s="580"/>
      <c r="AJ5" s="580"/>
      <c r="AK5" s="580"/>
      <c r="AL5" s="580"/>
      <c r="AM5" s="580"/>
      <c r="AN5" s="580"/>
      <c r="AO5" s="580"/>
      <c r="AP5" s="580"/>
      <c r="AQ5" s="580"/>
      <c r="AR5" s="580"/>
      <c r="AS5" s="580"/>
      <c r="AT5" s="580"/>
      <c r="AU5" s="580"/>
      <c r="AV5" s="580"/>
      <c r="AW5" s="580"/>
      <c r="AX5" s="580"/>
      <c r="AY5" s="580"/>
      <c r="AZ5" s="580"/>
      <c r="BA5" s="580"/>
      <c r="BB5" s="580"/>
      <c r="BC5" s="580"/>
      <c r="BD5" s="580"/>
      <c r="BE5" s="580"/>
      <c r="BF5" s="580"/>
      <c r="BG5" s="580"/>
      <c r="BH5" s="580"/>
      <c r="BI5" s="580"/>
      <c r="BJ5" s="580"/>
      <c r="BK5" s="580"/>
      <c r="BL5" s="580"/>
      <c r="BM5" s="580"/>
      <c r="BN5" s="580"/>
      <c r="BO5" s="581"/>
      <c r="BP5" s="240"/>
      <c r="BQ5" s="241"/>
      <c r="BR5" s="242"/>
      <c r="BS5" s="242"/>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row>
    <row r="6" spans="1:110" s="4" customFormat="1" ht="58.5" customHeight="1" x14ac:dyDescent="0.25">
      <c r="A6" s="572" t="s">
        <v>14</v>
      </c>
      <c r="B6" s="572" t="s">
        <v>15</v>
      </c>
      <c r="C6" s="570" t="s">
        <v>14</v>
      </c>
      <c r="D6" s="570" t="s">
        <v>15</v>
      </c>
      <c r="E6" s="584" t="s">
        <v>14</v>
      </c>
      <c r="F6" s="584" t="s">
        <v>15</v>
      </c>
      <c r="G6" s="570" t="s">
        <v>1633</v>
      </c>
      <c r="H6" s="570" t="s">
        <v>1634</v>
      </c>
      <c r="I6" s="570" t="s">
        <v>1635</v>
      </c>
      <c r="J6" s="570" t="s">
        <v>1636</v>
      </c>
      <c r="K6" s="568" t="s">
        <v>8</v>
      </c>
      <c r="L6" s="570" t="s">
        <v>16</v>
      </c>
      <c r="M6" s="570" t="s">
        <v>17</v>
      </c>
      <c r="N6" s="570" t="s">
        <v>18</v>
      </c>
      <c r="O6" s="570" t="s">
        <v>19</v>
      </c>
      <c r="P6" s="568" t="s">
        <v>16</v>
      </c>
      <c r="Q6" s="568" t="s">
        <v>20</v>
      </c>
      <c r="R6" s="568" t="s">
        <v>21</v>
      </c>
      <c r="S6" s="568" t="s">
        <v>22</v>
      </c>
      <c r="T6" s="570" t="s">
        <v>1672</v>
      </c>
      <c r="U6" s="570" t="s">
        <v>1638</v>
      </c>
      <c r="V6" s="570" t="s">
        <v>1676</v>
      </c>
      <c r="W6" s="572" t="s">
        <v>23</v>
      </c>
      <c r="X6" s="573" t="s">
        <v>24</v>
      </c>
      <c r="Y6" s="573" t="s">
        <v>25</v>
      </c>
      <c r="Z6" s="565" t="s">
        <v>1664</v>
      </c>
      <c r="AA6" s="566"/>
      <c r="AB6" s="567"/>
      <c r="AC6" s="565" t="s">
        <v>26</v>
      </c>
      <c r="AD6" s="566"/>
      <c r="AE6" s="567"/>
      <c r="AF6" s="565" t="s">
        <v>27</v>
      </c>
      <c r="AG6" s="566"/>
      <c r="AH6" s="567"/>
      <c r="AI6" s="565" t="s">
        <v>28</v>
      </c>
      <c r="AJ6" s="566"/>
      <c r="AK6" s="567"/>
      <c r="AL6" s="565" t="s">
        <v>29</v>
      </c>
      <c r="AM6" s="566"/>
      <c r="AN6" s="567"/>
      <c r="AO6" s="565" t="s">
        <v>1667</v>
      </c>
      <c r="AP6" s="566"/>
      <c r="AQ6" s="567"/>
      <c r="AR6" s="565" t="s">
        <v>1669</v>
      </c>
      <c r="AS6" s="566"/>
      <c r="AT6" s="567"/>
      <c r="AU6" s="565" t="s">
        <v>30</v>
      </c>
      <c r="AV6" s="566"/>
      <c r="AW6" s="567"/>
      <c r="AX6" s="565" t="s">
        <v>31</v>
      </c>
      <c r="AY6" s="566"/>
      <c r="AZ6" s="567"/>
      <c r="BA6" s="565" t="s">
        <v>32</v>
      </c>
      <c r="BB6" s="566"/>
      <c r="BC6" s="567"/>
      <c r="BD6" s="565" t="s">
        <v>33</v>
      </c>
      <c r="BE6" s="566"/>
      <c r="BF6" s="567"/>
      <c r="BG6" s="565" t="s">
        <v>34</v>
      </c>
      <c r="BH6" s="566"/>
      <c r="BI6" s="567"/>
      <c r="BJ6" s="565" t="s">
        <v>35</v>
      </c>
      <c r="BK6" s="566"/>
      <c r="BL6" s="567"/>
      <c r="BM6" s="565" t="s">
        <v>1553</v>
      </c>
      <c r="BN6" s="566"/>
      <c r="BO6" s="567"/>
      <c r="BP6" s="565" t="s">
        <v>1640</v>
      </c>
      <c r="BQ6" s="566"/>
      <c r="BR6" s="567"/>
      <c r="BS6" s="574" t="s">
        <v>13</v>
      </c>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row>
    <row r="7" spans="1:110" s="77" customFormat="1" ht="24" customHeight="1" x14ac:dyDescent="0.25">
      <c r="A7" s="572"/>
      <c r="B7" s="572"/>
      <c r="C7" s="571"/>
      <c r="D7" s="571"/>
      <c r="E7" s="585"/>
      <c r="F7" s="585"/>
      <c r="G7" s="571"/>
      <c r="H7" s="571"/>
      <c r="I7" s="571"/>
      <c r="J7" s="571"/>
      <c r="K7" s="569"/>
      <c r="L7" s="571"/>
      <c r="M7" s="571"/>
      <c r="N7" s="571"/>
      <c r="O7" s="571"/>
      <c r="P7" s="569"/>
      <c r="Q7" s="569"/>
      <c r="R7" s="569"/>
      <c r="S7" s="569"/>
      <c r="T7" s="571"/>
      <c r="U7" s="571"/>
      <c r="V7" s="571"/>
      <c r="W7" s="572"/>
      <c r="X7" s="573"/>
      <c r="Y7" s="573"/>
      <c r="Z7" s="261" t="s">
        <v>1641</v>
      </c>
      <c r="AA7" s="261" t="s">
        <v>1490</v>
      </c>
      <c r="AB7" s="261" t="s">
        <v>1491</v>
      </c>
      <c r="AC7" s="261" t="s">
        <v>1641</v>
      </c>
      <c r="AD7" s="261" t="s">
        <v>1490</v>
      </c>
      <c r="AE7" s="261" t="s">
        <v>1491</v>
      </c>
      <c r="AF7" s="261" t="s">
        <v>1641</v>
      </c>
      <c r="AG7" s="261" t="s">
        <v>1490</v>
      </c>
      <c r="AH7" s="261" t="s">
        <v>1491</v>
      </c>
      <c r="AI7" s="261" t="s">
        <v>1641</v>
      </c>
      <c r="AJ7" s="261" t="s">
        <v>1495</v>
      </c>
      <c r="AK7" s="261" t="s">
        <v>1496</v>
      </c>
      <c r="AL7" s="261" t="s">
        <v>1641</v>
      </c>
      <c r="AM7" s="261" t="s">
        <v>1495</v>
      </c>
      <c r="AN7" s="261" t="s">
        <v>1496</v>
      </c>
      <c r="AO7" s="261" t="s">
        <v>1641</v>
      </c>
      <c r="AP7" s="261" t="s">
        <v>1495</v>
      </c>
      <c r="AQ7" s="261" t="s">
        <v>1496</v>
      </c>
      <c r="AR7" s="261" t="s">
        <v>1641</v>
      </c>
      <c r="AS7" s="261" t="s">
        <v>1495</v>
      </c>
      <c r="AT7" s="261" t="s">
        <v>1496</v>
      </c>
      <c r="AU7" s="261" t="s">
        <v>1641</v>
      </c>
      <c r="AV7" s="261" t="s">
        <v>1495</v>
      </c>
      <c r="AW7" s="261" t="s">
        <v>1496</v>
      </c>
      <c r="AX7" s="261" t="s">
        <v>1641</v>
      </c>
      <c r="AY7" s="261" t="s">
        <v>1495</v>
      </c>
      <c r="AZ7" s="261" t="s">
        <v>1496</v>
      </c>
      <c r="BA7" s="261" t="s">
        <v>1641</v>
      </c>
      <c r="BB7" s="261" t="s">
        <v>1495</v>
      </c>
      <c r="BC7" s="261" t="s">
        <v>1496</v>
      </c>
      <c r="BD7" s="261" t="s">
        <v>1641</v>
      </c>
      <c r="BE7" s="261" t="s">
        <v>1495</v>
      </c>
      <c r="BF7" s="261" t="s">
        <v>1496</v>
      </c>
      <c r="BG7" s="261" t="s">
        <v>1641</v>
      </c>
      <c r="BH7" s="261" t="s">
        <v>1495</v>
      </c>
      <c r="BI7" s="261" t="s">
        <v>1496</v>
      </c>
      <c r="BJ7" s="261" t="s">
        <v>1641</v>
      </c>
      <c r="BK7" s="261" t="s">
        <v>1495</v>
      </c>
      <c r="BL7" s="261" t="s">
        <v>1496</v>
      </c>
      <c r="BM7" s="261" t="s">
        <v>1641</v>
      </c>
      <c r="BN7" s="261" t="s">
        <v>1495</v>
      </c>
      <c r="BO7" s="261" t="s">
        <v>1496</v>
      </c>
      <c r="BP7" s="261" t="s">
        <v>1641</v>
      </c>
      <c r="BQ7" s="261" t="s">
        <v>1495</v>
      </c>
      <c r="BR7" s="261" t="s">
        <v>1496</v>
      </c>
      <c r="BS7" s="575"/>
    </row>
    <row r="8" spans="1:110" s="27" customFormat="1" ht="165.75" customHeight="1" x14ac:dyDescent="0.2">
      <c r="A8" s="217">
        <v>304</v>
      </c>
      <c r="B8" s="287" t="s">
        <v>1611</v>
      </c>
      <c r="C8" s="213">
        <v>4</v>
      </c>
      <c r="D8" s="287" t="s">
        <v>1612</v>
      </c>
      <c r="E8" s="213">
        <v>45</v>
      </c>
      <c r="F8" s="216" t="s">
        <v>38</v>
      </c>
      <c r="G8" s="213" t="s">
        <v>41</v>
      </c>
      <c r="H8" s="216" t="s">
        <v>1570</v>
      </c>
      <c r="I8" s="213">
        <v>4599</v>
      </c>
      <c r="J8" s="216" t="s">
        <v>1571</v>
      </c>
      <c r="K8" s="216" t="s">
        <v>40</v>
      </c>
      <c r="L8" s="213" t="s">
        <v>41</v>
      </c>
      <c r="M8" s="216" t="s">
        <v>42</v>
      </c>
      <c r="N8" s="213">
        <v>4599023</v>
      </c>
      <c r="O8" s="216" t="s">
        <v>43</v>
      </c>
      <c r="P8" s="213" t="s">
        <v>41</v>
      </c>
      <c r="Q8" s="216" t="s">
        <v>44</v>
      </c>
      <c r="R8" s="213">
        <v>459902300</v>
      </c>
      <c r="S8" s="216" t="s">
        <v>45</v>
      </c>
      <c r="T8" s="236" t="s">
        <v>1671</v>
      </c>
      <c r="U8" s="288">
        <v>5</v>
      </c>
      <c r="V8" s="288">
        <v>5</v>
      </c>
      <c r="W8" s="236" t="s">
        <v>46</v>
      </c>
      <c r="X8" s="216" t="s">
        <v>47</v>
      </c>
      <c r="Y8" s="216" t="s">
        <v>48</v>
      </c>
      <c r="Z8" s="289"/>
      <c r="AA8" s="289"/>
      <c r="AB8" s="289"/>
      <c r="AC8" s="289"/>
      <c r="AD8" s="289"/>
      <c r="AE8" s="289"/>
      <c r="AF8" s="289"/>
      <c r="AG8" s="289"/>
      <c r="AH8" s="289"/>
      <c r="AI8" s="289"/>
      <c r="AJ8" s="289"/>
      <c r="AK8" s="289"/>
      <c r="AL8" s="289"/>
      <c r="AM8" s="289"/>
      <c r="AN8" s="289"/>
      <c r="AO8" s="289"/>
      <c r="AP8" s="289"/>
      <c r="AQ8" s="289"/>
      <c r="AR8" s="289"/>
      <c r="AS8" s="289"/>
      <c r="AT8" s="289"/>
      <c r="AU8" s="289"/>
      <c r="AV8" s="289"/>
      <c r="AW8" s="289"/>
      <c r="AX8" s="289"/>
      <c r="AY8" s="289"/>
      <c r="AZ8" s="289"/>
      <c r="BA8" s="289"/>
      <c r="BB8" s="289"/>
      <c r="BC8" s="289"/>
      <c r="BD8" s="266">
        <f>36000000+5000000+138885000</f>
        <v>179885000</v>
      </c>
      <c r="BE8" s="290">
        <v>167290817</v>
      </c>
      <c r="BF8" s="290">
        <v>167290817</v>
      </c>
      <c r="BG8" s="289"/>
      <c r="BH8" s="289"/>
      <c r="BI8" s="289"/>
      <c r="BJ8" s="289"/>
      <c r="BK8" s="289"/>
      <c r="BL8" s="289"/>
      <c r="BM8" s="289"/>
      <c r="BN8" s="289"/>
      <c r="BO8" s="289"/>
      <c r="BP8" s="273">
        <f t="shared" ref="BP8:BR10" si="0">+Z8+AC8+AF8+AI8+AL8+AO8+AR8+AU8+AX8+BA8+BD8+BG8+BJ8</f>
        <v>179885000</v>
      </c>
      <c r="BQ8" s="273">
        <f t="shared" si="0"/>
        <v>167290817</v>
      </c>
      <c r="BR8" s="273">
        <f t="shared" si="0"/>
        <v>167290817</v>
      </c>
      <c r="BS8" s="245" t="s">
        <v>1644</v>
      </c>
      <c r="BT8" s="233"/>
    </row>
    <row r="9" spans="1:110" s="27" customFormat="1" ht="158.25" customHeight="1" x14ac:dyDescent="0.2">
      <c r="A9" s="217">
        <v>304</v>
      </c>
      <c r="B9" s="287" t="s">
        <v>1611</v>
      </c>
      <c r="C9" s="213">
        <v>4</v>
      </c>
      <c r="D9" s="216" t="s">
        <v>1612</v>
      </c>
      <c r="E9" s="213">
        <v>45</v>
      </c>
      <c r="F9" s="216" t="s">
        <v>38</v>
      </c>
      <c r="G9" s="213" t="s">
        <v>41</v>
      </c>
      <c r="H9" s="216" t="s">
        <v>1570</v>
      </c>
      <c r="I9" s="213">
        <v>4599</v>
      </c>
      <c r="J9" s="216" t="s">
        <v>1571</v>
      </c>
      <c r="K9" s="216" t="s">
        <v>40</v>
      </c>
      <c r="L9" s="213" t="s">
        <v>41</v>
      </c>
      <c r="M9" s="216" t="s">
        <v>49</v>
      </c>
      <c r="N9" s="213">
        <v>4599002</v>
      </c>
      <c r="O9" s="216" t="s">
        <v>50</v>
      </c>
      <c r="P9" s="213" t="s">
        <v>41</v>
      </c>
      <c r="Q9" s="216" t="s">
        <v>51</v>
      </c>
      <c r="R9" s="213">
        <v>459900200</v>
      </c>
      <c r="S9" s="216" t="s">
        <v>1470</v>
      </c>
      <c r="T9" s="236" t="s">
        <v>1671</v>
      </c>
      <c r="U9" s="288">
        <v>4</v>
      </c>
      <c r="V9" s="288">
        <v>4</v>
      </c>
      <c r="W9" s="236" t="s">
        <v>52</v>
      </c>
      <c r="X9" s="216" t="s">
        <v>53</v>
      </c>
      <c r="Y9" s="216" t="s">
        <v>54</v>
      </c>
      <c r="Z9" s="289"/>
      <c r="AA9" s="289"/>
      <c r="AB9" s="289"/>
      <c r="AC9" s="289"/>
      <c r="AD9" s="289"/>
      <c r="AE9" s="289"/>
      <c r="AF9" s="289"/>
      <c r="AG9" s="289"/>
      <c r="AH9" s="289"/>
      <c r="AI9" s="289"/>
      <c r="AJ9" s="289"/>
      <c r="AK9" s="289"/>
      <c r="AL9" s="289"/>
      <c r="AM9" s="289"/>
      <c r="AN9" s="289"/>
      <c r="AO9" s="289"/>
      <c r="AP9" s="289"/>
      <c r="AQ9" s="289"/>
      <c r="AR9" s="289"/>
      <c r="AS9" s="289"/>
      <c r="AT9" s="289"/>
      <c r="AU9" s="289"/>
      <c r="AV9" s="289"/>
      <c r="AW9" s="289"/>
      <c r="AX9" s="289"/>
      <c r="AY9" s="289"/>
      <c r="AZ9" s="289"/>
      <c r="BA9" s="289"/>
      <c r="BB9" s="289"/>
      <c r="BC9" s="289"/>
      <c r="BD9" s="266">
        <v>154285400</v>
      </c>
      <c r="BE9" s="239">
        <v>145062829</v>
      </c>
      <c r="BF9" s="239">
        <v>145062829</v>
      </c>
      <c r="BG9" s="289"/>
      <c r="BH9" s="289"/>
      <c r="BI9" s="289"/>
      <c r="BJ9" s="289"/>
      <c r="BK9" s="289"/>
      <c r="BL9" s="289"/>
      <c r="BM9" s="289"/>
      <c r="BN9" s="289"/>
      <c r="BO9" s="289"/>
      <c r="BP9" s="273">
        <f t="shared" si="0"/>
        <v>154285400</v>
      </c>
      <c r="BQ9" s="273">
        <f t="shared" si="0"/>
        <v>145062829</v>
      </c>
      <c r="BR9" s="273">
        <f t="shared" si="0"/>
        <v>145062829</v>
      </c>
      <c r="BS9" s="245" t="s">
        <v>1644</v>
      </c>
      <c r="BT9" s="233"/>
    </row>
    <row r="10" spans="1:110" s="27" customFormat="1" ht="196.5" customHeight="1" x14ac:dyDescent="0.2">
      <c r="A10" s="217">
        <v>304</v>
      </c>
      <c r="B10" s="287" t="s">
        <v>1611</v>
      </c>
      <c r="C10" s="213">
        <v>4</v>
      </c>
      <c r="D10" s="216" t="s">
        <v>1612</v>
      </c>
      <c r="E10" s="213">
        <v>45</v>
      </c>
      <c r="F10" s="216" t="s">
        <v>38</v>
      </c>
      <c r="G10" s="213" t="s">
        <v>41</v>
      </c>
      <c r="H10" s="216" t="s">
        <v>1570</v>
      </c>
      <c r="I10" s="213">
        <v>4599</v>
      </c>
      <c r="J10" s="216" t="s">
        <v>1571</v>
      </c>
      <c r="K10" s="216" t="s">
        <v>40</v>
      </c>
      <c r="L10" s="213" t="s">
        <v>41</v>
      </c>
      <c r="M10" s="216" t="s">
        <v>55</v>
      </c>
      <c r="N10" s="213">
        <v>4599023</v>
      </c>
      <c r="O10" s="216" t="s">
        <v>43</v>
      </c>
      <c r="P10" s="213" t="s">
        <v>41</v>
      </c>
      <c r="Q10" s="216" t="s">
        <v>56</v>
      </c>
      <c r="R10" s="213">
        <v>459902301</v>
      </c>
      <c r="S10" s="216" t="s">
        <v>57</v>
      </c>
      <c r="T10" s="236" t="s">
        <v>1671</v>
      </c>
      <c r="U10" s="288">
        <v>1</v>
      </c>
      <c r="V10" s="288">
        <v>1</v>
      </c>
      <c r="W10" s="236" t="s">
        <v>58</v>
      </c>
      <c r="X10" s="214" t="s">
        <v>59</v>
      </c>
      <c r="Y10" s="216" t="s">
        <v>1512</v>
      </c>
      <c r="Z10" s="289"/>
      <c r="AA10" s="289"/>
      <c r="AB10" s="289"/>
      <c r="AC10" s="289"/>
      <c r="AD10" s="289"/>
      <c r="AE10" s="289"/>
      <c r="AF10" s="289"/>
      <c r="AG10" s="289"/>
      <c r="AH10" s="289"/>
      <c r="AI10" s="289"/>
      <c r="AJ10" s="289"/>
      <c r="AK10" s="289"/>
      <c r="AL10" s="289"/>
      <c r="AM10" s="289"/>
      <c r="AN10" s="289"/>
      <c r="AO10" s="289"/>
      <c r="AP10" s="289"/>
      <c r="AQ10" s="289"/>
      <c r="AR10" s="289"/>
      <c r="AS10" s="289"/>
      <c r="AT10" s="289"/>
      <c r="AU10" s="289"/>
      <c r="AV10" s="289"/>
      <c r="AW10" s="289"/>
      <c r="AX10" s="289"/>
      <c r="AY10" s="289"/>
      <c r="AZ10" s="289"/>
      <c r="BA10" s="289"/>
      <c r="BB10" s="289"/>
      <c r="BC10" s="289"/>
      <c r="BD10" s="239">
        <f>50000000-7188826</f>
        <v>42811174</v>
      </c>
      <c r="BE10" s="239">
        <v>42811174</v>
      </c>
      <c r="BF10" s="239">
        <v>42811174</v>
      </c>
      <c r="BG10" s="289"/>
      <c r="BH10" s="289"/>
      <c r="BI10" s="289"/>
      <c r="BJ10" s="289"/>
      <c r="BK10" s="289"/>
      <c r="BL10" s="289"/>
      <c r="BM10" s="289"/>
      <c r="BN10" s="289"/>
      <c r="BO10" s="289"/>
      <c r="BP10" s="273">
        <f t="shared" si="0"/>
        <v>42811174</v>
      </c>
      <c r="BQ10" s="273">
        <f t="shared" si="0"/>
        <v>42811174</v>
      </c>
      <c r="BR10" s="273">
        <f t="shared" si="0"/>
        <v>42811174</v>
      </c>
      <c r="BS10" s="245" t="s">
        <v>1644</v>
      </c>
      <c r="BT10" s="233"/>
    </row>
    <row r="11" spans="1:110" s="27" customFormat="1" ht="121.5" customHeight="1" x14ac:dyDescent="0.2">
      <c r="A11" s="217">
        <v>304</v>
      </c>
      <c r="B11" s="287" t="s">
        <v>1611</v>
      </c>
      <c r="C11" s="213">
        <v>4</v>
      </c>
      <c r="D11" s="216" t="s">
        <v>1612</v>
      </c>
      <c r="E11" s="213">
        <v>45</v>
      </c>
      <c r="F11" s="216" t="s">
        <v>38</v>
      </c>
      <c r="G11" s="213" t="s">
        <v>41</v>
      </c>
      <c r="H11" s="216" t="s">
        <v>1566</v>
      </c>
      <c r="I11" s="213">
        <v>4502</v>
      </c>
      <c r="J11" s="216" t="s">
        <v>1567</v>
      </c>
      <c r="K11" s="216" t="s">
        <v>61</v>
      </c>
      <c r="L11" s="213" t="s">
        <v>41</v>
      </c>
      <c r="M11" s="216" t="s">
        <v>62</v>
      </c>
      <c r="N11" s="213">
        <v>4502033</v>
      </c>
      <c r="O11" s="216" t="s">
        <v>63</v>
      </c>
      <c r="P11" s="213" t="s">
        <v>41</v>
      </c>
      <c r="Q11" s="291" t="s">
        <v>64</v>
      </c>
      <c r="R11" s="292">
        <v>450203300</v>
      </c>
      <c r="S11" s="291" t="s">
        <v>65</v>
      </c>
      <c r="T11" s="236" t="s">
        <v>1671</v>
      </c>
      <c r="U11" s="288">
        <v>1</v>
      </c>
      <c r="V11" s="288">
        <v>1</v>
      </c>
      <c r="W11" s="236" t="s">
        <v>66</v>
      </c>
      <c r="X11" s="214" t="s">
        <v>67</v>
      </c>
      <c r="Y11" s="216" t="s">
        <v>68</v>
      </c>
      <c r="Z11" s="289"/>
      <c r="AA11" s="289"/>
      <c r="AB11" s="289"/>
      <c r="AC11" s="289"/>
      <c r="AD11" s="289"/>
      <c r="AE11" s="289"/>
      <c r="AF11" s="289"/>
      <c r="AG11" s="289"/>
      <c r="AH11" s="289"/>
      <c r="AI11" s="289"/>
      <c r="AJ11" s="289"/>
      <c r="AK11" s="289"/>
      <c r="AL11" s="289"/>
      <c r="AM11" s="289"/>
      <c r="AN11" s="289"/>
      <c r="AO11" s="289"/>
      <c r="AP11" s="289"/>
      <c r="AQ11" s="289"/>
      <c r="AR11" s="289"/>
      <c r="AS11" s="289"/>
      <c r="AT11" s="289"/>
      <c r="AU11" s="289"/>
      <c r="AV11" s="289"/>
      <c r="AW11" s="289"/>
      <c r="AX11" s="289"/>
      <c r="AY11" s="289"/>
      <c r="AZ11" s="289"/>
      <c r="BA11" s="289"/>
      <c r="BB11" s="289"/>
      <c r="BC11" s="289"/>
      <c r="BD11" s="266">
        <v>80543366</v>
      </c>
      <c r="BE11" s="293">
        <v>66432014.780000001</v>
      </c>
      <c r="BF11" s="293">
        <v>66432014.780000001</v>
      </c>
      <c r="BG11" s="289"/>
      <c r="BH11" s="289"/>
      <c r="BI11" s="289"/>
      <c r="BJ11" s="289"/>
      <c r="BK11" s="289"/>
      <c r="BL11" s="289"/>
      <c r="BM11" s="289"/>
      <c r="BN11" s="289"/>
      <c r="BO11" s="289"/>
      <c r="BP11" s="273">
        <f>+Z11+AC11+AF11+AI11+AL11+AO11+AR11+AU11+AX11+BA11+BD11+BG11+BJ11</f>
        <v>80543366</v>
      </c>
      <c r="BQ11" s="273">
        <f>+AA11+AD11+AG11+AJ11+AM11+AP11+AS11+AV11+AY11+BB11+BE11+BH11+BK11</f>
        <v>66432014.780000001</v>
      </c>
      <c r="BR11" s="273">
        <f>+AB11+AE11+AH11+AK11+AN11+AQ11+AT11+AW11+AZ11+BC11+BF11+BI11+BL11</f>
        <v>66432014.780000001</v>
      </c>
      <c r="BS11" s="245" t="s">
        <v>1644</v>
      </c>
      <c r="BT11" s="233"/>
    </row>
    <row r="12" spans="1:110" s="27" customFormat="1" ht="165" customHeight="1" x14ac:dyDescent="0.2">
      <c r="A12" s="217">
        <v>305</v>
      </c>
      <c r="B12" s="287" t="s">
        <v>1613</v>
      </c>
      <c r="C12" s="213">
        <v>4</v>
      </c>
      <c r="D12" s="216" t="s">
        <v>1612</v>
      </c>
      <c r="E12" s="213">
        <v>45</v>
      </c>
      <c r="F12" s="216" t="s">
        <v>38</v>
      </c>
      <c r="G12" s="213">
        <v>4502</v>
      </c>
      <c r="H12" s="216" t="s">
        <v>1566</v>
      </c>
      <c r="I12" s="213">
        <v>4502</v>
      </c>
      <c r="J12" s="216" t="s">
        <v>1567</v>
      </c>
      <c r="K12" s="216" t="s">
        <v>70</v>
      </c>
      <c r="L12" s="213" t="s">
        <v>41</v>
      </c>
      <c r="M12" s="216" t="s">
        <v>71</v>
      </c>
      <c r="N12" s="213">
        <v>4502001</v>
      </c>
      <c r="O12" s="216" t="s">
        <v>72</v>
      </c>
      <c r="P12" s="213" t="s">
        <v>41</v>
      </c>
      <c r="Q12" s="291" t="s">
        <v>73</v>
      </c>
      <c r="R12" s="292">
        <v>450200100</v>
      </c>
      <c r="S12" s="291" t="s">
        <v>74</v>
      </c>
      <c r="T12" s="236" t="s">
        <v>1671</v>
      </c>
      <c r="U12" s="288">
        <v>1</v>
      </c>
      <c r="V12" s="288">
        <v>1</v>
      </c>
      <c r="W12" s="236" t="s">
        <v>75</v>
      </c>
      <c r="X12" s="216" t="s">
        <v>76</v>
      </c>
      <c r="Y12" s="216" t="s">
        <v>77</v>
      </c>
      <c r="Z12" s="289"/>
      <c r="AA12" s="289"/>
      <c r="AB12" s="289"/>
      <c r="AC12" s="289"/>
      <c r="AD12" s="289"/>
      <c r="AE12" s="289"/>
      <c r="AF12" s="289"/>
      <c r="AG12" s="289"/>
      <c r="AH12" s="289"/>
      <c r="AI12" s="289"/>
      <c r="AJ12" s="289"/>
      <c r="AK12" s="289"/>
      <c r="AL12" s="289"/>
      <c r="AM12" s="289"/>
      <c r="AN12" s="289"/>
      <c r="AO12" s="289"/>
      <c r="AP12" s="289"/>
      <c r="AQ12" s="289"/>
      <c r="AR12" s="289"/>
      <c r="AS12" s="289"/>
      <c r="AT12" s="289"/>
      <c r="AU12" s="289"/>
      <c r="AV12" s="289"/>
      <c r="AW12" s="289"/>
      <c r="AX12" s="289"/>
      <c r="AY12" s="289"/>
      <c r="AZ12" s="289"/>
      <c r="BA12" s="289"/>
      <c r="BB12" s="289"/>
      <c r="BC12" s="289"/>
      <c r="BD12" s="234">
        <v>110600000</v>
      </c>
      <c r="BE12" s="294">
        <v>87108467</v>
      </c>
      <c r="BF12" s="294">
        <v>87108467</v>
      </c>
      <c r="BG12" s="289"/>
      <c r="BH12" s="289"/>
      <c r="BI12" s="289"/>
      <c r="BJ12" s="289"/>
      <c r="BK12" s="289"/>
      <c r="BL12" s="289"/>
      <c r="BM12" s="289"/>
      <c r="BN12" s="289"/>
      <c r="BO12" s="289"/>
      <c r="BP12" s="273">
        <f>+Z12+AC12+AF12+AI12+AL12+AO12+AR12+AU12+AX12+BA12+BD12+BG12+BJ12</f>
        <v>110600000</v>
      </c>
      <c r="BQ12" s="273">
        <f t="shared" ref="BP12:BR13" si="1">+AA12+AD12+AG12+AJ12+AM12+AP12+AS12+AV12+AY12+BB12+BE12+BH12+BK12</f>
        <v>87108467</v>
      </c>
      <c r="BR12" s="273">
        <f t="shared" si="1"/>
        <v>87108467</v>
      </c>
      <c r="BS12" s="246" t="s">
        <v>1645</v>
      </c>
      <c r="BT12" s="233"/>
    </row>
    <row r="13" spans="1:110" s="27" customFormat="1" ht="107.25" customHeight="1" x14ac:dyDescent="0.2">
      <c r="A13" s="217">
        <v>305</v>
      </c>
      <c r="B13" s="287" t="s">
        <v>1613</v>
      </c>
      <c r="C13" s="213">
        <v>4</v>
      </c>
      <c r="D13" s="216" t="s">
        <v>1612</v>
      </c>
      <c r="E13" s="213">
        <v>45</v>
      </c>
      <c r="F13" s="216" t="s">
        <v>38</v>
      </c>
      <c r="G13" s="213">
        <v>4502</v>
      </c>
      <c r="H13" s="216" t="s">
        <v>1566</v>
      </c>
      <c r="I13" s="213">
        <v>4502</v>
      </c>
      <c r="J13" s="216" t="s">
        <v>1567</v>
      </c>
      <c r="K13" s="216" t="s">
        <v>61</v>
      </c>
      <c r="L13" s="213" t="s">
        <v>41</v>
      </c>
      <c r="M13" s="295" t="s">
        <v>78</v>
      </c>
      <c r="N13" s="292">
        <v>4502001</v>
      </c>
      <c r="O13" s="295" t="s">
        <v>72</v>
      </c>
      <c r="P13" s="213" t="s">
        <v>41</v>
      </c>
      <c r="Q13" s="291" t="s">
        <v>79</v>
      </c>
      <c r="R13" s="292">
        <v>450200101</v>
      </c>
      <c r="S13" s="291" t="s">
        <v>1471</v>
      </c>
      <c r="T13" s="236" t="s">
        <v>1671</v>
      </c>
      <c r="U13" s="288">
        <v>12</v>
      </c>
      <c r="V13" s="288">
        <v>12</v>
      </c>
      <c r="W13" s="236" t="s">
        <v>80</v>
      </c>
      <c r="X13" s="216" t="s">
        <v>81</v>
      </c>
      <c r="Y13" s="216" t="s">
        <v>82</v>
      </c>
      <c r="Z13" s="289"/>
      <c r="AA13" s="289"/>
      <c r="AB13" s="289"/>
      <c r="AC13" s="289"/>
      <c r="AD13" s="289"/>
      <c r="AE13" s="289"/>
      <c r="AF13" s="289"/>
      <c r="AG13" s="289"/>
      <c r="AH13" s="289"/>
      <c r="AI13" s="289"/>
      <c r="AJ13" s="289"/>
      <c r="AK13" s="289"/>
      <c r="AL13" s="289"/>
      <c r="AM13" s="289"/>
      <c r="AN13" s="289"/>
      <c r="AO13" s="289"/>
      <c r="AP13" s="289"/>
      <c r="AQ13" s="289"/>
      <c r="AR13" s="289"/>
      <c r="AS13" s="289"/>
      <c r="AT13" s="289"/>
      <c r="AU13" s="289"/>
      <c r="AV13" s="289"/>
      <c r="AW13" s="289"/>
      <c r="AX13" s="289"/>
      <c r="AY13" s="289"/>
      <c r="AZ13" s="289"/>
      <c r="BA13" s="289"/>
      <c r="BB13" s="289"/>
      <c r="BC13" s="289"/>
      <c r="BD13" s="234">
        <v>14925000</v>
      </c>
      <c r="BE13" s="294">
        <v>14925000</v>
      </c>
      <c r="BF13" s="294">
        <v>14925000</v>
      </c>
      <c r="BG13" s="289"/>
      <c r="BH13" s="289"/>
      <c r="BI13" s="289"/>
      <c r="BJ13" s="289"/>
      <c r="BK13" s="289"/>
      <c r="BL13" s="289"/>
      <c r="BM13" s="289"/>
      <c r="BN13" s="289"/>
      <c r="BO13" s="289"/>
      <c r="BP13" s="273">
        <f t="shared" si="1"/>
        <v>14925000</v>
      </c>
      <c r="BQ13" s="273">
        <f t="shared" si="1"/>
        <v>14925000</v>
      </c>
      <c r="BR13" s="273">
        <f t="shared" si="1"/>
        <v>14925000</v>
      </c>
      <c r="BS13" s="246" t="s">
        <v>1645</v>
      </c>
      <c r="BT13" s="233"/>
    </row>
    <row r="14" spans="1:110" s="27" customFormat="1" ht="198.75" customHeight="1" x14ac:dyDescent="0.2">
      <c r="A14" s="217">
        <v>305</v>
      </c>
      <c r="B14" s="287" t="s">
        <v>1613</v>
      </c>
      <c r="C14" s="213">
        <v>4</v>
      </c>
      <c r="D14" s="216" t="s">
        <v>1612</v>
      </c>
      <c r="E14" s="213">
        <v>45</v>
      </c>
      <c r="F14" s="216" t="s">
        <v>38</v>
      </c>
      <c r="G14" s="213" t="s">
        <v>41</v>
      </c>
      <c r="H14" s="216" t="s">
        <v>1570</v>
      </c>
      <c r="I14" s="213">
        <v>4599</v>
      </c>
      <c r="J14" s="216" t="s">
        <v>1571</v>
      </c>
      <c r="K14" s="216" t="s">
        <v>40</v>
      </c>
      <c r="L14" s="213" t="s">
        <v>41</v>
      </c>
      <c r="M14" s="216" t="s">
        <v>83</v>
      </c>
      <c r="N14" s="213">
        <v>4599018</v>
      </c>
      <c r="O14" s="216" t="s">
        <v>84</v>
      </c>
      <c r="P14" s="213" t="s">
        <v>41</v>
      </c>
      <c r="Q14" s="216" t="s">
        <v>85</v>
      </c>
      <c r="R14" s="213">
        <v>459901800</v>
      </c>
      <c r="S14" s="216" t="s">
        <v>86</v>
      </c>
      <c r="T14" s="236" t="s">
        <v>1671</v>
      </c>
      <c r="U14" s="213">
        <v>5</v>
      </c>
      <c r="V14" s="213">
        <v>3.41</v>
      </c>
      <c r="W14" s="236" t="s">
        <v>87</v>
      </c>
      <c r="X14" s="216" t="s">
        <v>88</v>
      </c>
      <c r="Y14" s="216" t="s">
        <v>89</v>
      </c>
      <c r="Z14" s="289"/>
      <c r="AA14" s="289"/>
      <c r="AB14" s="289"/>
      <c r="AC14" s="289"/>
      <c r="AD14" s="289"/>
      <c r="AE14" s="289"/>
      <c r="AF14" s="289"/>
      <c r="AG14" s="289"/>
      <c r="AH14" s="289"/>
      <c r="AI14" s="289"/>
      <c r="AJ14" s="289"/>
      <c r="AK14" s="289"/>
      <c r="AL14" s="289"/>
      <c r="AM14" s="289"/>
      <c r="AN14" s="289"/>
      <c r="AO14" s="289"/>
      <c r="AP14" s="289"/>
      <c r="AQ14" s="289"/>
      <c r="AR14" s="289"/>
      <c r="AS14" s="289"/>
      <c r="AT14" s="289"/>
      <c r="AU14" s="289"/>
      <c r="AV14" s="289"/>
      <c r="AW14" s="289"/>
      <c r="AX14" s="289"/>
      <c r="AY14" s="289"/>
      <c r="AZ14" s="289"/>
      <c r="BA14" s="289"/>
      <c r="BB14" s="289"/>
      <c r="BC14" s="289"/>
      <c r="BD14" s="266">
        <v>220682500</v>
      </c>
      <c r="BE14" s="273">
        <v>216173985</v>
      </c>
      <c r="BF14" s="273">
        <v>216173985</v>
      </c>
      <c r="BG14" s="289"/>
      <c r="BH14" s="289"/>
      <c r="BI14" s="289"/>
      <c r="BJ14" s="289"/>
      <c r="BK14" s="289"/>
      <c r="BL14" s="289"/>
      <c r="BM14" s="289"/>
      <c r="BN14" s="289"/>
      <c r="BO14" s="289"/>
      <c r="BP14" s="273">
        <f t="shared" ref="BP14:BP23" si="2">+Z14+AC14+AF14+AI14+AL14+AO14+AR14+AU14+AX14+BA14+BD14+BG14+BJ14</f>
        <v>220682500</v>
      </c>
      <c r="BQ14" s="273">
        <f t="shared" ref="BQ14:BQ23" si="3">+AA14+AD14+AG14+AJ14+AM14+AP14+AS14+AV14+AY14+BB14+BE14+BH14+BK14</f>
        <v>216173985</v>
      </c>
      <c r="BR14" s="273">
        <f t="shared" ref="BR14:BR23" si="4">+AB14+AE14+AH14+AK14+AN14+AQ14+AT14+AW14+AZ14+BC14+BF14+BI14+BL14</f>
        <v>216173985</v>
      </c>
      <c r="BS14" s="246" t="s">
        <v>1645</v>
      </c>
      <c r="BT14" s="233"/>
    </row>
    <row r="15" spans="1:110" s="27" customFormat="1" ht="143.25" customHeight="1" x14ac:dyDescent="0.2">
      <c r="A15" s="217">
        <v>305</v>
      </c>
      <c r="B15" s="287" t="s">
        <v>1613</v>
      </c>
      <c r="C15" s="213">
        <v>4</v>
      </c>
      <c r="D15" s="216" t="s">
        <v>1612</v>
      </c>
      <c r="E15" s="213">
        <v>45</v>
      </c>
      <c r="F15" s="216" t="s">
        <v>38</v>
      </c>
      <c r="G15" s="213" t="s">
        <v>41</v>
      </c>
      <c r="H15" s="216" t="s">
        <v>1570</v>
      </c>
      <c r="I15" s="213">
        <v>4599</v>
      </c>
      <c r="J15" s="216" t="s">
        <v>1571</v>
      </c>
      <c r="K15" s="216" t="s">
        <v>40</v>
      </c>
      <c r="L15" s="213" t="s">
        <v>41</v>
      </c>
      <c r="M15" s="216" t="s">
        <v>90</v>
      </c>
      <c r="N15" s="213">
        <v>4599025</v>
      </c>
      <c r="O15" s="216" t="s">
        <v>91</v>
      </c>
      <c r="P15" s="213" t="s">
        <v>41</v>
      </c>
      <c r="Q15" s="216" t="s">
        <v>92</v>
      </c>
      <c r="R15" s="213">
        <v>459902500</v>
      </c>
      <c r="S15" s="216" t="s">
        <v>93</v>
      </c>
      <c r="T15" s="236" t="s">
        <v>1671</v>
      </c>
      <c r="U15" s="213">
        <v>1</v>
      </c>
      <c r="V15" s="213">
        <v>1</v>
      </c>
      <c r="W15" s="236" t="s">
        <v>94</v>
      </c>
      <c r="X15" s="216" t="s">
        <v>95</v>
      </c>
      <c r="Y15" s="216" t="s">
        <v>96</v>
      </c>
      <c r="Z15" s="289"/>
      <c r="AA15" s="289"/>
      <c r="AB15" s="289"/>
      <c r="AC15" s="289"/>
      <c r="AD15" s="289"/>
      <c r="AE15" s="289"/>
      <c r="AF15" s="289"/>
      <c r="AG15" s="289"/>
      <c r="AH15" s="289"/>
      <c r="AI15" s="289"/>
      <c r="AJ15" s="289"/>
      <c r="AK15" s="289"/>
      <c r="AL15" s="289"/>
      <c r="AM15" s="289"/>
      <c r="AN15" s="289"/>
      <c r="AO15" s="289"/>
      <c r="AP15" s="289"/>
      <c r="AQ15" s="289"/>
      <c r="AR15" s="289"/>
      <c r="AS15" s="289"/>
      <c r="AT15" s="289"/>
      <c r="AU15" s="289"/>
      <c r="AV15" s="289"/>
      <c r="AW15" s="289"/>
      <c r="AX15" s="289"/>
      <c r="AY15" s="289"/>
      <c r="AZ15" s="289"/>
      <c r="BA15" s="289"/>
      <c r="BB15" s="289"/>
      <c r="BC15" s="289"/>
      <c r="BD15" s="266">
        <v>50776000</v>
      </c>
      <c r="BE15" s="273">
        <v>50776000</v>
      </c>
      <c r="BF15" s="273">
        <v>50776000</v>
      </c>
      <c r="BG15" s="289"/>
      <c r="BH15" s="289"/>
      <c r="BI15" s="289"/>
      <c r="BJ15" s="289"/>
      <c r="BK15" s="289"/>
      <c r="BL15" s="289"/>
      <c r="BM15" s="289"/>
      <c r="BN15" s="289"/>
      <c r="BO15" s="289"/>
      <c r="BP15" s="273">
        <f>+Z15+AC15+AF15+AI15+AL15+AO15+AR15+AU15+AX15+BA15+BD15+BG15+BJ15</f>
        <v>50776000</v>
      </c>
      <c r="BQ15" s="273">
        <f t="shared" si="3"/>
        <v>50776000</v>
      </c>
      <c r="BR15" s="273">
        <f t="shared" si="4"/>
        <v>50776000</v>
      </c>
      <c r="BS15" s="246" t="s">
        <v>1645</v>
      </c>
      <c r="BT15" s="233"/>
    </row>
    <row r="16" spans="1:110" s="27" customFormat="1" ht="178.5" customHeight="1" x14ac:dyDescent="0.2">
      <c r="A16" s="217">
        <v>305</v>
      </c>
      <c r="B16" s="287" t="s">
        <v>1613</v>
      </c>
      <c r="C16" s="213">
        <v>4</v>
      </c>
      <c r="D16" s="216" t="s">
        <v>1612</v>
      </c>
      <c r="E16" s="213">
        <v>45</v>
      </c>
      <c r="F16" s="216" t="s">
        <v>38</v>
      </c>
      <c r="G16" s="213" t="s">
        <v>41</v>
      </c>
      <c r="H16" s="216" t="s">
        <v>1570</v>
      </c>
      <c r="I16" s="213">
        <v>4599</v>
      </c>
      <c r="J16" s="216" t="s">
        <v>1571</v>
      </c>
      <c r="K16" s="216" t="s">
        <v>40</v>
      </c>
      <c r="L16" s="213" t="s">
        <v>41</v>
      </c>
      <c r="M16" s="216" t="s">
        <v>1497</v>
      </c>
      <c r="N16" s="213">
        <v>4599025</v>
      </c>
      <c r="O16" s="216" t="s">
        <v>91</v>
      </c>
      <c r="P16" s="213" t="s">
        <v>41</v>
      </c>
      <c r="Q16" s="216" t="s">
        <v>97</v>
      </c>
      <c r="R16" s="213">
        <v>459902500</v>
      </c>
      <c r="S16" s="216" t="s">
        <v>93</v>
      </c>
      <c r="T16" s="236" t="s">
        <v>1671</v>
      </c>
      <c r="U16" s="213">
        <v>1</v>
      </c>
      <c r="V16" s="213">
        <v>1</v>
      </c>
      <c r="W16" s="236" t="s">
        <v>98</v>
      </c>
      <c r="X16" s="216" t="s">
        <v>99</v>
      </c>
      <c r="Y16" s="216" t="s">
        <v>100</v>
      </c>
      <c r="Z16" s="289"/>
      <c r="AA16" s="289"/>
      <c r="AB16" s="289"/>
      <c r="AC16" s="289"/>
      <c r="AD16" s="289"/>
      <c r="AE16" s="289"/>
      <c r="AF16" s="289"/>
      <c r="AG16" s="289"/>
      <c r="AH16" s="289"/>
      <c r="AI16" s="289"/>
      <c r="AJ16" s="289"/>
      <c r="AK16" s="289"/>
      <c r="AL16" s="289"/>
      <c r="AM16" s="289"/>
      <c r="AN16" s="289"/>
      <c r="AO16" s="289"/>
      <c r="AP16" s="289"/>
      <c r="AQ16" s="289"/>
      <c r="AR16" s="289"/>
      <c r="AS16" s="289"/>
      <c r="AT16" s="289"/>
      <c r="AU16" s="289"/>
      <c r="AV16" s="289"/>
      <c r="AW16" s="289"/>
      <c r="AX16" s="289"/>
      <c r="AY16" s="289"/>
      <c r="AZ16" s="289"/>
      <c r="BA16" s="289"/>
      <c r="BB16" s="289"/>
      <c r="BC16" s="289"/>
      <c r="BD16" s="266">
        <v>298084000</v>
      </c>
      <c r="BE16" s="273">
        <v>293946671</v>
      </c>
      <c r="BF16" s="273">
        <v>293946671</v>
      </c>
      <c r="BG16" s="289"/>
      <c r="BH16" s="289"/>
      <c r="BI16" s="289"/>
      <c r="BJ16" s="289"/>
      <c r="BK16" s="289"/>
      <c r="BL16" s="289"/>
      <c r="BM16" s="289"/>
      <c r="BN16" s="289"/>
      <c r="BO16" s="289"/>
      <c r="BP16" s="273">
        <f>+Z16+AC16+AF16+AI16+AL16+AO16+AR16+AU16+AX16+BA16+BD16+BG16+BJ16</f>
        <v>298084000</v>
      </c>
      <c r="BQ16" s="273">
        <f t="shared" si="3"/>
        <v>293946671</v>
      </c>
      <c r="BR16" s="273">
        <f t="shared" si="4"/>
        <v>293946671</v>
      </c>
      <c r="BS16" s="246" t="s">
        <v>1645</v>
      </c>
      <c r="BT16" s="233"/>
    </row>
    <row r="17" spans="1:72" s="27" customFormat="1" ht="153.75" customHeight="1" x14ac:dyDescent="0.2">
      <c r="A17" s="217">
        <v>305</v>
      </c>
      <c r="B17" s="287" t="s">
        <v>1613</v>
      </c>
      <c r="C17" s="213">
        <v>4</v>
      </c>
      <c r="D17" s="216" t="s">
        <v>1612</v>
      </c>
      <c r="E17" s="213">
        <v>45</v>
      </c>
      <c r="F17" s="216" t="s">
        <v>38</v>
      </c>
      <c r="G17" s="213" t="s">
        <v>41</v>
      </c>
      <c r="H17" s="216" t="s">
        <v>1570</v>
      </c>
      <c r="I17" s="213">
        <v>4599</v>
      </c>
      <c r="J17" s="216" t="s">
        <v>1571</v>
      </c>
      <c r="K17" s="216" t="s">
        <v>101</v>
      </c>
      <c r="L17" s="213" t="s">
        <v>41</v>
      </c>
      <c r="M17" s="216" t="s">
        <v>102</v>
      </c>
      <c r="N17" s="213">
        <v>4599031</v>
      </c>
      <c r="O17" s="216" t="s">
        <v>103</v>
      </c>
      <c r="P17" s="213" t="s">
        <v>41</v>
      </c>
      <c r="Q17" s="216" t="s">
        <v>104</v>
      </c>
      <c r="R17" s="213">
        <v>459903101</v>
      </c>
      <c r="S17" s="216" t="s">
        <v>105</v>
      </c>
      <c r="T17" s="236" t="s">
        <v>1671</v>
      </c>
      <c r="U17" s="213">
        <v>12</v>
      </c>
      <c r="V17" s="213">
        <v>12</v>
      </c>
      <c r="W17" s="236" t="s">
        <v>106</v>
      </c>
      <c r="X17" s="216" t="s">
        <v>107</v>
      </c>
      <c r="Y17" s="216" t="s">
        <v>108</v>
      </c>
      <c r="Z17" s="289"/>
      <c r="AA17" s="289"/>
      <c r="AB17" s="289"/>
      <c r="AC17" s="289"/>
      <c r="AD17" s="289"/>
      <c r="AE17" s="289"/>
      <c r="AF17" s="289"/>
      <c r="AG17" s="289"/>
      <c r="AH17" s="289"/>
      <c r="AI17" s="289"/>
      <c r="AJ17" s="289"/>
      <c r="AK17" s="289"/>
      <c r="AL17" s="289"/>
      <c r="AM17" s="289"/>
      <c r="AN17" s="289"/>
      <c r="AO17" s="289"/>
      <c r="AP17" s="289"/>
      <c r="AQ17" s="289"/>
      <c r="AR17" s="289"/>
      <c r="AS17" s="289"/>
      <c r="AT17" s="289"/>
      <c r="AU17" s="289"/>
      <c r="AV17" s="289"/>
      <c r="AW17" s="289"/>
      <c r="AX17" s="289"/>
      <c r="AY17" s="289"/>
      <c r="AZ17" s="289"/>
      <c r="BA17" s="289"/>
      <c r="BB17" s="289"/>
      <c r="BC17" s="289"/>
      <c r="BD17" s="234">
        <f>10*3600000*1-12460000</f>
        <v>23540000</v>
      </c>
      <c r="BE17" s="273">
        <v>23540000</v>
      </c>
      <c r="BF17" s="273">
        <v>23540000</v>
      </c>
      <c r="BG17" s="289"/>
      <c r="BH17" s="289"/>
      <c r="BI17" s="289"/>
      <c r="BJ17" s="289"/>
      <c r="BK17" s="289"/>
      <c r="BL17" s="289"/>
      <c r="BM17" s="289"/>
      <c r="BN17" s="289"/>
      <c r="BO17" s="289"/>
      <c r="BP17" s="273">
        <f t="shared" si="2"/>
        <v>23540000</v>
      </c>
      <c r="BQ17" s="273">
        <f t="shared" si="3"/>
        <v>23540000</v>
      </c>
      <c r="BR17" s="273">
        <f t="shared" si="4"/>
        <v>23540000</v>
      </c>
      <c r="BS17" s="246" t="s">
        <v>1645</v>
      </c>
      <c r="BT17" s="233"/>
    </row>
    <row r="18" spans="1:72" s="27" customFormat="1" ht="106.5" customHeight="1" x14ac:dyDescent="0.2">
      <c r="A18" s="217">
        <v>305</v>
      </c>
      <c r="B18" s="287" t="s">
        <v>1613</v>
      </c>
      <c r="C18" s="213">
        <v>4</v>
      </c>
      <c r="D18" s="216" t="s">
        <v>1612</v>
      </c>
      <c r="E18" s="213">
        <v>45</v>
      </c>
      <c r="F18" s="216" t="s">
        <v>38</v>
      </c>
      <c r="G18" s="213" t="s">
        <v>41</v>
      </c>
      <c r="H18" s="216" t="s">
        <v>1570</v>
      </c>
      <c r="I18" s="213">
        <v>4599</v>
      </c>
      <c r="J18" s="216" t="s">
        <v>1571</v>
      </c>
      <c r="K18" s="216" t="s">
        <v>101</v>
      </c>
      <c r="L18" s="213" t="s">
        <v>41</v>
      </c>
      <c r="M18" s="216" t="s">
        <v>109</v>
      </c>
      <c r="N18" s="213">
        <v>4599031</v>
      </c>
      <c r="O18" s="216" t="s">
        <v>103</v>
      </c>
      <c r="P18" s="213" t="s">
        <v>41</v>
      </c>
      <c r="Q18" s="216" t="s">
        <v>110</v>
      </c>
      <c r="R18" s="213">
        <v>459903101</v>
      </c>
      <c r="S18" s="216" t="s">
        <v>105</v>
      </c>
      <c r="T18" s="236" t="s">
        <v>1671</v>
      </c>
      <c r="U18" s="213">
        <v>12</v>
      </c>
      <c r="V18" s="213">
        <v>12</v>
      </c>
      <c r="W18" s="236" t="s">
        <v>106</v>
      </c>
      <c r="X18" s="216" t="s">
        <v>107</v>
      </c>
      <c r="Y18" s="216" t="s">
        <v>108</v>
      </c>
      <c r="Z18" s="289"/>
      <c r="AA18" s="289"/>
      <c r="AB18" s="289"/>
      <c r="AC18" s="289"/>
      <c r="AD18" s="289"/>
      <c r="AE18" s="289"/>
      <c r="AF18" s="289"/>
      <c r="AG18" s="289"/>
      <c r="AH18" s="289"/>
      <c r="AI18" s="289"/>
      <c r="AJ18" s="289"/>
      <c r="AK18" s="289"/>
      <c r="AL18" s="289"/>
      <c r="AM18" s="289"/>
      <c r="AN18" s="289"/>
      <c r="AO18" s="289"/>
      <c r="AP18" s="289"/>
      <c r="AQ18" s="289"/>
      <c r="AR18" s="289"/>
      <c r="AS18" s="289"/>
      <c r="AT18" s="289"/>
      <c r="AU18" s="289"/>
      <c r="AV18" s="289"/>
      <c r="AW18" s="289"/>
      <c r="AX18" s="289"/>
      <c r="AY18" s="289"/>
      <c r="AZ18" s="289"/>
      <c r="BA18" s="289"/>
      <c r="BB18" s="289"/>
      <c r="BC18" s="289"/>
      <c r="BD18" s="266">
        <f>10*3600000*1-10035000</f>
        <v>25965000</v>
      </c>
      <c r="BE18" s="294">
        <v>25965000</v>
      </c>
      <c r="BF18" s="294">
        <v>25965000</v>
      </c>
      <c r="BG18" s="289"/>
      <c r="BH18" s="289"/>
      <c r="BI18" s="289"/>
      <c r="BJ18" s="289"/>
      <c r="BK18" s="289"/>
      <c r="BL18" s="289"/>
      <c r="BM18" s="289"/>
      <c r="BN18" s="289"/>
      <c r="BO18" s="289"/>
      <c r="BP18" s="273">
        <f t="shared" si="2"/>
        <v>25965000</v>
      </c>
      <c r="BQ18" s="273">
        <f t="shared" si="3"/>
        <v>25965000</v>
      </c>
      <c r="BR18" s="273">
        <f t="shared" si="4"/>
        <v>25965000</v>
      </c>
      <c r="BS18" s="246" t="s">
        <v>1645</v>
      </c>
      <c r="BT18" s="233"/>
    </row>
    <row r="19" spans="1:72" s="27" customFormat="1" ht="111" customHeight="1" x14ac:dyDescent="0.2">
      <c r="A19" s="217">
        <v>305</v>
      </c>
      <c r="B19" s="287" t="s">
        <v>1613</v>
      </c>
      <c r="C19" s="213">
        <v>4</v>
      </c>
      <c r="D19" s="216" t="s">
        <v>1612</v>
      </c>
      <c r="E19" s="213">
        <v>45</v>
      </c>
      <c r="F19" s="216" t="s">
        <v>38</v>
      </c>
      <c r="G19" s="213" t="s">
        <v>41</v>
      </c>
      <c r="H19" s="216" t="s">
        <v>1570</v>
      </c>
      <c r="I19" s="213">
        <v>4599</v>
      </c>
      <c r="J19" s="216" t="s">
        <v>1571</v>
      </c>
      <c r="K19" s="216" t="s">
        <v>101</v>
      </c>
      <c r="L19" s="213" t="s">
        <v>41</v>
      </c>
      <c r="M19" s="216" t="s">
        <v>111</v>
      </c>
      <c r="N19" s="213">
        <v>4599031</v>
      </c>
      <c r="O19" s="216" t="s">
        <v>103</v>
      </c>
      <c r="P19" s="213" t="s">
        <v>41</v>
      </c>
      <c r="Q19" s="214" t="s">
        <v>112</v>
      </c>
      <c r="R19" s="213">
        <v>459903101</v>
      </c>
      <c r="S19" s="214" t="s">
        <v>105</v>
      </c>
      <c r="T19" s="236" t="s">
        <v>1671</v>
      </c>
      <c r="U19" s="213">
        <v>12</v>
      </c>
      <c r="V19" s="213">
        <v>12</v>
      </c>
      <c r="W19" s="236" t="s">
        <v>106</v>
      </c>
      <c r="X19" s="216" t="s">
        <v>107</v>
      </c>
      <c r="Y19" s="216" t="s">
        <v>108</v>
      </c>
      <c r="Z19" s="289"/>
      <c r="AA19" s="289"/>
      <c r="AB19" s="289"/>
      <c r="AC19" s="289"/>
      <c r="AD19" s="289"/>
      <c r="AE19" s="289"/>
      <c r="AF19" s="289"/>
      <c r="AG19" s="289"/>
      <c r="AH19" s="289"/>
      <c r="AI19" s="289"/>
      <c r="AJ19" s="289"/>
      <c r="AK19" s="289"/>
      <c r="AL19" s="289"/>
      <c r="AM19" s="289"/>
      <c r="AN19" s="289"/>
      <c r="AO19" s="289"/>
      <c r="AP19" s="289"/>
      <c r="AQ19" s="289"/>
      <c r="AR19" s="289"/>
      <c r="AS19" s="289"/>
      <c r="AT19" s="289"/>
      <c r="AU19" s="289"/>
      <c r="AV19" s="289"/>
      <c r="AW19" s="289"/>
      <c r="AX19" s="289"/>
      <c r="AY19" s="289"/>
      <c r="AZ19" s="289"/>
      <c r="BA19" s="289"/>
      <c r="BB19" s="289"/>
      <c r="BC19" s="289"/>
      <c r="BD19" s="266">
        <v>24465000</v>
      </c>
      <c r="BE19" s="294">
        <v>24426333</v>
      </c>
      <c r="BF19" s="294">
        <v>24426333</v>
      </c>
      <c r="BG19" s="289"/>
      <c r="BH19" s="289"/>
      <c r="BI19" s="289"/>
      <c r="BJ19" s="289"/>
      <c r="BK19" s="289"/>
      <c r="BL19" s="289"/>
      <c r="BM19" s="289"/>
      <c r="BN19" s="289"/>
      <c r="BO19" s="289"/>
      <c r="BP19" s="273">
        <f t="shared" si="2"/>
        <v>24465000</v>
      </c>
      <c r="BQ19" s="273">
        <f t="shared" si="3"/>
        <v>24426333</v>
      </c>
      <c r="BR19" s="273">
        <f t="shared" si="4"/>
        <v>24426333</v>
      </c>
      <c r="BS19" s="246" t="s">
        <v>1645</v>
      </c>
      <c r="BT19" s="233"/>
    </row>
    <row r="20" spans="1:72" s="27" customFormat="1" ht="136.5" customHeight="1" x14ac:dyDescent="0.2">
      <c r="A20" s="217">
        <v>305</v>
      </c>
      <c r="B20" s="287" t="s">
        <v>1613</v>
      </c>
      <c r="C20" s="213">
        <v>4</v>
      </c>
      <c r="D20" s="216" t="s">
        <v>1612</v>
      </c>
      <c r="E20" s="213">
        <v>45</v>
      </c>
      <c r="F20" s="216" t="s">
        <v>38</v>
      </c>
      <c r="G20" s="213" t="s">
        <v>41</v>
      </c>
      <c r="H20" s="216" t="s">
        <v>1570</v>
      </c>
      <c r="I20" s="213">
        <v>4599</v>
      </c>
      <c r="J20" s="216" t="s">
        <v>1571</v>
      </c>
      <c r="K20" s="216" t="s">
        <v>101</v>
      </c>
      <c r="L20" s="213" t="s">
        <v>41</v>
      </c>
      <c r="M20" s="216" t="s">
        <v>113</v>
      </c>
      <c r="N20" s="213">
        <v>4599031</v>
      </c>
      <c r="O20" s="216" t="s">
        <v>103</v>
      </c>
      <c r="P20" s="213" t="s">
        <v>41</v>
      </c>
      <c r="Q20" s="291" t="s">
        <v>112</v>
      </c>
      <c r="R20" s="213">
        <v>459903101</v>
      </c>
      <c r="S20" s="214" t="s">
        <v>105</v>
      </c>
      <c r="T20" s="236" t="s">
        <v>1671</v>
      </c>
      <c r="U20" s="213">
        <v>12</v>
      </c>
      <c r="V20" s="213">
        <v>12</v>
      </c>
      <c r="W20" s="236" t="s">
        <v>106</v>
      </c>
      <c r="X20" s="216" t="s">
        <v>107</v>
      </c>
      <c r="Y20" s="216" t="s">
        <v>108</v>
      </c>
      <c r="Z20" s="289"/>
      <c r="AA20" s="289"/>
      <c r="AB20" s="289"/>
      <c r="AC20" s="289"/>
      <c r="AD20" s="289"/>
      <c r="AE20" s="289"/>
      <c r="AF20" s="289"/>
      <c r="AG20" s="289"/>
      <c r="AH20" s="289"/>
      <c r="AI20" s="289"/>
      <c r="AJ20" s="289"/>
      <c r="AK20" s="289"/>
      <c r="AL20" s="289"/>
      <c r="AM20" s="289"/>
      <c r="AN20" s="289"/>
      <c r="AO20" s="289"/>
      <c r="AP20" s="289"/>
      <c r="AQ20" s="289"/>
      <c r="AR20" s="289"/>
      <c r="AS20" s="289"/>
      <c r="AT20" s="289"/>
      <c r="AU20" s="289"/>
      <c r="AV20" s="289"/>
      <c r="AW20" s="289"/>
      <c r="AX20" s="289"/>
      <c r="AY20" s="289"/>
      <c r="AZ20" s="289"/>
      <c r="BA20" s="289"/>
      <c r="BB20" s="289"/>
      <c r="BC20" s="289"/>
      <c r="BD20" s="266">
        <f>10*3600000*1+24000000-24000000-11477500</f>
        <v>24522500</v>
      </c>
      <c r="BE20" s="273">
        <v>24522500</v>
      </c>
      <c r="BF20" s="273">
        <v>24522500</v>
      </c>
      <c r="BG20" s="289"/>
      <c r="BH20" s="289"/>
      <c r="BI20" s="289"/>
      <c r="BJ20" s="289"/>
      <c r="BK20" s="289"/>
      <c r="BL20" s="289"/>
      <c r="BM20" s="289"/>
      <c r="BN20" s="289"/>
      <c r="BO20" s="289"/>
      <c r="BP20" s="273">
        <f t="shared" si="2"/>
        <v>24522500</v>
      </c>
      <c r="BQ20" s="273">
        <f t="shared" si="3"/>
        <v>24522500</v>
      </c>
      <c r="BR20" s="273">
        <f t="shared" si="4"/>
        <v>24522500</v>
      </c>
      <c r="BS20" s="246" t="s">
        <v>1645</v>
      </c>
      <c r="BT20" s="233"/>
    </row>
    <row r="21" spans="1:72" s="27" customFormat="1" ht="144" customHeight="1" x14ac:dyDescent="0.2">
      <c r="A21" s="217">
        <v>305</v>
      </c>
      <c r="B21" s="287" t="s">
        <v>1613</v>
      </c>
      <c r="C21" s="213">
        <v>4</v>
      </c>
      <c r="D21" s="216" t="s">
        <v>1612</v>
      </c>
      <c r="E21" s="213">
        <v>45</v>
      </c>
      <c r="F21" s="216" t="s">
        <v>38</v>
      </c>
      <c r="G21" s="213" t="s">
        <v>41</v>
      </c>
      <c r="H21" s="216" t="s">
        <v>1570</v>
      </c>
      <c r="I21" s="213">
        <v>4599</v>
      </c>
      <c r="J21" s="216" t="s">
        <v>1571</v>
      </c>
      <c r="K21" s="216" t="s">
        <v>101</v>
      </c>
      <c r="L21" s="213" t="s">
        <v>41</v>
      </c>
      <c r="M21" s="216" t="s">
        <v>114</v>
      </c>
      <c r="N21" s="213">
        <v>4599031</v>
      </c>
      <c r="O21" s="216" t="s">
        <v>103</v>
      </c>
      <c r="P21" s="213" t="s">
        <v>41</v>
      </c>
      <c r="Q21" s="216" t="s">
        <v>112</v>
      </c>
      <c r="R21" s="213">
        <v>459903101</v>
      </c>
      <c r="S21" s="216" t="s">
        <v>105</v>
      </c>
      <c r="T21" s="236" t="s">
        <v>1671</v>
      </c>
      <c r="U21" s="213">
        <v>12</v>
      </c>
      <c r="V21" s="213">
        <v>12</v>
      </c>
      <c r="W21" s="236" t="s">
        <v>106</v>
      </c>
      <c r="X21" s="216" t="s">
        <v>107</v>
      </c>
      <c r="Y21" s="216" t="s">
        <v>108</v>
      </c>
      <c r="Z21" s="289"/>
      <c r="AA21" s="289"/>
      <c r="AB21" s="289"/>
      <c r="AC21" s="289"/>
      <c r="AD21" s="289"/>
      <c r="AE21" s="289"/>
      <c r="AF21" s="289"/>
      <c r="AG21" s="289"/>
      <c r="AH21" s="289"/>
      <c r="AI21" s="289"/>
      <c r="AJ21" s="289"/>
      <c r="AK21" s="289"/>
      <c r="AL21" s="289"/>
      <c r="AM21" s="289"/>
      <c r="AN21" s="289"/>
      <c r="AO21" s="289"/>
      <c r="AP21" s="289"/>
      <c r="AQ21" s="289"/>
      <c r="AR21" s="289"/>
      <c r="AS21" s="289"/>
      <c r="AT21" s="289"/>
      <c r="AU21" s="289"/>
      <c r="AV21" s="289"/>
      <c r="AW21" s="289"/>
      <c r="AX21" s="289"/>
      <c r="AY21" s="289"/>
      <c r="AZ21" s="289"/>
      <c r="BA21" s="289"/>
      <c r="BB21" s="289"/>
      <c r="BC21" s="289"/>
      <c r="BD21" s="266">
        <f>10*3600000*1+24000000-33000000</f>
        <v>27000000</v>
      </c>
      <c r="BE21" s="294">
        <v>27000000</v>
      </c>
      <c r="BF21" s="294">
        <v>27000000</v>
      </c>
      <c r="BG21" s="289"/>
      <c r="BH21" s="289"/>
      <c r="BI21" s="289"/>
      <c r="BJ21" s="289"/>
      <c r="BK21" s="289"/>
      <c r="BL21" s="289"/>
      <c r="BM21" s="289"/>
      <c r="BN21" s="289"/>
      <c r="BO21" s="289"/>
      <c r="BP21" s="273">
        <f t="shared" si="2"/>
        <v>27000000</v>
      </c>
      <c r="BQ21" s="273">
        <f t="shared" si="3"/>
        <v>27000000</v>
      </c>
      <c r="BR21" s="273">
        <f t="shared" si="4"/>
        <v>27000000</v>
      </c>
      <c r="BS21" s="246" t="s">
        <v>1645</v>
      </c>
      <c r="BT21" s="233"/>
    </row>
    <row r="22" spans="1:72" s="27" customFormat="1" ht="135" customHeight="1" x14ac:dyDescent="0.2">
      <c r="A22" s="217">
        <v>305</v>
      </c>
      <c r="B22" s="287" t="s">
        <v>1613</v>
      </c>
      <c r="C22" s="213">
        <v>4</v>
      </c>
      <c r="D22" s="216" t="s">
        <v>1612</v>
      </c>
      <c r="E22" s="213">
        <v>45</v>
      </c>
      <c r="F22" s="216" t="s">
        <v>38</v>
      </c>
      <c r="G22" s="213" t="s">
        <v>41</v>
      </c>
      <c r="H22" s="216" t="s">
        <v>1570</v>
      </c>
      <c r="I22" s="213">
        <v>4599</v>
      </c>
      <c r="J22" s="216" t="s">
        <v>1571</v>
      </c>
      <c r="K22" s="216" t="s">
        <v>101</v>
      </c>
      <c r="L22" s="213" t="s">
        <v>41</v>
      </c>
      <c r="M22" s="216" t="s">
        <v>115</v>
      </c>
      <c r="N22" s="213">
        <v>4599031</v>
      </c>
      <c r="O22" s="216" t="s">
        <v>103</v>
      </c>
      <c r="P22" s="213" t="s">
        <v>41</v>
      </c>
      <c r="Q22" s="216" t="s">
        <v>112</v>
      </c>
      <c r="R22" s="213">
        <v>459903101</v>
      </c>
      <c r="S22" s="216" t="s">
        <v>105</v>
      </c>
      <c r="T22" s="236" t="s">
        <v>1671</v>
      </c>
      <c r="U22" s="213">
        <v>12</v>
      </c>
      <c r="V22" s="213">
        <v>12</v>
      </c>
      <c r="W22" s="236" t="s">
        <v>106</v>
      </c>
      <c r="X22" s="216" t="s">
        <v>107</v>
      </c>
      <c r="Y22" s="216" t="s">
        <v>108</v>
      </c>
      <c r="Z22" s="289"/>
      <c r="AA22" s="289"/>
      <c r="AB22" s="289"/>
      <c r="AC22" s="289"/>
      <c r="AD22" s="289"/>
      <c r="AE22" s="289"/>
      <c r="AF22" s="289"/>
      <c r="AG22" s="289"/>
      <c r="AH22" s="289"/>
      <c r="AI22" s="289"/>
      <c r="AJ22" s="289"/>
      <c r="AK22" s="289"/>
      <c r="AL22" s="289"/>
      <c r="AM22" s="289"/>
      <c r="AN22" s="289"/>
      <c r="AO22" s="289"/>
      <c r="AP22" s="289"/>
      <c r="AQ22" s="289"/>
      <c r="AR22" s="289"/>
      <c r="AS22" s="289"/>
      <c r="AT22" s="289"/>
      <c r="AU22" s="289"/>
      <c r="AV22" s="289"/>
      <c r="AW22" s="289"/>
      <c r="AX22" s="289"/>
      <c r="AY22" s="289"/>
      <c r="AZ22" s="289"/>
      <c r="BA22" s="289"/>
      <c r="BB22" s="289"/>
      <c r="BC22" s="289"/>
      <c r="BD22" s="234">
        <v>19675833</v>
      </c>
      <c r="BE22" s="273">
        <v>18752500</v>
      </c>
      <c r="BF22" s="273">
        <v>18752500</v>
      </c>
      <c r="BG22" s="289"/>
      <c r="BH22" s="289"/>
      <c r="BI22" s="289"/>
      <c r="BJ22" s="289"/>
      <c r="BK22" s="289"/>
      <c r="BL22" s="289"/>
      <c r="BM22" s="289"/>
      <c r="BN22" s="289"/>
      <c r="BO22" s="289"/>
      <c r="BP22" s="273">
        <f t="shared" si="2"/>
        <v>19675833</v>
      </c>
      <c r="BQ22" s="273">
        <f t="shared" si="3"/>
        <v>18752500</v>
      </c>
      <c r="BR22" s="273">
        <f t="shared" si="4"/>
        <v>18752500</v>
      </c>
      <c r="BS22" s="246" t="s">
        <v>1645</v>
      </c>
      <c r="BT22" s="233"/>
    </row>
    <row r="23" spans="1:72" s="27" customFormat="1" ht="138" customHeight="1" x14ac:dyDescent="0.2">
      <c r="A23" s="217">
        <v>305</v>
      </c>
      <c r="B23" s="287" t="s">
        <v>1613</v>
      </c>
      <c r="C23" s="213">
        <v>4</v>
      </c>
      <c r="D23" s="216" t="s">
        <v>1612</v>
      </c>
      <c r="E23" s="213">
        <v>45</v>
      </c>
      <c r="F23" s="216" t="s">
        <v>38</v>
      </c>
      <c r="G23" s="213" t="s">
        <v>41</v>
      </c>
      <c r="H23" s="216" t="s">
        <v>1570</v>
      </c>
      <c r="I23" s="213">
        <v>4599</v>
      </c>
      <c r="J23" s="216" t="s">
        <v>1571</v>
      </c>
      <c r="K23" s="216" t="s">
        <v>40</v>
      </c>
      <c r="L23" s="213" t="s">
        <v>41</v>
      </c>
      <c r="M23" s="216" t="s">
        <v>42</v>
      </c>
      <c r="N23" s="213">
        <v>4599023</v>
      </c>
      <c r="O23" s="216" t="s">
        <v>116</v>
      </c>
      <c r="P23" s="213" t="s">
        <v>41</v>
      </c>
      <c r="Q23" s="214" t="s">
        <v>117</v>
      </c>
      <c r="R23" s="213">
        <v>459902300</v>
      </c>
      <c r="S23" s="214" t="s">
        <v>45</v>
      </c>
      <c r="T23" s="236" t="s">
        <v>1671</v>
      </c>
      <c r="U23" s="213">
        <v>18</v>
      </c>
      <c r="V23" s="213">
        <v>18</v>
      </c>
      <c r="W23" s="236" t="s">
        <v>118</v>
      </c>
      <c r="X23" s="214" t="s">
        <v>119</v>
      </c>
      <c r="Y23" s="214" t="s">
        <v>120</v>
      </c>
      <c r="Z23" s="297"/>
      <c r="AA23" s="297"/>
      <c r="AB23" s="297"/>
      <c r="AC23" s="297"/>
      <c r="AD23" s="297"/>
      <c r="AE23" s="297"/>
      <c r="AF23" s="297"/>
      <c r="AG23" s="297"/>
      <c r="AH23" s="297"/>
      <c r="AI23" s="297"/>
      <c r="AJ23" s="297"/>
      <c r="AK23" s="297"/>
      <c r="AL23" s="297"/>
      <c r="AM23" s="297"/>
      <c r="AN23" s="297"/>
      <c r="AO23" s="297"/>
      <c r="AP23" s="297"/>
      <c r="AQ23" s="297"/>
      <c r="AR23" s="297"/>
      <c r="AS23" s="297"/>
      <c r="AT23" s="297"/>
      <c r="AU23" s="297"/>
      <c r="AV23" s="297"/>
      <c r="AW23" s="297"/>
      <c r="AX23" s="297"/>
      <c r="AY23" s="297"/>
      <c r="AZ23" s="297"/>
      <c r="BA23" s="297"/>
      <c r="BB23" s="297"/>
      <c r="BC23" s="297"/>
      <c r="BD23" s="234">
        <v>70730000</v>
      </c>
      <c r="BE23" s="294">
        <v>70730000</v>
      </c>
      <c r="BF23" s="294">
        <v>70730000</v>
      </c>
      <c r="BG23" s="297"/>
      <c r="BH23" s="297"/>
      <c r="BI23" s="297"/>
      <c r="BJ23" s="297"/>
      <c r="BK23" s="297"/>
      <c r="BL23" s="297"/>
      <c r="BM23" s="297"/>
      <c r="BN23" s="297"/>
      <c r="BO23" s="297"/>
      <c r="BP23" s="273">
        <f t="shared" si="2"/>
        <v>70730000</v>
      </c>
      <c r="BQ23" s="273">
        <f t="shared" si="3"/>
        <v>70730000</v>
      </c>
      <c r="BR23" s="273">
        <f t="shared" si="4"/>
        <v>70730000</v>
      </c>
      <c r="BS23" s="246" t="s">
        <v>1645</v>
      </c>
      <c r="BT23" s="233"/>
    </row>
    <row r="24" spans="1:72" s="27" customFormat="1" ht="171" customHeight="1" x14ac:dyDescent="0.2">
      <c r="A24" s="217">
        <v>307</v>
      </c>
      <c r="B24" s="287" t="s">
        <v>1615</v>
      </c>
      <c r="C24" s="213">
        <v>4</v>
      </c>
      <c r="D24" s="287" t="s">
        <v>1612</v>
      </c>
      <c r="E24" s="213">
        <v>45</v>
      </c>
      <c r="F24" s="216" t="s">
        <v>38</v>
      </c>
      <c r="G24" s="213" t="s">
        <v>41</v>
      </c>
      <c r="H24" s="216" t="s">
        <v>1570</v>
      </c>
      <c r="I24" s="213">
        <v>4599</v>
      </c>
      <c r="J24" s="216" t="s">
        <v>1571</v>
      </c>
      <c r="K24" s="216" t="s">
        <v>122</v>
      </c>
      <c r="L24" s="213" t="s">
        <v>41</v>
      </c>
      <c r="M24" s="298" t="s">
        <v>123</v>
      </c>
      <c r="N24" s="213">
        <v>4599002</v>
      </c>
      <c r="O24" s="298" t="s">
        <v>50</v>
      </c>
      <c r="P24" s="213" t="s">
        <v>41</v>
      </c>
      <c r="Q24" s="291" t="s">
        <v>124</v>
      </c>
      <c r="R24" s="213">
        <v>459900201</v>
      </c>
      <c r="S24" s="291" t="s">
        <v>125</v>
      </c>
      <c r="T24" s="236" t="s">
        <v>1671</v>
      </c>
      <c r="U24" s="299">
        <v>1</v>
      </c>
      <c r="V24" s="299">
        <v>0.77</v>
      </c>
      <c r="W24" s="236" t="s">
        <v>126</v>
      </c>
      <c r="X24" s="214" t="s">
        <v>127</v>
      </c>
      <c r="Y24" s="216" t="s">
        <v>128</v>
      </c>
      <c r="Z24" s="300"/>
      <c r="AA24" s="300"/>
      <c r="AB24" s="300"/>
      <c r="AC24" s="300"/>
      <c r="AD24" s="300"/>
      <c r="AE24" s="300"/>
      <c r="AF24" s="289"/>
      <c r="AG24" s="289"/>
      <c r="AH24" s="289"/>
      <c r="AI24" s="300"/>
      <c r="AJ24" s="300"/>
      <c r="AK24" s="300"/>
      <c r="AL24" s="300"/>
      <c r="AM24" s="300"/>
      <c r="AN24" s="300"/>
      <c r="AO24" s="300"/>
      <c r="AP24" s="300"/>
      <c r="AQ24" s="300"/>
      <c r="AR24" s="300"/>
      <c r="AS24" s="300"/>
      <c r="AT24" s="300"/>
      <c r="AU24" s="300"/>
      <c r="AV24" s="300"/>
      <c r="AW24" s="300"/>
      <c r="AX24" s="300"/>
      <c r="AY24" s="300"/>
      <c r="AZ24" s="300"/>
      <c r="BA24" s="300"/>
      <c r="BB24" s="300"/>
      <c r="BC24" s="300"/>
      <c r="BD24" s="234">
        <v>1981395879</v>
      </c>
      <c r="BE24" s="294">
        <v>1537073929</v>
      </c>
      <c r="BF24" s="294">
        <v>1537073929</v>
      </c>
      <c r="BG24" s="300"/>
      <c r="BH24" s="300"/>
      <c r="BI24" s="300"/>
      <c r="BJ24" s="301">
        <v>504229463.83999997</v>
      </c>
      <c r="BK24" s="301">
        <v>347030689.68000001</v>
      </c>
      <c r="BL24" s="301">
        <v>347030689.68000001</v>
      </c>
      <c r="BM24" s="301"/>
      <c r="BN24" s="301"/>
      <c r="BO24" s="301"/>
      <c r="BP24" s="273">
        <f t="shared" ref="BP24:BR25" si="5">+Z24+AC24+AF24+AI24+AL24+AO24+AR24+AU24+AX24+BA24+BD24+BG24+BJ24</f>
        <v>2485625342.8400002</v>
      </c>
      <c r="BQ24" s="273">
        <f t="shared" si="5"/>
        <v>1884104618.6800001</v>
      </c>
      <c r="BR24" s="273">
        <f t="shared" si="5"/>
        <v>1884104618.6800001</v>
      </c>
      <c r="BS24" s="236" t="s">
        <v>1646</v>
      </c>
      <c r="BT24" s="233"/>
    </row>
    <row r="25" spans="1:72" s="27" customFormat="1" ht="145.5" customHeight="1" x14ac:dyDescent="0.2">
      <c r="A25" s="217">
        <v>307</v>
      </c>
      <c r="B25" s="287" t="s">
        <v>1615</v>
      </c>
      <c r="C25" s="213">
        <v>4</v>
      </c>
      <c r="D25" s="287" t="s">
        <v>1612</v>
      </c>
      <c r="E25" s="213">
        <v>45</v>
      </c>
      <c r="F25" s="216" t="s">
        <v>38</v>
      </c>
      <c r="G25" s="213" t="s">
        <v>41</v>
      </c>
      <c r="H25" s="216" t="s">
        <v>1570</v>
      </c>
      <c r="I25" s="213">
        <v>4599</v>
      </c>
      <c r="J25" s="216" t="s">
        <v>1571</v>
      </c>
      <c r="K25" s="216" t="s">
        <v>122</v>
      </c>
      <c r="L25" s="213" t="s">
        <v>41</v>
      </c>
      <c r="M25" s="298" t="s">
        <v>129</v>
      </c>
      <c r="N25" s="213">
        <v>4599002</v>
      </c>
      <c r="O25" s="298" t="s">
        <v>130</v>
      </c>
      <c r="P25" s="213" t="s">
        <v>41</v>
      </c>
      <c r="Q25" s="291" t="s">
        <v>131</v>
      </c>
      <c r="R25" s="213">
        <v>459900200</v>
      </c>
      <c r="S25" s="291" t="s">
        <v>1472</v>
      </c>
      <c r="T25" s="236" t="s">
        <v>1671</v>
      </c>
      <c r="U25" s="299">
        <v>1</v>
      </c>
      <c r="V25" s="299">
        <v>1</v>
      </c>
      <c r="W25" s="236" t="s">
        <v>132</v>
      </c>
      <c r="X25" s="214" t="s">
        <v>133</v>
      </c>
      <c r="Y25" s="216" t="s">
        <v>134</v>
      </c>
      <c r="Z25" s="289"/>
      <c r="AA25" s="289"/>
      <c r="AB25" s="289"/>
      <c r="AC25" s="289"/>
      <c r="AD25" s="289"/>
      <c r="AE25" s="289"/>
      <c r="AF25" s="289"/>
      <c r="AG25" s="289"/>
      <c r="AH25" s="289"/>
      <c r="AI25" s="289"/>
      <c r="AJ25" s="289"/>
      <c r="AK25" s="289"/>
      <c r="AL25" s="289"/>
      <c r="AM25" s="289"/>
      <c r="AN25" s="289"/>
      <c r="AO25" s="289"/>
      <c r="AP25" s="289"/>
      <c r="AQ25" s="289"/>
      <c r="AR25" s="289"/>
      <c r="AS25" s="289"/>
      <c r="AT25" s="289"/>
      <c r="AU25" s="289"/>
      <c r="AV25" s="289"/>
      <c r="AW25" s="289"/>
      <c r="AX25" s="289"/>
      <c r="AY25" s="289"/>
      <c r="AZ25" s="289"/>
      <c r="BA25" s="289"/>
      <c r="BB25" s="289"/>
      <c r="BC25" s="289"/>
      <c r="BD25" s="234">
        <v>316000000</v>
      </c>
      <c r="BE25" s="302">
        <v>305180000</v>
      </c>
      <c r="BF25" s="302">
        <v>305180000</v>
      </c>
      <c r="BG25" s="289"/>
      <c r="BH25" s="289"/>
      <c r="BI25" s="289"/>
      <c r="BJ25" s="301"/>
      <c r="BK25" s="289"/>
      <c r="BL25" s="289"/>
      <c r="BM25" s="289"/>
      <c r="BN25" s="289"/>
      <c r="BO25" s="289"/>
      <c r="BP25" s="273">
        <f t="shared" si="5"/>
        <v>316000000</v>
      </c>
      <c r="BQ25" s="273">
        <f t="shared" si="5"/>
        <v>305180000</v>
      </c>
      <c r="BR25" s="273">
        <f t="shared" si="5"/>
        <v>305180000</v>
      </c>
      <c r="BS25" s="236" t="s">
        <v>1646</v>
      </c>
      <c r="BT25" s="233"/>
    </row>
    <row r="26" spans="1:72" s="27" customFormat="1" ht="217.5" customHeight="1" x14ac:dyDescent="0.2">
      <c r="A26" s="217">
        <v>308</v>
      </c>
      <c r="B26" s="216" t="s">
        <v>1618</v>
      </c>
      <c r="C26" s="213">
        <v>1</v>
      </c>
      <c r="D26" s="216" t="s">
        <v>1614</v>
      </c>
      <c r="E26" s="213">
        <v>12</v>
      </c>
      <c r="F26" s="216" t="s">
        <v>137</v>
      </c>
      <c r="G26" s="213">
        <v>1202</v>
      </c>
      <c r="H26" s="216" t="s">
        <v>1573</v>
      </c>
      <c r="I26" s="213">
        <v>1202</v>
      </c>
      <c r="J26" s="216" t="s">
        <v>1572</v>
      </c>
      <c r="K26" s="216" t="s">
        <v>139</v>
      </c>
      <c r="L26" s="213" t="s">
        <v>41</v>
      </c>
      <c r="M26" s="303" t="s">
        <v>140</v>
      </c>
      <c r="N26" s="213">
        <v>1202019</v>
      </c>
      <c r="O26" s="303" t="s">
        <v>141</v>
      </c>
      <c r="P26" s="213" t="s">
        <v>41</v>
      </c>
      <c r="Q26" s="303" t="s">
        <v>142</v>
      </c>
      <c r="R26" s="304">
        <v>120201900</v>
      </c>
      <c r="S26" s="303" t="s">
        <v>143</v>
      </c>
      <c r="T26" s="236" t="s">
        <v>1673</v>
      </c>
      <c r="U26" s="76">
        <v>3</v>
      </c>
      <c r="V26" s="76">
        <v>3</v>
      </c>
      <c r="W26" s="236" t="s">
        <v>144</v>
      </c>
      <c r="X26" s="214" t="s">
        <v>145</v>
      </c>
      <c r="Y26" s="214" t="s">
        <v>146</v>
      </c>
      <c r="Z26" s="305"/>
      <c r="AA26" s="305"/>
      <c r="AB26" s="305"/>
      <c r="AC26" s="289"/>
      <c r="AD26" s="289"/>
      <c r="AE26" s="289"/>
      <c r="AF26" s="289"/>
      <c r="AG26" s="289"/>
      <c r="AH26" s="289"/>
      <c r="AI26" s="289"/>
      <c r="AJ26" s="289"/>
      <c r="AK26" s="289"/>
      <c r="AL26" s="289"/>
      <c r="AM26" s="289"/>
      <c r="AN26" s="289"/>
      <c r="AO26" s="289"/>
      <c r="AP26" s="289"/>
      <c r="AQ26" s="289"/>
      <c r="AR26" s="289"/>
      <c r="AS26" s="289"/>
      <c r="AT26" s="289"/>
      <c r="AU26" s="289"/>
      <c r="AV26" s="289"/>
      <c r="AW26" s="289"/>
      <c r="AX26" s="289"/>
      <c r="AY26" s="289"/>
      <c r="AZ26" s="289"/>
      <c r="BA26" s="289"/>
      <c r="BB26" s="289"/>
      <c r="BC26" s="289"/>
      <c r="BD26" s="294">
        <v>24750000</v>
      </c>
      <c r="BE26" s="294">
        <v>22616827</v>
      </c>
      <c r="BF26" s="294">
        <v>22616827</v>
      </c>
      <c r="BG26" s="289"/>
      <c r="BH26" s="289"/>
      <c r="BI26" s="289"/>
      <c r="BJ26" s="289"/>
      <c r="BK26" s="306"/>
      <c r="BL26" s="306"/>
      <c r="BM26" s="306"/>
      <c r="BN26" s="306"/>
      <c r="BO26" s="306"/>
      <c r="BP26" s="273">
        <f t="shared" ref="BP26:BR30" si="6">+Z26+AC26+AF26+AI26+AL26+AO26+AR26+AU26+AX26+BA26+BD26+BG26+BJ26</f>
        <v>24750000</v>
      </c>
      <c r="BQ26" s="273">
        <f t="shared" si="6"/>
        <v>22616827</v>
      </c>
      <c r="BR26" s="273">
        <f t="shared" si="6"/>
        <v>22616827</v>
      </c>
      <c r="BS26" s="236" t="s">
        <v>1647</v>
      </c>
      <c r="BT26" s="233"/>
    </row>
    <row r="27" spans="1:72" s="27" customFormat="1" ht="156.75" customHeight="1" x14ac:dyDescent="0.2">
      <c r="A27" s="217">
        <v>308</v>
      </c>
      <c r="B27" s="216" t="s">
        <v>1618</v>
      </c>
      <c r="C27" s="213">
        <v>1</v>
      </c>
      <c r="D27" s="216" t="s">
        <v>1614</v>
      </c>
      <c r="E27" s="213">
        <v>19</v>
      </c>
      <c r="F27" s="216" t="s">
        <v>147</v>
      </c>
      <c r="G27" s="213">
        <v>1906</v>
      </c>
      <c r="H27" s="216" t="s">
        <v>1557</v>
      </c>
      <c r="I27" s="213">
        <v>1906</v>
      </c>
      <c r="J27" s="236" t="s">
        <v>1558</v>
      </c>
      <c r="K27" s="216" t="s">
        <v>149</v>
      </c>
      <c r="L27" s="213" t="s">
        <v>41</v>
      </c>
      <c r="M27" s="303" t="s">
        <v>150</v>
      </c>
      <c r="N27" s="213">
        <v>1906015</v>
      </c>
      <c r="O27" s="303" t="s">
        <v>151</v>
      </c>
      <c r="P27" s="213" t="s">
        <v>41</v>
      </c>
      <c r="Q27" s="309" t="s">
        <v>152</v>
      </c>
      <c r="R27" s="74">
        <v>190601500</v>
      </c>
      <c r="S27" s="309" t="s">
        <v>151</v>
      </c>
      <c r="T27" s="236" t="s">
        <v>1673</v>
      </c>
      <c r="U27" s="288">
        <v>1</v>
      </c>
      <c r="V27" s="288">
        <v>0.8</v>
      </c>
      <c r="W27" s="236" t="s">
        <v>153</v>
      </c>
      <c r="X27" s="214" t="s">
        <v>154</v>
      </c>
      <c r="Y27" s="214" t="s">
        <v>155</v>
      </c>
      <c r="Z27" s="305"/>
      <c r="AA27" s="305"/>
      <c r="AB27" s="305"/>
      <c r="AC27" s="289"/>
      <c r="AD27" s="289"/>
      <c r="AE27" s="289"/>
      <c r="AF27" s="289"/>
      <c r="AG27" s="289"/>
      <c r="AH27" s="289"/>
      <c r="AI27" s="289"/>
      <c r="AJ27" s="289"/>
      <c r="AK27" s="289"/>
      <c r="AL27" s="289"/>
      <c r="AM27" s="289"/>
      <c r="AN27" s="289"/>
      <c r="AO27" s="289"/>
      <c r="AP27" s="289"/>
      <c r="AQ27" s="289"/>
      <c r="AR27" s="289"/>
      <c r="AS27" s="289"/>
      <c r="AT27" s="289"/>
      <c r="AU27" s="289"/>
      <c r="AV27" s="289"/>
      <c r="AW27" s="289"/>
      <c r="AX27" s="289"/>
      <c r="AY27" s="289"/>
      <c r="AZ27" s="289"/>
      <c r="BA27" s="289"/>
      <c r="BB27" s="289"/>
      <c r="BC27" s="289"/>
      <c r="BD27" s="294">
        <v>459746979</v>
      </c>
      <c r="BE27" s="294">
        <v>6880000</v>
      </c>
      <c r="BF27" s="294">
        <v>6880000</v>
      </c>
      <c r="BG27" s="289"/>
      <c r="BH27" s="289"/>
      <c r="BI27" s="289"/>
      <c r="BJ27" s="306"/>
      <c r="BK27" s="306"/>
      <c r="BL27" s="306"/>
      <c r="BM27" s="306"/>
      <c r="BN27" s="306"/>
      <c r="BO27" s="306"/>
      <c r="BP27" s="273">
        <f t="shared" si="6"/>
        <v>459746979</v>
      </c>
      <c r="BQ27" s="273">
        <f t="shared" si="6"/>
        <v>6880000</v>
      </c>
      <c r="BR27" s="273">
        <f t="shared" si="6"/>
        <v>6880000</v>
      </c>
      <c r="BS27" s="236" t="s">
        <v>1647</v>
      </c>
      <c r="BT27" s="233"/>
    </row>
    <row r="28" spans="1:72" s="27" customFormat="1" ht="173.25" customHeight="1" x14ac:dyDescent="0.2">
      <c r="A28" s="217">
        <v>308</v>
      </c>
      <c r="B28" s="216" t="s">
        <v>1618</v>
      </c>
      <c r="C28" s="213">
        <v>1</v>
      </c>
      <c r="D28" s="216" t="s">
        <v>1614</v>
      </c>
      <c r="E28" s="213">
        <v>22</v>
      </c>
      <c r="F28" s="310" t="s">
        <v>156</v>
      </c>
      <c r="G28" s="213">
        <v>2201</v>
      </c>
      <c r="H28" s="216" t="s">
        <v>277</v>
      </c>
      <c r="I28" s="213">
        <v>2201</v>
      </c>
      <c r="J28" s="216" t="s">
        <v>1587</v>
      </c>
      <c r="K28" s="216" t="s">
        <v>158</v>
      </c>
      <c r="L28" s="213" t="s">
        <v>41</v>
      </c>
      <c r="M28" s="216" t="s">
        <v>159</v>
      </c>
      <c r="N28" s="213">
        <v>2201062</v>
      </c>
      <c r="O28" s="216" t="s">
        <v>160</v>
      </c>
      <c r="P28" s="213" t="s">
        <v>41</v>
      </c>
      <c r="Q28" s="216" t="s">
        <v>161</v>
      </c>
      <c r="R28" s="213">
        <v>220106200</v>
      </c>
      <c r="S28" s="214" t="s">
        <v>162</v>
      </c>
      <c r="T28" s="236" t="s">
        <v>1673</v>
      </c>
      <c r="U28" s="76">
        <v>15</v>
      </c>
      <c r="V28" s="76">
        <v>5</v>
      </c>
      <c r="W28" s="236" t="s">
        <v>163</v>
      </c>
      <c r="X28" s="214" t="s">
        <v>164</v>
      </c>
      <c r="Y28" s="214" t="s">
        <v>165</v>
      </c>
      <c r="Z28" s="305">
        <v>1765974462.4000001</v>
      </c>
      <c r="AA28" s="305">
        <v>298522254</v>
      </c>
      <c r="AB28" s="305">
        <v>298522254</v>
      </c>
      <c r="AC28" s="289"/>
      <c r="AD28" s="289"/>
      <c r="AE28" s="289"/>
      <c r="AF28" s="289"/>
      <c r="AG28" s="289"/>
      <c r="AH28" s="289"/>
      <c r="AI28" s="289"/>
      <c r="AJ28" s="289"/>
      <c r="AK28" s="289"/>
      <c r="AL28" s="289"/>
      <c r="AM28" s="289"/>
      <c r="AN28" s="289"/>
      <c r="AO28" s="289"/>
      <c r="AP28" s="289"/>
      <c r="AQ28" s="289"/>
      <c r="AR28" s="289"/>
      <c r="AS28" s="289"/>
      <c r="AT28" s="289"/>
      <c r="AU28" s="289"/>
      <c r="AV28" s="289"/>
      <c r="AW28" s="289"/>
      <c r="AX28" s="289"/>
      <c r="AY28" s="289"/>
      <c r="AZ28" s="289"/>
      <c r="BA28" s="289"/>
      <c r="BB28" s="289"/>
      <c r="BC28" s="289"/>
      <c r="BD28" s="294"/>
      <c r="BE28" s="294"/>
      <c r="BF28" s="294"/>
      <c r="BG28" s="289"/>
      <c r="BH28" s="289"/>
      <c r="BI28" s="289"/>
      <c r="BJ28" s="306"/>
      <c r="BK28" s="306"/>
      <c r="BL28" s="306"/>
      <c r="BM28" s="306"/>
      <c r="BN28" s="306"/>
      <c r="BO28" s="306"/>
      <c r="BP28" s="273">
        <f t="shared" si="6"/>
        <v>1765974462.4000001</v>
      </c>
      <c r="BQ28" s="273">
        <f t="shared" si="6"/>
        <v>298522254</v>
      </c>
      <c r="BR28" s="273">
        <f t="shared" si="6"/>
        <v>298522254</v>
      </c>
      <c r="BS28" s="236" t="s">
        <v>1647</v>
      </c>
      <c r="BT28" s="233"/>
    </row>
    <row r="29" spans="1:72" s="27" customFormat="1" ht="96" customHeight="1" x14ac:dyDescent="0.2">
      <c r="A29" s="217">
        <v>308</v>
      </c>
      <c r="B29" s="216" t="s">
        <v>1618</v>
      </c>
      <c r="C29" s="213">
        <v>1</v>
      </c>
      <c r="D29" s="216" t="s">
        <v>1614</v>
      </c>
      <c r="E29" s="213">
        <v>33</v>
      </c>
      <c r="F29" s="310" t="s">
        <v>166</v>
      </c>
      <c r="G29" s="213">
        <v>3301</v>
      </c>
      <c r="H29" s="216" t="s">
        <v>167</v>
      </c>
      <c r="I29" s="213">
        <v>3301</v>
      </c>
      <c r="J29" s="216" t="s">
        <v>1598</v>
      </c>
      <c r="K29" s="216" t="s">
        <v>168</v>
      </c>
      <c r="L29" s="213" t="s">
        <v>169</v>
      </c>
      <c r="M29" s="216" t="s">
        <v>170</v>
      </c>
      <c r="N29" s="213" t="s">
        <v>169</v>
      </c>
      <c r="O29" s="216" t="s">
        <v>170</v>
      </c>
      <c r="P29" s="304" t="s">
        <v>171</v>
      </c>
      <c r="Q29" s="303" t="s">
        <v>172</v>
      </c>
      <c r="R29" s="304" t="s">
        <v>171</v>
      </c>
      <c r="S29" s="303" t="s">
        <v>172</v>
      </c>
      <c r="T29" s="236" t="s">
        <v>1673</v>
      </c>
      <c r="U29" s="76">
        <v>2</v>
      </c>
      <c r="V29" s="76">
        <v>3</v>
      </c>
      <c r="W29" s="236" t="s">
        <v>173</v>
      </c>
      <c r="X29" s="214" t="s">
        <v>174</v>
      </c>
      <c r="Y29" s="214" t="s">
        <v>175</v>
      </c>
      <c r="Z29" s="289"/>
      <c r="AA29" s="289"/>
      <c r="AB29" s="289"/>
      <c r="AC29" s="289"/>
      <c r="AD29" s="289"/>
      <c r="AE29" s="289"/>
      <c r="AF29" s="289"/>
      <c r="AG29" s="289"/>
      <c r="AH29" s="289"/>
      <c r="AI29" s="289"/>
      <c r="AJ29" s="289"/>
      <c r="AK29" s="289"/>
      <c r="AL29" s="289"/>
      <c r="AM29" s="289"/>
      <c r="AN29" s="289"/>
      <c r="AO29" s="289"/>
      <c r="AP29" s="289"/>
      <c r="AQ29" s="289"/>
      <c r="AR29" s="289"/>
      <c r="AS29" s="289"/>
      <c r="AT29" s="289"/>
      <c r="AU29" s="289"/>
      <c r="AV29" s="289"/>
      <c r="AW29" s="289"/>
      <c r="AX29" s="289"/>
      <c r="AY29" s="289"/>
      <c r="AZ29" s="289"/>
      <c r="BA29" s="289"/>
      <c r="BB29" s="289"/>
      <c r="BC29" s="289"/>
      <c r="BD29" s="235">
        <v>110104790</v>
      </c>
      <c r="BE29" s="235">
        <v>52387068</v>
      </c>
      <c r="BF29" s="235">
        <v>52387068</v>
      </c>
      <c r="BG29" s="289"/>
      <c r="BH29" s="289"/>
      <c r="BI29" s="289"/>
      <c r="BJ29" s="289"/>
      <c r="BK29" s="289"/>
      <c r="BL29" s="289"/>
      <c r="BM29" s="289"/>
      <c r="BN29" s="289"/>
      <c r="BO29" s="289"/>
      <c r="BP29" s="273">
        <f t="shared" si="6"/>
        <v>110104790</v>
      </c>
      <c r="BQ29" s="273">
        <f t="shared" si="6"/>
        <v>52387068</v>
      </c>
      <c r="BR29" s="273">
        <f t="shared" si="6"/>
        <v>52387068</v>
      </c>
      <c r="BS29" s="236" t="s">
        <v>1647</v>
      </c>
      <c r="BT29" s="233"/>
    </row>
    <row r="30" spans="1:72" s="27" customFormat="1" ht="161.25" customHeight="1" x14ac:dyDescent="0.2">
      <c r="A30" s="217">
        <v>308</v>
      </c>
      <c r="B30" s="216" t="s">
        <v>1618</v>
      </c>
      <c r="C30" s="213">
        <v>1</v>
      </c>
      <c r="D30" s="216" t="s">
        <v>1614</v>
      </c>
      <c r="E30" s="213">
        <v>43</v>
      </c>
      <c r="F30" s="311" t="s">
        <v>176</v>
      </c>
      <c r="G30" s="213">
        <v>4301</v>
      </c>
      <c r="H30" s="311" t="s">
        <v>1564</v>
      </c>
      <c r="I30" s="213">
        <v>4301</v>
      </c>
      <c r="J30" s="311" t="s">
        <v>1565</v>
      </c>
      <c r="K30" s="216" t="s">
        <v>178</v>
      </c>
      <c r="L30" s="213" t="s">
        <v>41</v>
      </c>
      <c r="M30" s="303" t="s">
        <v>179</v>
      </c>
      <c r="N30" s="213">
        <v>4301004</v>
      </c>
      <c r="O30" s="303" t="s">
        <v>180</v>
      </c>
      <c r="P30" s="213" t="s">
        <v>41</v>
      </c>
      <c r="Q30" s="303" t="s">
        <v>181</v>
      </c>
      <c r="R30" s="213">
        <v>430100401</v>
      </c>
      <c r="S30" s="303" t="s">
        <v>182</v>
      </c>
      <c r="T30" s="236" t="s">
        <v>1673</v>
      </c>
      <c r="U30" s="76">
        <v>3</v>
      </c>
      <c r="V30" s="76">
        <v>4</v>
      </c>
      <c r="W30" s="236" t="s">
        <v>183</v>
      </c>
      <c r="X30" s="214" t="s">
        <v>184</v>
      </c>
      <c r="Y30" s="214" t="s">
        <v>185</v>
      </c>
      <c r="Z30" s="239">
        <v>2760904177.1000004</v>
      </c>
      <c r="AA30" s="312">
        <v>573180312.50999999</v>
      </c>
      <c r="AB30" s="312">
        <v>573180312.50999999</v>
      </c>
      <c r="AC30" s="289"/>
      <c r="AD30" s="289"/>
      <c r="AE30" s="289"/>
      <c r="AF30" s="289"/>
      <c r="AG30" s="289"/>
      <c r="AH30" s="289"/>
      <c r="AI30" s="289"/>
      <c r="AJ30" s="289"/>
      <c r="AK30" s="289"/>
      <c r="AL30" s="289"/>
      <c r="AM30" s="289"/>
      <c r="AN30" s="289"/>
      <c r="AO30" s="289"/>
      <c r="AP30" s="289"/>
      <c r="AQ30" s="289"/>
      <c r="AR30" s="289"/>
      <c r="AS30" s="289"/>
      <c r="AT30" s="289"/>
      <c r="AU30" s="289"/>
      <c r="AV30" s="289"/>
      <c r="AW30" s="289"/>
      <c r="AX30" s="289"/>
      <c r="AY30" s="289"/>
      <c r="AZ30" s="289"/>
      <c r="BA30" s="289"/>
      <c r="BB30" s="289"/>
      <c r="BC30" s="289"/>
      <c r="BD30" s="294"/>
      <c r="BE30" s="294"/>
      <c r="BF30" s="294"/>
      <c r="BG30" s="289"/>
      <c r="BH30" s="289"/>
      <c r="BI30" s="289"/>
      <c r="BJ30" s="289"/>
      <c r="BK30" s="289"/>
      <c r="BL30" s="289"/>
      <c r="BM30" s="289"/>
      <c r="BN30" s="289"/>
      <c r="BO30" s="289"/>
      <c r="BP30" s="273">
        <f t="shared" si="6"/>
        <v>2760904177.1000004</v>
      </c>
      <c r="BQ30" s="273">
        <f t="shared" si="6"/>
        <v>573180312.50999999</v>
      </c>
      <c r="BR30" s="273">
        <f t="shared" si="6"/>
        <v>573180312.50999999</v>
      </c>
      <c r="BS30" s="236" t="s">
        <v>1647</v>
      </c>
      <c r="BT30" s="233"/>
    </row>
    <row r="31" spans="1:72" s="27" customFormat="1" ht="161.25" customHeight="1" x14ac:dyDescent="0.2">
      <c r="A31" s="217">
        <v>308</v>
      </c>
      <c r="B31" s="216" t="s">
        <v>1618</v>
      </c>
      <c r="C31" s="213">
        <v>2</v>
      </c>
      <c r="D31" s="303" t="s">
        <v>1679</v>
      </c>
      <c r="E31" s="213">
        <v>35</v>
      </c>
      <c r="F31" s="287" t="s">
        <v>401</v>
      </c>
      <c r="G31" s="213">
        <v>3502</v>
      </c>
      <c r="H31" s="303" t="s">
        <v>1680</v>
      </c>
      <c r="I31" s="213">
        <v>3502</v>
      </c>
      <c r="J31" s="303" t="s">
        <v>1681</v>
      </c>
      <c r="K31" s="303" t="s">
        <v>1683</v>
      </c>
      <c r="L31" s="213">
        <v>3502039</v>
      </c>
      <c r="M31" s="303" t="s">
        <v>421</v>
      </c>
      <c r="N31" s="213">
        <v>3502039</v>
      </c>
      <c r="O31" s="303" t="s">
        <v>421</v>
      </c>
      <c r="P31" s="304">
        <v>350203910</v>
      </c>
      <c r="Q31" s="303" t="s">
        <v>426</v>
      </c>
      <c r="R31" s="304">
        <v>350203910</v>
      </c>
      <c r="S31" s="303" t="s">
        <v>426</v>
      </c>
      <c r="T31" s="304" t="s">
        <v>1673</v>
      </c>
      <c r="U31" s="76">
        <v>1</v>
      </c>
      <c r="V31" s="76">
        <v>0</v>
      </c>
      <c r="W31" s="236" t="s">
        <v>1684</v>
      </c>
      <c r="X31" s="214" t="s">
        <v>1682</v>
      </c>
      <c r="Y31" s="214" t="s">
        <v>1685</v>
      </c>
      <c r="Z31" s="239"/>
      <c r="AA31" s="312"/>
      <c r="AB31" s="312"/>
      <c r="AC31" s="289"/>
      <c r="AD31" s="289"/>
      <c r="AE31" s="289"/>
      <c r="AF31" s="289"/>
      <c r="AG31" s="289"/>
      <c r="AH31" s="289"/>
      <c r="AI31" s="289"/>
      <c r="AJ31" s="289"/>
      <c r="AK31" s="289"/>
      <c r="AL31" s="289"/>
      <c r="AM31" s="289"/>
      <c r="AN31" s="289"/>
      <c r="AO31" s="289"/>
      <c r="AP31" s="289"/>
      <c r="AQ31" s="289"/>
      <c r="AR31" s="289"/>
      <c r="AS31" s="289"/>
      <c r="AT31" s="289"/>
      <c r="AU31" s="289"/>
      <c r="AV31" s="289"/>
      <c r="AW31" s="289"/>
      <c r="AX31" s="289"/>
      <c r="AY31" s="289"/>
      <c r="AZ31" s="289"/>
      <c r="BA31" s="289"/>
      <c r="BB31" s="289"/>
      <c r="BC31" s="289"/>
      <c r="BD31" s="294">
        <f>58370567-58370566</f>
        <v>1</v>
      </c>
      <c r="BE31" s="294"/>
      <c r="BF31" s="294"/>
      <c r="BG31" s="289"/>
      <c r="BH31" s="289"/>
      <c r="BI31" s="289"/>
      <c r="BJ31" s="289"/>
      <c r="BK31" s="289"/>
      <c r="BL31" s="289"/>
      <c r="BM31" s="289"/>
      <c r="BN31" s="289"/>
      <c r="BO31" s="289"/>
      <c r="BP31" s="273">
        <f>+Z31+AC31+AF31+AI31+AL31+AO31+AR31+AU31+AX31+BA31+BD31+BG31+BJ31</f>
        <v>1</v>
      </c>
      <c r="BQ31" s="273">
        <f>+AA31+AD31+AG31+AJ31+AM31+AP31+AS31+AV31+AY31+BB31+BE31+BH31+BK31</f>
        <v>0</v>
      </c>
      <c r="BR31" s="273">
        <f>+AB31+AE31+AH31+AK31+AN31+AQ31+AT31+AW31+AZ31+BC31+BF31+BI31+BL31</f>
        <v>0</v>
      </c>
      <c r="BS31" s="236"/>
      <c r="BT31" s="233"/>
    </row>
    <row r="32" spans="1:72" s="27" customFormat="1" ht="162" customHeight="1" x14ac:dyDescent="0.2">
      <c r="A32" s="217">
        <v>308</v>
      </c>
      <c r="B32" s="216" t="s">
        <v>1618</v>
      </c>
      <c r="C32" s="213">
        <v>3</v>
      </c>
      <c r="D32" s="303" t="s">
        <v>1616</v>
      </c>
      <c r="E32" s="213">
        <v>24</v>
      </c>
      <c r="F32" s="287" t="s">
        <v>187</v>
      </c>
      <c r="G32" s="213">
        <v>2402</v>
      </c>
      <c r="H32" s="303" t="s">
        <v>188</v>
      </c>
      <c r="I32" s="213">
        <v>2402</v>
      </c>
      <c r="J32" s="303" t="s">
        <v>1590</v>
      </c>
      <c r="K32" s="303" t="s">
        <v>1308</v>
      </c>
      <c r="L32" s="213" t="s">
        <v>41</v>
      </c>
      <c r="M32" s="303" t="s">
        <v>189</v>
      </c>
      <c r="N32" s="213">
        <v>2402022</v>
      </c>
      <c r="O32" s="303" t="s">
        <v>190</v>
      </c>
      <c r="P32" s="213" t="s">
        <v>41</v>
      </c>
      <c r="Q32" s="303" t="s">
        <v>191</v>
      </c>
      <c r="R32" s="213">
        <v>240202200</v>
      </c>
      <c r="S32" s="303" t="s">
        <v>192</v>
      </c>
      <c r="T32" s="236" t="s">
        <v>1671</v>
      </c>
      <c r="U32" s="313">
        <v>1</v>
      </c>
      <c r="V32" s="313">
        <v>1</v>
      </c>
      <c r="W32" s="236" t="s">
        <v>193</v>
      </c>
      <c r="X32" s="216" t="s">
        <v>194</v>
      </c>
      <c r="Y32" s="216" t="s">
        <v>195</v>
      </c>
      <c r="Z32" s="289"/>
      <c r="AA32" s="289"/>
      <c r="AB32" s="289"/>
      <c r="AC32" s="289"/>
      <c r="AD32" s="289"/>
      <c r="AE32" s="289"/>
      <c r="AF32" s="314"/>
      <c r="AG32" s="314"/>
      <c r="AH32" s="314"/>
      <c r="AI32" s="289"/>
      <c r="AJ32" s="289"/>
      <c r="AK32" s="289"/>
      <c r="AL32" s="289"/>
      <c r="AM32" s="289"/>
      <c r="AN32" s="289"/>
      <c r="AO32" s="289"/>
      <c r="AP32" s="289"/>
      <c r="AQ32" s="289"/>
      <c r="AR32" s="289"/>
      <c r="AS32" s="289"/>
      <c r="AT32" s="289"/>
      <c r="AU32" s="289"/>
      <c r="AV32" s="289"/>
      <c r="AW32" s="289"/>
      <c r="AX32" s="289"/>
      <c r="AY32" s="289"/>
      <c r="AZ32" s="289"/>
      <c r="BA32" s="289"/>
      <c r="BB32" s="289"/>
      <c r="BC32" s="289"/>
      <c r="BD32" s="315">
        <v>77479710</v>
      </c>
      <c r="BE32" s="315">
        <v>77479701</v>
      </c>
      <c r="BF32" s="315">
        <v>77479701</v>
      </c>
      <c r="BG32" s="289"/>
      <c r="BH32" s="289"/>
      <c r="BI32" s="289"/>
      <c r="BJ32" s="289"/>
      <c r="BK32" s="289"/>
      <c r="BL32" s="289"/>
      <c r="BM32" s="289"/>
      <c r="BN32" s="289"/>
      <c r="BO32" s="289"/>
      <c r="BP32" s="273">
        <f t="shared" ref="BP32:BR34" si="7">+Z32+AC32+AF32+AI32+AL32+AO32+AR32+AU32+AX32+BA32+BD32+BG32+BJ32</f>
        <v>77479710</v>
      </c>
      <c r="BQ32" s="273">
        <f t="shared" si="7"/>
        <v>77479701</v>
      </c>
      <c r="BR32" s="273">
        <f t="shared" si="7"/>
        <v>77479701</v>
      </c>
      <c r="BS32" s="236" t="s">
        <v>1647</v>
      </c>
      <c r="BT32" s="233"/>
    </row>
    <row r="33" spans="1:72" s="27" customFormat="1" ht="144.75" customHeight="1" x14ac:dyDescent="0.2">
      <c r="A33" s="217">
        <v>308</v>
      </c>
      <c r="B33" s="216" t="s">
        <v>1618</v>
      </c>
      <c r="C33" s="213">
        <v>3</v>
      </c>
      <c r="D33" s="303" t="s">
        <v>1616</v>
      </c>
      <c r="E33" s="213">
        <v>24</v>
      </c>
      <c r="F33" s="287" t="s">
        <v>187</v>
      </c>
      <c r="G33" s="213">
        <v>2402</v>
      </c>
      <c r="H33" s="303" t="s">
        <v>188</v>
      </c>
      <c r="I33" s="213">
        <v>2402</v>
      </c>
      <c r="J33" s="303" t="s">
        <v>1590</v>
      </c>
      <c r="K33" s="303" t="s">
        <v>1308</v>
      </c>
      <c r="L33" s="213" t="s">
        <v>41</v>
      </c>
      <c r="M33" s="303" t="s">
        <v>196</v>
      </c>
      <c r="N33" s="316">
        <v>2402041</v>
      </c>
      <c r="O33" s="303" t="s">
        <v>197</v>
      </c>
      <c r="P33" s="213" t="s">
        <v>41</v>
      </c>
      <c r="Q33" s="303" t="s">
        <v>198</v>
      </c>
      <c r="R33" s="304">
        <v>240204100</v>
      </c>
      <c r="S33" s="303" t="s">
        <v>199</v>
      </c>
      <c r="T33" s="236" t="s">
        <v>1671</v>
      </c>
      <c r="U33" s="313">
        <v>130</v>
      </c>
      <c r="V33" s="313">
        <v>227.35</v>
      </c>
      <c r="W33" s="236" t="s">
        <v>193</v>
      </c>
      <c r="X33" s="216" t="s">
        <v>194</v>
      </c>
      <c r="Y33" s="216" t="s">
        <v>195</v>
      </c>
      <c r="Z33" s="289"/>
      <c r="AA33" s="289"/>
      <c r="AB33" s="289"/>
      <c r="AC33" s="289"/>
      <c r="AD33" s="289"/>
      <c r="AE33" s="289"/>
      <c r="AF33" s="305"/>
      <c r="AG33" s="305"/>
      <c r="AH33" s="305"/>
      <c r="AI33" s="289"/>
      <c r="AJ33" s="289"/>
      <c r="AK33" s="289"/>
      <c r="AL33" s="289"/>
      <c r="AM33" s="289"/>
      <c r="AN33" s="289"/>
      <c r="AO33" s="289"/>
      <c r="AP33" s="289"/>
      <c r="AQ33" s="289"/>
      <c r="AR33" s="289"/>
      <c r="AS33" s="289"/>
      <c r="AT33" s="289"/>
      <c r="AU33" s="289"/>
      <c r="AV33" s="289"/>
      <c r="AW33" s="289"/>
      <c r="AX33" s="289"/>
      <c r="AY33" s="289"/>
      <c r="AZ33" s="289"/>
      <c r="BA33" s="289"/>
      <c r="BB33" s="289"/>
      <c r="BC33" s="289"/>
      <c r="BD33" s="315">
        <v>674804361</v>
      </c>
      <c r="BE33" s="315">
        <v>238545302</v>
      </c>
      <c r="BF33" s="315">
        <v>238545302</v>
      </c>
      <c r="BG33" s="289"/>
      <c r="BH33" s="289"/>
      <c r="BI33" s="289"/>
      <c r="BJ33" s="317">
        <v>7798323517</v>
      </c>
      <c r="BK33" s="289">
        <v>44406667</v>
      </c>
      <c r="BL33" s="289">
        <v>44406667</v>
      </c>
      <c r="BM33" s="289"/>
      <c r="BN33" s="289"/>
      <c r="BO33" s="289"/>
      <c r="BP33" s="273">
        <f t="shared" si="7"/>
        <v>8473127878</v>
      </c>
      <c r="BQ33" s="273">
        <f t="shared" si="7"/>
        <v>282951969</v>
      </c>
      <c r="BR33" s="273">
        <f t="shared" si="7"/>
        <v>282951969</v>
      </c>
      <c r="BS33" s="236" t="s">
        <v>1647</v>
      </c>
      <c r="BT33" s="233"/>
    </row>
    <row r="34" spans="1:72" s="27" customFormat="1" ht="121.5" customHeight="1" x14ac:dyDescent="0.2">
      <c r="A34" s="217">
        <v>308</v>
      </c>
      <c r="B34" s="216" t="s">
        <v>1618</v>
      </c>
      <c r="C34" s="213">
        <v>3</v>
      </c>
      <c r="D34" s="303" t="s">
        <v>1616</v>
      </c>
      <c r="E34" s="213">
        <v>24</v>
      </c>
      <c r="F34" s="287" t="s">
        <v>187</v>
      </c>
      <c r="G34" s="213">
        <v>2402</v>
      </c>
      <c r="H34" s="303" t="s">
        <v>188</v>
      </c>
      <c r="I34" s="213">
        <v>2402</v>
      </c>
      <c r="J34" s="303" t="s">
        <v>1590</v>
      </c>
      <c r="K34" s="303" t="s">
        <v>1308</v>
      </c>
      <c r="L34" s="213" t="s">
        <v>41</v>
      </c>
      <c r="M34" s="216" t="s">
        <v>200</v>
      </c>
      <c r="N34" s="213">
        <v>2402118</v>
      </c>
      <c r="O34" s="216" t="s">
        <v>201</v>
      </c>
      <c r="P34" s="213" t="s">
        <v>41</v>
      </c>
      <c r="Q34" s="214" t="s">
        <v>202</v>
      </c>
      <c r="R34" s="213">
        <v>240211800</v>
      </c>
      <c r="S34" s="303" t="s">
        <v>203</v>
      </c>
      <c r="T34" s="236" t="s">
        <v>1673</v>
      </c>
      <c r="U34" s="76">
        <v>6</v>
      </c>
      <c r="V34" s="76">
        <v>2</v>
      </c>
      <c r="W34" s="236" t="s">
        <v>204</v>
      </c>
      <c r="X34" s="216" t="s">
        <v>205</v>
      </c>
      <c r="Y34" s="216" t="s">
        <v>206</v>
      </c>
      <c r="Z34" s="289"/>
      <c r="AA34" s="289"/>
      <c r="AB34" s="289"/>
      <c r="AC34" s="289"/>
      <c r="AD34" s="289"/>
      <c r="AE34" s="289"/>
      <c r="AF34" s="314"/>
      <c r="AG34" s="314"/>
      <c r="AH34" s="314"/>
      <c r="AI34" s="289"/>
      <c r="AJ34" s="289"/>
      <c r="AK34" s="289"/>
      <c r="AL34" s="289"/>
      <c r="AM34" s="289"/>
      <c r="AN34" s="289"/>
      <c r="AO34" s="289"/>
      <c r="AP34" s="289"/>
      <c r="AQ34" s="289"/>
      <c r="AR34" s="289"/>
      <c r="AS34" s="289"/>
      <c r="AT34" s="289"/>
      <c r="AU34" s="289"/>
      <c r="AV34" s="289"/>
      <c r="AW34" s="289"/>
      <c r="AX34" s="289"/>
      <c r="AY34" s="289"/>
      <c r="AZ34" s="289"/>
      <c r="BA34" s="289"/>
      <c r="BB34" s="289"/>
      <c r="BC34" s="289"/>
      <c r="BD34" s="315">
        <v>40000000</v>
      </c>
      <c r="BE34" s="315">
        <v>9000000</v>
      </c>
      <c r="BF34" s="315">
        <v>9000000</v>
      </c>
      <c r="BG34" s="289"/>
      <c r="BH34" s="289"/>
      <c r="BI34" s="289"/>
      <c r="BJ34" s="289"/>
      <c r="BK34" s="289"/>
      <c r="BL34" s="289"/>
      <c r="BM34" s="289"/>
      <c r="BN34" s="289"/>
      <c r="BO34" s="289"/>
      <c r="BP34" s="273">
        <f t="shared" si="7"/>
        <v>40000000</v>
      </c>
      <c r="BQ34" s="273">
        <f t="shared" si="7"/>
        <v>9000000</v>
      </c>
      <c r="BR34" s="273">
        <f t="shared" si="7"/>
        <v>9000000</v>
      </c>
      <c r="BS34" s="236" t="s">
        <v>1647</v>
      </c>
      <c r="BT34" s="233"/>
    </row>
    <row r="35" spans="1:72" s="27" customFormat="1" ht="135" customHeight="1" x14ac:dyDescent="0.2">
      <c r="A35" s="217">
        <v>308</v>
      </c>
      <c r="B35" s="216" t="s">
        <v>1618</v>
      </c>
      <c r="C35" s="213">
        <v>3</v>
      </c>
      <c r="D35" s="303" t="s">
        <v>1616</v>
      </c>
      <c r="E35" s="213">
        <v>32</v>
      </c>
      <c r="F35" s="303" t="s">
        <v>207</v>
      </c>
      <c r="G35" s="213">
        <v>3205</v>
      </c>
      <c r="H35" s="216" t="s">
        <v>208</v>
      </c>
      <c r="I35" s="213">
        <v>3205</v>
      </c>
      <c r="J35" s="216" t="s">
        <v>1596</v>
      </c>
      <c r="K35" s="216" t="s">
        <v>209</v>
      </c>
      <c r="L35" s="304">
        <v>3205010</v>
      </c>
      <c r="M35" s="216" t="s">
        <v>210</v>
      </c>
      <c r="N35" s="304">
        <v>3205010</v>
      </c>
      <c r="O35" s="216" t="s">
        <v>210</v>
      </c>
      <c r="P35" s="304" t="s">
        <v>211</v>
      </c>
      <c r="Q35" s="216" t="s">
        <v>212</v>
      </c>
      <c r="R35" s="304" t="s">
        <v>211</v>
      </c>
      <c r="S35" s="216" t="s">
        <v>212</v>
      </c>
      <c r="T35" s="236" t="s">
        <v>1673</v>
      </c>
      <c r="U35" s="76">
        <v>2</v>
      </c>
      <c r="V35" s="76">
        <v>0</v>
      </c>
      <c r="W35" s="236" t="s">
        <v>213</v>
      </c>
      <c r="X35" s="214" t="s">
        <v>214</v>
      </c>
      <c r="Y35" s="214" t="s">
        <v>215</v>
      </c>
      <c r="Z35" s="289">
        <v>0</v>
      </c>
      <c r="AA35" s="289"/>
      <c r="AB35" s="289"/>
      <c r="AC35" s="289">
        <v>0</v>
      </c>
      <c r="AD35" s="289"/>
      <c r="AE35" s="289"/>
      <c r="AF35" s="314">
        <v>0</v>
      </c>
      <c r="AG35" s="314"/>
      <c r="AH35" s="314"/>
      <c r="AI35" s="289">
        <v>0</v>
      </c>
      <c r="AJ35" s="289"/>
      <c r="AK35" s="289"/>
      <c r="AL35" s="289">
        <v>0</v>
      </c>
      <c r="AM35" s="289"/>
      <c r="AN35" s="289"/>
      <c r="AO35" s="289">
        <v>0</v>
      </c>
      <c r="AP35" s="289"/>
      <c r="AQ35" s="289"/>
      <c r="AR35" s="289">
        <v>0</v>
      </c>
      <c r="AS35" s="289"/>
      <c r="AT35" s="289"/>
      <c r="AU35" s="289">
        <v>0</v>
      </c>
      <c r="AV35" s="289"/>
      <c r="AW35" s="289"/>
      <c r="AX35" s="289">
        <v>0</v>
      </c>
      <c r="AY35" s="289"/>
      <c r="AZ35" s="289"/>
      <c r="BA35" s="289">
        <v>0</v>
      </c>
      <c r="BB35" s="289"/>
      <c r="BC35" s="289"/>
      <c r="BD35" s="234">
        <v>1418800000</v>
      </c>
      <c r="BE35" s="318">
        <v>64515000</v>
      </c>
      <c r="BF35" s="318">
        <v>64515000</v>
      </c>
      <c r="BG35" s="289">
        <v>0</v>
      </c>
      <c r="BH35" s="289"/>
      <c r="BI35" s="289"/>
      <c r="BJ35" s="289">
        <v>0</v>
      </c>
      <c r="BK35" s="289"/>
      <c r="BL35" s="289"/>
      <c r="BM35" s="289"/>
      <c r="BN35" s="289"/>
      <c r="BO35" s="289"/>
      <c r="BP35" s="273">
        <f t="shared" ref="BP35:BR37" si="8">+Z35+AC35+AF35+AI35+AL35+AO35+AR35+AU35+AX35+BA35+BD35+BG35+BJ35</f>
        <v>1418800000</v>
      </c>
      <c r="BQ35" s="273">
        <f t="shared" si="8"/>
        <v>64515000</v>
      </c>
      <c r="BR35" s="273">
        <f t="shared" si="8"/>
        <v>64515000</v>
      </c>
      <c r="BS35" s="236" t="s">
        <v>1647</v>
      </c>
      <c r="BT35" s="233"/>
    </row>
    <row r="36" spans="1:72" s="27" customFormat="1" ht="157.5" customHeight="1" x14ac:dyDescent="0.2">
      <c r="A36" s="217">
        <v>308</v>
      </c>
      <c r="B36" s="216" t="s">
        <v>1618</v>
      </c>
      <c r="C36" s="213">
        <v>3</v>
      </c>
      <c r="D36" s="303" t="s">
        <v>1616</v>
      </c>
      <c r="E36" s="213">
        <v>32</v>
      </c>
      <c r="F36" s="303" t="s">
        <v>207</v>
      </c>
      <c r="G36" s="213">
        <v>3205</v>
      </c>
      <c r="H36" s="216" t="s">
        <v>208</v>
      </c>
      <c r="I36" s="213">
        <v>3205</v>
      </c>
      <c r="J36" s="216" t="s">
        <v>1596</v>
      </c>
      <c r="K36" s="216" t="s">
        <v>209</v>
      </c>
      <c r="L36" s="304">
        <v>3205021</v>
      </c>
      <c r="M36" s="216" t="s">
        <v>216</v>
      </c>
      <c r="N36" s="304">
        <v>3205021</v>
      </c>
      <c r="O36" s="216" t="s">
        <v>216</v>
      </c>
      <c r="P36" s="304">
        <v>320502100</v>
      </c>
      <c r="Q36" s="216" t="s">
        <v>217</v>
      </c>
      <c r="R36" s="304">
        <v>320502100</v>
      </c>
      <c r="S36" s="216" t="s">
        <v>217</v>
      </c>
      <c r="T36" s="236" t="s">
        <v>1673</v>
      </c>
      <c r="U36" s="76">
        <v>2</v>
      </c>
      <c r="V36" s="76">
        <v>2</v>
      </c>
      <c r="W36" s="236" t="s">
        <v>218</v>
      </c>
      <c r="X36" s="214" t="s">
        <v>219</v>
      </c>
      <c r="Y36" s="214" t="s">
        <v>220</v>
      </c>
      <c r="Z36" s="289"/>
      <c r="AA36" s="289"/>
      <c r="AB36" s="289"/>
      <c r="AC36" s="289"/>
      <c r="AD36" s="289"/>
      <c r="AE36" s="289"/>
      <c r="AF36" s="314">
        <v>56108067</v>
      </c>
      <c r="AG36" s="314">
        <v>37529205.509999998</v>
      </c>
      <c r="AH36" s="314">
        <v>37529205.509999998</v>
      </c>
      <c r="AI36" s="289"/>
      <c r="AJ36" s="289"/>
      <c r="AK36" s="289"/>
      <c r="AL36" s="289"/>
      <c r="AM36" s="289"/>
      <c r="AN36" s="289"/>
      <c r="AO36" s="289"/>
      <c r="AP36" s="289"/>
      <c r="AQ36" s="289"/>
      <c r="AR36" s="289"/>
      <c r="AS36" s="289"/>
      <c r="AT36" s="289"/>
      <c r="AU36" s="289"/>
      <c r="AV36" s="289"/>
      <c r="AW36" s="289"/>
      <c r="AX36" s="289"/>
      <c r="AY36" s="289"/>
      <c r="AZ36" s="289"/>
      <c r="BA36" s="289"/>
      <c r="BB36" s="289"/>
      <c r="BC36" s="289"/>
      <c r="BD36" s="234">
        <v>788200000</v>
      </c>
      <c r="BE36" s="315">
        <v>330416870.27999997</v>
      </c>
      <c r="BF36" s="315">
        <v>330416870.27999997</v>
      </c>
      <c r="BG36" s="289"/>
      <c r="BH36" s="289"/>
      <c r="BI36" s="289"/>
      <c r="BJ36" s="289"/>
      <c r="BK36" s="289"/>
      <c r="BL36" s="289"/>
      <c r="BM36" s="289"/>
      <c r="BN36" s="289"/>
      <c r="BO36" s="289"/>
      <c r="BP36" s="273">
        <f t="shared" si="8"/>
        <v>844308067</v>
      </c>
      <c r="BQ36" s="273">
        <f t="shared" si="8"/>
        <v>367946075.78999996</v>
      </c>
      <c r="BR36" s="273">
        <f>+AB36+AE36+AH36+AK36+AN36+AQ36+AT36+AW36+AZ36+BC36+BF36+BI36+BL36</f>
        <v>367946075.78999996</v>
      </c>
      <c r="BS36" s="236" t="s">
        <v>1647</v>
      </c>
      <c r="BT36" s="233"/>
    </row>
    <row r="37" spans="1:72" s="27" customFormat="1" ht="126.75" customHeight="1" x14ac:dyDescent="0.2">
      <c r="A37" s="217">
        <v>308</v>
      </c>
      <c r="B37" s="216" t="s">
        <v>1618</v>
      </c>
      <c r="C37" s="213">
        <v>3</v>
      </c>
      <c r="D37" s="303" t="s">
        <v>1616</v>
      </c>
      <c r="E37" s="213">
        <v>40</v>
      </c>
      <c r="F37" s="216" t="s">
        <v>221</v>
      </c>
      <c r="G37" s="270">
        <v>4001</v>
      </c>
      <c r="H37" s="216" t="s">
        <v>222</v>
      </c>
      <c r="I37" s="270">
        <v>4001</v>
      </c>
      <c r="J37" s="216" t="s">
        <v>1603</v>
      </c>
      <c r="K37" s="216" t="s">
        <v>223</v>
      </c>
      <c r="L37" s="316">
        <v>4001015</v>
      </c>
      <c r="M37" s="216" t="s">
        <v>224</v>
      </c>
      <c r="N37" s="316">
        <v>4001015</v>
      </c>
      <c r="O37" s="216" t="s">
        <v>224</v>
      </c>
      <c r="P37" s="292" t="s">
        <v>225</v>
      </c>
      <c r="Q37" s="311" t="s">
        <v>226</v>
      </c>
      <c r="R37" s="292" t="s">
        <v>225</v>
      </c>
      <c r="S37" s="311" t="s">
        <v>226</v>
      </c>
      <c r="T37" s="236" t="s">
        <v>1673</v>
      </c>
      <c r="U37" s="76">
        <v>50</v>
      </c>
      <c r="V37" s="76">
        <v>0</v>
      </c>
      <c r="W37" s="236" t="s">
        <v>227</v>
      </c>
      <c r="X37" s="214" t="s">
        <v>228</v>
      </c>
      <c r="Y37" s="214" t="s">
        <v>229</v>
      </c>
      <c r="Z37" s="289">
        <v>100000000.09999999</v>
      </c>
      <c r="AA37" s="289">
        <v>0</v>
      </c>
      <c r="AB37" s="289"/>
      <c r="AC37" s="289"/>
      <c r="AD37" s="289"/>
      <c r="AE37" s="289"/>
      <c r="AF37" s="314"/>
      <c r="AG37" s="314"/>
      <c r="AH37" s="314"/>
      <c r="AI37" s="289"/>
      <c r="AJ37" s="289"/>
      <c r="AK37" s="289"/>
      <c r="AL37" s="289"/>
      <c r="AM37" s="289"/>
      <c r="AN37" s="289"/>
      <c r="AO37" s="289"/>
      <c r="AP37" s="289"/>
      <c r="AQ37" s="289"/>
      <c r="AR37" s="289"/>
      <c r="AS37" s="289"/>
      <c r="AT37" s="289"/>
      <c r="AU37" s="289"/>
      <c r="AV37" s="289"/>
      <c r="AW37" s="289"/>
      <c r="AX37" s="289"/>
      <c r="AY37" s="289"/>
      <c r="AZ37" s="289"/>
      <c r="BA37" s="289"/>
      <c r="BB37" s="289"/>
      <c r="BC37" s="289"/>
      <c r="BD37" s="294">
        <v>20000000</v>
      </c>
      <c r="BE37" s="294">
        <v>0</v>
      </c>
      <c r="BF37" s="294"/>
      <c r="BG37" s="289"/>
      <c r="BH37" s="289"/>
      <c r="BI37" s="289"/>
      <c r="BJ37" s="289"/>
      <c r="BK37" s="289"/>
      <c r="BL37" s="289"/>
      <c r="BM37" s="289"/>
      <c r="BN37" s="289"/>
      <c r="BO37" s="289"/>
      <c r="BP37" s="273">
        <f t="shared" si="8"/>
        <v>120000000.09999999</v>
      </c>
      <c r="BQ37" s="273">
        <f t="shared" si="8"/>
        <v>0</v>
      </c>
      <c r="BR37" s="273">
        <f t="shared" si="8"/>
        <v>0</v>
      </c>
      <c r="BS37" s="236" t="s">
        <v>1647</v>
      </c>
      <c r="BT37" s="233"/>
    </row>
    <row r="38" spans="1:72" s="27" customFormat="1" ht="117" customHeight="1" x14ac:dyDescent="0.2">
      <c r="A38" s="217">
        <v>308</v>
      </c>
      <c r="B38" s="216" t="s">
        <v>1618</v>
      </c>
      <c r="C38" s="213">
        <v>3</v>
      </c>
      <c r="D38" s="303" t="s">
        <v>1616</v>
      </c>
      <c r="E38" s="213">
        <v>40</v>
      </c>
      <c r="F38" s="216" t="s">
        <v>221</v>
      </c>
      <c r="G38" s="213">
        <v>4003</v>
      </c>
      <c r="H38" s="296" t="s">
        <v>230</v>
      </c>
      <c r="I38" s="213">
        <v>4003</v>
      </c>
      <c r="J38" s="216" t="s">
        <v>1604</v>
      </c>
      <c r="K38" s="303" t="s">
        <v>231</v>
      </c>
      <c r="L38" s="304" t="s">
        <v>41</v>
      </c>
      <c r="M38" s="216" t="s">
        <v>232</v>
      </c>
      <c r="N38" s="213">
        <v>4003006</v>
      </c>
      <c r="O38" s="216" t="s">
        <v>233</v>
      </c>
      <c r="P38" s="304" t="s">
        <v>41</v>
      </c>
      <c r="Q38" s="216" t="s">
        <v>234</v>
      </c>
      <c r="R38" s="213">
        <v>400300600</v>
      </c>
      <c r="S38" s="216" t="s">
        <v>235</v>
      </c>
      <c r="T38" s="236" t="s">
        <v>1671</v>
      </c>
      <c r="U38" s="319">
        <v>1</v>
      </c>
      <c r="V38" s="319">
        <v>0</v>
      </c>
      <c r="W38" s="236" t="s">
        <v>236</v>
      </c>
      <c r="X38" s="214" t="s">
        <v>237</v>
      </c>
      <c r="Y38" s="320" t="s">
        <v>238</v>
      </c>
      <c r="Z38" s="289"/>
      <c r="AA38" s="289"/>
      <c r="AB38" s="289"/>
      <c r="AC38" s="289"/>
      <c r="AD38" s="289"/>
      <c r="AE38" s="289"/>
      <c r="AF38" s="314"/>
      <c r="AG38" s="314"/>
      <c r="AH38" s="314"/>
      <c r="AI38" s="289"/>
      <c r="AJ38" s="289"/>
      <c r="AK38" s="289"/>
      <c r="AL38" s="289"/>
      <c r="AM38" s="289"/>
      <c r="AN38" s="289"/>
      <c r="AO38" s="289"/>
      <c r="AP38" s="289"/>
      <c r="AQ38" s="289"/>
      <c r="AR38" s="289"/>
      <c r="AS38" s="289"/>
      <c r="AT38" s="289"/>
      <c r="AU38" s="289"/>
      <c r="AV38" s="289"/>
      <c r="AW38" s="289"/>
      <c r="AX38" s="289"/>
      <c r="AY38" s="289"/>
      <c r="AZ38" s="289"/>
      <c r="BA38" s="289">
        <v>100000000</v>
      </c>
      <c r="BB38" s="289">
        <v>100000000</v>
      </c>
      <c r="BC38" s="289">
        <v>100000000</v>
      </c>
      <c r="BD38" s="294"/>
      <c r="BE38" s="294"/>
      <c r="BF38" s="294"/>
      <c r="BG38" s="289"/>
      <c r="BH38" s="289"/>
      <c r="BI38" s="289"/>
      <c r="BJ38" s="289"/>
      <c r="BK38" s="289"/>
      <c r="BL38" s="289"/>
      <c r="BM38" s="289"/>
      <c r="BN38" s="289"/>
      <c r="BO38" s="289"/>
      <c r="BP38" s="273">
        <f t="shared" ref="BP38:BP43" si="9">+Z38+AC38+AF38+AI38+AL38+AO38+AR38+AU38+AX38+BA38+BD38+BG38+BJ38</f>
        <v>100000000</v>
      </c>
      <c r="BQ38" s="273">
        <f t="shared" ref="BQ38:BR43" si="10">+AA38+AD38+AG38+AJ38+AM38+AP38+AS38+AV38+AY38+BB38+BE38+BH38+BK38</f>
        <v>100000000</v>
      </c>
      <c r="BR38" s="273">
        <f t="shared" si="10"/>
        <v>100000000</v>
      </c>
      <c r="BS38" s="236" t="s">
        <v>1647</v>
      </c>
      <c r="BT38" s="233"/>
    </row>
    <row r="39" spans="1:72" s="27" customFormat="1" ht="105.75" customHeight="1" x14ac:dyDescent="0.2">
      <c r="A39" s="217">
        <v>308</v>
      </c>
      <c r="B39" s="216" t="s">
        <v>1618</v>
      </c>
      <c r="C39" s="213">
        <v>3</v>
      </c>
      <c r="D39" s="303" t="s">
        <v>1616</v>
      </c>
      <c r="E39" s="213">
        <v>40</v>
      </c>
      <c r="F39" s="216" t="s">
        <v>221</v>
      </c>
      <c r="G39" s="213">
        <v>4003</v>
      </c>
      <c r="H39" s="296" t="s">
        <v>230</v>
      </c>
      <c r="I39" s="213">
        <v>4003</v>
      </c>
      <c r="J39" s="216" t="s">
        <v>1604</v>
      </c>
      <c r="K39" s="303" t="s">
        <v>239</v>
      </c>
      <c r="L39" s="304">
        <v>4003018</v>
      </c>
      <c r="M39" s="303" t="s">
        <v>240</v>
      </c>
      <c r="N39" s="304">
        <v>4003018</v>
      </c>
      <c r="O39" s="303" t="s">
        <v>240</v>
      </c>
      <c r="P39" s="304">
        <v>400301802</v>
      </c>
      <c r="Q39" s="216" t="s">
        <v>241</v>
      </c>
      <c r="R39" s="304">
        <v>400301802</v>
      </c>
      <c r="S39" s="216" t="s">
        <v>241</v>
      </c>
      <c r="T39" s="236" t="s">
        <v>1673</v>
      </c>
      <c r="U39" s="313">
        <v>1</v>
      </c>
      <c r="V39" s="313">
        <v>0</v>
      </c>
      <c r="W39" s="236" t="s">
        <v>236</v>
      </c>
      <c r="X39" s="214" t="s">
        <v>237</v>
      </c>
      <c r="Y39" s="320" t="s">
        <v>238</v>
      </c>
      <c r="Z39" s="289"/>
      <c r="AA39" s="289"/>
      <c r="AB39" s="289"/>
      <c r="AC39" s="289"/>
      <c r="AD39" s="289"/>
      <c r="AE39" s="289"/>
      <c r="AF39" s="314"/>
      <c r="AG39" s="314"/>
      <c r="AH39" s="314"/>
      <c r="AI39" s="289"/>
      <c r="AJ39" s="289"/>
      <c r="AK39" s="289"/>
      <c r="AL39" s="289"/>
      <c r="AM39" s="289"/>
      <c r="AN39" s="289"/>
      <c r="AO39" s="289"/>
      <c r="AP39" s="289"/>
      <c r="AQ39" s="289"/>
      <c r="AR39" s="289"/>
      <c r="AS39" s="289"/>
      <c r="AT39" s="289"/>
      <c r="AU39" s="289"/>
      <c r="AV39" s="289"/>
      <c r="AW39" s="289"/>
      <c r="AX39" s="289"/>
      <c r="AY39" s="289"/>
      <c r="AZ39" s="289"/>
      <c r="BA39" s="289">
        <v>852718865</v>
      </c>
      <c r="BB39" s="289">
        <v>852718865</v>
      </c>
      <c r="BC39" s="289">
        <v>852718865</v>
      </c>
      <c r="BD39" s="294"/>
      <c r="BE39" s="294"/>
      <c r="BF39" s="294"/>
      <c r="BG39" s="289"/>
      <c r="BH39" s="289"/>
      <c r="BI39" s="289"/>
      <c r="BJ39" s="289"/>
      <c r="BK39" s="289"/>
      <c r="BL39" s="289"/>
      <c r="BM39" s="289"/>
      <c r="BN39" s="289"/>
      <c r="BO39" s="289"/>
      <c r="BP39" s="273">
        <f t="shared" si="9"/>
        <v>852718865</v>
      </c>
      <c r="BQ39" s="273">
        <f t="shared" si="10"/>
        <v>852718865</v>
      </c>
      <c r="BR39" s="273">
        <f>+AB39+AE39+AH39+AK39+AN39+AQ39+AT39+AW39+AZ39+BC39+BF39+BI39+BL39</f>
        <v>852718865</v>
      </c>
      <c r="BS39" s="236" t="s">
        <v>1647</v>
      </c>
      <c r="BT39" s="233"/>
    </row>
    <row r="40" spans="1:72" s="27" customFormat="1" ht="105.75" customHeight="1" x14ac:dyDescent="0.2">
      <c r="A40" s="217">
        <v>308</v>
      </c>
      <c r="B40" s="216" t="s">
        <v>1618</v>
      </c>
      <c r="C40" s="213">
        <v>3</v>
      </c>
      <c r="D40" s="303" t="s">
        <v>1616</v>
      </c>
      <c r="E40" s="213">
        <v>40</v>
      </c>
      <c r="F40" s="216" t="s">
        <v>221</v>
      </c>
      <c r="G40" s="213">
        <v>4003</v>
      </c>
      <c r="H40" s="296" t="s">
        <v>230</v>
      </c>
      <c r="I40" s="213">
        <v>4003</v>
      </c>
      <c r="J40" s="216" t="s">
        <v>1604</v>
      </c>
      <c r="K40" s="303" t="s">
        <v>231</v>
      </c>
      <c r="L40" s="304">
        <v>4003025</v>
      </c>
      <c r="M40" s="303" t="s">
        <v>242</v>
      </c>
      <c r="N40" s="304">
        <v>4003025</v>
      </c>
      <c r="O40" s="303" t="s">
        <v>242</v>
      </c>
      <c r="P40" s="74">
        <v>400302500</v>
      </c>
      <c r="Q40" s="309" t="s">
        <v>243</v>
      </c>
      <c r="R40" s="74">
        <v>400302500</v>
      </c>
      <c r="S40" s="309" t="s">
        <v>243</v>
      </c>
      <c r="T40" s="236" t="s">
        <v>1673</v>
      </c>
      <c r="U40" s="313">
        <v>4</v>
      </c>
      <c r="V40" s="313">
        <v>2</v>
      </c>
      <c r="W40" s="236" t="s">
        <v>236</v>
      </c>
      <c r="X40" s="214" t="s">
        <v>237</v>
      </c>
      <c r="Y40" s="320" t="s">
        <v>238</v>
      </c>
      <c r="Z40" s="289">
        <v>605000000</v>
      </c>
      <c r="AA40" s="289">
        <v>161560251</v>
      </c>
      <c r="AB40" s="289">
        <v>161560251</v>
      </c>
      <c r="AC40" s="289"/>
      <c r="AD40" s="289"/>
      <c r="AE40" s="289"/>
      <c r="AF40" s="314"/>
      <c r="AG40" s="314"/>
      <c r="AH40" s="314"/>
      <c r="AI40" s="289"/>
      <c r="AJ40" s="289"/>
      <c r="AK40" s="289"/>
      <c r="AL40" s="289"/>
      <c r="AM40" s="289"/>
      <c r="AN40" s="289"/>
      <c r="AO40" s="289"/>
      <c r="AP40" s="289"/>
      <c r="AQ40" s="289"/>
      <c r="AR40" s="289"/>
      <c r="AS40" s="289"/>
      <c r="AT40" s="289"/>
      <c r="AU40" s="289"/>
      <c r="AV40" s="289"/>
      <c r="AW40" s="289"/>
      <c r="AX40" s="289"/>
      <c r="AY40" s="289"/>
      <c r="AZ40" s="289"/>
      <c r="BA40" s="289">
        <v>249204317.68000001</v>
      </c>
      <c r="BB40" s="289">
        <v>249177538</v>
      </c>
      <c r="BC40" s="289">
        <v>249177538</v>
      </c>
      <c r="BD40" s="294"/>
      <c r="BE40" s="294"/>
      <c r="BF40" s="294"/>
      <c r="BG40" s="289"/>
      <c r="BH40" s="289"/>
      <c r="BI40" s="289"/>
      <c r="BJ40" s="289"/>
      <c r="BK40" s="289"/>
      <c r="BL40" s="289"/>
      <c r="BM40" s="289"/>
      <c r="BN40" s="289"/>
      <c r="BO40" s="289"/>
      <c r="BP40" s="273">
        <f t="shared" si="9"/>
        <v>854204317.68000007</v>
      </c>
      <c r="BQ40" s="273">
        <f t="shared" si="10"/>
        <v>410737789</v>
      </c>
      <c r="BR40" s="273">
        <f t="shared" si="10"/>
        <v>410737789</v>
      </c>
      <c r="BS40" s="236" t="s">
        <v>1647</v>
      </c>
      <c r="BT40" s="233"/>
    </row>
    <row r="41" spans="1:72" s="27" customFormat="1" ht="105.75" customHeight="1" x14ac:dyDescent="0.2">
      <c r="A41" s="217">
        <v>308</v>
      </c>
      <c r="B41" s="216" t="s">
        <v>1618</v>
      </c>
      <c r="C41" s="213">
        <v>3</v>
      </c>
      <c r="D41" s="303" t="s">
        <v>1616</v>
      </c>
      <c r="E41" s="213">
        <v>40</v>
      </c>
      <c r="F41" s="216" t="s">
        <v>221</v>
      </c>
      <c r="G41" s="213">
        <v>4003</v>
      </c>
      <c r="H41" s="296" t="s">
        <v>230</v>
      </c>
      <c r="I41" s="213">
        <v>4003</v>
      </c>
      <c r="J41" s="216" t="s">
        <v>1604</v>
      </c>
      <c r="K41" s="303" t="s">
        <v>231</v>
      </c>
      <c r="L41" s="304">
        <v>4003028</v>
      </c>
      <c r="M41" s="303" t="s">
        <v>244</v>
      </c>
      <c r="N41" s="304">
        <v>4003028</v>
      </c>
      <c r="O41" s="303" t="s">
        <v>244</v>
      </c>
      <c r="P41" s="304">
        <v>400302801</v>
      </c>
      <c r="Q41" s="216" t="s">
        <v>245</v>
      </c>
      <c r="R41" s="304">
        <v>400302801</v>
      </c>
      <c r="S41" s="216" t="s">
        <v>245</v>
      </c>
      <c r="T41" s="236" t="s">
        <v>1671</v>
      </c>
      <c r="U41" s="313">
        <v>4</v>
      </c>
      <c r="V41" s="313">
        <v>4</v>
      </c>
      <c r="W41" s="236" t="s">
        <v>236</v>
      </c>
      <c r="X41" s="214" t="s">
        <v>237</v>
      </c>
      <c r="Y41" s="320" t="s">
        <v>238</v>
      </c>
      <c r="Z41" s="289"/>
      <c r="AA41" s="289"/>
      <c r="AB41" s="289"/>
      <c r="AC41" s="289"/>
      <c r="AD41" s="289"/>
      <c r="AE41" s="289"/>
      <c r="AF41" s="314"/>
      <c r="AG41" s="314"/>
      <c r="AH41" s="314"/>
      <c r="AI41" s="289"/>
      <c r="AJ41" s="289"/>
      <c r="AK41" s="289"/>
      <c r="AL41" s="289"/>
      <c r="AM41" s="289"/>
      <c r="AN41" s="289"/>
      <c r="AO41" s="289"/>
      <c r="AP41" s="289"/>
      <c r="AQ41" s="289"/>
      <c r="AR41" s="289"/>
      <c r="AS41" s="289"/>
      <c r="AT41" s="289"/>
      <c r="AU41" s="289"/>
      <c r="AV41" s="289"/>
      <c r="AW41" s="289"/>
      <c r="AX41" s="289"/>
      <c r="AY41" s="289"/>
      <c r="AZ41" s="289"/>
      <c r="BA41" s="289">
        <v>279000000</v>
      </c>
      <c r="BB41" s="289">
        <v>279000000</v>
      </c>
      <c r="BC41" s="289">
        <v>279000000</v>
      </c>
      <c r="BD41" s="294"/>
      <c r="BE41" s="294"/>
      <c r="BF41" s="294"/>
      <c r="BG41" s="289"/>
      <c r="BH41" s="289"/>
      <c r="BI41" s="289"/>
      <c r="BJ41" s="289"/>
      <c r="BK41" s="289"/>
      <c r="BL41" s="289"/>
      <c r="BM41" s="289"/>
      <c r="BN41" s="289"/>
      <c r="BO41" s="289"/>
      <c r="BP41" s="273">
        <f t="shared" si="9"/>
        <v>279000000</v>
      </c>
      <c r="BQ41" s="273">
        <f t="shared" si="10"/>
        <v>279000000</v>
      </c>
      <c r="BR41" s="273">
        <f t="shared" si="10"/>
        <v>279000000</v>
      </c>
      <c r="BS41" s="236" t="s">
        <v>1647</v>
      </c>
      <c r="BT41" s="233"/>
    </row>
    <row r="42" spans="1:72" s="27" customFormat="1" ht="105.75" customHeight="1" x14ac:dyDescent="0.2">
      <c r="A42" s="217">
        <v>308</v>
      </c>
      <c r="B42" s="216" t="s">
        <v>1618</v>
      </c>
      <c r="C42" s="213">
        <v>3</v>
      </c>
      <c r="D42" s="303" t="s">
        <v>1616</v>
      </c>
      <c r="E42" s="213">
        <v>40</v>
      </c>
      <c r="F42" s="216" t="s">
        <v>221</v>
      </c>
      <c r="G42" s="213">
        <v>4003</v>
      </c>
      <c r="H42" s="296" t="s">
        <v>230</v>
      </c>
      <c r="I42" s="213">
        <v>4003</v>
      </c>
      <c r="J42" s="216" t="s">
        <v>1604</v>
      </c>
      <c r="K42" s="303" t="s">
        <v>231</v>
      </c>
      <c r="L42" s="304">
        <v>4003042</v>
      </c>
      <c r="M42" s="303" t="s">
        <v>246</v>
      </c>
      <c r="N42" s="304">
        <v>4003042</v>
      </c>
      <c r="O42" s="303" t="s">
        <v>246</v>
      </c>
      <c r="P42" s="304">
        <v>400304200</v>
      </c>
      <c r="Q42" s="216" t="s">
        <v>247</v>
      </c>
      <c r="R42" s="304">
        <v>400304200</v>
      </c>
      <c r="S42" s="216" t="s">
        <v>247</v>
      </c>
      <c r="T42" s="236" t="s">
        <v>1673</v>
      </c>
      <c r="U42" s="313">
        <v>3</v>
      </c>
      <c r="V42" s="313">
        <v>3</v>
      </c>
      <c r="W42" s="236" t="s">
        <v>236</v>
      </c>
      <c r="X42" s="214" t="s">
        <v>237</v>
      </c>
      <c r="Y42" s="320" t="s">
        <v>238</v>
      </c>
      <c r="Z42" s="289"/>
      <c r="AA42" s="289"/>
      <c r="AB42" s="289"/>
      <c r="AC42" s="289"/>
      <c r="AD42" s="289"/>
      <c r="AE42" s="289"/>
      <c r="AF42" s="314"/>
      <c r="AG42" s="314"/>
      <c r="AH42" s="314"/>
      <c r="AI42" s="289"/>
      <c r="AJ42" s="289"/>
      <c r="AK42" s="289"/>
      <c r="AL42" s="289"/>
      <c r="AM42" s="289"/>
      <c r="AN42" s="289"/>
      <c r="AO42" s="289"/>
      <c r="AP42" s="289"/>
      <c r="AQ42" s="289"/>
      <c r="AR42" s="289"/>
      <c r="AS42" s="289"/>
      <c r="AT42" s="289"/>
      <c r="AU42" s="289"/>
      <c r="AV42" s="289"/>
      <c r="AW42" s="289"/>
      <c r="AX42" s="289"/>
      <c r="AY42" s="289"/>
      <c r="AZ42" s="289"/>
      <c r="BA42" s="289">
        <v>629000000</v>
      </c>
      <c r="BB42" s="289">
        <v>629000000</v>
      </c>
      <c r="BC42" s="289">
        <v>629000000</v>
      </c>
      <c r="BD42" s="294"/>
      <c r="BE42" s="294"/>
      <c r="BF42" s="294"/>
      <c r="BG42" s="289"/>
      <c r="BH42" s="289"/>
      <c r="BI42" s="289"/>
      <c r="BJ42" s="289"/>
      <c r="BK42" s="289"/>
      <c r="BL42" s="289"/>
      <c r="BM42" s="289"/>
      <c r="BN42" s="289"/>
      <c r="BO42" s="289"/>
      <c r="BP42" s="273">
        <f t="shared" si="9"/>
        <v>629000000</v>
      </c>
      <c r="BQ42" s="273">
        <f t="shared" si="10"/>
        <v>629000000</v>
      </c>
      <c r="BR42" s="273">
        <f t="shared" si="10"/>
        <v>629000000</v>
      </c>
      <c r="BS42" s="236" t="s">
        <v>1647</v>
      </c>
      <c r="BT42" s="233"/>
    </row>
    <row r="43" spans="1:72" s="27" customFormat="1" ht="105.75" customHeight="1" x14ac:dyDescent="0.2">
      <c r="A43" s="217">
        <v>308</v>
      </c>
      <c r="B43" s="216" t="s">
        <v>1618</v>
      </c>
      <c r="C43" s="213">
        <v>3</v>
      </c>
      <c r="D43" s="303" t="s">
        <v>1616</v>
      </c>
      <c r="E43" s="213">
        <v>40</v>
      </c>
      <c r="F43" s="216" t="s">
        <v>221</v>
      </c>
      <c r="G43" s="213">
        <v>4003</v>
      </c>
      <c r="H43" s="296" t="s">
        <v>230</v>
      </c>
      <c r="I43" s="213">
        <v>4003</v>
      </c>
      <c r="J43" s="216" t="s">
        <v>1604</v>
      </c>
      <c r="K43" s="303" t="s">
        <v>231</v>
      </c>
      <c r="L43" s="304" t="s">
        <v>248</v>
      </c>
      <c r="M43" s="303" t="s">
        <v>249</v>
      </c>
      <c r="N43" s="304" t="s">
        <v>248</v>
      </c>
      <c r="O43" s="303" t="s">
        <v>249</v>
      </c>
      <c r="P43" s="74">
        <v>400302600</v>
      </c>
      <c r="Q43" s="309" t="s">
        <v>250</v>
      </c>
      <c r="R43" s="74">
        <v>400302600</v>
      </c>
      <c r="S43" s="309" t="s">
        <v>250</v>
      </c>
      <c r="T43" s="236" t="s">
        <v>1673</v>
      </c>
      <c r="U43" s="313">
        <v>1</v>
      </c>
      <c r="V43" s="313">
        <v>0</v>
      </c>
      <c r="W43" s="236" t="s">
        <v>236</v>
      </c>
      <c r="X43" s="214" t="s">
        <v>237</v>
      </c>
      <c r="Y43" s="320" t="s">
        <v>238</v>
      </c>
      <c r="Z43" s="289"/>
      <c r="AA43" s="289"/>
      <c r="AB43" s="289"/>
      <c r="AC43" s="289"/>
      <c r="AD43" s="289"/>
      <c r="AE43" s="289"/>
      <c r="AF43" s="314"/>
      <c r="AG43" s="314"/>
      <c r="AH43" s="314"/>
      <c r="AI43" s="289"/>
      <c r="AJ43" s="289"/>
      <c r="AK43" s="289"/>
      <c r="AL43" s="289"/>
      <c r="AM43" s="289"/>
      <c r="AN43" s="289"/>
      <c r="AO43" s="289"/>
      <c r="AP43" s="289"/>
      <c r="AQ43" s="289"/>
      <c r="AR43" s="289"/>
      <c r="AS43" s="289"/>
      <c r="AT43" s="289"/>
      <c r="AU43" s="289"/>
      <c r="AV43" s="289"/>
      <c r="AW43" s="289"/>
      <c r="AX43" s="289"/>
      <c r="AY43" s="289"/>
      <c r="AZ43" s="289"/>
      <c r="BA43" s="289">
        <v>785236459</v>
      </c>
      <c r="BB43" s="289">
        <v>785236459</v>
      </c>
      <c r="BC43" s="289">
        <v>785236459</v>
      </c>
      <c r="BD43" s="294"/>
      <c r="BE43" s="294"/>
      <c r="BF43" s="294"/>
      <c r="BG43" s="289"/>
      <c r="BH43" s="289"/>
      <c r="BI43" s="289"/>
      <c r="BJ43" s="289"/>
      <c r="BK43" s="289"/>
      <c r="BL43" s="289"/>
      <c r="BM43" s="289"/>
      <c r="BN43" s="289"/>
      <c r="BO43" s="289"/>
      <c r="BP43" s="273">
        <f t="shared" si="9"/>
        <v>785236459</v>
      </c>
      <c r="BQ43" s="273">
        <f t="shared" si="10"/>
        <v>785236459</v>
      </c>
      <c r="BR43" s="273">
        <f t="shared" si="10"/>
        <v>785236459</v>
      </c>
      <c r="BS43" s="236" t="s">
        <v>1647</v>
      </c>
      <c r="BT43" s="233"/>
    </row>
    <row r="44" spans="1:72" s="27" customFormat="1" ht="130.5" customHeight="1" x14ac:dyDescent="0.2">
      <c r="A44" s="217">
        <v>308</v>
      </c>
      <c r="B44" s="216" t="s">
        <v>1618</v>
      </c>
      <c r="C44" s="213">
        <v>4</v>
      </c>
      <c r="D44" s="287" t="s">
        <v>1612</v>
      </c>
      <c r="E44" s="213">
        <v>45</v>
      </c>
      <c r="F44" s="216" t="s">
        <v>38</v>
      </c>
      <c r="G44" s="213" t="s">
        <v>41</v>
      </c>
      <c r="H44" s="216" t="s">
        <v>1570</v>
      </c>
      <c r="I44" s="213">
        <v>4599</v>
      </c>
      <c r="J44" s="216" t="s">
        <v>1571</v>
      </c>
      <c r="K44" s="216" t="s">
        <v>40</v>
      </c>
      <c r="L44" s="213" t="s">
        <v>41</v>
      </c>
      <c r="M44" s="216" t="s">
        <v>251</v>
      </c>
      <c r="N44" s="304" t="s">
        <v>252</v>
      </c>
      <c r="O44" s="216" t="s">
        <v>162</v>
      </c>
      <c r="P44" s="213" t="s">
        <v>41</v>
      </c>
      <c r="Q44" s="216" t="s">
        <v>253</v>
      </c>
      <c r="R44" s="304">
        <v>459901600</v>
      </c>
      <c r="S44" s="214" t="s">
        <v>162</v>
      </c>
      <c r="T44" s="236" t="s">
        <v>1671</v>
      </c>
      <c r="U44" s="76">
        <v>4</v>
      </c>
      <c r="V44" s="76">
        <v>3</v>
      </c>
      <c r="W44" s="236" t="s">
        <v>254</v>
      </c>
      <c r="X44" s="214" t="s">
        <v>1473</v>
      </c>
      <c r="Y44" s="214" t="s">
        <v>255</v>
      </c>
      <c r="Z44" s="312"/>
      <c r="AA44" s="312"/>
      <c r="AB44" s="312"/>
      <c r="AC44" s="289"/>
      <c r="AD44" s="289"/>
      <c r="AE44" s="289"/>
      <c r="AF44" s="289"/>
      <c r="AG44" s="289"/>
      <c r="AH44" s="289"/>
      <c r="AI44" s="289"/>
      <c r="AJ44" s="289"/>
      <c r="AK44" s="289"/>
      <c r="AL44" s="289"/>
      <c r="AM44" s="289"/>
      <c r="AN44" s="289"/>
      <c r="AO44" s="289"/>
      <c r="AP44" s="289"/>
      <c r="AQ44" s="289"/>
      <c r="AR44" s="289"/>
      <c r="AS44" s="289"/>
      <c r="AT44" s="289"/>
      <c r="AU44" s="289"/>
      <c r="AV44" s="289"/>
      <c r="AW44" s="289"/>
      <c r="AX44" s="289"/>
      <c r="AY44" s="289"/>
      <c r="AZ44" s="289"/>
      <c r="BA44" s="289"/>
      <c r="BB44" s="289"/>
      <c r="BC44" s="289"/>
      <c r="BD44" s="294">
        <v>218394939</v>
      </c>
      <c r="BE44" s="294">
        <v>132461956</v>
      </c>
      <c r="BF44" s="294">
        <v>132461956</v>
      </c>
      <c r="BG44" s="321"/>
      <c r="BH44" s="321"/>
      <c r="BI44" s="321"/>
      <c r="BJ44" s="289"/>
      <c r="BK44" s="289"/>
      <c r="BL44" s="289"/>
      <c r="BM44" s="289"/>
      <c r="BN44" s="289"/>
      <c r="BO44" s="289"/>
      <c r="BP44" s="273">
        <f t="shared" ref="BP44:BR49" si="11">+Z44+AC44+AF44+AI44+AL44+AO44+AR44+AU44+AX44+BA44+BD44+BG44+BJ44</f>
        <v>218394939</v>
      </c>
      <c r="BQ44" s="273">
        <f t="shared" si="11"/>
        <v>132461956</v>
      </c>
      <c r="BR44" s="273">
        <f t="shared" si="11"/>
        <v>132461956</v>
      </c>
      <c r="BS44" s="236" t="s">
        <v>1647</v>
      </c>
      <c r="BT44" s="233"/>
    </row>
    <row r="45" spans="1:72" s="27" customFormat="1" ht="147.75" customHeight="1" x14ac:dyDescent="0.2">
      <c r="A45" s="217">
        <v>308</v>
      </c>
      <c r="B45" s="216" t="s">
        <v>1618</v>
      </c>
      <c r="C45" s="213">
        <v>4</v>
      </c>
      <c r="D45" s="287" t="s">
        <v>1612</v>
      </c>
      <c r="E45" s="213">
        <v>45</v>
      </c>
      <c r="F45" s="216" t="s">
        <v>38</v>
      </c>
      <c r="G45" s="213">
        <v>4502</v>
      </c>
      <c r="H45" s="216" t="s">
        <v>1566</v>
      </c>
      <c r="I45" s="213">
        <v>4502</v>
      </c>
      <c r="J45" s="216" t="s">
        <v>1567</v>
      </c>
      <c r="K45" s="216" t="s">
        <v>70</v>
      </c>
      <c r="L45" s="304">
        <v>4502003</v>
      </c>
      <c r="M45" s="303" t="s">
        <v>256</v>
      </c>
      <c r="N45" s="304">
        <v>4502003</v>
      </c>
      <c r="O45" s="303" t="s">
        <v>257</v>
      </c>
      <c r="P45" s="304">
        <v>450200300</v>
      </c>
      <c r="Q45" s="303" t="s">
        <v>256</v>
      </c>
      <c r="R45" s="304">
        <v>450200300</v>
      </c>
      <c r="S45" s="303" t="s">
        <v>256</v>
      </c>
      <c r="T45" s="236" t="s">
        <v>1673</v>
      </c>
      <c r="U45" s="76">
        <v>2</v>
      </c>
      <c r="V45" s="76">
        <v>3</v>
      </c>
      <c r="W45" s="236" t="s">
        <v>258</v>
      </c>
      <c r="X45" s="214" t="s">
        <v>259</v>
      </c>
      <c r="Y45" s="214" t="s">
        <v>260</v>
      </c>
      <c r="Z45" s="312"/>
      <c r="AA45" s="312"/>
      <c r="AB45" s="312"/>
      <c r="AC45" s="289"/>
      <c r="AD45" s="289"/>
      <c r="AE45" s="289"/>
      <c r="AF45" s="289"/>
      <c r="AG45" s="289"/>
      <c r="AH45" s="289"/>
      <c r="AI45" s="289"/>
      <c r="AJ45" s="289"/>
      <c r="AK45" s="289"/>
      <c r="AL45" s="289"/>
      <c r="AM45" s="289"/>
      <c r="AN45" s="289"/>
      <c r="AO45" s="289"/>
      <c r="AP45" s="289"/>
      <c r="AQ45" s="289"/>
      <c r="AR45" s="289"/>
      <c r="AS45" s="289"/>
      <c r="AT45" s="289"/>
      <c r="AU45" s="289"/>
      <c r="AV45" s="289"/>
      <c r="AW45" s="289"/>
      <c r="AX45" s="289"/>
      <c r="AY45" s="289"/>
      <c r="AZ45" s="289"/>
      <c r="BA45" s="289"/>
      <c r="BB45" s="289"/>
      <c r="BC45" s="289"/>
      <c r="BD45" s="294">
        <v>31601460</v>
      </c>
      <c r="BE45" s="294">
        <v>31492810.670000002</v>
      </c>
      <c r="BF45" s="294">
        <v>31492810.670000002</v>
      </c>
      <c r="BG45" s="297"/>
      <c r="BH45" s="297"/>
      <c r="BI45" s="297"/>
      <c r="BJ45" s="289"/>
      <c r="BK45" s="289"/>
      <c r="BL45" s="289"/>
      <c r="BM45" s="289"/>
      <c r="BN45" s="289"/>
      <c r="BO45" s="289"/>
      <c r="BP45" s="273">
        <f t="shared" si="11"/>
        <v>31601460</v>
      </c>
      <c r="BQ45" s="273">
        <f>+AA45+AD45+AG45+AJ45+AM45+AP45+AS45+AV45+AY45+BB45+BE45+BH45+BK45</f>
        <v>31492810.670000002</v>
      </c>
      <c r="BR45" s="273">
        <f t="shared" si="11"/>
        <v>31492810.670000002</v>
      </c>
      <c r="BS45" s="236" t="s">
        <v>1647</v>
      </c>
      <c r="BT45" s="233"/>
    </row>
    <row r="46" spans="1:72" s="27" customFormat="1" ht="186" customHeight="1" x14ac:dyDescent="0.2">
      <c r="A46" s="217">
        <v>309</v>
      </c>
      <c r="B46" s="216" t="s">
        <v>1617</v>
      </c>
      <c r="C46" s="213">
        <v>1</v>
      </c>
      <c r="D46" s="287" t="s">
        <v>1614</v>
      </c>
      <c r="E46" s="213">
        <v>12</v>
      </c>
      <c r="F46" s="216" t="s">
        <v>137</v>
      </c>
      <c r="G46" s="213">
        <v>1202</v>
      </c>
      <c r="H46" s="216" t="s">
        <v>1573</v>
      </c>
      <c r="I46" s="213">
        <v>1202</v>
      </c>
      <c r="J46" s="216" t="s">
        <v>1572</v>
      </c>
      <c r="K46" s="216" t="s">
        <v>139</v>
      </c>
      <c r="L46" s="213">
        <v>1202004</v>
      </c>
      <c r="M46" s="216" t="s">
        <v>262</v>
      </c>
      <c r="N46" s="213">
        <v>1202004</v>
      </c>
      <c r="O46" s="216" t="s">
        <v>262</v>
      </c>
      <c r="P46" s="304">
        <v>120200400</v>
      </c>
      <c r="Q46" s="311" t="s">
        <v>105</v>
      </c>
      <c r="R46" s="304">
        <v>120200400</v>
      </c>
      <c r="S46" s="311" t="s">
        <v>105</v>
      </c>
      <c r="T46" s="236" t="s">
        <v>1671</v>
      </c>
      <c r="U46" s="76">
        <v>12</v>
      </c>
      <c r="V46" s="76">
        <v>12</v>
      </c>
      <c r="W46" s="236" t="s">
        <v>263</v>
      </c>
      <c r="X46" s="214" t="s">
        <v>1474</v>
      </c>
      <c r="Y46" s="214" t="s">
        <v>264</v>
      </c>
      <c r="Z46" s="289"/>
      <c r="AA46" s="289"/>
      <c r="AB46" s="289"/>
      <c r="AC46" s="322"/>
      <c r="AD46" s="322"/>
      <c r="AE46" s="322"/>
      <c r="AF46" s="289"/>
      <c r="AG46" s="289"/>
      <c r="AH46" s="289"/>
      <c r="AI46" s="289"/>
      <c r="AJ46" s="289"/>
      <c r="AK46" s="289"/>
      <c r="AL46" s="289"/>
      <c r="AM46" s="289"/>
      <c r="AN46" s="289"/>
      <c r="AO46" s="289"/>
      <c r="AP46" s="289"/>
      <c r="AQ46" s="289"/>
      <c r="AR46" s="289"/>
      <c r="AS46" s="289"/>
      <c r="AT46" s="289"/>
      <c r="AU46" s="289"/>
      <c r="AV46" s="289"/>
      <c r="AW46" s="289"/>
      <c r="AX46" s="289"/>
      <c r="AY46" s="289"/>
      <c r="AZ46" s="289"/>
      <c r="BA46" s="289"/>
      <c r="BB46" s="289"/>
      <c r="BC46" s="289"/>
      <c r="BD46" s="366">
        <v>135355000</v>
      </c>
      <c r="BE46" s="294">
        <v>129803000</v>
      </c>
      <c r="BF46" s="294">
        <v>129803000</v>
      </c>
      <c r="BG46" s="289"/>
      <c r="BH46" s="289"/>
      <c r="BI46" s="289"/>
      <c r="BJ46" s="289"/>
      <c r="BK46" s="289"/>
      <c r="BL46" s="289"/>
      <c r="BM46" s="289"/>
      <c r="BN46" s="289"/>
      <c r="BO46" s="289"/>
      <c r="BP46" s="273">
        <f t="shared" si="11"/>
        <v>135355000</v>
      </c>
      <c r="BQ46" s="273">
        <f t="shared" si="11"/>
        <v>129803000</v>
      </c>
      <c r="BR46" s="273">
        <f t="shared" si="11"/>
        <v>129803000</v>
      </c>
      <c r="BS46" s="236" t="s">
        <v>1648</v>
      </c>
      <c r="BT46" s="233"/>
    </row>
    <row r="47" spans="1:72" s="27" customFormat="1" ht="186" customHeight="1" x14ac:dyDescent="0.2">
      <c r="A47" s="217">
        <v>309</v>
      </c>
      <c r="B47" s="216" t="s">
        <v>1617</v>
      </c>
      <c r="C47" s="213">
        <v>1</v>
      </c>
      <c r="D47" s="287" t="s">
        <v>1614</v>
      </c>
      <c r="E47" s="213">
        <v>12</v>
      </c>
      <c r="F47" s="216" t="s">
        <v>137</v>
      </c>
      <c r="G47" s="213">
        <v>1203</v>
      </c>
      <c r="H47" s="216" t="s">
        <v>265</v>
      </c>
      <c r="I47" s="213">
        <v>1203</v>
      </c>
      <c r="J47" s="216" t="s">
        <v>1610</v>
      </c>
      <c r="K47" s="216" t="s">
        <v>139</v>
      </c>
      <c r="L47" s="213">
        <v>1203002</v>
      </c>
      <c r="M47" s="216" t="s">
        <v>266</v>
      </c>
      <c r="N47" s="213">
        <v>1203002</v>
      </c>
      <c r="O47" s="216" t="s">
        <v>266</v>
      </c>
      <c r="P47" s="213">
        <v>120300200</v>
      </c>
      <c r="Q47" s="311" t="s">
        <v>267</v>
      </c>
      <c r="R47" s="213">
        <v>120300200</v>
      </c>
      <c r="S47" s="311" t="s">
        <v>267</v>
      </c>
      <c r="T47" s="236" t="s">
        <v>1673</v>
      </c>
      <c r="U47" s="76">
        <v>40</v>
      </c>
      <c r="V47" s="76">
        <v>41</v>
      </c>
      <c r="W47" s="236" t="s">
        <v>268</v>
      </c>
      <c r="X47" s="214" t="s">
        <v>269</v>
      </c>
      <c r="Y47" s="214" t="s">
        <v>270</v>
      </c>
      <c r="Z47" s="289"/>
      <c r="AA47" s="289"/>
      <c r="AB47" s="289"/>
      <c r="AC47" s="273"/>
      <c r="AD47" s="273"/>
      <c r="AE47" s="273"/>
      <c r="AF47" s="289"/>
      <c r="AG47" s="289"/>
      <c r="AH47" s="289"/>
      <c r="AI47" s="289"/>
      <c r="AJ47" s="289"/>
      <c r="AK47" s="289"/>
      <c r="AL47" s="289"/>
      <c r="AM47" s="289"/>
      <c r="AN47" s="289"/>
      <c r="AO47" s="289"/>
      <c r="AP47" s="289"/>
      <c r="AQ47" s="289"/>
      <c r="AR47" s="289"/>
      <c r="AS47" s="289"/>
      <c r="AT47" s="289"/>
      <c r="AU47" s="289"/>
      <c r="AV47" s="289"/>
      <c r="AW47" s="289"/>
      <c r="AX47" s="289"/>
      <c r="AY47" s="289"/>
      <c r="AZ47" s="289"/>
      <c r="BA47" s="289"/>
      <c r="BB47" s="289"/>
      <c r="BC47" s="289"/>
      <c r="BD47" s="366">
        <v>67223401</v>
      </c>
      <c r="BE47" s="294">
        <v>65096055</v>
      </c>
      <c r="BF47" s="294">
        <v>65096055</v>
      </c>
      <c r="BG47" s="289"/>
      <c r="BH47" s="289"/>
      <c r="BI47" s="289"/>
      <c r="BJ47" s="323"/>
      <c r="BK47" s="323"/>
      <c r="BL47" s="323"/>
      <c r="BM47" s="323"/>
      <c r="BN47" s="323"/>
      <c r="BO47" s="323"/>
      <c r="BP47" s="273">
        <f t="shared" si="11"/>
        <v>67223401</v>
      </c>
      <c r="BQ47" s="273">
        <f t="shared" si="11"/>
        <v>65096055</v>
      </c>
      <c r="BR47" s="273">
        <f t="shared" si="11"/>
        <v>65096055</v>
      </c>
      <c r="BS47" s="236" t="s">
        <v>1648</v>
      </c>
      <c r="BT47" s="233"/>
    </row>
    <row r="48" spans="1:72" s="27" customFormat="1" ht="180" customHeight="1" x14ac:dyDescent="0.2">
      <c r="A48" s="217">
        <v>309</v>
      </c>
      <c r="B48" s="216" t="s">
        <v>1617</v>
      </c>
      <c r="C48" s="213">
        <v>1</v>
      </c>
      <c r="D48" s="287" t="s">
        <v>1614</v>
      </c>
      <c r="E48" s="213">
        <v>12</v>
      </c>
      <c r="F48" s="216" t="s">
        <v>137</v>
      </c>
      <c r="G48" s="213">
        <v>1206</v>
      </c>
      <c r="H48" s="216" t="s">
        <v>271</v>
      </c>
      <c r="I48" s="213">
        <v>1206</v>
      </c>
      <c r="J48" s="216" t="s">
        <v>1574</v>
      </c>
      <c r="K48" s="216" t="s">
        <v>139</v>
      </c>
      <c r="L48" s="213">
        <v>1206005</v>
      </c>
      <c r="M48" s="216" t="s">
        <v>272</v>
      </c>
      <c r="N48" s="213">
        <v>1206005</v>
      </c>
      <c r="O48" s="216" t="s">
        <v>272</v>
      </c>
      <c r="P48" s="304">
        <v>120600500</v>
      </c>
      <c r="Q48" s="216" t="s">
        <v>273</v>
      </c>
      <c r="R48" s="304">
        <v>120600500</v>
      </c>
      <c r="S48" s="216" t="s">
        <v>273</v>
      </c>
      <c r="T48" s="236" t="s">
        <v>1673</v>
      </c>
      <c r="U48" s="76">
        <v>20</v>
      </c>
      <c r="V48" s="76">
        <v>5</v>
      </c>
      <c r="W48" s="236" t="s">
        <v>274</v>
      </c>
      <c r="X48" s="325" t="s">
        <v>275</v>
      </c>
      <c r="Y48" s="325" t="s">
        <v>276</v>
      </c>
      <c r="Z48" s="289"/>
      <c r="AA48" s="289"/>
      <c r="AB48" s="289"/>
      <c r="AC48" s="326"/>
      <c r="AD48" s="326"/>
      <c r="AE48" s="326"/>
      <c r="AF48" s="289"/>
      <c r="AG48" s="289"/>
      <c r="AH48" s="289"/>
      <c r="AI48" s="289"/>
      <c r="AJ48" s="289"/>
      <c r="AK48" s="289"/>
      <c r="AL48" s="289"/>
      <c r="AM48" s="289"/>
      <c r="AN48" s="289"/>
      <c r="AO48" s="289"/>
      <c r="AP48" s="289"/>
      <c r="AQ48" s="289"/>
      <c r="AR48" s="289"/>
      <c r="AS48" s="289"/>
      <c r="AT48" s="289"/>
      <c r="AU48" s="289"/>
      <c r="AV48" s="289"/>
      <c r="AW48" s="289"/>
      <c r="AX48" s="289"/>
      <c r="AY48" s="289"/>
      <c r="AZ48" s="289"/>
      <c r="BA48" s="289"/>
      <c r="BB48" s="289"/>
      <c r="BC48" s="289"/>
      <c r="BD48" s="366">
        <v>30000000</v>
      </c>
      <c r="BE48" s="294">
        <v>10000000</v>
      </c>
      <c r="BF48" s="294">
        <v>10000000</v>
      </c>
      <c r="BG48" s="289"/>
      <c r="BH48" s="289"/>
      <c r="BI48" s="289"/>
      <c r="BJ48" s="289"/>
      <c r="BK48" s="289"/>
      <c r="BL48" s="289"/>
      <c r="BM48" s="289"/>
      <c r="BN48" s="289"/>
      <c r="BO48" s="289"/>
      <c r="BP48" s="273">
        <f t="shared" si="11"/>
        <v>30000000</v>
      </c>
      <c r="BQ48" s="273">
        <f t="shared" si="11"/>
        <v>10000000</v>
      </c>
      <c r="BR48" s="273">
        <f t="shared" si="11"/>
        <v>10000000</v>
      </c>
      <c r="BS48" s="236" t="s">
        <v>1648</v>
      </c>
      <c r="BT48" s="233"/>
    </row>
    <row r="49" spans="1:72" s="27" customFormat="1" ht="129.75" customHeight="1" x14ac:dyDescent="0.2">
      <c r="A49" s="217">
        <v>309</v>
      </c>
      <c r="B49" s="216" t="s">
        <v>1617</v>
      </c>
      <c r="C49" s="213">
        <v>1</v>
      </c>
      <c r="D49" s="287" t="s">
        <v>1614</v>
      </c>
      <c r="E49" s="213">
        <v>22</v>
      </c>
      <c r="F49" s="216" t="s">
        <v>156</v>
      </c>
      <c r="G49" s="213">
        <v>2201</v>
      </c>
      <c r="H49" s="216" t="s">
        <v>277</v>
      </c>
      <c r="I49" s="213">
        <v>2201</v>
      </c>
      <c r="J49" s="216" t="s">
        <v>1587</v>
      </c>
      <c r="K49" s="216" t="s">
        <v>278</v>
      </c>
      <c r="L49" s="316">
        <v>2201068</v>
      </c>
      <c r="M49" s="216" t="s">
        <v>279</v>
      </c>
      <c r="N49" s="316">
        <v>2201068</v>
      </c>
      <c r="O49" s="216" t="s">
        <v>279</v>
      </c>
      <c r="P49" s="304">
        <v>220106800</v>
      </c>
      <c r="Q49" s="216" t="s">
        <v>280</v>
      </c>
      <c r="R49" s="304">
        <v>220106800</v>
      </c>
      <c r="S49" s="216" t="s">
        <v>280</v>
      </c>
      <c r="T49" s="236" t="s">
        <v>1673</v>
      </c>
      <c r="U49" s="76">
        <v>70</v>
      </c>
      <c r="V49" s="76">
        <v>70</v>
      </c>
      <c r="W49" s="236" t="s">
        <v>281</v>
      </c>
      <c r="X49" s="214" t="s">
        <v>282</v>
      </c>
      <c r="Y49" s="214" t="s">
        <v>283</v>
      </c>
      <c r="Z49" s="289"/>
      <c r="AA49" s="289"/>
      <c r="AB49" s="289"/>
      <c r="AC49" s="289"/>
      <c r="AD49" s="289"/>
      <c r="AE49" s="289"/>
      <c r="AF49" s="289"/>
      <c r="AG49" s="289"/>
      <c r="AH49" s="289"/>
      <c r="AI49" s="289"/>
      <c r="AJ49" s="289"/>
      <c r="AK49" s="289"/>
      <c r="AL49" s="289"/>
      <c r="AM49" s="289"/>
      <c r="AN49" s="289"/>
      <c r="AO49" s="289"/>
      <c r="AP49" s="289"/>
      <c r="AQ49" s="289"/>
      <c r="AR49" s="289"/>
      <c r="AS49" s="289"/>
      <c r="AT49" s="289"/>
      <c r="AU49" s="289"/>
      <c r="AV49" s="289"/>
      <c r="AW49" s="289"/>
      <c r="AX49" s="289"/>
      <c r="AY49" s="289"/>
      <c r="AZ49" s="289"/>
      <c r="BA49" s="289"/>
      <c r="BB49" s="289"/>
      <c r="BC49" s="289"/>
      <c r="BD49" s="366">
        <v>74287500</v>
      </c>
      <c r="BE49" s="294">
        <v>61854666</v>
      </c>
      <c r="BF49" s="294">
        <v>61854666</v>
      </c>
      <c r="BG49" s="289"/>
      <c r="BH49" s="289"/>
      <c r="BI49" s="289"/>
      <c r="BJ49" s="289"/>
      <c r="BK49" s="289"/>
      <c r="BL49" s="289"/>
      <c r="BM49" s="289"/>
      <c r="BN49" s="289"/>
      <c r="BO49" s="289"/>
      <c r="BP49" s="273">
        <f t="shared" si="11"/>
        <v>74287500</v>
      </c>
      <c r="BQ49" s="273">
        <f t="shared" si="11"/>
        <v>61854666</v>
      </c>
      <c r="BR49" s="273">
        <f t="shared" si="11"/>
        <v>61854666</v>
      </c>
      <c r="BS49" s="236" t="s">
        <v>1648</v>
      </c>
      <c r="BT49" s="233"/>
    </row>
    <row r="50" spans="1:72" s="27" customFormat="1" ht="140.25" customHeight="1" x14ac:dyDescent="0.2">
      <c r="A50" s="217">
        <v>309</v>
      </c>
      <c r="B50" s="216" t="s">
        <v>1617</v>
      </c>
      <c r="C50" s="213">
        <v>1</v>
      </c>
      <c r="D50" s="287" t="s">
        <v>1614</v>
      </c>
      <c r="E50" s="213">
        <v>41</v>
      </c>
      <c r="F50" s="216" t="s">
        <v>284</v>
      </c>
      <c r="G50" s="213">
        <v>4101</v>
      </c>
      <c r="H50" s="216" t="s">
        <v>285</v>
      </c>
      <c r="I50" s="213">
        <v>4101</v>
      </c>
      <c r="J50" s="216" t="s">
        <v>1605</v>
      </c>
      <c r="K50" s="216" t="s">
        <v>286</v>
      </c>
      <c r="L50" s="304">
        <v>4101023</v>
      </c>
      <c r="M50" s="216" t="s">
        <v>287</v>
      </c>
      <c r="N50" s="304">
        <v>4101023</v>
      </c>
      <c r="O50" s="216" t="s">
        <v>287</v>
      </c>
      <c r="P50" s="304">
        <v>410102300</v>
      </c>
      <c r="Q50" s="311" t="s">
        <v>288</v>
      </c>
      <c r="R50" s="304">
        <v>410102300</v>
      </c>
      <c r="S50" s="311" t="s">
        <v>288</v>
      </c>
      <c r="T50" s="236" t="s">
        <v>1673</v>
      </c>
      <c r="U50" s="76">
        <v>500</v>
      </c>
      <c r="V50" s="76">
        <v>500</v>
      </c>
      <c r="W50" s="236" t="s">
        <v>289</v>
      </c>
      <c r="X50" s="214" t="s">
        <v>290</v>
      </c>
      <c r="Y50" s="320" t="s">
        <v>291</v>
      </c>
      <c r="Z50" s="289"/>
      <c r="AA50" s="289"/>
      <c r="AB50" s="289"/>
      <c r="AC50" s="289"/>
      <c r="AD50" s="289"/>
      <c r="AE50" s="289"/>
      <c r="AF50" s="289"/>
      <c r="AG50" s="289"/>
      <c r="AH50" s="289"/>
      <c r="AI50" s="289"/>
      <c r="AJ50" s="289"/>
      <c r="AK50" s="289"/>
      <c r="AL50" s="289"/>
      <c r="AM50" s="289"/>
      <c r="AN50" s="289"/>
      <c r="AO50" s="289"/>
      <c r="AP50" s="289"/>
      <c r="AQ50" s="289"/>
      <c r="AR50" s="289"/>
      <c r="AS50" s="289"/>
      <c r="AT50" s="289"/>
      <c r="AU50" s="289"/>
      <c r="AV50" s="289"/>
      <c r="AW50" s="289"/>
      <c r="AX50" s="289"/>
      <c r="AY50" s="289"/>
      <c r="AZ50" s="289"/>
      <c r="BA50" s="289"/>
      <c r="BB50" s="289"/>
      <c r="BC50" s="289"/>
      <c r="BD50" s="366">
        <v>222950000</v>
      </c>
      <c r="BE50" s="294">
        <v>175109602</v>
      </c>
      <c r="BF50" s="294">
        <v>175109602</v>
      </c>
      <c r="BG50" s="289"/>
      <c r="BH50" s="289"/>
      <c r="BI50" s="289"/>
      <c r="BJ50" s="289"/>
      <c r="BK50" s="289"/>
      <c r="BL50" s="289"/>
      <c r="BM50" s="289"/>
      <c r="BN50" s="289"/>
      <c r="BO50" s="289"/>
      <c r="BP50" s="273">
        <f t="shared" ref="BP50:BR54" si="12">+Z50+AC50+AF50+AI50+AL50+AO50+AR50+AU50+AX50+BA50+BD50+BG50+BJ50</f>
        <v>222950000</v>
      </c>
      <c r="BQ50" s="273">
        <f t="shared" si="12"/>
        <v>175109602</v>
      </c>
      <c r="BR50" s="273">
        <f t="shared" si="12"/>
        <v>175109602</v>
      </c>
      <c r="BS50" s="236" t="s">
        <v>1648</v>
      </c>
      <c r="BT50" s="233"/>
    </row>
    <row r="51" spans="1:72" s="27" customFormat="1" ht="115.5" customHeight="1" x14ac:dyDescent="0.2">
      <c r="A51" s="217">
        <v>309</v>
      </c>
      <c r="B51" s="216" t="s">
        <v>1617</v>
      </c>
      <c r="C51" s="213">
        <v>1</v>
      </c>
      <c r="D51" s="287" t="s">
        <v>1614</v>
      </c>
      <c r="E51" s="213">
        <v>41</v>
      </c>
      <c r="F51" s="216" t="s">
        <v>284</v>
      </c>
      <c r="G51" s="213">
        <v>4101</v>
      </c>
      <c r="H51" s="216" t="s">
        <v>285</v>
      </c>
      <c r="I51" s="213">
        <v>4101</v>
      </c>
      <c r="J51" s="216" t="s">
        <v>1605</v>
      </c>
      <c r="K51" s="216" t="s">
        <v>286</v>
      </c>
      <c r="L51" s="74">
        <v>4101025</v>
      </c>
      <c r="M51" s="216" t="s">
        <v>292</v>
      </c>
      <c r="N51" s="304">
        <v>4101025</v>
      </c>
      <c r="O51" s="216" t="s">
        <v>292</v>
      </c>
      <c r="P51" s="304">
        <v>410102511</v>
      </c>
      <c r="Q51" s="216" t="s">
        <v>293</v>
      </c>
      <c r="R51" s="304">
        <v>410102511</v>
      </c>
      <c r="S51" s="216" t="s">
        <v>293</v>
      </c>
      <c r="T51" s="236" t="s">
        <v>1673</v>
      </c>
      <c r="U51" s="76">
        <v>100</v>
      </c>
      <c r="V51" s="76">
        <v>96</v>
      </c>
      <c r="W51" s="236" t="s">
        <v>289</v>
      </c>
      <c r="X51" s="214" t="s">
        <v>290</v>
      </c>
      <c r="Y51" s="320" t="s">
        <v>291</v>
      </c>
      <c r="Z51" s="289"/>
      <c r="AA51" s="289"/>
      <c r="AB51" s="289"/>
      <c r="AC51" s="289"/>
      <c r="AD51" s="289"/>
      <c r="AE51" s="289"/>
      <c r="AF51" s="289"/>
      <c r="AG51" s="289"/>
      <c r="AH51" s="289"/>
      <c r="AI51" s="289"/>
      <c r="AJ51" s="289"/>
      <c r="AK51" s="289"/>
      <c r="AL51" s="289"/>
      <c r="AM51" s="289"/>
      <c r="AN51" s="289"/>
      <c r="AO51" s="289"/>
      <c r="AP51" s="289"/>
      <c r="AQ51" s="289"/>
      <c r="AR51" s="289"/>
      <c r="AS51" s="289"/>
      <c r="AT51" s="289"/>
      <c r="AU51" s="289"/>
      <c r="AV51" s="289"/>
      <c r="AW51" s="289"/>
      <c r="AX51" s="289"/>
      <c r="AY51" s="289"/>
      <c r="AZ51" s="289"/>
      <c r="BA51" s="289"/>
      <c r="BB51" s="289"/>
      <c r="BC51" s="289"/>
      <c r="BD51" s="294">
        <v>52000000</v>
      </c>
      <c r="BE51" s="294">
        <v>35920648</v>
      </c>
      <c r="BF51" s="294">
        <v>35920648</v>
      </c>
      <c r="BG51" s="289"/>
      <c r="BH51" s="289"/>
      <c r="BI51" s="289"/>
      <c r="BJ51" s="289"/>
      <c r="BK51" s="289"/>
      <c r="BL51" s="289"/>
      <c r="BM51" s="289"/>
      <c r="BN51" s="289"/>
      <c r="BO51" s="289"/>
      <c r="BP51" s="273">
        <f t="shared" si="12"/>
        <v>52000000</v>
      </c>
      <c r="BQ51" s="273">
        <f t="shared" si="12"/>
        <v>35920648</v>
      </c>
      <c r="BR51" s="273">
        <f t="shared" si="12"/>
        <v>35920648</v>
      </c>
      <c r="BS51" s="236" t="s">
        <v>1648</v>
      </c>
      <c r="BT51" s="233"/>
    </row>
    <row r="52" spans="1:72" s="27" customFormat="1" ht="117.75" customHeight="1" x14ac:dyDescent="0.2">
      <c r="A52" s="217">
        <v>309</v>
      </c>
      <c r="B52" s="216" t="s">
        <v>1617</v>
      </c>
      <c r="C52" s="213">
        <v>1</v>
      </c>
      <c r="D52" s="287" t="s">
        <v>1614</v>
      </c>
      <c r="E52" s="213">
        <v>41</v>
      </c>
      <c r="F52" s="216" t="s">
        <v>284</v>
      </c>
      <c r="G52" s="213">
        <v>4101</v>
      </c>
      <c r="H52" s="216" t="s">
        <v>285</v>
      </c>
      <c r="I52" s="213">
        <v>4101</v>
      </c>
      <c r="J52" s="216" t="s">
        <v>1605</v>
      </c>
      <c r="K52" s="216" t="s">
        <v>286</v>
      </c>
      <c r="L52" s="304">
        <v>4101038</v>
      </c>
      <c r="M52" s="216" t="s">
        <v>294</v>
      </c>
      <c r="N52" s="304">
        <v>4101038</v>
      </c>
      <c r="O52" s="216" t="s">
        <v>294</v>
      </c>
      <c r="P52" s="304">
        <v>410103800</v>
      </c>
      <c r="Q52" s="216" t="s">
        <v>295</v>
      </c>
      <c r="R52" s="304">
        <v>410103800</v>
      </c>
      <c r="S52" s="216" t="s">
        <v>295</v>
      </c>
      <c r="T52" s="236" t="s">
        <v>1673</v>
      </c>
      <c r="U52" s="76">
        <v>12</v>
      </c>
      <c r="V52" s="76">
        <v>12</v>
      </c>
      <c r="W52" s="236" t="s">
        <v>289</v>
      </c>
      <c r="X52" s="214" t="s">
        <v>290</v>
      </c>
      <c r="Y52" s="320" t="s">
        <v>291</v>
      </c>
      <c r="Z52" s="289"/>
      <c r="AA52" s="289"/>
      <c r="AB52" s="289"/>
      <c r="AC52" s="289"/>
      <c r="AD52" s="289"/>
      <c r="AE52" s="289"/>
      <c r="AF52" s="289"/>
      <c r="AG52" s="289"/>
      <c r="AH52" s="289"/>
      <c r="AI52" s="289"/>
      <c r="AJ52" s="289"/>
      <c r="AK52" s="289"/>
      <c r="AL52" s="289"/>
      <c r="AM52" s="289"/>
      <c r="AN52" s="289"/>
      <c r="AO52" s="289"/>
      <c r="AP52" s="289"/>
      <c r="AQ52" s="289"/>
      <c r="AR52" s="289"/>
      <c r="AS52" s="289"/>
      <c r="AT52" s="289"/>
      <c r="AU52" s="289"/>
      <c r="AV52" s="289"/>
      <c r="AW52" s="289"/>
      <c r="AX52" s="289"/>
      <c r="AY52" s="289"/>
      <c r="AZ52" s="289"/>
      <c r="BA52" s="289"/>
      <c r="BB52" s="289"/>
      <c r="BC52" s="289"/>
      <c r="BD52" s="366">
        <v>44000000</v>
      </c>
      <c r="BE52" s="294">
        <v>38363904</v>
      </c>
      <c r="BF52" s="294">
        <v>38363904</v>
      </c>
      <c r="BG52" s="289"/>
      <c r="BH52" s="289"/>
      <c r="BI52" s="289"/>
      <c r="BJ52" s="289"/>
      <c r="BK52" s="289"/>
      <c r="BL52" s="289"/>
      <c r="BM52" s="289"/>
      <c r="BN52" s="289"/>
      <c r="BO52" s="289"/>
      <c r="BP52" s="273">
        <f t="shared" si="12"/>
        <v>44000000</v>
      </c>
      <c r="BQ52" s="273">
        <f t="shared" si="12"/>
        <v>38363904</v>
      </c>
      <c r="BR52" s="273">
        <f t="shared" si="12"/>
        <v>38363904</v>
      </c>
      <c r="BS52" s="236" t="s">
        <v>1648</v>
      </c>
      <c r="BT52" s="233"/>
    </row>
    <row r="53" spans="1:72" s="27" customFormat="1" ht="109.5" customHeight="1" x14ac:dyDescent="0.2">
      <c r="A53" s="217">
        <v>309</v>
      </c>
      <c r="B53" s="216" t="s">
        <v>1617</v>
      </c>
      <c r="C53" s="213">
        <v>1</v>
      </c>
      <c r="D53" s="287" t="s">
        <v>1614</v>
      </c>
      <c r="E53" s="213">
        <v>41</v>
      </c>
      <c r="F53" s="216" t="s">
        <v>284</v>
      </c>
      <c r="G53" s="213">
        <v>4101</v>
      </c>
      <c r="H53" s="216" t="s">
        <v>285</v>
      </c>
      <c r="I53" s="213">
        <v>4101</v>
      </c>
      <c r="J53" s="216" t="s">
        <v>1605</v>
      </c>
      <c r="K53" s="216" t="s">
        <v>296</v>
      </c>
      <c r="L53" s="304">
        <v>4101073</v>
      </c>
      <c r="M53" s="216" t="s">
        <v>297</v>
      </c>
      <c r="N53" s="304">
        <v>4101073</v>
      </c>
      <c r="O53" s="216" t="s">
        <v>297</v>
      </c>
      <c r="P53" s="304">
        <v>410107300</v>
      </c>
      <c r="Q53" s="216" t="s">
        <v>298</v>
      </c>
      <c r="R53" s="304">
        <v>410107300</v>
      </c>
      <c r="S53" s="216" t="s">
        <v>298</v>
      </c>
      <c r="T53" s="236" t="s">
        <v>1673</v>
      </c>
      <c r="U53" s="76">
        <v>30</v>
      </c>
      <c r="V53" s="76">
        <v>30</v>
      </c>
      <c r="W53" s="236" t="s">
        <v>289</v>
      </c>
      <c r="X53" s="214" t="s">
        <v>290</v>
      </c>
      <c r="Y53" s="320" t="s">
        <v>291</v>
      </c>
      <c r="Z53" s="289"/>
      <c r="AA53" s="289"/>
      <c r="AB53" s="289"/>
      <c r="AC53" s="289"/>
      <c r="AD53" s="289"/>
      <c r="AE53" s="289"/>
      <c r="AF53" s="289"/>
      <c r="AG53" s="289"/>
      <c r="AH53" s="289"/>
      <c r="AI53" s="289"/>
      <c r="AJ53" s="289"/>
      <c r="AK53" s="289"/>
      <c r="AL53" s="289"/>
      <c r="AM53" s="289"/>
      <c r="AN53" s="289"/>
      <c r="AO53" s="289"/>
      <c r="AP53" s="289"/>
      <c r="AQ53" s="289"/>
      <c r="AR53" s="289"/>
      <c r="AS53" s="289"/>
      <c r="AT53" s="289"/>
      <c r="AU53" s="289"/>
      <c r="AV53" s="289"/>
      <c r="AW53" s="289"/>
      <c r="AX53" s="289"/>
      <c r="AY53" s="289"/>
      <c r="AZ53" s="289"/>
      <c r="BA53" s="289"/>
      <c r="BB53" s="289"/>
      <c r="BC53" s="289"/>
      <c r="BD53" s="294">
        <v>136707113</v>
      </c>
      <c r="BE53" s="294">
        <v>110644280.95</v>
      </c>
      <c r="BF53" s="294">
        <v>110644280.95</v>
      </c>
      <c r="BG53" s="289"/>
      <c r="BH53" s="289"/>
      <c r="BI53" s="289"/>
      <c r="BJ53" s="289"/>
      <c r="BK53" s="289"/>
      <c r="BL53" s="289"/>
      <c r="BM53" s="289"/>
      <c r="BN53" s="289"/>
      <c r="BO53" s="289"/>
      <c r="BP53" s="273">
        <f t="shared" si="12"/>
        <v>136707113</v>
      </c>
      <c r="BQ53" s="273">
        <f t="shared" si="12"/>
        <v>110644280.95</v>
      </c>
      <c r="BR53" s="273">
        <f t="shared" si="12"/>
        <v>110644280.95</v>
      </c>
      <c r="BS53" s="236" t="s">
        <v>1648</v>
      </c>
      <c r="BT53" s="233"/>
    </row>
    <row r="54" spans="1:72" s="27" customFormat="1" ht="105" x14ac:dyDescent="0.2">
      <c r="A54" s="217">
        <v>309</v>
      </c>
      <c r="B54" s="216" t="s">
        <v>1617</v>
      </c>
      <c r="C54" s="213">
        <v>1</v>
      </c>
      <c r="D54" s="287" t="s">
        <v>1614</v>
      </c>
      <c r="E54" s="213">
        <v>41</v>
      </c>
      <c r="F54" s="216" t="s">
        <v>284</v>
      </c>
      <c r="G54" s="213">
        <v>4101</v>
      </c>
      <c r="H54" s="216" t="s">
        <v>285</v>
      </c>
      <c r="I54" s="213">
        <v>4101</v>
      </c>
      <c r="J54" s="216" t="s">
        <v>1605</v>
      </c>
      <c r="K54" s="216" t="s">
        <v>299</v>
      </c>
      <c r="L54" s="304">
        <v>4101011</v>
      </c>
      <c r="M54" s="216" t="s">
        <v>300</v>
      </c>
      <c r="N54" s="304">
        <v>4101011</v>
      </c>
      <c r="O54" s="216" t="s">
        <v>300</v>
      </c>
      <c r="P54" s="304">
        <v>410101100</v>
      </c>
      <c r="Q54" s="216" t="s">
        <v>301</v>
      </c>
      <c r="R54" s="304">
        <v>410101100</v>
      </c>
      <c r="S54" s="216" t="s">
        <v>301</v>
      </c>
      <c r="T54" s="236" t="s">
        <v>1673</v>
      </c>
      <c r="U54" s="76">
        <v>2</v>
      </c>
      <c r="V54" s="76">
        <v>2</v>
      </c>
      <c r="W54" s="236" t="s">
        <v>289</v>
      </c>
      <c r="X54" s="214" t="s">
        <v>290</v>
      </c>
      <c r="Y54" s="320" t="s">
        <v>291</v>
      </c>
      <c r="Z54" s="289"/>
      <c r="AA54" s="289"/>
      <c r="AB54" s="289"/>
      <c r="AC54" s="289"/>
      <c r="AD54" s="289"/>
      <c r="AE54" s="289"/>
      <c r="AF54" s="289"/>
      <c r="AG54" s="289"/>
      <c r="AH54" s="289"/>
      <c r="AI54" s="289"/>
      <c r="AJ54" s="289"/>
      <c r="AK54" s="289"/>
      <c r="AL54" s="289"/>
      <c r="AM54" s="289"/>
      <c r="AN54" s="289"/>
      <c r="AO54" s="289"/>
      <c r="AP54" s="289"/>
      <c r="AQ54" s="289"/>
      <c r="AR54" s="289"/>
      <c r="AS54" s="289"/>
      <c r="AT54" s="289"/>
      <c r="AU54" s="289"/>
      <c r="AV54" s="289"/>
      <c r="AW54" s="289"/>
      <c r="AX54" s="289"/>
      <c r="AY54" s="289"/>
      <c r="AZ54" s="289"/>
      <c r="BA54" s="289"/>
      <c r="BB54" s="289"/>
      <c r="BC54" s="289"/>
      <c r="BD54" s="294">
        <v>47000000</v>
      </c>
      <c r="BE54" s="294">
        <v>27980833</v>
      </c>
      <c r="BF54" s="294">
        <v>27980833</v>
      </c>
      <c r="BG54" s="289"/>
      <c r="BH54" s="289"/>
      <c r="BI54" s="289"/>
      <c r="BJ54" s="289"/>
      <c r="BK54" s="289"/>
      <c r="BL54" s="289"/>
      <c r="BM54" s="289"/>
      <c r="BN54" s="289"/>
      <c r="BO54" s="289"/>
      <c r="BP54" s="273">
        <f t="shared" si="12"/>
        <v>47000000</v>
      </c>
      <c r="BQ54" s="273">
        <f t="shared" si="12"/>
        <v>27980833</v>
      </c>
      <c r="BR54" s="273">
        <f t="shared" si="12"/>
        <v>27980833</v>
      </c>
      <c r="BS54" s="236" t="s">
        <v>1648</v>
      </c>
      <c r="BT54" s="233"/>
    </row>
    <row r="55" spans="1:72" s="27" customFormat="1" ht="129.75" customHeight="1" x14ac:dyDescent="0.2">
      <c r="A55" s="217">
        <v>309</v>
      </c>
      <c r="B55" s="216" t="s">
        <v>1617</v>
      </c>
      <c r="C55" s="213">
        <v>1</v>
      </c>
      <c r="D55" s="287" t="s">
        <v>1614</v>
      </c>
      <c r="E55" s="213">
        <v>41</v>
      </c>
      <c r="F55" s="216" t="s">
        <v>284</v>
      </c>
      <c r="G55" s="213">
        <v>4103</v>
      </c>
      <c r="H55" s="216" t="s">
        <v>302</v>
      </c>
      <c r="I55" s="213">
        <v>4103</v>
      </c>
      <c r="J55" s="216" t="s">
        <v>1606</v>
      </c>
      <c r="K55" s="216" t="s">
        <v>303</v>
      </c>
      <c r="L55" s="213" t="s">
        <v>41</v>
      </c>
      <c r="M55" s="216" t="s">
        <v>304</v>
      </c>
      <c r="N55" s="304">
        <v>4103052</v>
      </c>
      <c r="O55" s="216" t="s">
        <v>305</v>
      </c>
      <c r="P55" s="213" t="s">
        <v>41</v>
      </c>
      <c r="Q55" s="216" t="s">
        <v>306</v>
      </c>
      <c r="R55" s="304">
        <v>410305201</v>
      </c>
      <c r="S55" s="216" t="s">
        <v>307</v>
      </c>
      <c r="T55" s="236" t="s">
        <v>1673</v>
      </c>
      <c r="U55" s="76">
        <v>25</v>
      </c>
      <c r="V55" s="76">
        <v>25</v>
      </c>
      <c r="W55" s="236" t="s">
        <v>308</v>
      </c>
      <c r="X55" s="216" t="s">
        <v>309</v>
      </c>
      <c r="Y55" s="216" t="s">
        <v>310</v>
      </c>
      <c r="Z55" s="289"/>
      <c r="AA55" s="289"/>
      <c r="AB55" s="289"/>
      <c r="AC55" s="289"/>
      <c r="AD55" s="289"/>
      <c r="AE55" s="289"/>
      <c r="AF55" s="289"/>
      <c r="AG55" s="289"/>
      <c r="AH55" s="289"/>
      <c r="AI55" s="289"/>
      <c r="AJ55" s="289"/>
      <c r="AK55" s="289"/>
      <c r="AL55" s="289"/>
      <c r="AM55" s="289"/>
      <c r="AN55" s="289"/>
      <c r="AO55" s="289"/>
      <c r="AP55" s="289"/>
      <c r="AQ55" s="289"/>
      <c r="AR55" s="289"/>
      <c r="AS55" s="289"/>
      <c r="AT55" s="289"/>
      <c r="AU55" s="289"/>
      <c r="AV55" s="289"/>
      <c r="AW55" s="289"/>
      <c r="AX55" s="289"/>
      <c r="AY55" s="289"/>
      <c r="AZ55" s="289"/>
      <c r="BA55" s="289"/>
      <c r="BB55" s="289"/>
      <c r="BC55" s="289"/>
      <c r="BD55" s="294">
        <v>34027629</v>
      </c>
      <c r="BE55" s="294">
        <v>16292129</v>
      </c>
      <c r="BF55" s="294">
        <v>16292129</v>
      </c>
      <c r="BG55" s="289"/>
      <c r="BH55" s="289"/>
      <c r="BI55" s="289"/>
      <c r="BJ55" s="289"/>
      <c r="BK55" s="289"/>
      <c r="BL55" s="289"/>
      <c r="BM55" s="289"/>
      <c r="BN55" s="289"/>
      <c r="BO55" s="289"/>
      <c r="BP55" s="273">
        <f>+Z55+AC55+AF55+AI55+AL55+AO55+AR55+AU55+AX55+BA55+BD55+BG55+BJ55</f>
        <v>34027629</v>
      </c>
      <c r="BQ55" s="273">
        <f>+AA55+AD55+AG55+AJ55+AM55+AP55+AS55+AV55+AY55+BB55+BE55+BH55+BK55</f>
        <v>16292129</v>
      </c>
      <c r="BR55" s="273">
        <f>+AB55+AE55+AH55+AK55+AN55+AQ55+AT55+AW55+AZ55+BC55+BF55+BI55+BL55</f>
        <v>16292129</v>
      </c>
      <c r="BS55" s="236" t="s">
        <v>1648</v>
      </c>
      <c r="BT55" s="233"/>
    </row>
    <row r="56" spans="1:72" s="27" customFormat="1" ht="188.25" customHeight="1" x14ac:dyDescent="0.2">
      <c r="A56" s="217">
        <v>309</v>
      </c>
      <c r="B56" s="216" t="s">
        <v>1617</v>
      </c>
      <c r="C56" s="213">
        <v>1</v>
      </c>
      <c r="D56" s="287" t="s">
        <v>1614</v>
      </c>
      <c r="E56" s="213">
        <v>45</v>
      </c>
      <c r="F56" s="216" t="s">
        <v>38</v>
      </c>
      <c r="G56" s="213">
        <v>4501</v>
      </c>
      <c r="H56" s="216" t="s">
        <v>311</v>
      </c>
      <c r="I56" s="213">
        <v>4501</v>
      </c>
      <c r="J56" s="216" t="s">
        <v>1609</v>
      </c>
      <c r="K56" s="216" t="s">
        <v>139</v>
      </c>
      <c r="L56" s="213" t="s">
        <v>41</v>
      </c>
      <c r="M56" s="216" t="s">
        <v>312</v>
      </c>
      <c r="N56" s="304">
        <v>4501029</v>
      </c>
      <c r="O56" s="216" t="s">
        <v>313</v>
      </c>
      <c r="P56" s="213" t="s">
        <v>41</v>
      </c>
      <c r="Q56" s="216" t="s">
        <v>314</v>
      </c>
      <c r="R56" s="304">
        <v>450102900</v>
      </c>
      <c r="S56" s="216" t="s">
        <v>315</v>
      </c>
      <c r="T56" s="236" t="s">
        <v>1673</v>
      </c>
      <c r="U56" s="76">
        <v>5</v>
      </c>
      <c r="V56" s="76">
        <v>5</v>
      </c>
      <c r="W56" s="236" t="s">
        <v>316</v>
      </c>
      <c r="X56" s="216" t="s">
        <v>317</v>
      </c>
      <c r="Y56" s="216" t="s">
        <v>318</v>
      </c>
      <c r="Z56" s="289"/>
      <c r="AA56" s="289"/>
      <c r="AB56" s="289"/>
      <c r="AC56" s="326">
        <v>4387879528.3299999</v>
      </c>
      <c r="AD56" s="326">
        <v>1133578214.1599998</v>
      </c>
      <c r="AE56" s="326">
        <v>1133578214.1599998</v>
      </c>
      <c r="AF56" s="289"/>
      <c r="AG56" s="289"/>
      <c r="AH56" s="289"/>
      <c r="AI56" s="289"/>
      <c r="AJ56" s="289"/>
      <c r="AK56" s="289"/>
      <c r="AL56" s="289"/>
      <c r="AM56" s="289"/>
      <c r="AN56" s="289"/>
      <c r="AO56" s="289"/>
      <c r="AP56" s="289"/>
      <c r="AQ56" s="289"/>
      <c r="AR56" s="289"/>
      <c r="AS56" s="289"/>
      <c r="AT56" s="289"/>
      <c r="AU56" s="289"/>
      <c r="AV56" s="289"/>
      <c r="AW56" s="289"/>
      <c r="AX56" s="289"/>
      <c r="AY56" s="289"/>
      <c r="AZ56" s="289"/>
      <c r="BA56" s="289"/>
      <c r="BB56" s="289"/>
      <c r="BC56" s="289"/>
      <c r="BD56" s="294"/>
      <c r="BE56" s="294"/>
      <c r="BF56" s="294"/>
      <c r="BG56" s="289"/>
      <c r="BH56" s="289"/>
      <c r="BI56" s="289"/>
      <c r="BJ56" s="289"/>
      <c r="BK56" s="289"/>
      <c r="BL56" s="289"/>
      <c r="BM56" s="289"/>
      <c r="BN56" s="289"/>
      <c r="BO56" s="289"/>
      <c r="BP56" s="273">
        <f t="shared" ref="BP56:BR57" si="13">+Z56+AC56+AF56+AI56+AL56+AO56+AR56+AU56+AX56+BA56+BD56+BG56+BJ56</f>
        <v>4387879528.3299999</v>
      </c>
      <c r="BQ56" s="273">
        <f t="shared" si="13"/>
        <v>1133578214.1599998</v>
      </c>
      <c r="BR56" s="273">
        <f t="shared" si="13"/>
        <v>1133578214.1599998</v>
      </c>
      <c r="BS56" s="236" t="s">
        <v>1648</v>
      </c>
      <c r="BT56" s="233"/>
    </row>
    <row r="57" spans="1:72" s="27" customFormat="1" ht="188.25" customHeight="1" x14ac:dyDescent="0.2">
      <c r="A57" s="217">
        <v>309</v>
      </c>
      <c r="B57" s="216" t="s">
        <v>1617</v>
      </c>
      <c r="C57" s="213">
        <v>1</v>
      </c>
      <c r="D57" s="287" t="s">
        <v>1614</v>
      </c>
      <c r="E57" s="213">
        <v>45</v>
      </c>
      <c r="F57" s="216" t="s">
        <v>38</v>
      </c>
      <c r="G57" s="213">
        <v>4501</v>
      </c>
      <c r="H57" s="216" t="s">
        <v>311</v>
      </c>
      <c r="I57" s="213">
        <v>4501</v>
      </c>
      <c r="J57" s="216" t="s">
        <v>1609</v>
      </c>
      <c r="K57" s="216" t="s">
        <v>139</v>
      </c>
      <c r="L57" s="213">
        <v>4501001</v>
      </c>
      <c r="M57" s="327" t="s">
        <v>103</v>
      </c>
      <c r="N57" s="213">
        <v>4501001</v>
      </c>
      <c r="O57" s="327" t="s">
        <v>103</v>
      </c>
      <c r="P57" s="213">
        <v>450100100</v>
      </c>
      <c r="Q57" s="216" t="s">
        <v>1674</v>
      </c>
      <c r="R57" s="213">
        <v>450100100</v>
      </c>
      <c r="S57" s="216" t="s">
        <v>319</v>
      </c>
      <c r="T57" s="236" t="s">
        <v>1673</v>
      </c>
      <c r="U57" s="76">
        <v>12</v>
      </c>
      <c r="V57" s="76">
        <v>12</v>
      </c>
      <c r="W57" s="236" t="s">
        <v>320</v>
      </c>
      <c r="X57" s="216" t="s">
        <v>1475</v>
      </c>
      <c r="Y57" s="327" t="s">
        <v>321</v>
      </c>
      <c r="Z57" s="328">
        <v>0</v>
      </c>
      <c r="AA57" s="214"/>
      <c r="AB57" s="214"/>
      <c r="AC57" s="289">
        <v>0</v>
      </c>
      <c r="AD57" s="289"/>
      <c r="AE57" s="289"/>
      <c r="AF57" s="289">
        <v>0</v>
      </c>
      <c r="AG57" s="289"/>
      <c r="AH57" s="289"/>
      <c r="AI57" s="289">
        <v>0</v>
      </c>
      <c r="AJ57" s="289"/>
      <c r="AK57" s="289"/>
      <c r="AL57" s="289">
        <v>0</v>
      </c>
      <c r="AM57" s="289"/>
      <c r="AN57" s="289"/>
      <c r="AO57" s="289">
        <v>0</v>
      </c>
      <c r="AP57" s="289"/>
      <c r="AQ57" s="289"/>
      <c r="AR57" s="289">
        <v>0</v>
      </c>
      <c r="AS57" s="289"/>
      <c r="AT57" s="289"/>
      <c r="AU57" s="289">
        <v>0</v>
      </c>
      <c r="AV57" s="289"/>
      <c r="AW57" s="289"/>
      <c r="AX57" s="289">
        <v>0</v>
      </c>
      <c r="AY57" s="289"/>
      <c r="AZ57" s="289"/>
      <c r="BA57" s="289">
        <v>0</v>
      </c>
      <c r="BB57" s="289"/>
      <c r="BC57" s="289"/>
      <c r="BD57" s="367">
        <v>49500000</v>
      </c>
      <c r="BE57" s="329">
        <v>46916499</v>
      </c>
      <c r="BF57" s="329">
        <v>46916499</v>
      </c>
      <c r="BG57" s="289">
        <v>0</v>
      </c>
      <c r="BH57" s="289"/>
      <c r="BI57" s="289"/>
      <c r="BJ57" s="289">
        <v>0</v>
      </c>
      <c r="BK57" s="289"/>
      <c r="BL57" s="289"/>
      <c r="BM57" s="289"/>
      <c r="BN57" s="289"/>
      <c r="BO57" s="289"/>
      <c r="BP57" s="273">
        <f t="shared" si="13"/>
        <v>49500000</v>
      </c>
      <c r="BQ57" s="273">
        <f t="shared" si="13"/>
        <v>46916499</v>
      </c>
      <c r="BR57" s="273">
        <f t="shared" si="13"/>
        <v>46916499</v>
      </c>
      <c r="BS57" s="236" t="s">
        <v>1648</v>
      </c>
      <c r="BT57" s="233"/>
    </row>
    <row r="58" spans="1:72" s="27" customFormat="1" ht="155.25" customHeight="1" x14ac:dyDescent="0.2">
      <c r="A58" s="217">
        <v>309</v>
      </c>
      <c r="B58" s="216" t="s">
        <v>1617</v>
      </c>
      <c r="C58" s="307">
        <v>3</v>
      </c>
      <c r="D58" s="216" t="s">
        <v>1619</v>
      </c>
      <c r="E58" s="213">
        <v>32</v>
      </c>
      <c r="F58" s="216" t="s">
        <v>207</v>
      </c>
      <c r="G58" s="213">
        <v>3205</v>
      </c>
      <c r="H58" s="216" t="s">
        <v>208</v>
      </c>
      <c r="I58" s="213">
        <v>3205</v>
      </c>
      <c r="J58" s="216" t="s">
        <v>1596</v>
      </c>
      <c r="K58" s="216" t="s">
        <v>322</v>
      </c>
      <c r="L58" s="213">
        <v>3205002</v>
      </c>
      <c r="M58" s="216" t="s">
        <v>323</v>
      </c>
      <c r="N58" s="213">
        <v>3205002</v>
      </c>
      <c r="O58" s="216" t="s">
        <v>323</v>
      </c>
      <c r="P58" s="213">
        <v>320500200</v>
      </c>
      <c r="Q58" s="216" t="s">
        <v>324</v>
      </c>
      <c r="R58" s="213">
        <v>320500200</v>
      </c>
      <c r="S58" s="216" t="s">
        <v>324</v>
      </c>
      <c r="T58" s="236" t="s">
        <v>1673</v>
      </c>
      <c r="U58" s="76">
        <v>3</v>
      </c>
      <c r="V58" s="76">
        <v>2</v>
      </c>
      <c r="W58" s="236" t="s">
        <v>325</v>
      </c>
      <c r="X58" s="214" t="s">
        <v>326</v>
      </c>
      <c r="Y58" s="214" t="s">
        <v>327</v>
      </c>
      <c r="Z58" s="289"/>
      <c r="AA58" s="289"/>
      <c r="AB58" s="289"/>
      <c r="AC58" s="289"/>
      <c r="AD58" s="289"/>
      <c r="AE58" s="289"/>
      <c r="AF58" s="289"/>
      <c r="AG58" s="289"/>
      <c r="AH58" s="289"/>
      <c r="AI58" s="289"/>
      <c r="AJ58" s="289"/>
      <c r="AK58" s="289"/>
      <c r="AL58" s="289"/>
      <c r="AM58" s="289"/>
      <c r="AN58" s="289"/>
      <c r="AO58" s="289"/>
      <c r="AP58" s="289"/>
      <c r="AQ58" s="289"/>
      <c r="AR58" s="289"/>
      <c r="AS58" s="289"/>
      <c r="AT58" s="289"/>
      <c r="AU58" s="289"/>
      <c r="AV58" s="289"/>
      <c r="AW58" s="289"/>
      <c r="AX58" s="289"/>
      <c r="AY58" s="289"/>
      <c r="AZ58" s="289"/>
      <c r="BA58" s="289"/>
      <c r="BB58" s="289"/>
      <c r="BC58" s="289"/>
      <c r="BD58" s="330">
        <v>243850000</v>
      </c>
      <c r="BE58" s="330">
        <v>100601333</v>
      </c>
      <c r="BF58" s="330">
        <v>100601333</v>
      </c>
      <c r="BG58" s="289"/>
      <c r="BH58" s="289"/>
      <c r="BI58" s="289"/>
      <c r="BJ58" s="289"/>
      <c r="BK58" s="289"/>
      <c r="BL58" s="289"/>
      <c r="BM58" s="289"/>
      <c r="BN58" s="289"/>
      <c r="BO58" s="289"/>
      <c r="BP58" s="273">
        <f>+Z58+AC58+AF58+AI58+AL58+AO58+AR58+AU58+AX58+BA58+BD58+BG58+BJ58</f>
        <v>243850000</v>
      </c>
      <c r="BQ58" s="273">
        <f>+AA58+AD58+AG58+AJ58+AM58+AP58+AS58+AV58+AY58+BB58+BE58+BH58+BK58</f>
        <v>100601333</v>
      </c>
      <c r="BR58" s="273">
        <f>+AB58+AE58+AH58+AK58+AN58+AQ58+AT58+AW58+AZ58+BC58+BF58+BI58+BL58</f>
        <v>100601333</v>
      </c>
      <c r="BS58" s="236" t="s">
        <v>1648</v>
      </c>
      <c r="BT58" s="233"/>
    </row>
    <row r="59" spans="1:72" s="27" customFormat="1" ht="100.5" customHeight="1" x14ac:dyDescent="0.2">
      <c r="A59" s="217">
        <v>309</v>
      </c>
      <c r="B59" s="216" t="s">
        <v>1617</v>
      </c>
      <c r="C59" s="307">
        <v>3</v>
      </c>
      <c r="D59" s="216" t="s">
        <v>1619</v>
      </c>
      <c r="E59" s="213">
        <v>45</v>
      </c>
      <c r="F59" s="216" t="s">
        <v>38</v>
      </c>
      <c r="G59" s="213">
        <v>4503</v>
      </c>
      <c r="H59" s="216" t="s">
        <v>1568</v>
      </c>
      <c r="I59" s="213">
        <v>4503</v>
      </c>
      <c r="J59" s="216" t="s">
        <v>1569</v>
      </c>
      <c r="K59" s="216" t="s">
        <v>328</v>
      </c>
      <c r="L59" s="213">
        <v>4503002</v>
      </c>
      <c r="M59" s="216" t="s">
        <v>329</v>
      </c>
      <c r="N59" s="213">
        <v>4503002</v>
      </c>
      <c r="O59" s="216" t="s">
        <v>329</v>
      </c>
      <c r="P59" s="213">
        <v>450300200</v>
      </c>
      <c r="Q59" s="216" t="s">
        <v>330</v>
      </c>
      <c r="R59" s="213">
        <v>450300200</v>
      </c>
      <c r="S59" s="216" t="s">
        <v>330</v>
      </c>
      <c r="T59" s="236" t="s">
        <v>1673</v>
      </c>
      <c r="U59" s="76">
        <v>4000</v>
      </c>
      <c r="V59" s="76">
        <v>4790</v>
      </c>
      <c r="W59" s="236" t="s">
        <v>331</v>
      </c>
      <c r="X59" s="214" t="s">
        <v>332</v>
      </c>
      <c r="Y59" s="320" t="s">
        <v>333</v>
      </c>
      <c r="Z59" s="289"/>
      <c r="AA59" s="289"/>
      <c r="AB59" s="289"/>
      <c r="AC59" s="289"/>
      <c r="AD59" s="289"/>
      <c r="AE59" s="289"/>
      <c r="AF59" s="289"/>
      <c r="AG59" s="289"/>
      <c r="AH59" s="289"/>
      <c r="AI59" s="289"/>
      <c r="AJ59" s="289"/>
      <c r="AK59" s="289"/>
      <c r="AL59" s="289"/>
      <c r="AM59" s="289"/>
      <c r="AN59" s="289"/>
      <c r="AO59" s="289"/>
      <c r="AP59" s="289"/>
      <c r="AQ59" s="289"/>
      <c r="AR59" s="289"/>
      <c r="AS59" s="289"/>
      <c r="AT59" s="289"/>
      <c r="AU59" s="289"/>
      <c r="AV59" s="289"/>
      <c r="AW59" s="289"/>
      <c r="AX59" s="289"/>
      <c r="AY59" s="289"/>
      <c r="AZ59" s="289"/>
      <c r="BA59" s="289"/>
      <c r="BB59" s="289"/>
      <c r="BC59" s="289"/>
      <c r="BD59" s="366">
        <v>35000000</v>
      </c>
      <c r="BE59" s="294">
        <v>27141567</v>
      </c>
      <c r="BF59" s="294">
        <v>27141567</v>
      </c>
      <c r="BG59" s="289"/>
      <c r="BH59" s="289"/>
      <c r="BI59" s="289"/>
      <c r="BJ59" s="289"/>
      <c r="BK59" s="289"/>
      <c r="BL59" s="289"/>
      <c r="BM59" s="289"/>
      <c r="BN59" s="289"/>
      <c r="BO59" s="289"/>
      <c r="BP59" s="273">
        <f t="shared" ref="BP59:BR61" si="14">+Z59+AC59+AF59+AI59+AL59+AO59+AR59+AU59+AX59+BA59+BD59+BG59+BJ59</f>
        <v>35000000</v>
      </c>
      <c r="BQ59" s="273">
        <f t="shared" si="14"/>
        <v>27141567</v>
      </c>
      <c r="BR59" s="273">
        <f t="shared" si="14"/>
        <v>27141567</v>
      </c>
      <c r="BS59" s="236" t="s">
        <v>1648</v>
      </c>
      <c r="BT59" s="233"/>
    </row>
    <row r="60" spans="1:72" s="27" customFormat="1" ht="100.5" customHeight="1" x14ac:dyDescent="0.2">
      <c r="A60" s="217">
        <v>309</v>
      </c>
      <c r="B60" s="216" t="s">
        <v>1617</v>
      </c>
      <c r="C60" s="307">
        <v>3</v>
      </c>
      <c r="D60" s="216" t="s">
        <v>1619</v>
      </c>
      <c r="E60" s="213">
        <v>45</v>
      </c>
      <c r="F60" s="216" t="s">
        <v>38</v>
      </c>
      <c r="G60" s="213">
        <v>4503</v>
      </c>
      <c r="H60" s="216" t="s">
        <v>1568</v>
      </c>
      <c r="I60" s="213">
        <v>4503</v>
      </c>
      <c r="J60" s="216" t="s">
        <v>1569</v>
      </c>
      <c r="K60" s="216" t="s">
        <v>334</v>
      </c>
      <c r="L60" s="213">
        <v>4503003</v>
      </c>
      <c r="M60" s="216" t="s">
        <v>103</v>
      </c>
      <c r="N60" s="213">
        <v>4503003</v>
      </c>
      <c r="O60" s="216" t="s">
        <v>103</v>
      </c>
      <c r="P60" s="213">
        <v>450300300</v>
      </c>
      <c r="Q60" s="216" t="s">
        <v>335</v>
      </c>
      <c r="R60" s="213">
        <v>450300300</v>
      </c>
      <c r="S60" s="216" t="s">
        <v>335</v>
      </c>
      <c r="T60" s="236" t="s">
        <v>1671</v>
      </c>
      <c r="U60" s="76">
        <v>12</v>
      </c>
      <c r="V60" s="76">
        <v>12</v>
      </c>
      <c r="W60" s="236" t="s">
        <v>331</v>
      </c>
      <c r="X60" s="214" t="s">
        <v>332</v>
      </c>
      <c r="Y60" s="320" t="s">
        <v>333</v>
      </c>
      <c r="Z60" s="289"/>
      <c r="AA60" s="289"/>
      <c r="AB60" s="289"/>
      <c r="AC60" s="289"/>
      <c r="AD60" s="289"/>
      <c r="AE60" s="289"/>
      <c r="AF60" s="289"/>
      <c r="AG60" s="289"/>
      <c r="AH60" s="289"/>
      <c r="AI60" s="289"/>
      <c r="AJ60" s="289"/>
      <c r="AK60" s="289"/>
      <c r="AL60" s="289"/>
      <c r="AM60" s="289"/>
      <c r="AN60" s="289"/>
      <c r="AO60" s="289"/>
      <c r="AP60" s="289"/>
      <c r="AQ60" s="289"/>
      <c r="AR60" s="289"/>
      <c r="AS60" s="289"/>
      <c r="AT60" s="289"/>
      <c r="AU60" s="289"/>
      <c r="AV60" s="289"/>
      <c r="AW60" s="289"/>
      <c r="AX60" s="289"/>
      <c r="AY60" s="289"/>
      <c r="AZ60" s="289"/>
      <c r="BA60" s="289"/>
      <c r="BB60" s="289"/>
      <c r="BC60" s="289"/>
      <c r="BD60" s="366">
        <v>400809656</v>
      </c>
      <c r="BE60" s="294">
        <v>201609054.06</v>
      </c>
      <c r="BF60" s="294">
        <v>201609054.06</v>
      </c>
      <c r="BG60" s="289"/>
      <c r="BH60" s="289"/>
      <c r="BI60" s="289"/>
      <c r="BJ60" s="289"/>
      <c r="BK60" s="289"/>
      <c r="BL60" s="289"/>
      <c r="BM60" s="289"/>
      <c r="BN60" s="289"/>
      <c r="BO60" s="289"/>
      <c r="BP60" s="273">
        <f t="shared" si="14"/>
        <v>400809656</v>
      </c>
      <c r="BQ60" s="273">
        <f t="shared" si="14"/>
        <v>201609054.06</v>
      </c>
      <c r="BR60" s="273">
        <f t="shared" si="14"/>
        <v>201609054.06</v>
      </c>
      <c r="BS60" s="236" t="s">
        <v>1648</v>
      </c>
      <c r="BT60" s="233"/>
    </row>
    <row r="61" spans="1:72" s="27" customFormat="1" ht="113.25" customHeight="1" x14ac:dyDescent="0.2">
      <c r="A61" s="217">
        <v>309</v>
      </c>
      <c r="B61" s="216" t="s">
        <v>1617</v>
      </c>
      <c r="C61" s="307">
        <v>3</v>
      </c>
      <c r="D61" s="216" t="s">
        <v>1619</v>
      </c>
      <c r="E61" s="213">
        <v>45</v>
      </c>
      <c r="F61" s="216" t="s">
        <v>38</v>
      </c>
      <c r="G61" s="213">
        <v>4503</v>
      </c>
      <c r="H61" s="216" t="s">
        <v>1568</v>
      </c>
      <c r="I61" s="213">
        <v>4503</v>
      </c>
      <c r="J61" s="216" t="s">
        <v>1569</v>
      </c>
      <c r="K61" s="216" t="s">
        <v>334</v>
      </c>
      <c r="L61" s="213">
        <v>4503004</v>
      </c>
      <c r="M61" s="216" t="s">
        <v>336</v>
      </c>
      <c r="N61" s="213">
        <v>4503016</v>
      </c>
      <c r="O61" s="216" t="s">
        <v>337</v>
      </c>
      <c r="P61" s="213" t="s">
        <v>41</v>
      </c>
      <c r="Q61" s="216" t="s">
        <v>338</v>
      </c>
      <c r="R61" s="213">
        <v>450301600</v>
      </c>
      <c r="S61" s="216" t="s">
        <v>339</v>
      </c>
      <c r="T61" s="236" t="s">
        <v>1671</v>
      </c>
      <c r="U61" s="76">
        <v>1</v>
      </c>
      <c r="V61" s="76">
        <v>1</v>
      </c>
      <c r="W61" s="236" t="s">
        <v>331</v>
      </c>
      <c r="X61" s="214" t="s">
        <v>332</v>
      </c>
      <c r="Y61" s="320" t="s">
        <v>333</v>
      </c>
      <c r="Z61" s="289"/>
      <c r="AA61" s="289"/>
      <c r="AB61" s="289"/>
      <c r="AC61" s="289"/>
      <c r="AD61" s="289"/>
      <c r="AE61" s="289"/>
      <c r="AF61" s="289"/>
      <c r="AG61" s="289"/>
      <c r="AH61" s="289"/>
      <c r="AI61" s="289"/>
      <c r="AJ61" s="289"/>
      <c r="AK61" s="289"/>
      <c r="AL61" s="289"/>
      <c r="AM61" s="289"/>
      <c r="AN61" s="289"/>
      <c r="AO61" s="289"/>
      <c r="AP61" s="289"/>
      <c r="AQ61" s="289"/>
      <c r="AR61" s="289"/>
      <c r="AS61" s="289"/>
      <c r="AT61" s="289"/>
      <c r="AU61" s="289"/>
      <c r="AV61" s="289"/>
      <c r="AW61" s="289"/>
      <c r="AX61" s="289"/>
      <c r="AY61" s="289"/>
      <c r="AZ61" s="289"/>
      <c r="BA61" s="289"/>
      <c r="BB61" s="289"/>
      <c r="BC61" s="289"/>
      <c r="BD61" s="294">
        <v>92505448</v>
      </c>
      <c r="BE61" s="294">
        <v>62352102</v>
      </c>
      <c r="BF61" s="294">
        <v>62352102</v>
      </c>
      <c r="BG61" s="289"/>
      <c r="BH61" s="289"/>
      <c r="BI61" s="289"/>
      <c r="BJ61" s="289"/>
      <c r="BK61" s="289"/>
      <c r="BL61" s="289"/>
      <c r="BM61" s="289"/>
      <c r="BN61" s="289"/>
      <c r="BO61" s="289"/>
      <c r="BP61" s="273">
        <f t="shared" si="14"/>
        <v>92505448</v>
      </c>
      <c r="BQ61" s="273">
        <f t="shared" si="14"/>
        <v>62352102</v>
      </c>
      <c r="BR61" s="273">
        <f t="shared" si="14"/>
        <v>62352102</v>
      </c>
      <c r="BS61" s="236" t="s">
        <v>1648</v>
      </c>
      <c r="BT61" s="233"/>
    </row>
    <row r="62" spans="1:72" s="27" customFormat="1" ht="156" customHeight="1" x14ac:dyDescent="0.2">
      <c r="A62" s="217">
        <v>309</v>
      </c>
      <c r="B62" s="216" t="s">
        <v>1617</v>
      </c>
      <c r="C62" s="213">
        <v>4</v>
      </c>
      <c r="D62" s="287" t="s">
        <v>1612</v>
      </c>
      <c r="E62" s="213">
        <v>45</v>
      </c>
      <c r="F62" s="216" t="s">
        <v>38</v>
      </c>
      <c r="G62" s="213">
        <v>4502</v>
      </c>
      <c r="H62" s="216" t="s">
        <v>1566</v>
      </c>
      <c r="I62" s="213">
        <v>4502</v>
      </c>
      <c r="J62" s="216" t="s">
        <v>1567</v>
      </c>
      <c r="K62" s="216" t="s">
        <v>340</v>
      </c>
      <c r="L62" s="213">
        <v>4502024</v>
      </c>
      <c r="M62" s="216" t="s">
        <v>341</v>
      </c>
      <c r="N62" s="213">
        <v>4502024</v>
      </c>
      <c r="O62" s="216" t="s">
        <v>341</v>
      </c>
      <c r="P62" s="292">
        <v>450202400</v>
      </c>
      <c r="Q62" s="216" t="s">
        <v>342</v>
      </c>
      <c r="R62" s="292">
        <v>450202400</v>
      </c>
      <c r="S62" s="311" t="s">
        <v>342</v>
      </c>
      <c r="T62" s="236" t="s">
        <v>1671</v>
      </c>
      <c r="U62" s="76">
        <v>10</v>
      </c>
      <c r="V62" s="76">
        <v>10</v>
      </c>
      <c r="W62" s="236" t="s">
        <v>343</v>
      </c>
      <c r="X62" s="216" t="s">
        <v>344</v>
      </c>
      <c r="Y62" s="216" t="s">
        <v>345</v>
      </c>
      <c r="Z62" s="289"/>
      <c r="AA62" s="289"/>
      <c r="AB62" s="289"/>
      <c r="AC62" s="289"/>
      <c r="AD62" s="289"/>
      <c r="AE62" s="289"/>
      <c r="AF62" s="289"/>
      <c r="AG62" s="289"/>
      <c r="AH62" s="289"/>
      <c r="AI62" s="289"/>
      <c r="AJ62" s="289"/>
      <c r="AK62" s="289"/>
      <c r="AL62" s="289"/>
      <c r="AM62" s="289"/>
      <c r="AN62" s="289"/>
      <c r="AO62" s="289"/>
      <c r="AP62" s="289"/>
      <c r="AQ62" s="289"/>
      <c r="AR62" s="289"/>
      <c r="AS62" s="289"/>
      <c r="AT62" s="289"/>
      <c r="AU62" s="289"/>
      <c r="AV62" s="289"/>
      <c r="AW62" s="289"/>
      <c r="AX62" s="289"/>
      <c r="AY62" s="289"/>
      <c r="AZ62" s="289"/>
      <c r="BA62" s="289"/>
      <c r="BB62" s="289"/>
      <c r="BC62" s="289"/>
      <c r="BD62" s="294">
        <v>89000000</v>
      </c>
      <c r="BE62" s="294">
        <v>73017284</v>
      </c>
      <c r="BF62" s="294">
        <v>73017284</v>
      </c>
      <c r="BG62" s="289"/>
      <c r="BH62" s="289"/>
      <c r="BI62" s="289"/>
      <c r="BJ62" s="289"/>
      <c r="BK62" s="289"/>
      <c r="BL62" s="289"/>
      <c r="BM62" s="289"/>
      <c r="BN62" s="289"/>
      <c r="BO62" s="289"/>
      <c r="BP62" s="273">
        <f t="shared" ref="BP62:BR66" si="15">+Z62+AC62+AF62+AI62+AL62+AO62+AR62+AU62+AX62+BA62+BD62+BG62+BJ62</f>
        <v>89000000</v>
      </c>
      <c r="BQ62" s="273">
        <f t="shared" si="15"/>
        <v>73017284</v>
      </c>
      <c r="BR62" s="273">
        <f t="shared" si="15"/>
        <v>73017284</v>
      </c>
      <c r="BS62" s="236" t="s">
        <v>1648</v>
      </c>
      <c r="BT62" s="233"/>
    </row>
    <row r="63" spans="1:72" s="27" customFormat="1" ht="100.5" customHeight="1" x14ac:dyDescent="0.2">
      <c r="A63" s="217">
        <v>309</v>
      </c>
      <c r="B63" s="216" t="s">
        <v>1617</v>
      </c>
      <c r="C63" s="213">
        <v>4</v>
      </c>
      <c r="D63" s="287" t="s">
        <v>1612</v>
      </c>
      <c r="E63" s="213">
        <v>45</v>
      </c>
      <c r="F63" s="216" t="s">
        <v>38</v>
      </c>
      <c r="G63" s="213">
        <v>4502</v>
      </c>
      <c r="H63" s="216" t="s">
        <v>1566</v>
      </c>
      <c r="I63" s="213">
        <v>4502</v>
      </c>
      <c r="J63" s="216" t="s">
        <v>1567</v>
      </c>
      <c r="K63" s="216" t="s">
        <v>61</v>
      </c>
      <c r="L63" s="217">
        <v>4502001</v>
      </c>
      <c r="M63" s="216" t="s">
        <v>72</v>
      </c>
      <c r="N63" s="217">
        <v>4502001</v>
      </c>
      <c r="O63" s="216" t="s">
        <v>72</v>
      </c>
      <c r="P63" s="213">
        <v>450200100</v>
      </c>
      <c r="Q63" s="216" t="s">
        <v>346</v>
      </c>
      <c r="R63" s="213">
        <v>450200100</v>
      </c>
      <c r="S63" s="216" t="s">
        <v>74</v>
      </c>
      <c r="T63" s="236" t="s">
        <v>1671</v>
      </c>
      <c r="U63" s="76">
        <v>3</v>
      </c>
      <c r="V63" s="76">
        <v>3</v>
      </c>
      <c r="W63" s="236" t="s">
        <v>347</v>
      </c>
      <c r="X63" s="216" t="s">
        <v>348</v>
      </c>
      <c r="Y63" s="216" t="s">
        <v>349</v>
      </c>
      <c r="Z63" s="289"/>
      <c r="AA63" s="289"/>
      <c r="AB63" s="289"/>
      <c r="AC63" s="289"/>
      <c r="AD63" s="289"/>
      <c r="AE63" s="289"/>
      <c r="AF63" s="289"/>
      <c r="AG63" s="289"/>
      <c r="AH63" s="289"/>
      <c r="AI63" s="289"/>
      <c r="AJ63" s="289"/>
      <c r="AK63" s="289"/>
      <c r="AL63" s="289"/>
      <c r="AM63" s="289"/>
      <c r="AN63" s="289"/>
      <c r="AO63" s="289"/>
      <c r="AP63" s="289"/>
      <c r="AQ63" s="289"/>
      <c r="AR63" s="289"/>
      <c r="AS63" s="289"/>
      <c r="AT63" s="289"/>
      <c r="AU63" s="289"/>
      <c r="AV63" s="289"/>
      <c r="AW63" s="289"/>
      <c r="AX63" s="289"/>
      <c r="AY63" s="289"/>
      <c r="AZ63" s="289"/>
      <c r="BA63" s="289"/>
      <c r="BB63" s="289"/>
      <c r="BC63" s="289"/>
      <c r="BD63" s="366">
        <v>132073332</v>
      </c>
      <c r="BE63" s="294">
        <v>108729776</v>
      </c>
      <c r="BF63" s="294">
        <v>108729776</v>
      </c>
      <c r="BG63" s="289"/>
      <c r="BH63" s="289"/>
      <c r="BI63" s="289"/>
      <c r="BJ63" s="289"/>
      <c r="BK63" s="289"/>
      <c r="BL63" s="289"/>
      <c r="BM63" s="289"/>
      <c r="BN63" s="289"/>
      <c r="BO63" s="289"/>
      <c r="BP63" s="273">
        <f t="shared" si="15"/>
        <v>132073332</v>
      </c>
      <c r="BQ63" s="273">
        <f t="shared" si="15"/>
        <v>108729776</v>
      </c>
      <c r="BR63" s="273">
        <f t="shared" si="15"/>
        <v>108729776</v>
      </c>
      <c r="BS63" s="236" t="s">
        <v>1648</v>
      </c>
      <c r="BT63" s="233"/>
    </row>
    <row r="64" spans="1:72" s="27" customFormat="1" ht="87" customHeight="1" x14ac:dyDescent="0.2">
      <c r="A64" s="217">
        <v>309</v>
      </c>
      <c r="B64" s="216" t="s">
        <v>1617</v>
      </c>
      <c r="C64" s="213">
        <v>4</v>
      </c>
      <c r="D64" s="287" t="s">
        <v>1612</v>
      </c>
      <c r="E64" s="213">
        <v>45</v>
      </c>
      <c r="F64" s="216" t="s">
        <v>38</v>
      </c>
      <c r="G64" s="213">
        <v>4502</v>
      </c>
      <c r="H64" s="216" t="s">
        <v>1566</v>
      </c>
      <c r="I64" s="213">
        <v>4502</v>
      </c>
      <c r="J64" s="216" t="s">
        <v>1567</v>
      </c>
      <c r="K64" s="216" t="s">
        <v>61</v>
      </c>
      <c r="L64" s="213" t="s">
        <v>41</v>
      </c>
      <c r="M64" s="216" t="s">
        <v>350</v>
      </c>
      <c r="N64" s="217">
        <v>4502001</v>
      </c>
      <c r="O64" s="216" t="s">
        <v>72</v>
      </c>
      <c r="P64" s="213" t="s">
        <v>41</v>
      </c>
      <c r="Q64" s="216" t="s">
        <v>351</v>
      </c>
      <c r="R64" s="217">
        <v>450200111</v>
      </c>
      <c r="S64" s="216" t="s">
        <v>352</v>
      </c>
      <c r="T64" s="236" t="s">
        <v>1671</v>
      </c>
      <c r="U64" s="331">
        <v>1</v>
      </c>
      <c r="V64" s="331">
        <v>1</v>
      </c>
      <c r="W64" s="236" t="s">
        <v>347</v>
      </c>
      <c r="X64" s="216" t="s">
        <v>348</v>
      </c>
      <c r="Y64" s="216" t="s">
        <v>349</v>
      </c>
      <c r="Z64" s="289"/>
      <c r="AA64" s="289"/>
      <c r="AB64" s="289"/>
      <c r="AC64" s="289"/>
      <c r="AD64" s="289"/>
      <c r="AE64" s="289"/>
      <c r="AF64" s="289"/>
      <c r="AG64" s="289"/>
      <c r="AH64" s="289"/>
      <c r="AI64" s="289"/>
      <c r="AJ64" s="289"/>
      <c r="AK64" s="289"/>
      <c r="AL64" s="289"/>
      <c r="AM64" s="289"/>
      <c r="AN64" s="289"/>
      <c r="AO64" s="289"/>
      <c r="AP64" s="289"/>
      <c r="AQ64" s="289"/>
      <c r="AR64" s="289"/>
      <c r="AS64" s="289"/>
      <c r="AT64" s="289"/>
      <c r="AU64" s="289"/>
      <c r="AV64" s="289"/>
      <c r="AW64" s="289"/>
      <c r="AX64" s="289"/>
      <c r="AY64" s="289"/>
      <c r="AZ64" s="289"/>
      <c r="BA64" s="289"/>
      <c r="BB64" s="289"/>
      <c r="BC64" s="289"/>
      <c r="BD64" s="366">
        <v>59000000</v>
      </c>
      <c r="BE64" s="294">
        <v>57147600</v>
      </c>
      <c r="BF64" s="294">
        <v>57147600</v>
      </c>
      <c r="BG64" s="289"/>
      <c r="BH64" s="289"/>
      <c r="BI64" s="289"/>
      <c r="BJ64" s="289"/>
      <c r="BK64" s="289"/>
      <c r="BL64" s="289"/>
      <c r="BM64" s="289"/>
      <c r="BN64" s="289"/>
      <c r="BO64" s="289"/>
      <c r="BP64" s="273">
        <f t="shared" si="15"/>
        <v>59000000</v>
      </c>
      <c r="BQ64" s="273">
        <f t="shared" si="15"/>
        <v>57147600</v>
      </c>
      <c r="BR64" s="273">
        <f t="shared" si="15"/>
        <v>57147600</v>
      </c>
      <c r="BS64" s="236" t="s">
        <v>1648</v>
      </c>
      <c r="BT64" s="233"/>
    </row>
    <row r="65" spans="1:74" s="27" customFormat="1" ht="108.75" customHeight="1" x14ac:dyDescent="0.2">
      <c r="A65" s="217">
        <v>309</v>
      </c>
      <c r="B65" s="216" t="s">
        <v>1617</v>
      </c>
      <c r="C65" s="213">
        <v>4</v>
      </c>
      <c r="D65" s="287" t="s">
        <v>1612</v>
      </c>
      <c r="E65" s="213">
        <v>45</v>
      </c>
      <c r="F65" s="216" t="s">
        <v>38</v>
      </c>
      <c r="G65" s="213">
        <v>4502</v>
      </c>
      <c r="H65" s="216" t="s">
        <v>1566</v>
      </c>
      <c r="I65" s="213">
        <v>4502</v>
      </c>
      <c r="J65" s="216" t="s">
        <v>1567</v>
      </c>
      <c r="K65" s="216" t="s">
        <v>61</v>
      </c>
      <c r="L65" s="213" t="s">
        <v>41</v>
      </c>
      <c r="M65" s="216" t="s">
        <v>353</v>
      </c>
      <c r="N65" s="213">
        <v>4502001</v>
      </c>
      <c r="O65" s="216" t="s">
        <v>72</v>
      </c>
      <c r="P65" s="213" t="s">
        <v>41</v>
      </c>
      <c r="Q65" s="216" t="s">
        <v>1477</v>
      </c>
      <c r="R65" s="213">
        <v>450200109</v>
      </c>
      <c r="S65" s="216" t="s">
        <v>354</v>
      </c>
      <c r="T65" s="236" t="s">
        <v>1671</v>
      </c>
      <c r="U65" s="76">
        <v>12</v>
      </c>
      <c r="V65" s="76">
        <v>12</v>
      </c>
      <c r="W65" s="236" t="s">
        <v>347</v>
      </c>
      <c r="X65" s="216" t="s">
        <v>348</v>
      </c>
      <c r="Y65" s="216" t="s">
        <v>349</v>
      </c>
      <c r="Z65" s="289"/>
      <c r="AA65" s="289"/>
      <c r="AB65" s="289"/>
      <c r="AC65" s="289"/>
      <c r="AD65" s="289"/>
      <c r="AE65" s="289"/>
      <c r="AF65" s="289"/>
      <c r="AG65" s="289"/>
      <c r="AH65" s="289"/>
      <c r="AI65" s="289"/>
      <c r="AJ65" s="289"/>
      <c r="AK65" s="289"/>
      <c r="AL65" s="289"/>
      <c r="AM65" s="289"/>
      <c r="AN65" s="289"/>
      <c r="AO65" s="289"/>
      <c r="AP65" s="289"/>
      <c r="AQ65" s="289"/>
      <c r="AR65" s="289"/>
      <c r="AS65" s="289"/>
      <c r="AT65" s="289"/>
      <c r="AU65" s="289"/>
      <c r="AV65" s="289"/>
      <c r="AW65" s="289"/>
      <c r="AX65" s="289"/>
      <c r="AY65" s="289"/>
      <c r="AZ65" s="289"/>
      <c r="BA65" s="289"/>
      <c r="BB65" s="289"/>
      <c r="BC65" s="289"/>
      <c r="BD65" s="366">
        <v>65953401</v>
      </c>
      <c r="BE65" s="294">
        <v>57571332</v>
      </c>
      <c r="BF65" s="294">
        <v>57571332</v>
      </c>
      <c r="BG65" s="289"/>
      <c r="BH65" s="289"/>
      <c r="BI65" s="289"/>
      <c r="BJ65" s="289"/>
      <c r="BK65" s="289"/>
      <c r="BL65" s="289"/>
      <c r="BM65" s="289"/>
      <c r="BN65" s="289"/>
      <c r="BO65" s="289"/>
      <c r="BP65" s="273">
        <f t="shared" si="15"/>
        <v>65953401</v>
      </c>
      <c r="BQ65" s="273">
        <f t="shared" si="15"/>
        <v>57571332</v>
      </c>
      <c r="BR65" s="273">
        <f t="shared" si="15"/>
        <v>57571332</v>
      </c>
      <c r="BS65" s="236" t="s">
        <v>1648</v>
      </c>
      <c r="BT65" s="233"/>
    </row>
    <row r="66" spans="1:74" s="27" customFormat="1" ht="96.75" customHeight="1" x14ac:dyDescent="0.2">
      <c r="A66" s="217">
        <v>309</v>
      </c>
      <c r="B66" s="216" t="s">
        <v>1617</v>
      </c>
      <c r="C66" s="213">
        <v>4</v>
      </c>
      <c r="D66" s="287" t="s">
        <v>1612</v>
      </c>
      <c r="E66" s="213">
        <v>45</v>
      </c>
      <c r="F66" s="216" t="s">
        <v>38</v>
      </c>
      <c r="G66" s="213">
        <v>4502</v>
      </c>
      <c r="H66" s="216" t="s">
        <v>1566</v>
      </c>
      <c r="I66" s="213">
        <v>4502</v>
      </c>
      <c r="J66" s="216" t="s">
        <v>1567</v>
      </c>
      <c r="K66" s="216" t="s">
        <v>61</v>
      </c>
      <c r="L66" s="213" t="s">
        <v>41</v>
      </c>
      <c r="M66" s="216" t="s">
        <v>355</v>
      </c>
      <c r="N66" s="217">
        <v>4502035</v>
      </c>
      <c r="O66" s="216" t="s">
        <v>356</v>
      </c>
      <c r="P66" s="213" t="s">
        <v>41</v>
      </c>
      <c r="Q66" s="216" t="s">
        <v>357</v>
      </c>
      <c r="R66" s="217">
        <v>450203501</v>
      </c>
      <c r="S66" s="216" t="s">
        <v>358</v>
      </c>
      <c r="T66" s="236" t="s">
        <v>1673</v>
      </c>
      <c r="U66" s="76">
        <v>0.4</v>
      </c>
      <c r="V66" s="76">
        <v>0.4</v>
      </c>
      <c r="W66" s="236" t="s">
        <v>347</v>
      </c>
      <c r="X66" s="216" t="s">
        <v>348</v>
      </c>
      <c r="Y66" s="216" t="s">
        <v>349</v>
      </c>
      <c r="Z66" s="289"/>
      <c r="AA66" s="289"/>
      <c r="AB66" s="289"/>
      <c r="AC66" s="289"/>
      <c r="AD66" s="289"/>
      <c r="AE66" s="289"/>
      <c r="AF66" s="289"/>
      <c r="AG66" s="289"/>
      <c r="AH66" s="289"/>
      <c r="AI66" s="289"/>
      <c r="AJ66" s="289"/>
      <c r="AK66" s="289"/>
      <c r="AL66" s="289"/>
      <c r="AM66" s="289"/>
      <c r="AN66" s="289"/>
      <c r="AO66" s="289"/>
      <c r="AP66" s="289"/>
      <c r="AQ66" s="289"/>
      <c r="AR66" s="289"/>
      <c r="AS66" s="289"/>
      <c r="AT66" s="289"/>
      <c r="AU66" s="289"/>
      <c r="AV66" s="289"/>
      <c r="AW66" s="289"/>
      <c r="AX66" s="289"/>
      <c r="AY66" s="289"/>
      <c r="AZ66" s="289"/>
      <c r="BA66" s="289"/>
      <c r="BB66" s="289"/>
      <c r="BC66" s="289"/>
      <c r="BD66" s="294">
        <v>44600000</v>
      </c>
      <c r="BE66" s="294">
        <v>43565000</v>
      </c>
      <c r="BF66" s="294">
        <v>43565000</v>
      </c>
      <c r="BG66" s="289"/>
      <c r="BH66" s="289"/>
      <c r="BI66" s="289"/>
      <c r="BJ66" s="289"/>
      <c r="BK66" s="289"/>
      <c r="BL66" s="289"/>
      <c r="BM66" s="289"/>
      <c r="BN66" s="289"/>
      <c r="BO66" s="289"/>
      <c r="BP66" s="273">
        <f t="shared" si="15"/>
        <v>44600000</v>
      </c>
      <c r="BQ66" s="273">
        <f t="shared" si="15"/>
        <v>43565000</v>
      </c>
      <c r="BR66" s="273">
        <f t="shared" si="15"/>
        <v>43565000</v>
      </c>
      <c r="BS66" s="236" t="s">
        <v>1648</v>
      </c>
      <c r="BT66" s="233"/>
    </row>
    <row r="67" spans="1:74" s="27" customFormat="1" ht="144" customHeight="1" x14ac:dyDescent="0.2">
      <c r="A67" s="217">
        <v>310</v>
      </c>
      <c r="B67" s="216" t="s">
        <v>1620</v>
      </c>
      <c r="C67" s="213">
        <v>1</v>
      </c>
      <c r="D67" s="216" t="s">
        <v>1614</v>
      </c>
      <c r="E67" s="213">
        <v>33</v>
      </c>
      <c r="F67" s="287" t="s">
        <v>166</v>
      </c>
      <c r="G67" s="213">
        <v>3301</v>
      </c>
      <c r="H67" s="216" t="s">
        <v>167</v>
      </c>
      <c r="I67" s="213">
        <v>3301</v>
      </c>
      <c r="J67" s="216" t="s">
        <v>1598</v>
      </c>
      <c r="K67" s="216" t="s">
        <v>360</v>
      </c>
      <c r="L67" s="213">
        <v>3301087</v>
      </c>
      <c r="M67" s="216" t="s">
        <v>361</v>
      </c>
      <c r="N67" s="213">
        <v>3301087</v>
      </c>
      <c r="O67" s="216" t="s">
        <v>361</v>
      </c>
      <c r="P67" s="213">
        <v>330108701</v>
      </c>
      <c r="Q67" s="216" t="s">
        <v>330</v>
      </c>
      <c r="R67" s="213">
        <v>330108701</v>
      </c>
      <c r="S67" s="216" t="s">
        <v>330</v>
      </c>
      <c r="T67" s="236" t="s">
        <v>1673</v>
      </c>
      <c r="U67" s="76">
        <f>5700+1428</f>
        <v>7128</v>
      </c>
      <c r="V67" s="76">
        <v>6819</v>
      </c>
      <c r="W67" s="236" t="s">
        <v>362</v>
      </c>
      <c r="X67" s="216" t="s">
        <v>363</v>
      </c>
      <c r="Y67" s="216" t="s">
        <v>364</v>
      </c>
      <c r="Z67" s="332"/>
      <c r="AA67" s="332"/>
      <c r="AB67" s="332"/>
      <c r="AC67" s="289"/>
      <c r="AD67" s="289"/>
      <c r="AE67" s="289"/>
      <c r="AF67" s="289"/>
      <c r="AG67" s="289"/>
      <c r="AH67" s="289"/>
      <c r="AI67" s="289"/>
      <c r="AJ67" s="289"/>
      <c r="AK67" s="289"/>
      <c r="AL67" s="289"/>
      <c r="AM67" s="289"/>
      <c r="AN67" s="289"/>
      <c r="AO67" s="289"/>
      <c r="AP67" s="289"/>
      <c r="AQ67" s="289"/>
      <c r="AR67" s="289"/>
      <c r="AS67" s="289"/>
      <c r="AT67" s="289"/>
      <c r="AU67" s="289"/>
      <c r="AV67" s="289"/>
      <c r="AW67" s="289"/>
      <c r="AX67" s="289"/>
      <c r="AY67" s="289"/>
      <c r="AZ67" s="289"/>
      <c r="BA67" s="289"/>
      <c r="BB67" s="289"/>
      <c r="BC67" s="289"/>
      <c r="BD67" s="235">
        <v>322900000</v>
      </c>
      <c r="BE67" s="235">
        <v>312153999.64999998</v>
      </c>
      <c r="BF67" s="235">
        <v>312153999.64999998</v>
      </c>
      <c r="BG67" s="290"/>
      <c r="BH67" s="289"/>
      <c r="BI67" s="289"/>
      <c r="BJ67" s="289"/>
      <c r="BK67" s="289"/>
      <c r="BL67" s="289"/>
      <c r="BM67" s="289"/>
      <c r="BN67" s="289"/>
      <c r="BO67" s="289"/>
      <c r="BP67" s="273">
        <f>+Z67+AC67+AF67+AI67+AL67+AO67+AR67+AU67+AX67+BA67+BD67+BG67+BJ67</f>
        <v>322900000</v>
      </c>
      <c r="BQ67" s="273">
        <f>+AA67+AD67+AG67+AJ67+AM67+AP67+AS67+AV67+AY67+BB67+BE67+BH67+BK67</f>
        <v>312153999.64999998</v>
      </c>
      <c r="BR67" s="273">
        <f>+AB67+AE67+AH67+AK67+AN67+AQ67+AT67+AW67+AZ67+BC67+BF67+BI67+BL67</f>
        <v>312153999.64999998</v>
      </c>
      <c r="BS67" s="236" t="s">
        <v>1649</v>
      </c>
      <c r="BT67" s="233"/>
    </row>
    <row r="68" spans="1:74" s="27" customFormat="1" ht="135" customHeight="1" x14ac:dyDescent="0.2">
      <c r="A68" s="217">
        <v>310</v>
      </c>
      <c r="B68" s="216" t="s">
        <v>1620</v>
      </c>
      <c r="C68" s="213">
        <v>1</v>
      </c>
      <c r="D68" s="216" t="s">
        <v>1614</v>
      </c>
      <c r="E68" s="213">
        <v>33</v>
      </c>
      <c r="F68" s="287" t="s">
        <v>166</v>
      </c>
      <c r="G68" s="213">
        <v>3301</v>
      </c>
      <c r="H68" s="216" t="s">
        <v>167</v>
      </c>
      <c r="I68" s="213">
        <v>3301</v>
      </c>
      <c r="J68" s="216" t="s">
        <v>1598</v>
      </c>
      <c r="K68" s="216" t="s">
        <v>168</v>
      </c>
      <c r="L68" s="213">
        <v>3301073</v>
      </c>
      <c r="M68" s="216" t="s">
        <v>365</v>
      </c>
      <c r="N68" s="213">
        <v>3301073</v>
      </c>
      <c r="O68" s="216" t="s">
        <v>365</v>
      </c>
      <c r="P68" s="213">
        <v>330107301</v>
      </c>
      <c r="Q68" s="216" t="s">
        <v>366</v>
      </c>
      <c r="R68" s="213">
        <v>330107301</v>
      </c>
      <c r="S68" s="216" t="s">
        <v>366</v>
      </c>
      <c r="T68" s="236" t="s">
        <v>1673</v>
      </c>
      <c r="U68" s="76">
        <v>500</v>
      </c>
      <c r="V68" s="76">
        <v>500</v>
      </c>
      <c r="W68" s="236" t="s">
        <v>362</v>
      </c>
      <c r="X68" s="216" t="s">
        <v>363</v>
      </c>
      <c r="Y68" s="216" t="s">
        <v>364</v>
      </c>
      <c r="Z68" s="235">
        <v>1280078703.8999999</v>
      </c>
      <c r="AA68" s="235">
        <v>1159980058.4100001</v>
      </c>
      <c r="AB68" s="235">
        <v>1159980058.4100001</v>
      </c>
      <c r="AC68" s="289"/>
      <c r="AD68" s="289"/>
      <c r="AE68" s="289"/>
      <c r="AF68" s="289"/>
      <c r="AG68" s="289"/>
      <c r="AH68" s="289"/>
      <c r="AI68" s="289"/>
      <c r="AJ68" s="289"/>
      <c r="AK68" s="289"/>
      <c r="AL68" s="289"/>
      <c r="AM68" s="289"/>
      <c r="AN68" s="289"/>
      <c r="AO68" s="289"/>
      <c r="AP68" s="289"/>
      <c r="AQ68" s="289"/>
      <c r="AR68" s="289"/>
      <c r="AS68" s="289"/>
      <c r="AT68" s="289"/>
      <c r="AU68" s="289"/>
      <c r="AV68" s="289"/>
      <c r="AW68" s="289"/>
      <c r="AX68" s="289"/>
      <c r="AY68" s="289"/>
      <c r="AZ68" s="289"/>
      <c r="BA68" s="289"/>
      <c r="BB68" s="289"/>
      <c r="BC68" s="289"/>
      <c r="BD68" s="235">
        <v>333700000</v>
      </c>
      <c r="BE68" s="235">
        <v>279793500</v>
      </c>
      <c r="BF68" s="235">
        <v>279793500</v>
      </c>
      <c r="BG68" s="290"/>
      <c r="BH68" s="289"/>
      <c r="BI68" s="289"/>
      <c r="BJ68" s="289"/>
      <c r="BK68" s="289"/>
      <c r="BL68" s="289"/>
      <c r="BM68" s="289"/>
      <c r="BN68" s="289"/>
      <c r="BO68" s="289"/>
      <c r="BP68" s="273">
        <f t="shared" ref="BP68:BP74" si="16">+Z68+AC68+AF68+AI68+AL68+AO68+AR68+AU68+AX68+BA68+BD68+BG68+BJ68</f>
        <v>1613778703.8999999</v>
      </c>
      <c r="BQ68" s="273">
        <f t="shared" ref="BQ68:BQ74" si="17">+AA68+AD68+AG68+AJ68+AM68+AP68+AS68+AV68+AY68+BB68+BE68+BH68+BK68</f>
        <v>1439773558.4100001</v>
      </c>
      <c r="BR68" s="273">
        <f t="shared" ref="BR68:BR74" si="18">+AB68+AE68+AH68+AK68+AN68+AQ68+AT68+AW68+AZ68+BC68+BF68+BI68+BL68</f>
        <v>1439773558.4100001</v>
      </c>
      <c r="BS68" s="236" t="s">
        <v>1649</v>
      </c>
      <c r="BT68" s="233"/>
    </row>
    <row r="69" spans="1:74" s="27" customFormat="1" ht="151.5" customHeight="1" x14ac:dyDescent="0.2">
      <c r="A69" s="217">
        <v>310</v>
      </c>
      <c r="B69" s="216" t="s">
        <v>1620</v>
      </c>
      <c r="C69" s="213">
        <v>1</v>
      </c>
      <c r="D69" s="216" t="s">
        <v>1614</v>
      </c>
      <c r="E69" s="213">
        <v>33</v>
      </c>
      <c r="F69" s="287" t="s">
        <v>166</v>
      </c>
      <c r="G69" s="213">
        <v>3301</v>
      </c>
      <c r="H69" s="216" t="s">
        <v>167</v>
      </c>
      <c r="I69" s="213">
        <v>3301</v>
      </c>
      <c r="J69" s="216" t="s">
        <v>1598</v>
      </c>
      <c r="K69" s="216" t="s">
        <v>367</v>
      </c>
      <c r="L69" s="213" t="s">
        <v>41</v>
      </c>
      <c r="M69" s="216" t="s">
        <v>368</v>
      </c>
      <c r="N69" s="213">
        <v>3301070</v>
      </c>
      <c r="O69" s="216" t="s">
        <v>369</v>
      </c>
      <c r="P69" s="213" t="s">
        <v>41</v>
      </c>
      <c r="Q69" s="216" t="s">
        <v>370</v>
      </c>
      <c r="R69" s="213">
        <v>330107000</v>
      </c>
      <c r="S69" s="216" t="s">
        <v>86</v>
      </c>
      <c r="T69" s="236" t="s">
        <v>1673</v>
      </c>
      <c r="U69" s="76">
        <v>0.3</v>
      </c>
      <c r="V69" s="76">
        <v>0.25</v>
      </c>
      <c r="W69" s="236" t="s">
        <v>362</v>
      </c>
      <c r="X69" s="216" t="s">
        <v>363</v>
      </c>
      <c r="Y69" s="216" t="s">
        <v>364</v>
      </c>
      <c r="Z69" s="333"/>
      <c r="AA69" s="333"/>
      <c r="AB69" s="333"/>
      <c r="AC69" s="289"/>
      <c r="AD69" s="289"/>
      <c r="AE69" s="289"/>
      <c r="AF69" s="289"/>
      <c r="AG69" s="289"/>
      <c r="AH69" s="289"/>
      <c r="AI69" s="289"/>
      <c r="AJ69" s="289"/>
      <c r="AK69" s="289"/>
      <c r="AL69" s="289"/>
      <c r="AM69" s="289"/>
      <c r="AN69" s="289"/>
      <c r="AO69" s="289"/>
      <c r="AP69" s="289"/>
      <c r="AQ69" s="289"/>
      <c r="AR69" s="289"/>
      <c r="AS69" s="289"/>
      <c r="AT69" s="289"/>
      <c r="AU69" s="289"/>
      <c r="AV69" s="289"/>
      <c r="AW69" s="289"/>
      <c r="AX69" s="289"/>
      <c r="AY69" s="289"/>
      <c r="AZ69" s="289"/>
      <c r="BA69" s="289"/>
      <c r="BB69" s="289"/>
      <c r="BC69" s="289"/>
      <c r="BD69" s="235">
        <v>20000000</v>
      </c>
      <c r="BE69" s="235">
        <v>19944166</v>
      </c>
      <c r="BF69" s="235">
        <v>19944166</v>
      </c>
      <c r="BG69" s="290"/>
      <c r="BH69" s="289"/>
      <c r="BI69" s="289"/>
      <c r="BJ69" s="289"/>
      <c r="BK69" s="289"/>
      <c r="BL69" s="289"/>
      <c r="BM69" s="289"/>
      <c r="BN69" s="289"/>
      <c r="BO69" s="289"/>
      <c r="BP69" s="273">
        <f>+Z69+AC69+AF69+AI69+AL69+AO69+AR69+AU69+AX69+BA69+BD69+BG69+BJ69</f>
        <v>20000000</v>
      </c>
      <c r="BQ69" s="273">
        <f t="shared" si="17"/>
        <v>19944166</v>
      </c>
      <c r="BR69" s="273">
        <f t="shared" si="18"/>
        <v>19944166</v>
      </c>
      <c r="BS69" s="236" t="s">
        <v>1649</v>
      </c>
      <c r="BT69" s="233"/>
    </row>
    <row r="70" spans="1:74" s="27" customFormat="1" ht="96" customHeight="1" x14ac:dyDescent="0.2">
      <c r="A70" s="217">
        <v>310</v>
      </c>
      <c r="B70" s="216" t="s">
        <v>1620</v>
      </c>
      <c r="C70" s="213">
        <v>1</v>
      </c>
      <c r="D70" s="216" t="s">
        <v>1614</v>
      </c>
      <c r="E70" s="213">
        <v>33</v>
      </c>
      <c r="F70" s="287" t="s">
        <v>166</v>
      </c>
      <c r="G70" s="213">
        <v>3301</v>
      </c>
      <c r="H70" s="216" t="s">
        <v>167</v>
      </c>
      <c r="I70" s="213">
        <v>3301</v>
      </c>
      <c r="J70" s="216" t="s">
        <v>1598</v>
      </c>
      <c r="K70" s="216" t="s">
        <v>168</v>
      </c>
      <c r="L70" s="213">
        <v>3301099</v>
      </c>
      <c r="M70" s="216" t="s">
        <v>1478</v>
      </c>
      <c r="N70" s="213">
        <v>3301099</v>
      </c>
      <c r="O70" s="216" t="s">
        <v>1478</v>
      </c>
      <c r="P70" s="213">
        <v>330109900</v>
      </c>
      <c r="Q70" s="216" t="s">
        <v>1479</v>
      </c>
      <c r="R70" s="213">
        <v>330109900</v>
      </c>
      <c r="S70" s="216" t="s">
        <v>1479</v>
      </c>
      <c r="T70" s="236" t="s">
        <v>1671</v>
      </c>
      <c r="U70" s="76">
        <v>1</v>
      </c>
      <c r="V70" s="76">
        <v>1</v>
      </c>
      <c r="W70" s="236" t="s">
        <v>362</v>
      </c>
      <c r="X70" s="216" t="s">
        <v>363</v>
      </c>
      <c r="Y70" s="216" t="s">
        <v>364</v>
      </c>
      <c r="Z70" s="333"/>
      <c r="AA70" s="333"/>
      <c r="AB70" s="333"/>
      <c r="AC70" s="289"/>
      <c r="AD70" s="289"/>
      <c r="AE70" s="289"/>
      <c r="AF70" s="289"/>
      <c r="AG70" s="289"/>
      <c r="AH70" s="289"/>
      <c r="AI70" s="289"/>
      <c r="AJ70" s="289"/>
      <c r="AK70" s="289"/>
      <c r="AL70" s="289"/>
      <c r="AM70" s="289"/>
      <c r="AN70" s="289"/>
      <c r="AO70" s="289"/>
      <c r="AP70" s="289"/>
      <c r="AQ70" s="289"/>
      <c r="AR70" s="289"/>
      <c r="AS70" s="289"/>
      <c r="AT70" s="289"/>
      <c r="AU70" s="289"/>
      <c r="AV70" s="289"/>
      <c r="AW70" s="289"/>
      <c r="AX70" s="289"/>
      <c r="AY70" s="289"/>
      <c r="AZ70" s="289"/>
      <c r="BA70" s="289"/>
      <c r="BB70" s="289"/>
      <c r="BC70" s="289"/>
      <c r="BD70" s="235">
        <v>5400000</v>
      </c>
      <c r="BE70" s="235">
        <v>5400000</v>
      </c>
      <c r="BF70" s="235">
        <v>5400000</v>
      </c>
      <c r="BG70" s="290"/>
      <c r="BH70" s="289"/>
      <c r="BI70" s="289"/>
      <c r="BJ70" s="289"/>
      <c r="BK70" s="289"/>
      <c r="BL70" s="289"/>
      <c r="BM70" s="289"/>
      <c r="BN70" s="289"/>
      <c r="BO70" s="289"/>
      <c r="BP70" s="273">
        <f>+Z70+AC70+AF70+AI70+AL70+AO70+AR70+AU70+AX70+BA70+BD70+BG70+BJ70</f>
        <v>5400000</v>
      </c>
      <c r="BQ70" s="273">
        <f t="shared" si="17"/>
        <v>5400000</v>
      </c>
      <c r="BR70" s="273">
        <f t="shared" si="18"/>
        <v>5400000</v>
      </c>
      <c r="BS70" s="236" t="s">
        <v>1649</v>
      </c>
      <c r="BT70" s="233"/>
    </row>
    <row r="71" spans="1:74" s="27" customFormat="1" ht="139.5" customHeight="1" x14ac:dyDescent="0.2">
      <c r="A71" s="217">
        <v>310</v>
      </c>
      <c r="B71" s="216" t="s">
        <v>1620</v>
      </c>
      <c r="C71" s="213">
        <v>1</v>
      </c>
      <c r="D71" s="216" t="s">
        <v>1614</v>
      </c>
      <c r="E71" s="213">
        <v>33</v>
      </c>
      <c r="F71" s="287" t="s">
        <v>166</v>
      </c>
      <c r="G71" s="213">
        <v>3301</v>
      </c>
      <c r="H71" s="216" t="s">
        <v>167</v>
      </c>
      <c r="I71" s="213">
        <v>3301</v>
      </c>
      <c r="J71" s="216" t="s">
        <v>1598</v>
      </c>
      <c r="K71" s="216" t="s">
        <v>360</v>
      </c>
      <c r="L71" s="213">
        <v>3301052</v>
      </c>
      <c r="M71" s="216" t="s">
        <v>371</v>
      </c>
      <c r="N71" s="213">
        <v>3301052</v>
      </c>
      <c r="O71" s="216" t="s">
        <v>371</v>
      </c>
      <c r="P71" s="334">
        <v>330105203</v>
      </c>
      <c r="Q71" s="216" t="s">
        <v>372</v>
      </c>
      <c r="R71" s="334">
        <v>330105203</v>
      </c>
      <c r="S71" s="216" t="s">
        <v>372</v>
      </c>
      <c r="T71" s="236" t="s">
        <v>1671</v>
      </c>
      <c r="U71" s="76">
        <v>135</v>
      </c>
      <c r="V71" s="76">
        <v>0</v>
      </c>
      <c r="W71" s="236" t="s">
        <v>362</v>
      </c>
      <c r="X71" s="216" t="s">
        <v>363</v>
      </c>
      <c r="Y71" s="216" t="s">
        <v>364</v>
      </c>
      <c r="Z71" s="333"/>
      <c r="AA71" s="333"/>
      <c r="AB71" s="333"/>
      <c r="AC71" s="289"/>
      <c r="AD71" s="289"/>
      <c r="AE71" s="289"/>
      <c r="AF71" s="289"/>
      <c r="AG71" s="289"/>
      <c r="AH71" s="289"/>
      <c r="AI71" s="289"/>
      <c r="AJ71" s="289"/>
      <c r="AK71" s="289"/>
      <c r="AL71" s="289"/>
      <c r="AM71" s="289"/>
      <c r="AN71" s="289"/>
      <c r="AO71" s="289"/>
      <c r="AP71" s="289"/>
      <c r="AQ71" s="289"/>
      <c r="AR71" s="289"/>
      <c r="AS71" s="289"/>
      <c r="AT71" s="289"/>
      <c r="AU71" s="289"/>
      <c r="AV71" s="289"/>
      <c r="AW71" s="289"/>
      <c r="AX71" s="289"/>
      <c r="AY71" s="289"/>
      <c r="AZ71" s="289"/>
      <c r="BA71" s="289"/>
      <c r="BB71" s="289"/>
      <c r="BC71" s="289"/>
      <c r="BD71" s="235">
        <v>18000000</v>
      </c>
      <c r="BE71" s="235">
        <v>0</v>
      </c>
      <c r="BF71" s="235">
        <v>0</v>
      </c>
      <c r="BG71" s="290"/>
      <c r="BH71" s="289"/>
      <c r="BI71" s="289"/>
      <c r="BJ71" s="289"/>
      <c r="BK71" s="289"/>
      <c r="BL71" s="289"/>
      <c r="BM71" s="289"/>
      <c r="BN71" s="289"/>
      <c r="BO71" s="289"/>
      <c r="BP71" s="273">
        <f>+Z71+AC71+AF71+AI71+AL71+AO71+AR71+AU71+AX71+BA71+BD71+BG71+BJ71</f>
        <v>18000000</v>
      </c>
      <c r="BQ71" s="273">
        <f t="shared" si="17"/>
        <v>0</v>
      </c>
      <c r="BR71" s="273">
        <f t="shared" si="18"/>
        <v>0</v>
      </c>
      <c r="BS71" s="236" t="s">
        <v>1649</v>
      </c>
      <c r="BT71" s="233"/>
    </row>
    <row r="72" spans="1:74" s="27" customFormat="1" ht="103.5" customHeight="1" x14ac:dyDescent="0.2">
      <c r="A72" s="217">
        <v>310</v>
      </c>
      <c r="B72" s="216" t="s">
        <v>1620</v>
      </c>
      <c r="C72" s="213">
        <v>1</v>
      </c>
      <c r="D72" s="216" t="s">
        <v>1614</v>
      </c>
      <c r="E72" s="213">
        <v>33</v>
      </c>
      <c r="F72" s="287" t="s">
        <v>166</v>
      </c>
      <c r="G72" s="213">
        <v>3301</v>
      </c>
      <c r="H72" s="216" t="s">
        <v>167</v>
      </c>
      <c r="I72" s="213">
        <v>3301</v>
      </c>
      <c r="J72" s="216" t="s">
        <v>1598</v>
      </c>
      <c r="K72" s="216" t="s">
        <v>373</v>
      </c>
      <c r="L72" s="213">
        <v>3301085</v>
      </c>
      <c r="M72" s="216" t="s">
        <v>374</v>
      </c>
      <c r="N72" s="213">
        <v>3301085</v>
      </c>
      <c r="O72" s="216" t="s">
        <v>374</v>
      </c>
      <c r="P72" s="213" t="s">
        <v>375</v>
      </c>
      <c r="Q72" s="216" t="s">
        <v>376</v>
      </c>
      <c r="R72" s="213">
        <v>330108500</v>
      </c>
      <c r="S72" s="216" t="s">
        <v>376</v>
      </c>
      <c r="T72" s="236" t="s">
        <v>1673</v>
      </c>
      <c r="U72" s="76">
        <v>40000</v>
      </c>
      <c r="V72" s="76">
        <v>72390</v>
      </c>
      <c r="W72" s="236" t="s">
        <v>377</v>
      </c>
      <c r="X72" s="216" t="s">
        <v>378</v>
      </c>
      <c r="Y72" s="216" t="s">
        <v>379</v>
      </c>
      <c r="Z72" s="333">
        <v>235000000</v>
      </c>
      <c r="AA72" s="235">
        <v>151366323.75</v>
      </c>
      <c r="AB72" s="235">
        <v>151366323.75</v>
      </c>
      <c r="AC72" s="289"/>
      <c r="AD72" s="289"/>
      <c r="AE72" s="289"/>
      <c r="AF72" s="289"/>
      <c r="AG72" s="289"/>
      <c r="AH72" s="289"/>
      <c r="AI72" s="289"/>
      <c r="AJ72" s="289"/>
      <c r="AK72" s="289"/>
      <c r="AL72" s="289"/>
      <c r="AM72" s="289"/>
      <c r="AN72" s="289"/>
      <c r="AO72" s="289"/>
      <c r="AP72" s="289"/>
      <c r="AQ72" s="289"/>
      <c r="AR72" s="289"/>
      <c r="AS72" s="289"/>
      <c r="AT72" s="289"/>
      <c r="AU72" s="289"/>
      <c r="AV72" s="289"/>
      <c r="AW72" s="289"/>
      <c r="AX72" s="289"/>
      <c r="AY72" s="289"/>
      <c r="AZ72" s="289"/>
      <c r="BA72" s="289"/>
      <c r="BB72" s="289"/>
      <c r="BC72" s="289"/>
      <c r="BD72" s="271">
        <v>14000000</v>
      </c>
      <c r="BE72" s="235">
        <v>12714300</v>
      </c>
      <c r="BF72" s="235">
        <v>12714300</v>
      </c>
      <c r="BG72" s="290"/>
      <c r="BH72" s="289"/>
      <c r="BI72" s="289"/>
      <c r="BJ72" s="289">
        <v>12090000</v>
      </c>
      <c r="BK72" s="289">
        <v>9205000</v>
      </c>
      <c r="BL72" s="289">
        <v>9205000</v>
      </c>
      <c r="BM72" s="289"/>
      <c r="BN72" s="289"/>
      <c r="BO72" s="289"/>
      <c r="BP72" s="273">
        <f t="shared" si="16"/>
        <v>261090000</v>
      </c>
      <c r="BQ72" s="273">
        <f t="shared" si="17"/>
        <v>173285623.75</v>
      </c>
      <c r="BR72" s="273">
        <f t="shared" si="18"/>
        <v>173285623.75</v>
      </c>
      <c r="BS72" s="236" t="s">
        <v>1649</v>
      </c>
      <c r="BT72" s="233"/>
      <c r="BU72" s="233"/>
      <c r="BV72" s="233"/>
    </row>
    <row r="73" spans="1:74" s="27" customFormat="1" ht="100.5" customHeight="1" x14ac:dyDescent="0.2">
      <c r="A73" s="217">
        <v>310</v>
      </c>
      <c r="B73" s="216" t="s">
        <v>1620</v>
      </c>
      <c r="C73" s="213">
        <v>1</v>
      </c>
      <c r="D73" s="216" t="s">
        <v>1614</v>
      </c>
      <c r="E73" s="213">
        <v>33</v>
      </c>
      <c r="F73" s="287" t="s">
        <v>166</v>
      </c>
      <c r="G73" s="213">
        <v>3301</v>
      </c>
      <c r="H73" s="216" t="s">
        <v>167</v>
      </c>
      <c r="I73" s="213">
        <v>3301</v>
      </c>
      <c r="J73" s="216" t="s">
        <v>1598</v>
      </c>
      <c r="K73" s="216" t="s">
        <v>373</v>
      </c>
      <c r="L73" s="213">
        <v>3301100</v>
      </c>
      <c r="M73" s="216" t="s">
        <v>380</v>
      </c>
      <c r="N73" s="213">
        <v>3301100</v>
      </c>
      <c r="O73" s="216" t="s">
        <v>380</v>
      </c>
      <c r="P73" s="334" t="s">
        <v>381</v>
      </c>
      <c r="Q73" s="216" t="s">
        <v>382</v>
      </c>
      <c r="R73" s="334">
        <v>330110000</v>
      </c>
      <c r="S73" s="216" t="s">
        <v>382</v>
      </c>
      <c r="T73" s="236" t="s">
        <v>1673</v>
      </c>
      <c r="U73" s="76">
        <f>10+5</f>
        <v>15</v>
      </c>
      <c r="V73" s="76">
        <v>15</v>
      </c>
      <c r="W73" s="236" t="s">
        <v>377</v>
      </c>
      <c r="X73" s="216" t="s">
        <v>378</v>
      </c>
      <c r="Y73" s="216" t="s">
        <v>379</v>
      </c>
      <c r="Z73" s="333">
        <v>64013297.600000001</v>
      </c>
      <c r="AA73" s="235">
        <v>35240000</v>
      </c>
      <c r="AB73" s="235">
        <v>35240000</v>
      </c>
      <c r="AC73" s="289"/>
      <c r="AD73" s="289"/>
      <c r="AE73" s="289"/>
      <c r="AF73" s="289"/>
      <c r="AG73" s="289"/>
      <c r="AH73" s="289"/>
      <c r="AI73" s="289"/>
      <c r="AJ73" s="289"/>
      <c r="AK73" s="289"/>
      <c r="AL73" s="289"/>
      <c r="AM73" s="289"/>
      <c r="AN73" s="289"/>
      <c r="AO73" s="289"/>
      <c r="AP73" s="289"/>
      <c r="AQ73" s="289"/>
      <c r="AR73" s="289"/>
      <c r="AS73" s="289"/>
      <c r="AT73" s="289"/>
      <c r="AU73" s="289"/>
      <c r="AV73" s="289"/>
      <c r="AW73" s="289"/>
      <c r="AX73" s="289"/>
      <c r="AY73" s="289"/>
      <c r="AZ73" s="289"/>
      <c r="BA73" s="289"/>
      <c r="BB73" s="289"/>
      <c r="BC73" s="289"/>
      <c r="BD73" s="271">
        <v>8000000</v>
      </c>
      <c r="BE73" s="290">
        <v>8000000</v>
      </c>
      <c r="BF73" s="290">
        <v>8000000</v>
      </c>
      <c r="BG73" s="290"/>
      <c r="BH73" s="289"/>
      <c r="BI73" s="289"/>
      <c r="BJ73" s="289"/>
      <c r="BK73" s="289"/>
      <c r="BL73" s="289"/>
      <c r="BM73" s="289"/>
      <c r="BN73" s="289"/>
      <c r="BO73" s="289"/>
      <c r="BP73" s="273">
        <f t="shared" si="16"/>
        <v>72013297.599999994</v>
      </c>
      <c r="BQ73" s="273">
        <f t="shared" si="17"/>
        <v>43240000</v>
      </c>
      <c r="BR73" s="273">
        <f t="shared" si="18"/>
        <v>43240000</v>
      </c>
      <c r="BS73" s="236" t="s">
        <v>1649</v>
      </c>
      <c r="BT73" s="233"/>
    </row>
    <row r="74" spans="1:74" s="27" customFormat="1" ht="111.75" customHeight="1" x14ac:dyDescent="0.2">
      <c r="A74" s="217">
        <v>310</v>
      </c>
      <c r="B74" s="216" t="s">
        <v>1620</v>
      </c>
      <c r="C74" s="213">
        <v>1</v>
      </c>
      <c r="D74" s="216" t="s">
        <v>1614</v>
      </c>
      <c r="E74" s="213">
        <v>33</v>
      </c>
      <c r="F74" s="287" t="s">
        <v>166</v>
      </c>
      <c r="G74" s="213">
        <v>3301</v>
      </c>
      <c r="H74" s="216" t="s">
        <v>167</v>
      </c>
      <c r="I74" s="213">
        <v>3301</v>
      </c>
      <c r="J74" s="216" t="s">
        <v>1598</v>
      </c>
      <c r="K74" s="216" t="s">
        <v>168</v>
      </c>
      <c r="L74" s="213">
        <v>3301095</v>
      </c>
      <c r="M74" s="216" t="s">
        <v>383</v>
      </c>
      <c r="N74" s="213">
        <v>3301095</v>
      </c>
      <c r="O74" s="216" t="s">
        <v>383</v>
      </c>
      <c r="P74" s="213" t="s">
        <v>384</v>
      </c>
      <c r="Q74" s="216" t="s">
        <v>385</v>
      </c>
      <c r="R74" s="213" t="s">
        <v>384</v>
      </c>
      <c r="S74" s="216" t="s">
        <v>385</v>
      </c>
      <c r="T74" s="236" t="s">
        <v>1673</v>
      </c>
      <c r="U74" s="76">
        <v>150</v>
      </c>
      <c r="V74" s="76">
        <v>50</v>
      </c>
      <c r="W74" s="236" t="s">
        <v>386</v>
      </c>
      <c r="X74" s="214" t="s">
        <v>387</v>
      </c>
      <c r="Y74" s="214" t="s">
        <v>388</v>
      </c>
      <c r="Z74" s="333">
        <v>1401227081.52</v>
      </c>
      <c r="AA74" s="333">
        <v>1144764638</v>
      </c>
      <c r="AB74" s="333">
        <v>1144764638</v>
      </c>
      <c r="AC74" s="289"/>
      <c r="AD74" s="289"/>
      <c r="AE74" s="289"/>
      <c r="AF74" s="289"/>
      <c r="AG74" s="289"/>
      <c r="AH74" s="289"/>
      <c r="AI74" s="289"/>
      <c r="AJ74" s="289"/>
      <c r="AK74" s="289"/>
      <c r="AL74" s="289"/>
      <c r="AM74" s="289"/>
      <c r="AN74" s="289"/>
      <c r="AO74" s="289"/>
      <c r="AP74" s="289"/>
      <c r="AQ74" s="289"/>
      <c r="AR74" s="289"/>
      <c r="AS74" s="289"/>
      <c r="AT74" s="289"/>
      <c r="AU74" s="289"/>
      <c r="AV74" s="289"/>
      <c r="AW74" s="289"/>
      <c r="AX74" s="289"/>
      <c r="AY74" s="289"/>
      <c r="AZ74" s="289"/>
      <c r="BA74" s="289"/>
      <c r="BB74" s="289"/>
      <c r="BC74" s="289"/>
      <c r="BD74" s="235"/>
      <c r="BE74" s="235"/>
      <c r="BF74" s="235"/>
      <c r="BG74" s="290"/>
      <c r="BH74" s="289"/>
      <c r="BI74" s="289"/>
      <c r="BJ74" s="289"/>
      <c r="BK74" s="289"/>
      <c r="BL74" s="289"/>
      <c r="BM74" s="289"/>
      <c r="BN74" s="289"/>
      <c r="BO74" s="289"/>
      <c r="BP74" s="273">
        <f t="shared" si="16"/>
        <v>1401227081.52</v>
      </c>
      <c r="BQ74" s="273">
        <f t="shared" si="17"/>
        <v>1144764638</v>
      </c>
      <c r="BR74" s="273">
        <f t="shared" si="18"/>
        <v>1144764638</v>
      </c>
      <c r="BS74" s="236" t="s">
        <v>1649</v>
      </c>
      <c r="BT74" s="233"/>
    </row>
    <row r="75" spans="1:74" s="27" customFormat="1" ht="123" customHeight="1" x14ac:dyDescent="0.2">
      <c r="A75" s="217">
        <v>310</v>
      </c>
      <c r="B75" s="216" t="s">
        <v>1620</v>
      </c>
      <c r="C75" s="213">
        <v>1</v>
      </c>
      <c r="D75" s="216" t="s">
        <v>1614</v>
      </c>
      <c r="E75" s="213">
        <v>33</v>
      </c>
      <c r="F75" s="287" t="s">
        <v>166</v>
      </c>
      <c r="G75" s="213">
        <v>3302</v>
      </c>
      <c r="H75" s="325" t="s">
        <v>389</v>
      </c>
      <c r="I75" s="213">
        <v>3302</v>
      </c>
      <c r="J75" s="325" t="s">
        <v>1599</v>
      </c>
      <c r="K75" s="216" t="s">
        <v>390</v>
      </c>
      <c r="L75" s="316">
        <v>3302042</v>
      </c>
      <c r="M75" s="216" t="s">
        <v>391</v>
      </c>
      <c r="N75" s="316">
        <v>3302042</v>
      </c>
      <c r="O75" s="216" t="s">
        <v>391</v>
      </c>
      <c r="P75" s="213" t="s">
        <v>392</v>
      </c>
      <c r="Q75" s="216" t="s">
        <v>393</v>
      </c>
      <c r="R75" s="213" t="s">
        <v>392</v>
      </c>
      <c r="S75" s="216" t="s">
        <v>393</v>
      </c>
      <c r="T75" s="236" t="s">
        <v>1673</v>
      </c>
      <c r="U75" s="76">
        <v>12</v>
      </c>
      <c r="V75" s="76">
        <v>12</v>
      </c>
      <c r="W75" s="236" t="s">
        <v>394</v>
      </c>
      <c r="X75" s="214" t="s">
        <v>395</v>
      </c>
      <c r="Y75" s="320" t="s">
        <v>396</v>
      </c>
      <c r="Z75" s="289"/>
      <c r="AA75" s="289"/>
      <c r="AB75" s="289"/>
      <c r="AC75" s="289"/>
      <c r="AD75" s="289"/>
      <c r="AE75" s="289"/>
      <c r="AF75" s="289"/>
      <c r="AG75" s="289"/>
      <c r="AH75" s="289"/>
      <c r="AI75" s="289"/>
      <c r="AJ75" s="289"/>
      <c r="AK75" s="289"/>
      <c r="AL75" s="289"/>
      <c r="AM75" s="289"/>
      <c r="AN75" s="289"/>
      <c r="AO75" s="289"/>
      <c r="AP75" s="289"/>
      <c r="AQ75" s="289"/>
      <c r="AR75" s="289"/>
      <c r="AS75" s="289"/>
      <c r="AT75" s="289"/>
      <c r="AU75" s="289"/>
      <c r="AV75" s="289"/>
      <c r="AW75" s="289"/>
      <c r="AX75" s="289"/>
      <c r="AY75" s="289"/>
      <c r="AZ75" s="289"/>
      <c r="BA75" s="289"/>
      <c r="BB75" s="289"/>
      <c r="BC75" s="289"/>
      <c r="BD75" s="235">
        <v>66500000</v>
      </c>
      <c r="BE75" s="235">
        <v>62563999</v>
      </c>
      <c r="BF75" s="235">
        <v>62563999</v>
      </c>
      <c r="BG75" s="290"/>
      <c r="BH75" s="317"/>
      <c r="BI75" s="317"/>
      <c r="BJ75" s="323"/>
      <c r="BK75" s="323"/>
      <c r="BL75" s="323"/>
      <c r="BM75" s="323"/>
      <c r="BN75" s="323"/>
      <c r="BO75" s="323"/>
      <c r="BP75" s="273">
        <f t="shared" ref="BP75:BR76" si="19">+Z75+AC75+AF75+AI75+AL75+AO75+AR75+AU75+AX75+BA75+BD75+BG75+BJ75</f>
        <v>66500000</v>
      </c>
      <c r="BQ75" s="273">
        <f t="shared" si="19"/>
        <v>62563999</v>
      </c>
      <c r="BR75" s="273">
        <f t="shared" si="19"/>
        <v>62563999</v>
      </c>
      <c r="BS75" s="236" t="s">
        <v>1649</v>
      </c>
      <c r="BT75" s="233"/>
    </row>
    <row r="76" spans="1:74" s="27" customFormat="1" ht="130.5" customHeight="1" x14ac:dyDescent="0.2">
      <c r="A76" s="217">
        <v>310</v>
      </c>
      <c r="B76" s="216" t="s">
        <v>1620</v>
      </c>
      <c r="C76" s="213">
        <v>1</v>
      </c>
      <c r="D76" s="216" t="s">
        <v>1614</v>
      </c>
      <c r="E76" s="213">
        <v>33</v>
      </c>
      <c r="F76" s="287" t="s">
        <v>166</v>
      </c>
      <c r="G76" s="213">
        <v>3302</v>
      </c>
      <c r="H76" s="325" t="s">
        <v>389</v>
      </c>
      <c r="I76" s="213">
        <v>3302</v>
      </c>
      <c r="J76" s="325" t="s">
        <v>1599</v>
      </c>
      <c r="K76" s="216" t="s">
        <v>390</v>
      </c>
      <c r="L76" s="316">
        <v>3302070</v>
      </c>
      <c r="M76" s="216" t="s">
        <v>397</v>
      </c>
      <c r="N76" s="316">
        <v>3302070</v>
      </c>
      <c r="O76" s="216" t="s">
        <v>397</v>
      </c>
      <c r="P76" s="334" t="s">
        <v>398</v>
      </c>
      <c r="Q76" s="216" t="s">
        <v>382</v>
      </c>
      <c r="R76" s="334" t="s">
        <v>398</v>
      </c>
      <c r="S76" s="216" t="s">
        <v>382</v>
      </c>
      <c r="T76" s="236" t="s">
        <v>1671</v>
      </c>
      <c r="U76" s="76">
        <v>4</v>
      </c>
      <c r="V76" s="76">
        <v>4</v>
      </c>
      <c r="W76" s="236" t="s">
        <v>394</v>
      </c>
      <c r="X76" s="214" t="s">
        <v>395</v>
      </c>
      <c r="Y76" s="320" t="s">
        <v>396</v>
      </c>
      <c r="Z76" s="297"/>
      <c r="AA76" s="297"/>
      <c r="AB76" s="297"/>
      <c r="AC76" s="289"/>
      <c r="AD76" s="289"/>
      <c r="AE76" s="289"/>
      <c r="AF76" s="289"/>
      <c r="AG76" s="289"/>
      <c r="AH76" s="289"/>
      <c r="AI76" s="289"/>
      <c r="AJ76" s="289"/>
      <c r="AK76" s="289"/>
      <c r="AL76" s="289"/>
      <c r="AM76" s="289"/>
      <c r="AN76" s="289"/>
      <c r="AO76" s="289"/>
      <c r="AP76" s="289"/>
      <c r="AQ76" s="289"/>
      <c r="AR76" s="289"/>
      <c r="AS76" s="289"/>
      <c r="AT76" s="289"/>
      <c r="AU76" s="289"/>
      <c r="AV76" s="289"/>
      <c r="AW76" s="289"/>
      <c r="AX76" s="289"/>
      <c r="AY76" s="289"/>
      <c r="AZ76" s="289"/>
      <c r="BA76" s="289"/>
      <c r="BB76" s="289"/>
      <c r="BC76" s="289"/>
      <c r="BD76" s="235">
        <v>66500000</v>
      </c>
      <c r="BE76" s="235">
        <v>56615666</v>
      </c>
      <c r="BF76" s="235">
        <v>56615666</v>
      </c>
      <c r="BG76" s="335">
        <v>141198236.30000001</v>
      </c>
      <c r="BH76" s="335">
        <v>141163803</v>
      </c>
      <c r="BI76" s="335">
        <v>141163803</v>
      </c>
      <c r="BJ76" s="323"/>
      <c r="BK76" s="323"/>
      <c r="BL76" s="323"/>
      <c r="BM76" s="323"/>
      <c r="BN76" s="323"/>
      <c r="BO76" s="323"/>
      <c r="BP76" s="273">
        <f t="shared" si="19"/>
        <v>207698236.30000001</v>
      </c>
      <c r="BQ76" s="273">
        <f t="shared" si="19"/>
        <v>197779469</v>
      </c>
      <c r="BR76" s="273">
        <f t="shared" si="19"/>
        <v>197779469</v>
      </c>
      <c r="BS76" s="236" t="s">
        <v>1649</v>
      </c>
      <c r="BT76" s="233"/>
    </row>
    <row r="77" spans="1:74" s="27" customFormat="1" ht="72.75" customHeight="1" x14ac:dyDescent="0.2">
      <c r="A77" s="217">
        <v>311</v>
      </c>
      <c r="B77" s="216" t="s">
        <v>1623</v>
      </c>
      <c r="C77" s="213">
        <v>2</v>
      </c>
      <c r="D77" s="216" t="s">
        <v>1621</v>
      </c>
      <c r="E77" s="213">
        <v>35</v>
      </c>
      <c r="F77" s="216" t="s">
        <v>401</v>
      </c>
      <c r="G77" s="213">
        <v>3502</v>
      </c>
      <c r="H77" s="216" t="s">
        <v>1583</v>
      </c>
      <c r="I77" s="213">
        <v>3502</v>
      </c>
      <c r="J77" s="216" t="s">
        <v>1582</v>
      </c>
      <c r="K77" s="216" t="s">
        <v>403</v>
      </c>
      <c r="L77" s="217">
        <v>3502006</v>
      </c>
      <c r="M77" s="216" t="s">
        <v>404</v>
      </c>
      <c r="N77" s="217">
        <v>3502006</v>
      </c>
      <c r="O77" s="216" t="s">
        <v>404</v>
      </c>
      <c r="P77" s="213" t="s">
        <v>405</v>
      </c>
      <c r="Q77" s="216" t="s">
        <v>406</v>
      </c>
      <c r="R77" s="213" t="s">
        <v>405</v>
      </c>
      <c r="S77" s="216" t="s">
        <v>406</v>
      </c>
      <c r="T77" s="236" t="s">
        <v>1673</v>
      </c>
      <c r="U77" s="76">
        <v>1</v>
      </c>
      <c r="V77" s="76">
        <v>1</v>
      </c>
      <c r="W77" s="236" t="s">
        <v>407</v>
      </c>
      <c r="X77" s="214" t="s">
        <v>408</v>
      </c>
      <c r="Y77" s="320" t="s">
        <v>409</v>
      </c>
      <c r="Z77" s="289"/>
      <c r="AA77" s="289"/>
      <c r="AB77" s="289"/>
      <c r="AC77" s="289"/>
      <c r="AD77" s="289"/>
      <c r="AE77" s="289"/>
      <c r="AF77" s="289"/>
      <c r="AG77" s="289"/>
      <c r="AH77" s="289"/>
      <c r="AI77" s="289"/>
      <c r="AJ77" s="289"/>
      <c r="AK77" s="289"/>
      <c r="AL77" s="289"/>
      <c r="AM77" s="289"/>
      <c r="AN77" s="289"/>
      <c r="AO77" s="289"/>
      <c r="AP77" s="289"/>
      <c r="AQ77" s="289"/>
      <c r="AR77" s="289"/>
      <c r="AS77" s="289"/>
      <c r="AT77" s="289"/>
      <c r="AU77" s="289"/>
      <c r="AV77" s="289"/>
      <c r="AW77" s="289"/>
      <c r="AX77" s="289"/>
      <c r="AY77" s="289"/>
      <c r="AZ77" s="289"/>
      <c r="BA77" s="289"/>
      <c r="BB77" s="289"/>
      <c r="BC77" s="289"/>
      <c r="BD77" s="294">
        <v>27000000</v>
      </c>
      <c r="BE77" s="294">
        <v>27000000</v>
      </c>
      <c r="BF77" s="294">
        <v>27000000</v>
      </c>
      <c r="BG77" s="289"/>
      <c r="BH77" s="289"/>
      <c r="BI77" s="289"/>
      <c r="BJ77" s="289"/>
      <c r="BK77" s="289"/>
      <c r="BL77" s="289"/>
      <c r="BM77" s="289"/>
      <c r="BN77" s="289"/>
      <c r="BO77" s="289"/>
      <c r="BP77" s="273">
        <f t="shared" ref="BP77:BR78" si="20">+Z77+AC77+AF77+AI77+AL77+AO77+AR77+AU77+AX77+BA77+BD77+BG77+BJ77</f>
        <v>27000000</v>
      </c>
      <c r="BQ77" s="273">
        <f t="shared" si="20"/>
        <v>27000000</v>
      </c>
      <c r="BR77" s="273">
        <f t="shared" si="20"/>
        <v>27000000</v>
      </c>
      <c r="BS77" s="267" t="s">
        <v>1650</v>
      </c>
      <c r="BT77" s="233"/>
    </row>
    <row r="78" spans="1:74" s="27" customFormat="1" ht="87" customHeight="1" x14ac:dyDescent="0.2">
      <c r="A78" s="217">
        <v>311</v>
      </c>
      <c r="B78" s="216" t="s">
        <v>1623</v>
      </c>
      <c r="C78" s="213">
        <v>2</v>
      </c>
      <c r="D78" s="216" t="s">
        <v>1621</v>
      </c>
      <c r="E78" s="213">
        <v>35</v>
      </c>
      <c r="F78" s="216" t="s">
        <v>401</v>
      </c>
      <c r="G78" s="213">
        <v>3502</v>
      </c>
      <c r="H78" s="216" t="s">
        <v>1583</v>
      </c>
      <c r="I78" s="213">
        <v>3502</v>
      </c>
      <c r="J78" s="216" t="s">
        <v>1582</v>
      </c>
      <c r="K78" s="216" t="s">
        <v>403</v>
      </c>
      <c r="L78" s="217">
        <v>3502007</v>
      </c>
      <c r="M78" s="216" t="s">
        <v>410</v>
      </c>
      <c r="N78" s="217">
        <v>3502007</v>
      </c>
      <c r="O78" s="216" t="s">
        <v>410</v>
      </c>
      <c r="P78" s="213" t="s">
        <v>411</v>
      </c>
      <c r="Q78" s="216" t="s">
        <v>412</v>
      </c>
      <c r="R78" s="213" t="s">
        <v>411</v>
      </c>
      <c r="S78" s="216" t="s">
        <v>412</v>
      </c>
      <c r="T78" s="236" t="s">
        <v>1671</v>
      </c>
      <c r="U78" s="76">
        <v>7</v>
      </c>
      <c r="V78" s="76">
        <v>7</v>
      </c>
      <c r="W78" s="236" t="s">
        <v>407</v>
      </c>
      <c r="X78" s="214" t="s">
        <v>408</v>
      </c>
      <c r="Y78" s="320" t="s">
        <v>409</v>
      </c>
      <c r="Z78" s="289"/>
      <c r="AA78" s="289"/>
      <c r="AB78" s="289"/>
      <c r="AC78" s="289"/>
      <c r="AD78" s="289"/>
      <c r="AE78" s="289"/>
      <c r="AF78" s="289"/>
      <c r="AG78" s="289"/>
      <c r="AH78" s="289"/>
      <c r="AI78" s="289"/>
      <c r="AJ78" s="289"/>
      <c r="AK78" s="289"/>
      <c r="AL78" s="289"/>
      <c r="AM78" s="289"/>
      <c r="AN78" s="289"/>
      <c r="AO78" s="289"/>
      <c r="AP78" s="289"/>
      <c r="AQ78" s="289"/>
      <c r="AR78" s="289"/>
      <c r="AS78" s="289"/>
      <c r="AT78" s="289"/>
      <c r="AU78" s="289"/>
      <c r="AV78" s="289"/>
      <c r="AW78" s="289"/>
      <c r="AX78" s="289"/>
      <c r="AY78" s="289"/>
      <c r="AZ78" s="289"/>
      <c r="BA78" s="289"/>
      <c r="BB78" s="289"/>
      <c r="BC78" s="289"/>
      <c r="BD78" s="366">
        <f>50000000+66000000</f>
        <v>116000000</v>
      </c>
      <c r="BE78" s="294">
        <v>115910333</v>
      </c>
      <c r="BF78" s="294">
        <v>115910333</v>
      </c>
      <c r="BG78" s="289"/>
      <c r="BH78" s="289"/>
      <c r="BI78" s="289"/>
      <c r="BJ78" s="289"/>
      <c r="BK78" s="289"/>
      <c r="BL78" s="289"/>
      <c r="BM78" s="289"/>
      <c r="BN78" s="289"/>
      <c r="BO78" s="289"/>
      <c r="BP78" s="273">
        <f t="shared" si="20"/>
        <v>116000000</v>
      </c>
      <c r="BQ78" s="273">
        <f t="shared" si="20"/>
        <v>115910333</v>
      </c>
      <c r="BR78" s="273">
        <f t="shared" si="20"/>
        <v>115910333</v>
      </c>
      <c r="BS78" s="267" t="s">
        <v>1650</v>
      </c>
      <c r="BT78" s="233"/>
    </row>
    <row r="79" spans="1:74" s="27" customFormat="1" ht="68.25" customHeight="1" x14ac:dyDescent="0.2">
      <c r="A79" s="217">
        <v>311</v>
      </c>
      <c r="B79" s="216" t="s">
        <v>1623</v>
      </c>
      <c r="C79" s="213">
        <v>2</v>
      </c>
      <c r="D79" s="216" t="s">
        <v>1621</v>
      </c>
      <c r="E79" s="213">
        <v>35</v>
      </c>
      <c r="F79" s="216" t="s">
        <v>401</v>
      </c>
      <c r="G79" s="213">
        <v>3502</v>
      </c>
      <c r="H79" s="216" t="s">
        <v>1583</v>
      </c>
      <c r="I79" s="213">
        <v>3502</v>
      </c>
      <c r="J79" s="216" t="s">
        <v>1582</v>
      </c>
      <c r="K79" s="216" t="s">
        <v>403</v>
      </c>
      <c r="L79" s="304">
        <v>3502022</v>
      </c>
      <c r="M79" s="216" t="s">
        <v>1480</v>
      </c>
      <c r="N79" s="304">
        <v>3502022</v>
      </c>
      <c r="O79" s="216" t="s">
        <v>1480</v>
      </c>
      <c r="P79" s="74" t="s">
        <v>413</v>
      </c>
      <c r="Q79" s="216" t="s">
        <v>414</v>
      </c>
      <c r="R79" s="74" t="s">
        <v>413</v>
      </c>
      <c r="S79" s="216" t="s">
        <v>414</v>
      </c>
      <c r="T79" s="236" t="s">
        <v>1671</v>
      </c>
      <c r="U79" s="76">
        <v>14</v>
      </c>
      <c r="V79" s="76">
        <v>14</v>
      </c>
      <c r="W79" s="236" t="s">
        <v>415</v>
      </c>
      <c r="X79" s="214" t="s">
        <v>416</v>
      </c>
      <c r="Y79" s="320" t="s">
        <v>417</v>
      </c>
      <c r="Z79" s="289"/>
      <c r="AA79" s="289"/>
      <c r="AB79" s="289"/>
      <c r="AC79" s="289"/>
      <c r="AD79" s="289"/>
      <c r="AE79" s="289"/>
      <c r="AF79" s="289"/>
      <c r="AG79" s="289"/>
      <c r="AH79" s="289"/>
      <c r="AI79" s="289"/>
      <c r="AJ79" s="289"/>
      <c r="AK79" s="289"/>
      <c r="AL79" s="289"/>
      <c r="AM79" s="289"/>
      <c r="AN79" s="289"/>
      <c r="AO79" s="289"/>
      <c r="AP79" s="289"/>
      <c r="AQ79" s="289"/>
      <c r="AR79" s="289"/>
      <c r="AS79" s="289"/>
      <c r="AT79" s="289"/>
      <c r="AU79" s="289"/>
      <c r="AV79" s="289"/>
      <c r="AW79" s="289"/>
      <c r="AX79" s="289"/>
      <c r="AY79" s="289"/>
      <c r="AZ79" s="289"/>
      <c r="BA79" s="289"/>
      <c r="BB79" s="289"/>
      <c r="BC79" s="289"/>
      <c r="BD79" s="366">
        <f>90000000-60000000</f>
        <v>30000000</v>
      </c>
      <c r="BE79" s="294">
        <v>22420000</v>
      </c>
      <c r="BF79" s="294">
        <v>22420000</v>
      </c>
      <c r="BG79" s="289"/>
      <c r="BH79" s="289"/>
      <c r="BI79" s="289"/>
      <c r="BJ79" s="289"/>
      <c r="BK79" s="289"/>
      <c r="BL79" s="289"/>
      <c r="BM79" s="289"/>
      <c r="BN79" s="289"/>
      <c r="BO79" s="289"/>
      <c r="BP79" s="273">
        <f t="shared" ref="BP79:BP84" si="21">+Z79+AC79+AF79+AI79+AL79+AO79+AR79+AU79+AX79+BA79+BD79+BG79+BJ79</f>
        <v>30000000</v>
      </c>
      <c r="BQ79" s="273">
        <f t="shared" ref="BQ79:BR84" si="22">+AA79+AD79+AG79+AJ79+AM79+AP79+AS79+AV79+AY79+BB79+BE79+BH79+BK79</f>
        <v>22420000</v>
      </c>
      <c r="BR79" s="273">
        <f t="shared" si="22"/>
        <v>22420000</v>
      </c>
      <c r="BS79" s="267" t="s">
        <v>1650</v>
      </c>
      <c r="BT79" s="233"/>
    </row>
    <row r="80" spans="1:74" s="27" customFormat="1" ht="84.75" customHeight="1" x14ac:dyDescent="0.2">
      <c r="A80" s="217">
        <v>311</v>
      </c>
      <c r="B80" s="216" t="s">
        <v>1623</v>
      </c>
      <c r="C80" s="213">
        <v>2</v>
      </c>
      <c r="D80" s="216" t="s">
        <v>1621</v>
      </c>
      <c r="E80" s="213">
        <v>35</v>
      </c>
      <c r="F80" s="216" t="s">
        <v>401</v>
      </c>
      <c r="G80" s="213">
        <v>3502</v>
      </c>
      <c r="H80" s="216" t="s">
        <v>1583</v>
      </c>
      <c r="I80" s="213">
        <v>3502</v>
      </c>
      <c r="J80" s="216" t="s">
        <v>1582</v>
      </c>
      <c r="K80" s="216" t="s">
        <v>403</v>
      </c>
      <c r="L80" s="304">
        <v>3502047</v>
      </c>
      <c r="M80" s="216" t="s">
        <v>233</v>
      </c>
      <c r="N80" s="304">
        <v>3502047</v>
      </c>
      <c r="O80" s="216" t="s">
        <v>233</v>
      </c>
      <c r="P80" s="74" t="s">
        <v>418</v>
      </c>
      <c r="Q80" s="311" t="s">
        <v>235</v>
      </c>
      <c r="R80" s="74" t="s">
        <v>418</v>
      </c>
      <c r="S80" s="311" t="s">
        <v>235</v>
      </c>
      <c r="T80" s="236" t="s">
        <v>1673</v>
      </c>
      <c r="U80" s="76">
        <v>0.7</v>
      </c>
      <c r="V80" s="76">
        <v>0.7</v>
      </c>
      <c r="W80" s="236" t="s">
        <v>415</v>
      </c>
      <c r="X80" s="214" t="s">
        <v>416</v>
      </c>
      <c r="Y80" s="320" t="s">
        <v>417</v>
      </c>
      <c r="Z80" s="289"/>
      <c r="AA80" s="289"/>
      <c r="AB80" s="289"/>
      <c r="AC80" s="289"/>
      <c r="AD80" s="289"/>
      <c r="AE80" s="289"/>
      <c r="AF80" s="289"/>
      <c r="AG80" s="289"/>
      <c r="AH80" s="289"/>
      <c r="AI80" s="289"/>
      <c r="AJ80" s="289"/>
      <c r="AK80" s="289"/>
      <c r="AL80" s="289"/>
      <c r="AM80" s="289"/>
      <c r="AN80" s="289"/>
      <c r="AO80" s="289"/>
      <c r="AP80" s="289"/>
      <c r="AQ80" s="289"/>
      <c r="AR80" s="289"/>
      <c r="AS80" s="289"/>
      <c r="AT80" s="289"/>
      <c r="AU80" s="289"/>
      <c r="AV80" s="289"/>
      <c r="AW80" s="289"/>
      <c r="AX80" s="289"/>
      <c r="AY80" s="289"/>
      <c r="AZ80" s="289"/>
      <c r="BA80" s="289"/>
      <c r="BB80" s="289"/>
      <c r="BC80" s="289"/>
      <c r="BD80" s="366">
        <f>130000000+30000000-66000000</f>
        <v>94000000</v>
      </c>
      <c r="BE80" s="294">
        <v>91872500</v>
      </c>
      <c r="BF80" s="294">
        <v>91872500</v>
      </c>
      <c r="BG80" s="289"/>
      <c r="BH80" s="289"/>
      <c r="BI80" s="289"/>
      <c r="BJ80" s="289"/>
      <c r="BK80" s="289"/>
      <c r="BL80" s="289"/>
      <c r="BM80" s="289"/>
      <c r="BN80" s="289"/>
      <c r="BO80" s="289"/>
      <c r="BP80" s="273">
        <f t="shared" si="21"/>
        <v>94000000</v>
      </c>
      <c r="BQ80" s="273">
        <f t="shared" si="22"/>
        <v>91872500</v>
      </c>
      <c r="BR80" s="273">
        <f t="shared" si="22"/>
        <v>91872500</v>
      </c>
      <c r="BS80" s="267" t="s">
        <v>1650</v>
      </c>
      <c r="BT80" s="233"/>
    </row>
    <row r="81" spans="1:72" s="27" customFormat="1" ht="126" customHeight="1" x14ac:dyDescent="0.2">
      <c r="A81" s="217">
        <v>311</v>
      </c>
      <c r="B81" s="216" t="s">
        <v>1623</v>
      </c>
      <c r="C81" s="213">
        <v>2</v>
      </c>
      <c r="D81" s="216" t="s">
        <v>1621</v>
      </c>
      <c r="E81" s="213">
        <v>35</v>
      </c>
      <c r="F81" s="216" t="s">
        <v>401</v>
      </c>
      <c r="G81" s="213">
        <v>3502</v>
      </c>
      <c r="H81" s="216" t="s">
        <v>1583</v>
      </c>
      <c r="I81" s="213">
        <v>3502</v>
      </c>
      <c r="J81" s="216" t="s">
        <v>1582</v>
      </c>
      <c r="K81" s="216" t="s">
        <v>420</v>
      </c>
      <c r="L81" s="304">
        <v>3502039</v>
      </c>
      <c r="M81" s="216" t="s">
        <v>421</v>
      </c>
      <c r="N81" s="304">
        <v>3502039</v>
      </c>
      <c r="O81" s="216" t="s">
        <v>421</v>
      </c>
      <c r="P81" s="213" t="s">
        <v>422</v>
      </c>
      <c r="Q81" s="216" t="s">
        <v>105</v>
      </c>
      <c r="R81" s="213" t="s">
        <v>422</v>
      </c>
      <c r="S81" s="216" t="s">
        <v>105</v>
      </c>
      <c r="T81" s="236" t="s">
        <v>1671</v>
      </c>
      <c r="U81" s="76">
        <v>12</v>
      </c>
      <c r="V81" s="76">
        <v>12</v>
      </c>
      <c r="W81" s="236" t="s">
        <v>423</v>
      </c>
      <c r="X81" s="214" t="s">
        <v>424</v>
      </c>
      <c r="Y81" s="320" t="s">
        <v>425</v>
      </c>
      <c r="Z81" s="289"/>
      <c r="AA81" s="289"/>
      <c r="AB81" s="289"/>
      <c r="AC81" s="289"/>
      <c r="AD81" s="289"/>
      <c r="AE81" s="289"/>
      <c r="AF81" s="289"/>
      <c r="AG81" s="289"/>
      <c r="AH81" s="289"/>
      <c r="AI81" s="289"/>
      <c r="AJ81" s="289"/>
      <c r="AK81" s="289"/>
      <c r="AL81" s="289"/>
      <c r="AM81" s="289"/>
      <c r="AN81" s="289"/>
      <c r="AO81" s="289"/>
      <c r="AP81" s="289"/>
      <c r="AQ81" s="289"/>
      <c r="AR81" s="289"/>
      <c r="AS81" s="289"/>
      <c r="AT81" s="289"/>
      <c r="AU81" s="289"/>
      <c r="AV81" s="289"/>
      <c r="AW81" s="289"/>
      <c r="AX81" s="289"/>
      <c r="AY81" s="289"/>
      <c r="AZ81" s="289"/>
      <c r="BA81" s="289"/>
      <c r="BB81" s="289"/>
      <c r="BC81" s="289"/>
      <c r="BD81" s="366">
        <v>175000000</v>
      </c>
      <c r="BE81" s="548">
        <v>169053497</v>
      </c>
      <c r="BF81" s="548">
        <v>169053497</v>
      </c>
      <c r="BG81" s="289"/>
      <c r="BH81" s="289"/>
      <c r="BI81" s="289"/>
      <c r="BJ81" s="289"/>
      <c r="BK81" s="289"/>
      <c r="BL81" s="289"/>
      <c r="BM81" s="289"/>
      <c r="BN81" s="289"/>
      <c r="BO81" s="289"/>
      <c r="BP81" s="273">
        <f t="shared" si="21"/>
        <v>175000000</v>
      </c>
      <c r="BQ81" s="273">
        <f t="shared" si="22"/>
        <v>169053497</v>
      </c>
      <c r="BR81" s="273">
        <f t="shared" si="22"/>
        <v>169053497</v>
      </c>
      <c r="BS81" s="267" t="s">
        <v>1650</v>
      </c>
      <c r="BT81" s="233"/>
    </row>
    <row r="82" spans="1:72" s="27" customFormat="1" ht="116.25" customHeight="1" x14ac:dyDescent="0.2">
      <c r="A82" s="217">
        <v>311</v>
      </c>
      <c r="B82" s="216" t="s">
        <v>1623</v>
      </c>
      <c r="C82" s="213">
        <v>2</v>
      </c>
      <c r="D82" s="216" t="s">
        <v>1621</v>
      </c>
      <c r="E82" s="213">
        <v>35</v>
      </c>
      <c r="F82" s="216" t="s">
        <v>401</v>
      </c>
      <c r="G82" s="213">
        <v>3502</v>
      </c>
      <c r="H82" s="216" t="s">
        <v>1583</v>
      </c>
      <c r="I82" s="213">
        <v>3502</v>
      </c>
      <c r="J82" s="216" t="s">
        <v>1582</v>
      </c>
      <c r="K82" s="216" t="s">
        <v>403</v>
      </c>
      <c r="L82" s="304">
        <v>3502047</v>
      </c>
      <c r="M82" s="216" t="s">
        <v>233</v>
      </c>
      <c r="N82" s="304">
        <v>3502047</v>
      </c>
      <c r="O82" s="216" t="s">
        <v>233</v>
      </c>
      <c r="P82" s="213" t="s">
        <v>418</v>
      </c>
      <c r="Q82" s="216" t="s">
        <v>235</v>
      </c>
      <c r="R82" s="213" t="s">
        <v>418</v>
      </c>
      <c r="S82" s="216" t="s">
        <v>235</v>
      </c>
      <c r="T82" s="236" t="s">
        <v>1673</v>
      </c>
      <c r="U82" s="76" t="s">
        <v>419</v>
      </c>
      <c r="V82" s="76">
        <v>0.7</v>
      </c>
      <c r="W82" s="236" t="s">
        <v>423</v>
      </c>
      <c r="X82" s="214" t="s">
        <v>424</v>
      </c>
      <c r="Y82" s="320" t="s">
        <v>425</v>
      </c>
      <c r="Z82" s="289"/>
      <c r="AA82" s="289"/>
      <c r="AB82" s="289"/>
      <c r="AC82" s="289"/>
      <c r="AD82" s="289"/>
      <c r="AE82" s="289"/>
      <c r="AF82" s="289"/>
      <c r="AG82" s="289"/>
      <c r="AH82" s="289"/>
      <c r="AI82" s="289"/>
      <c r="AJ82" s="289"/>
      <c r="AK82" s="289"/>
      <c r="AL82" s="289"/>
      <c r="AM82" s="289"/>
      <c r="AN82" s="289"/>
      <c r="AO82" s="289"/>
      <c r="AP82" s="289"/>
      <c r="AQ82" s="289"/>
      <c r="AR82" s="289"/>
      <c r="AS82" s="289"/>
      <c r="AT82" s="289"/>
      <c r="AU82" s="289"/>
      <c r="AV82" s="289"/>
      <c r="AW82" s="289"/>
      <c r="AX82" s="289"/>
      <c r="AY82" s="289"/>
      <c r="AZ82" s="289"/>
      <c r="BA82" s="289"/>
      <c r="BB82" s="289"/>
      <c r="BC82" s="289"/>
      <c r="BD82" s="294">
        <v>18000000</v>
      </c>
      <c r="BE82" s="294">
        <v>18000000</v>
      </c>
      <c r="BF82" s="294">
        <v>18000000</v>
      </c>
      <c r="BG82" s="289"/>
      <c r="BH82" s="289"/>
      <c r="BI82" s="289"/>
      <c r="BJ82" s="289"/>
      <c r="BK82" s="289"/>
      <c r="BL82" s="289"/>
      <c r="BM82" s="289"/>
      <c r="BN82" s="289"/>
      <c r="BO82" s="289"/>
      <c r="BP82" s="273">
        <f>+Z82+AC82+AF82+AI82+AL82+AO82+AR82+AU82+AX82+BA82+BD82+BG82+BJ82</f>
        <v>18000000</v>
      </c>
      <c r="BQ82" s="273">
        <f t="shared" si="22"/>
        <v>18000000</v>
      </c>
      <c r="BR82" s="273">
        <f t="shared" si="22"/>
        <v>18000000</v>
      </c>
      <c r="BS82" s="267" t="s">
        <v>1650</v>
      </c>
      <c r="BT82" s="233"/>
    </row>
    <row r="83" spans="1:72" s="27" customFormat="1" ht="111" customHeight="1" x14ac:dyDescent="0.2">
      <c r="A83" s="217">
        <v>311</v>
      </c>
      <c r="B83" s="216" t="s">
        <v>1623</v>
      </c>
      <c r="C83" s="213">
        <v>2</v>
      </c>
      <c r="D83" s="216" t="s">
        <v>1621</v>
      </c>
      <c r="E83" s="213">
        <v>35</v>
      </c>
      <c r="F83" s="216" t="s">
        <v>401</v>
      </c>
      <c r="G83" s="213">
        <v>3502</v>
      </c>
      <c r="H83" s="216" t="s">
        <v>1583</v>
      </c>
      <c r="I83" s="213">
        <v>3502</v>
      </c>
      <c r="J83" s="216" t="s">
        <v>1582</v>
      </c>
      <c r="K83" s="216" t="s">
        <v>420</v>
      </c>
      <c r="L83" s="304">
        <v>3502039</v>
      </c>
      <c r="M83" s="216" t="s">
        <v>421</v>
      </c>
      <c r="N83" s="304">
        <v>3502039</v>
      </c>
      <c r="O83" s="216" t="s">
        <v>421</v>
      </c>
      <c r="P83" s="74">
        <v>350203910</v>
      </c>
      <c r="Q83" s="216" t="s">
        <v>426</v>
      </c>
      <c r="R83" s="74">
        <v>350203910</v>
      </c>
      <c r="S83" s="216" t="s">
        <v>426</v>
      </c>
      <c r="T83" s="236" t="s">
        <v>1673</v>
      </c>
      <c r="U83" s="76">
        <v>1</v>
      </c>
      <c r="V83" s="76">
        <v>3</v>
      </c>
      <c r="W83" s="236" t="s">
        <v>423</v>
      </c>
      <c r="X83" s="214" t="s">
        <v>424</v>
      </c>
      <c r="Y83" s="320" t="s">
        <v>425</v>
      </c>
      <c r="Z83" s="289"/>
      <c r="AA83" s="289"/>
      <c r="AB83" s="289"/>
      <c r="AC83" s="289"/>
      <c r="AD83" s="289"/>
      <c r="AE83" s="289"/>
      <c r="AF83" s="289"/>
      <c r="AG83" s="289"/>
      <c r="AH83" s="289"/>
      <c r="AI83" s="289"/>
      <c r="AJ83" s="289"/>
      <c r="AK83" s="289"/>
      <c r="AL83" s="289"/>
      <c r="AM83" s="289"/>
      <c r="AN83" s="289"/>
      <c r="AO83" s="289"/>
      <c r="AP83" s="289"/>
      <c r="AQ83" s="289"/>
      <c r="AR83" s="289"/>
      <c r="AS83" s="289"/>
      <c r="AT83" s="289"/>
      <c r="AU83" s="289"/>
      <c r="AV83" s="289"/>
      <c r="AW83" s="289"/>
      <c r="AX83" s="289"/>
      <c r="AY83" s="289"/>
      <c r="AZ83" s="289"/>
      <c r="BA83" s="289"/>
      <c r="BB83" s="289"/>
      <c r="BC83" s="289"/>
      <c r="BD83" s="294">
        <f>100000000+1498856036</f>
        <v>1598856036</v>
      </c>
      <c r="BE83" s="548">
        <v>1598856036</v>
      </c>
      <c r="BF83" s="548">
        <v>1598856036</v>
      </c>
      <c r="BG83" s="289"/>
      <c r="BH83" s="289"/>
      <c r="BI83" s="289"/>
      <c r="BJ83" s="289"/>
      <c r="BK83" s="289"/>
      <c r="BL83" s="289"/>
      <c r="BM83" s="289"/>
      <c r="BN83" s="289"/>
      <c r="BO83" s="289"/>
      <c r="BP83" s="273">
        <f t="shared" si="21"/>
        <v>1598856036</v>
      </c>
      <c r="BQ83" s="273">
        <f t="shared" si="22"/>
        <v>1598856036</v>
      </c>
      <c r="BR83" s="273">
        <f t="shared" si="22"/>
        <v>1598856036</v>
      </c>
      <c r="BS83" s="267" t="s">
        <v>1650</v>
      </c>
      <c r="BT83" s="233"/>
    </row>
    <row r="84" spans="1:72" s="211" customFormat="1" ht="98.25" customHeight="1" x14ac:dyDescent="0.25">
      <c r="A84" s="217">
        <v>311</v>
      </c>
      <c r="B84" s="216" t="s">
        <v>1623</v>
      </c>
      <c r="C84" s="213">
        <v>2</v>
      </c>
      <c r="D84" s="216" t="s">
        <v>1621</v>
      </c>
      <c r="E84" s="213">
        <v>35</v>
      </c>
      <c r="F84" s="216" t="s">
        <v>401</v>
      </c>
      <c r="G84" s="213">
        <v>3502</v>
      </c>
      <c r="H84" s="216" t="s">
        <v>1583</v>
      </c>
      <c r="I84" s="213">
        <v>3502</v>
      </c>
      <c r="J84" s="216" t="s">
        <v>1582</v>
      </c>
      <c r="K84" s="216" t="s">
        <v>420</v>
      </c>
      <c r="L84" s="304">
        <v>3502046</v>
      </c>
      <c r="M84" s="216" t="s">
        <v>427</v>
      </c>
      <c r="N84" s="304">
        <v>3502046</v>
      </c>
      <c r="O84" s="216" t="s">
        <v>427</v>
      </c>
      <c r="P84" s="213" t="s">
        <v>428</v>
      </c>
      <c r="Q84" s="216" t="s">
        <v>429</v>
      </c>
      <c r="R84" s="213" t="s">
        <v>428</v>
      </c>
      <c r="S84" s="216" t="s">
        <v>429</v>
      </c>
      <c r="T84" s="236" t="s">
        <v>1673</v>
      </c>
      <c r="U84" s="76">
        <v>1</v>
      </c>
      <c r="V84" s="76">
        <v>1</v>
      </c>
      <c r="W84" s="236" t="s">
        <v>430</v>
      </c>
      <c r="X84" s="216" t="s">
        <v>431</v>
      </c>
      <c r="Y84" s="216" t="s">
        <v>432</v>
      </c>
      <c r="Z84" s="289"/>
      <c r="AA84" s="289"/>
      <c r="AB84" s="289"/>
      <c r="AC84" s="289"/>
      <c r="AD84" s="289"/>
      <c r="AE84" s="289"/>
      <c r="AF84" s="289"/>
      <c r="AG84" s="289"/>
      <c r="AH84" s="289"/>
      <c r="AI84" s="289"/>
      <c r="AJ84" s="289"/>
      <c r="AK84" s="289"/>
      <c r="AL84" s="289"/>
      <c r="AM84" s="289"/>
      <c r="AN84" s="289"/>
      <c r="AO84" s="289"/>
      <c r="AP84" s="289"/>
      <c r="AQ84" s="289"/>
      <c r="AR84" s="289"/>
      <c r="AS84" s="289"/>
      <c r="AT84" s="289"/>
      <c r="AU84" s="289"/>
      <c r="AV84" s="289"/>
      <c r="AW84" s="289"/>
      <c r="AX84" s="289"/>
      <c r="AY84" s="289"/>
      <c r="AZ84" s="289"/>
      <c r="BA84" s="289"/>
      <c r="BB84" s="289"/>
      <c r="BC84" s="289"/>
      <c r="BD84" s="366">
        <f>100000000+20000000+150000000-15000000</f>
        <v>255000000</v>
      </c>
      <c r="BE84" s="294">
        <v>197404833</v>
      </c>
      <c r="BF84" s="294">
        <v>197404833</v>
      </c>
      <c r="BG84" s="322">
        <f>664872303.76+340359369.85</f>
        <v>1005231673.61</v>
      </c>
      <c r="BH84" s="322">
        <v>461920395.50999999</v>
      </c>
      <c r="BI84" s="322">
        <v>461920395.50999999</v>
      </c>
      <c r="BJ84" s="322"/>
      <c r="BK84" s="322"/>
      <c r="BL84" s="322"/>
      <c r="BM84" s="322"/>
      <c r="BN84" s="322"/>
      <c r="BO84" s="322"/>
      <c r="BP84" s="273">
        <f t="shared" si="21"/>
        <v>1260231673.6100001</v>
      </c>
      <c r="BQ84" s="273">
        <f t="shared" si="22"/>
        <v>659325228.50999999</v>
      </c>
      <c r="BR84" s="273">
        <f t="shared" si="22"/>
        <v>659325228.50999999</v>
      </c>
      <c r="BS84" s="267" t="s">
        <v>1650</v>
      </c>
      <c r="BT84" s="233"/>
    </row>
    <row r="85" spans="1:72" s="27" customFormat="1" ht="84" customHeight="1" x14ac:dyDescent="0.2">
      <c r="A85" s="217">
        <v>311</v>
      </c>
      <c r="B85" s="216" t="s">
        <v>1623</v>
      </c>
      <c r="C85" s="213">
        <v>2</v>
      </c>
      <c r="D85" s="216" t="s">
        <v>1621</v>
      </c>
      <c r="E85" s="213">
        <v>36</v>
      </c>
      <c r="F85" s="213" t="s">
        <v>433</v>
      </c>
      <c r="G85" s="213">
        <v>3602</v>
      </c>
      <c r="H85" s="216" t="s">
        <v>434</v>
      </c>
      <c r="I85" s="213">
        <v>3602</v>
      </c>
      <c r="J85" s="216" t="s">
        <v>1600</v>
      </c>
      <c r="K85" s="216" t="s">
        <v>403</v>
      </c>
      <c r="L85" s="213">
        <v>3602018</v>
      </c>
      <c r="M85" s="216" t="s">
        <v>435</v>
      </c>
      <c r="N85" s="213">
        <v>3602018</v>
      </c>
      <c r="O85" s="216" t="s">
        <v>435</v>
      </c>
      <c r="P85" s="74" t="s">
        <v>436</v>
      </c>
      <c r="Q85" s="311" t="s">
        <v>437</v>
      </c>
      <c r="R85" s="74">
        <v>360201800</v>
      </c>
      <c r="S85" s="311" t="s">
        <v>437</v>
      </c>
      <c r="T85" s="236" t="s">
        <v>1673</v>
      </c>
      <c r="U85" s="76">
        <v>3</v>
      </c>
      <c r="V85" s="76">
        <v>0</v>
      </c>
      <c r="W85" s="236" t="s">
        <v>438</v>
      </c>
      <c r="X85" s="216" t="s">
        <v>439</v>
      </c>
      <c r="Y85" s="216" t="s">
        <v>440</v>
      </c>
      <c r="Z85" s="289"/>
      <c r="AA85" s="289"/>
      <c r="AB85" s="289"/>
      <c r="AC85" s="289"/>
      <c r="AD85" s="289"/>
      <c r="AE85" s="289"/>
      <c r="AF85" s="289"/>
      <c r="AG85" s="289"/>
      <c r="AH85" s="289"/>
      <c r="AI85" s="289"/>
      <c r="AJ85" s="289"/>
      <c r="AK85" s="289"/>
      <c r="AL85" s="289"/>
      <c r="AM85" s="289"/>
      <c r="AN85" s="289"/>
      <c r="AO85" s="289"/>
      <c r="AP85" s="289"/>
      <c r="AQ85" s="289"/>
      <c r="AR85" s="289"/>
      <c r="AS85" s="289"/>
      <c r="AT85" s="289"/>
      <c r="AU85" s="289"/>
      <c r="AV85" s="289"/>
      <c r="AW85" s="289"/>
      <c r="AX85" s="289"/>
      <c r="AY85" s="289"/>
      <c r="AZ85" s="289"/>
      <c r="BA85" s="289"/>
      <c r="BB85" s="289"/>
      <c r="BC85" s="289"/>
      <c r="BD85" s="366">
        <f>120000000-24000000-27345000</f>
        <v>68655000</v>
      </c>
      <c r="BE85" s="294">
        <v>68655000</v>
      </c>
      <c r="BF85" s="294">
        <v>68655000</v>
      </c>
      <c r="BG85" s="289"/>
      <c r="BH85" s="289"/>
      <c r="BI85" s="289"/>
      <c r="BJ85" s="289"/>
      <c r="BK85" s="289"/>
      <c r="BL85" s="289"/>
      <c r="BM85" s="289"/>
      <c r="BN85" s="289"/>
      <c r="BO85" s="289"/>
      <c r="BP85" s="273">
        <f>+Z85+AC85+AF85+AI85+AL85+AO85+AR85+AU85+AX85+BA85+BD85+BG85+BJ85</f>
        <v>68655000</v>
      </c>
      <c r="BQ85" s="273">
        <f t="shared" ref="BP85:BR88" si="23">+AA85+AD85+AG85+AJ85+AM85+AP85+AS85+AV85+AY85+BB85+BE85+BH85+BK85</f>
        <v>68655000</v>
      </c>
      <c r="BR85" s="273">
        <f t="shared" si="23"/>
        <v>68655000</v>
      </c>
      <c r="BS85" s="267" t="s">
        <v>1650</v>
      </c>
      <c r="BT85" s="233"/>
    </row>
    <row r="86" spans="1:72" s="27" customFormat="1" ht="75.75" customHeight="1" x14ac:dyDescent="0.2">
      <c r="A86" s="217">
        <v>311</v>
      </c>
      <c r="B86" s="216" t="s">
        <v>1623</v>
      </c>
      <c r="C86" s="213">
        <v>2</v>
      </c>
      <c r="D86" s="216" t="s">
        <v>1621</v>
      </c>
      <c r="E86" s="213">
        <v>36</v>
      </c>
      <c r="F86" s="213" t="s">
        <v>433</v>
      </c>
      <c r="G86" s="213">
        <v>3602</v>
      </c>
      <c r="H86" s="216" t="s">
        <v>434</v>
      </c>
      <c r="I86" s="213">
        <v>3602</v>
      </c>
      <c r="J86" s="216" t="s">
        <v>1600</v>
      </c>
      <c r="K86" s="216" t="s">
        <v>403</v>
      </c>
      <c r="L86" s="217">
        <v>3602032</v>
      </c>
      <c r="M86" s="216" t="s">
        <v>441</v>
      </c>
      <c r="N86" s="217">
        <v>3602032</v>
      </c>
      <c r="O86" s="216" t="s">
        <v>441</v>
      </c>
      <c r="P86" s="74" t="s">
        <v>442</v>
      </c>
      <c r="Q86" s="311" t="s">
        <v>443</v>
      </c>
      <c r="R86" s="74">
        <v>360203201</v>
      </c>
      <c r="S86" s="311" t="s">
        <v>443</v>
      </c>
      <c r="T86" s="236" t="s">
        <v>1671</v>
      </c>
      <c r="U86" s="76">
        <v>14</v>
      </c>
      <c r="V86" s="76">
        <v>14</v>
      </c>
      <c r="W86" s="236" t="s">
        <v>438</v>
      </c>
      <c r="X86" s="216" t="s">
        <v>439</v>
      </c>
      <c r="Y86" s="216" t="s">
        <v>440</v>
      </c>
      <c r="Z86" s="289"/>
      <c r="AA86" s="289"/>
      <c r="AB86" s="289"/>
      <c r="AC86" s="289"/>
      <c r="AD86" s="289"/>
      <c r="AE86" s="289"/>
      <c r="AF86" s="289"/>
      <c r="AG86" s="289"/>
      <c r="AH86" s="289"/>
      <c r="AI86" s="289"/>
      <c r="AJ86" s="289"/>
      <c r="AK86" s="289"/>
      <c r="AL86" s="289"/>
      <c r="AM86" s="289"/>
      <c r="AN86" s="289"/>
      <c r="AO86" s="289"/>
      <c r="AP86" s="289"/>
      <c r="AQ86" s="289"/>
      <c r="AR86" s="289"/>
      <c r="AS86" s="289"/>
      <c r="AT86" s="289"/>
      <c r="AU86" s="289"/>
      <c r="AV86" s="289"/>
      <c r="AW86" s="289"/>
      <c r="AX86" s="289"/>
      <c r="AY86" s="289"/>
      <c r="AZ86" s="289"/>
      <c r="BA86" s="289"/>
      <c r="BB86" s="289"/>
      <c r="BC86" s="289"/>
      <c r="BD86" s="366">
        <f>60000000+31150000+27345000</f>
        <v>118495000</v>
      </c>
      <c r="BE86" s="294">
        <v>116697000</v>
      </c>
      <c r="BF86" s="294">
        <v>116697000</v>
      </c>
      <c r="BG86" s="289"/>
      <c r="BH86" s="289"/>
      <c r="BI86" s="289"/>
      <c r="BJ86" s="289"/>
      <c r="BK86" s="289"/>
      <c r="BL86" s="289"/>
      <c r="BM86" s="289"/>
      <c r="BN86" s="289"/>
      <c r="BO86" s="289"/>
      <c r="BP86" s="273">
        <f t="shared" si="23"/>
        <v>118495000</v>
      </c>
      <c r="BQ86" s="273">
        <f t="shared" si="23"/>
        <v>116697000</v>
      </c>
      <c r="BR86" s="273">
        <f t="shared" si="23"/>
        <v>116697000</v>
      </c>
      <c r="BS86" s="267" t="s">
        <v>1650</v>
      </c>
      <c r="BT86" s="233"/>
    </row>
    <row r="87" spans="1:72" s="27" customFormat="1" ht="81" customHeight="1" x14ac:dyDescent="0.2">
      <c r="A87" s="217">
        <v>311</v>
      </c>
      <c r="B87" s="216" t="s">
        <v>1623</v>
      </c>
      <c r="C87" s="213">
        <v>2</v>
      </c>
      <c r="D87" s="216" t="s">
        <v>1621</v>
      </c>
      <c r="E87" s="213">
        <v>36</v>
      </c>
      <c r="F87" s="213" t="s">
        <v>433</v>
      </c>
      <c r="G87" s="213">
        <v>3602</v>
      </c>
      <c r="H87" s="216" t="s">
        <v>434</v>
      </c>
      <c r="I87" s="213">
        <v>3602</v>
      </c>
      <c r="J87" s="216" t="s">
        <v>1600</v>
      </c>
      <c r="K87" s="216" t="s">
        <v>403</v>
      </c>
      <c r="L87" s="217">
        <v>3602029</v>
      </c>
      <c r="M87" s="216" t="s">
        <v>444</v>
      </c>
      <c r="N87" s="217">
        <v>3602029</v>
      </c>
      <c r="O87" s="216" t="s">
        <v>444</v>
      </c>
      <c r="P87" s="74" t="s">
        <v>445</v>
      </c>
      <c r="Q87" s="311" t="s">
        <v>446</v>
      </c>
      <c r="R87" s="74">
        <v>360202904</v>
      </c>
      <c r="S87" s="311" t="s">
        <v>446</v>
      </c>
      <c r="T87" s="236" t="s">
        <v>1673</v>
      </c>
      <c r="U87" s="76">
        <v>12</v>
      </c>
      <c r="V87" s="76">
        <v>12</v>
      </c>
      <c r="W87" s="236" t="s">
        <v>438</v>
      </c>
      <c r="X87" s="216" t="s">
        <v>439</v>
      </c>
      <c r="Y87" s="216" t="s">
        <v>440</v>
      </c>
      <c r="Z87" s="289"/>
      <c r="AA87" s="289"/>
      <c r="AB87" s="289"/>
      <c r="AC87" s="289"/>
      <c r="AD87" s="289"/>
      <c r="AE87" s="289"/>
      <c r="AF87" s="289"/>
      <c r="AG87" s="289"/>
      <c r="AH87" s="289"/>
      <c r="AI87" s="289"/>
      <c r="AJ87" s="289"/>
      <c r="AK87" s="289"/>
      <c r="AL87" s="289"/>
      <c r="AM87" s="289"/>
      <c r="AN87" s="289"/>
      <c r="AO87" s="289"/>
      <c r="AP87" s="289"/>
      <c r="AQ87" s="289"/>
      <c r="AR87" s="289"/>
      <c r="AS87" s="289"/>
      <c r="AT87" s="289"/>
      <c r="AU87" s="289"/>
      <c r="AV87" s="289"/>
      <c r="AW87" s="289"/>
      <c r="AX87" s="289"/>
      <c r="AY87" s="289"/>
      <c r="AZ87" s="289"/>
      <c r="BA87" s="289"/>
      <c r="BB87" s="289"/>
      <c r="BC87" s="289"/>
      <c r="BD87" s="234">
        <v>22500000</v>
      </c>
      <c r="BE87" s="294">
        <v>20000000</v>
      </c>
      <c r="BF87" s="294">
        <v>20000000</v>
      </c>
      <c r="BG87" s="289"/>
      <c r="BH87" s="289"/>
      <c r="BI87" s="289"/>
      <c r="BJ87" s="289"/>
      <c r="BK87" s="289"/>
      <c r="BL87" s="289"/>
      <c r="BM87" s="289"/>
      <c r="BN87" s="289"/>
      <c r="BO87" s="289"/>
      <c r="BP87" s="273">
        <f t="shared" si="23"/>
        <v>22500000</v>
      </c>
      <c r="BQ87" s="273">
        <f t="shared" si="23"/>
        <v>20000000</v>
      </c>
      <c r="BR87" s="273">
        <f t="shared" si="23"/>
        <v>20000000</v>
      </c>
      <c r="BS87" s="267" t="s">
        <v>1650</v>
      </c>
      <c r="BT87" s="233"/>
    </row>
    <row r="88" spans="1:72" s="27" customFormat="1" ht="78" customHeight="1" x14ac:dyDescent="0.2">
      <c r="A88" s="217">
        <v>311</v>
      </c>
      <c r="B88" s="216" t="s">
        <v>1623</v>
      </c>
      <c r="C88" s="213">
        <v>2</v>
      </c>
      <c r="D88" s="216" t="s">
        <v>1621</v>
      </c>
      <c r="E88" s="213">
        <v>36</v>
      </c>
      <c r="F88" s="213" t="s">
        <v>433</v>
      </c>
      <c r="G88" s="213">
        <v>3602</v>
      </c>
      <c r="H88" s="216" t="s">
        <v>434</v>
      </c>
      <c r="I88" s="213">
        <v>3602</v>
      </c>
      <c r="J88" s="216" t="s">
        <v>1600</v>
      </c>
      <c r="K88" s="216" t="s">
        <v>403</v>
      </c>
      <c r="L88" s="217">
        <v>3602030</v>
      </c>
      <c r="M88" s="216" t="s">
        <v>447</v>
      </c>
      <c r="N88" s="217">
        <v>3602030</v>
      </c>
      <c r="O88" s="216" t="s">
        <v>447</v>
      </c>
      <c r="P88" s="74" t="s">
        <v>448</v>
      </c>
      <c r="Q88" s="311" t="s">
        <v>449</v>
      </c>
      <c r="R88" s="74">
        <v>360203000</v>
      </c>
      <c r="S88" s="311" t="s">
        <v>449</v>
      </c>
      <c r="T88" s="236" t="s">
        <v>1673</v>
      </c>
      <c r="U88" s="76">
        <v>3</v>
      </c>
      <c r="V88" s="76">
        <v>3</v>
      </c>
      <c r="W88" s="236" t="s">
        <v>438</v>
      </c>
      <c r="X88" s="216" t="s">
        <v>439</v>
      </c>
      <c r="Y88" s="216" t="s">
        <v>440</v>
      </c>
      <c r="Z88" s="289"/>
      <c r="AA88" s="289"/>
      <c r="AB88" s="289"/>
      <c r="AC88" s="289"/>
      <c r="AD88" s="289"/>
      <c r="AE88" s="289"/>
      <c r="AF88" s="289"/>
      <c r="AG88" s="289"/>
      <c r="AH88" s="289"/>
      <c r="AI88" s="289"/>
      <c r="AJ88" s="289"/>
      <c r="AK88" s="289"/>
      <c r="AL88" s="289"/>
      <c r="AM88" s="289"/>
      <c r="AN88" s="289"/>
      <c r="AO88" s="289"/>
      <c r="AP88" s="289"/>
      <c r="AQ88" s="289"/>
      <c r="AR88" s="289"/>
      <c r="AS88" s="289"/>
      <c r="AT88" s="289"/>
      <c r="AU88" s="289"/>
      <c r="AV88" s="289"/>
      <c r="AW88" s="289"/>
      <c r="AX88" s="289"/>
      <c r="AY88" s="289"/>
      <c r="AZ88" s="289"/>
      <c r="BA88" s="289"/>
      <c r="BB88" s="289"/>
      <c r="BC88" s="289"/>
      <c r="BD88" s="234">
        <f>35000000-7150000</f>
        <v>27850000</v>
      </c>
      <c r="BE88" s="294">
        <v>21165451</v>
      </c>
      <c r="BF88" s="294">
        <v>21165451</v>
      </c>
      <c r="BG88" s="289"/>
      <c r="BH88" s="289"/>
      <c r="BI88" s="289"/>
      <c r="BJ88" s="289"/>
      <c r="BK88" s="289"/>
      <c r="BL88" s="289"/>
      <c r="BM88" s="289"/>
      <c r="BN88" s="289"/>
      <c r="BO88" s="289"/>
      <c r="BP88" s="273">
        <f t="shared" si="23"/>
        <v>27850000</v>
      </c>
      <c r="BQ88" s="273">
        <f t="shared" si="23"/>
        <v>21165451</v>
      </c>
      <c r="BR88" s="273">
        <f t="shared" si="23"/>
        <v>21165451</v>
      </c>
      <c r="BS88" s="267" t="s">
        <v>1650</v>
      </c>
      <c r="BT88" s="233"/>
    </row>
    <row r="89" spans="1:72" s="27" customFormat="1" ht="88.5" customHeight="1" x14ac:dyDescent="0.2">
      <c r="A89" s="217">
        <v>312</v>
      </c>
      <c r="B89" s="216" t="s">
        <v>1622</v>
      </c>
      <c r="C89" s="213">
        <v>2</v>
      </c>
      <c r="D89" s="216" t="s">
        <v>1621</v>
      </c>
      <c r="E89" s="213">
        <v>17</v>
      </c>
      <c r="F89" s="216" t="s">
        <v>451</v>
      </c>
      <c r="G89" s="213">
        <v>1702</v>
      </c>
      <c r="H89" s="216" t="s">
        <v>452</v>
      </c>
      <c r="I89" s="213">
        <v>1702</v>
      </c>
      <c r="J89" s="216" t="s">
        <v>1575</v>
      </c>
      <c r="K89" s="216" t="s">
        <v>453</v>
      </c>
      <c r="L89" s="304">
        <v>1702011</v>
      </c>
      <c r="M89" s="216" t="s">
        <v>454</v>
      </c>
      <c r="N89" s="304">
        <v>1702011</v>
      </c>
      <c r="O89" s="216" t="s">
        <v>454</v>
      </c>
      <c r="P89" s="213" t="s">
        <v>455</v>
      </c>
      <c r="Q89" s="216" t="s">
        <v>456</v>
      </c>
      <c r="R89" s="213">
        <v>170201100</v>
      </c>
      <c r="S89" s="216" t="s">
        <v>456</v>
      </c>
      <c r="T89" s="236" t="s">
        <v>1671</v>
      </c>
      <c r="U89" s="76">
        <v>30</v>
      </c>
      <c r="V89" s="76">
        <v>30</v>
      </c>
      <c r="W89" s="236" t="s">
        <v>457</v>
      </c>
      <c r="X89" s="216" t="s">
        <v>458</v>
      </c>
      <c r="Y89" s="216" t="s">
        <v>459</v>
      </c>
      <c r="Z89" s="289"/>
      <c r="AA89" s="289"/>
      <c r="AB89" s="289"/>
      <c r="AC89" s="289"/>
      <c r="AD89" s="289"/>
      <c r="AE89" s="289"/>
      <c r="AF89" s="289"/>
      <c r="AG89" s="289"/>
      <c r="AH89" s="289"/>
      <c r="AI89" s="289"/>
      <c r="AJ89" s="289"/>
      <c r="AK89" s="289"/>
      <c r="AL89" s="289"/>
      <c r="AM89" s="289"/>
      <c r="AN89" s="289"/>
      <c r="AO89" s="289"/>
      <c r="AP89" s="289"/>
      <c r="AQ89" s="289"/>
      <c r="AR89" s="289"/>
      <c r="AS89" s="289"/>
      <c r="AT89" s="289"/>
      <c r="AU89" s="289"/>
      <c r="AV89" s="289"/>
      <c r="AW89" s="289"/>
      <c r="AX89" s="289"/>
      <c r="AY89" s="289"/>
      <c r="AZ89" s="289"/>
      <c r="BA89" s="289"/>
      <c r="BB89" s="289"/>
      <c r="BC89" s="289"/>
      <c r="BD89" s="235">
        <v>226000000</v>
      </c>
      <c r="BE89" s="235">
        <v>159728324</v>
      </c>
      <c r="BF89" s="235">
        <v>159728324</v>
      </c>
      <c r="BG89" s="336"/>
      <c r="BH89" s="336"/>
      <c r="BI89" s="336"/>
      <c r="BJ89" s="336"/>
      <c r="BK89" s="336"/>
      <c r="BL89" s="336"/>
      <c r="BM89" s="336"/>
      <c r="BN89" s="336"/>
      <c r="BO89" s="336"/>
      <c r="BP89" s="273">
        <f t="shared" ref="BP89:BP105" si="24">+Z89+AC89+AF89+AI89+AL89+AO89+AR89+AU89+AX89+BA89+BD89+BG89+BJ89</f>
        <v>226000000</v>
      </c>
      <c r="BQ89" s="273">
        <f t="shared" ref="BQ89:BQ99" si="25">+AA89+AD89+AG89+AJ89+AM89+AP89+AS89+AV89+AY89+BB89+BE89+BH89+BK89</f>
        <v>159728324</v>
      </c>
      <c r="BR89" s="273">
        <f t="shared" ref="BR89:BR99" si="26">+AB89+AE89+AH89+AK89+AN89+AQ89+AT89+AW89+AZ89+BC89+BF89+BI89+BL89</f>
        <v>159728324</v>
      </c>
      <c r="BS89" s="247" t="s">
        <v>1651</v>
      </c>
      <c r="BT89" s="233"/>
    </row>
    <row r="90" spans="1:72" s="27" customFormat="1" ht="86.25" customHeight="1" x14ac:dyDescent="0.2">
      <c r="A90" s="217">
        <v>312</v>
      </c>
      <c r="B90" s="216" t="s">
        <v>1622</v>
      </c>
      <c r="C90" s="213">
        <v>2</v>
      </c>
      <c r="D90" s="216" t="s">
        <v>1621</v>
      </c>
      <c r="E90" s="213">
        <v>17</v>
      </c>
      <c r="F90" s="216" t="s">
        <v>451</v>
      </c>
      <c r="G90" s="213">
        <v>1702</v>
      </c>
      <c r="H90" s="216" t="s">
        <v>452</v>
      </c>
      <c r="I90" s="213">
        <v>1702</v>
      </c>
      <c r="J90" s="216" t="s">
        <v>1575</v>
      </c>
      <c r="K90" s="216" t="s">
        <v>453</v>
      </c>
      <c r="L90" s="304">
        <v>1702007</v>
      </c>
      <c r="M90" s="216" t="s">
        <v>460</v>
      </c>
      <c r="N90" s="304">
        <v>1702007</v>
      </c>
      <c r="O90" s="216" t="s">
        <v>460</v>
      </c>
      <c r="P90" s="74" t="s">
        <v>461</v>
      </c>
      <c r="Q90" s="216" t="s">
        <v>462</v>
      </c>
      <c r="R90" s="74" t="s">
        <v>461</v>
      </c>
      <c r="S90" s="216" t="s">
        <v>462</v>
      </c>
      <c r="T90" s="236" t="s">
        <v>1673</v>
      </c>
      <c r="U90" s="76">
        <f>4+2</f>
        <v>6</v>
      </c>
      <c r="V90" s="76">
        <v>0</v>
      </c>
      <c r="W90" s="236" t="s">
        <v>457</v>
      </c>
      <c r="X90" s="216" t="s">
        <v>458</v>
      </c>
      <c r="Y90" s="216" t="s">
        <v>459</v>
      </c>
      <c r="Z90" s="337"/>
      <c r="AA90" s="337"/>
      <c r="AB90" s="337"/>
      <c r="AC90" s="337"/>
      <c r="AD90" s="337"/>
      <c r="AE90" s="337"/>
      <c r="AF90" s="337"/>
      <c r="AG90" s="337"/>
      <c r="AH90" s="337"/>
      <c r="AI90" s="337"/>
      <c r="AJ90" s="337"/>
      <c r="AK90" s="337"/>
      <c r="AL90" s="337"/>
      <c r="AM90" s="337"/>
      <c r="AN90" s="337"/>
      <c r="AO90" s="337"/>
      <c r="AP90" s="337"/>
      <c r="AQ90" s="337"/>
      <c r="AR90" s="337"/>
      <c r="AS90" s="337"/>
      <c r="AT90" s="337"/>
      <c r="AU90" s="337"/>
      <c r="AV90" s="337"/>
      <c r="AW90" s="337"/>
      <c r="AX90" s="337"/>
      <c r="AY90" s="337"/>
      <c r="AZ90" s="337"/>
      <c r="BA90" s="337"/>
      <c r="BB90" s="337"/>
      <c r="BC90" s="337"/>
      <c r="BD90" s="235">
        <v>123000000</v>
      </c>
      <c r="BE90" s="235">
        <v>0</v>
      </c>
      <c r="BF90" s="235"/>
      <c r="BG90" s="336"/>
      <c r="BH90" s="336"/>
      <c r="BI90" s="336"/>
      <c r="BJ90" s="336"/>
      <c r="BK90" s="336"/>
      <c r="BL90" s="336"/>
      <c r="BM90" s="336"/>
      <c r="BN90" s="336"/>
      <c r="BO90" s="336"/>
      <c r="BP90" s="273">
        <f t="shared" si="24"/>
        <v>123000000</v>
      </c>
      <c r="BQ90" s="273">
        <f t="shared" si="25"/>
        <v>0</v>
      </c>
      <c r="BR90" s="273">
        <f t="shared" si="26"/>
        <v>0</v>
      </c>
      <c r="BS90" s="247" t="s">
        <v>1651</v>
      </c>
      <c r="BT90" s="233"/>
    </row>
    <row r="91" spans="1:72" s="27" customFormat="1" ht="84.75" customHeight="1" x14ac:dyDescent="0.2">
      <c r="A91" s="217">
        <v>312</v>
      </c>
      <c r="B91" s="216" t="s">
        <v>1622</v>
      </c>
      <c r="C91" s="213">
        <v>2</v>
      </c>
      <c r="D91" s="216" t="s">
        <v>1621</v>
      </c>
      <c r="E91" s="213">
        <v>17</v>
      </c>
      <c r="F91" s="216" t="s">
        <v>451</v>
      </c>
      <c r="G91" s="213">
        <v>1702</v>
      </c>
      <c r="H91" s="216" t="s">
        <v>452</v>
      </c>
      <c r="I91" s="213">
        <v>1702</v>
      </c>
      <c r="J91" s="216" t="s">
        <v>1575</v>
      </c>
      <c r="K91" s="216" t="s">
        <v>453</v>
      </c>
      <c r="L91" s="304">
        <v>1702009</v>
      </c>
      <c r="M91" s="216" t="s">
        <v>463</v>
      </c>
      <c r="N91" s="304">
        <v>1702009</v>
      </c>
      <c r="O91" s="216" t="s">
        <v>463</v>
      </c>
      <c r="P91" s="74" t="s">
        <v>464</v>
      </c>
      <c r="Q91" s="311" t="s">
        <v>465</v>
      </c>
      <c r="R91" s="74" t="s">
        <v>464</v>
      </c>
      <c r="S91" s="311" t="s">
        <v>465</v>
      </c>
      <c r="T91" s="236" t="s">
        <v>1673</v>
      </c>
      <c r="U91" s="76">
        <v>168</v>
      </c>
      <c r="V91" s="76">
        <v>202</v>
      </c>
      <c r="W91" s="236" t="s">
        <v>457</v>
      </c>
      <c r="X91" s="216" t="s">
        <v>458</v>
      </c>
      <c r="Y91" s="216" t="s">
        <v>459</v>
      </c>
      <c r="Z91" s="337"/>
      <c r="AA91" s="337"/>
      <c r="AB91" s="337"/>
      <c r="AC91" s="337"/>
      <c r="AD91" s="337"/>
      <c r="AE91" s="337"/>
      <c r="AF91" s="337"/>
      <c r="AG91" s="337"/>
      <c r="AH91" s="337"/>
      <c r="AI91" s="337"/>
      <c r="AJ91" s="337"/>
      <c r="AK91" s="337"/>
      <c r="AL91" s="337"/>
      <c r="AM91" s="337"/>
      <c r="AN91" s="337"/>
      <c r="AO91" s="337"/>
      <c r="AP91" s="337"/>
      <c r="AQ91" s="337"/>
      <c r="AR91" s="337"/>
      <c r="AS91" s="337"/>
      <c r="AT91" s="337"/>
      <c r="AU91" s="337"/>
      <c r="AV91" s="337"/>
      <c r="AW91" s="337"/>
      <c r="AX91" s="337"/>
      <c r="AY91" s="337"/>
      <c r="AZ91" s="337"/>
      <c r="BA91" s="337"/>
      <c r="BB91" s="337"/>
      <c r="BC91" s="337"/>
      <c r="BD91" s="235">
        <v>90000000</v>
      </c>
      <c r="BE91" s="235">
        <v>50000000</v>
      </c>
      <c r="BF91" s="235">
        <v>50000000</v>
      </c>
      <c r="BG91" s="336"/>
      <c r="BH91" s="336"/>
      <c r="BI91" s="336"/>
      <c r="BJ91" s="336"/>
      <c r="BK91" s="336"/>
      <c r="BL91" s="336"/>
      <c r="BM91" s="235">
        <v>300000000</v>
      </c>
      <c r="BN91" s="290">
        <v>300000000</v>
      </c>
      <c r="BO91" s="290">
        <v>300000000</v>
      </c>
      <c r="BP91" s="273">
        <f>+Z91+AC91+AF91+AI91+AL91+AO91+AR91+AU91+AX91+BA91+BD91+BG91+BJ91+BM91</f>
        <v>390000000</v>
      </c>
      <c r="BQ91" s="273">
        <f>+AA91+AD91+AG91+AJ91+AM91+AP91+AS91+AV91+AY91+BB91+BE91+BH91+BK91+BN91</f>
        <v>350000000</v>
      </c>
      <c r="BR91" s="273">
        <f>+AB91+AE91+AH91+AK91+AN91+AQ91+AT91+AW91+AZ91+BC91+BF91+BI91+BL91+BO91</f>
        <v>350000000</v>
      </c>
      <c r="BS91" s="247" t="s">
        <v>1651</v>
      </c>
      <c r="BT91" s="233"/>
    </row>
    <row r="92" spans="1:72" s="27" customFormat="1" ht="156.75" customHeight="1" x14ac:dyDescent="0.2">
      <c r="A92" s="217">
        <v>312</v>
      </c>
      <c r="B92" s="216" t="s">
        <v>1622</v>
      </c>
      <c r="C92" s="213">
        <v>2</v>
      </c>
      <c r="D92" s="216" t="s">
        <v>1621</v>
      </c>
      <c r="E92" s="213">
        <v>17</v>
      </c>
      <c r="F92" s="216" t="s">
        <v>451</v>
      </c>
      <c r="G92" s="213">
        <v>1702</v>
      </c>
      <c r="H92" s="216" t="s">
        <v>452</v>
      </c>
      <c r="I92" s="213">
        <v>1702</v>
      </c>
      <c r="J92" s="216" t="s">
        <v>1575</v>
      </c>
      <c r="K92" s="216" t="s">
        <v>453</v>
      </c>
      <c r="L92" s="338">
        <v>1702017</v>
      </c>
      <c r="M92" s="216" t="s">
        <v>466</v>
      </c>
      <c r="N92" s="338">
        <v>1702017</v>
      </c>
      <c r="O92" s="216" t="s">
        <v>466</v>
      </c>
      <c r="P92" s="74" t="s">
        <v>467</v>
      </c>
      <c r="Q92" s="216" t="s">
        <v>468</v>
      </c>
      <c r="R92" s="74" t="s">
        <v>467</v>
      </c>
      <c r="S92" s="216" t="s">
        <v>468</v>
      </c>
      <c r="T92" s="236" t="s">
        <v>1673</v>
      </c>
      <c r="U92" s="76">
        <f>750+10</f>
        <v>760</v>
      </c>
      <c r="V92" s="76">
        <v>760</v>
      </c>
      <c r="W92" s="236" t="s">
        <v>469</v>
      </c>
      <c r="X92" s="216" t="s">
        <v>470</v>
      </c>
      <c r="Y92" s="216" t="s">
        <v>471</v>
      </c>
      <c r="Z92" s="337"/>
      <c r="AA92" s="337"/>
      <c r="AB92" s="337"/>
      <c r="AC92" s="337"/>
      <c r="AD92" s="337"/>
      <c r="AE92" s="337"/>
      <c r="AF92" s="337"/>
      <c r="AG92" s="337"/>
      <c r="AH92" s="337"/>
      <c r="AI92" s="337"/>
      <c r="AJ92" s="337"/>
      <c r="AK92" s="337"/>
      <c r="AL92" s="337"/>
      <c r="AM92" s="337"/>
      <c r="AN92" s="337"/>
      <c r="AO92" s="337"/>
      <c r="AP92" s="337"/>
      <c r="AQ92" s="337"/>
      <c r="AR92" s="337"/>
      <c r="AS92" s="337"/>
      <c r="AT92" s="337"/>
      <c r="AU92" s="337"/>
      <c r="AV92" s="337"/>
      <c r="AW92" s="337"/>
      <c r="AX92" s="337"/>
      <c r="AY92" s="337"/>
      <c r="AZ92" s="337"/>
      <c r="BA92" s="337"/>
      <c r="BB92" s="337"/>
      <c r="BC92" s="337"/>
      <c r="BD92" s="235">
        <v>465052526.97000003</v>
      </c>
      <c r="BE92" s="235">
        <v>388229666</v>
      </c>
      <c r="BF92" s="235">
        <v>388229666</v>
      </c>
      <c r="BG92" s="336"/>
      <c r="BH92" s="336"/>
      <c r="BI92" s="336"/>
      <c r="BJ92" s="336"/>
      <c r="BK92" s="336"/>
      <c r="BL92" s="336"/>
      <c r="BM92" s="336"/>
      <c r="BN92" s="336"/>
      <c r="BO92" s="336"/>
      <c r="BP92" s="273">
        <f t="shared" si="24"/>
        <v>465052526.97000003</v>
      </c>
      <c r="BQ92" s="273">
        <f t="shared" si="25"/>
        <v>388229666</v>
      </c>
      <c r="BR92" s="273">
        <f t="shared" si="26"/>
        <v>388229666</v>
      </c>
      <c r="BS92" s="247" t="s">
        <v>1651</v>
      </c>
      <c r="BT92" s="233"/>
    </row>
    <row r="93" spans="1:72" s="27" customFormat="1" ht="141" customHeight="1" x14ac:dyDescent="0.2">
      <c r="A93" s="217">
        <v>312</v>
      </c>
      <c r="B93" s="216" t="s">
        <v>1622</v>
      </c>
      <c r="C93" s="213">
        <v>2</v>
      </c>
      <c r="D93" s="216" t="s">
        <v>1621</v>
      </c>
      <c r="E93" s="213">
        <v>17</v>
      </c>
      <c r="F93" s="216" t="s">
        <v>451</v>
      </c>
      <c r="G93" s="213">
        <v>1702</v>
      </c>
      <c r="H93" s="216" t="s">
        <v>452</v>
      </c>
      <c r="I93" s="213">
        <v>1702</v>
      </c>
      <c r="J93" s="216" t="s">
        <v>1575</v>
      </c>
      <c r="K93" s="216" t="s">
        <v>453</v>
      </c>
      <c r="L93" s="304">
        <v>1702014</v>
      </c>
      <c r="M93" s="216" t="s">
        <v>472</v>
      </c>
      <c r="N93" s="304">
        <v>1702014</v>
      </c>
      <c r="O93" s="216" t="s">
        <v>472</v>
      </c>
      <c r="P93" s="74" t="s">
        <v>473</v>
      </c>
      <c r="Q93" s="311" t="s">
        <v>474</v>
      </c>
      <c r="R93" s="74" t="s">
        <v>473</v>
      </c>
      <c r="S93" s="311" t="s">
        <v>474</v>
      </c>
      <c r="T93" s="236" t="s">
        <v>1673</v>
      </c>
      <c r="U93" s="76">
        <f>25+25</f>
        <v>50</v>
      </c>
      <c r="V93" s="76">
        <v>50</v>
      </c>
      <c r="W93" s="236" t="s">
        <v>469</v>
      </c>
      <c r="X93" s="216" t="s">
        <v>470</v>
      </c>
      <c r="Y93" s="216" t="s">
        <v>471</v>
      </c>
      <c r="Z93" s="337"/>
      <c r="AA93" s="337"/>
      <c r="AB93" s="337"/>
      <c r="AC93" s="337"/>
      <c r="AD93" s="337"/>
      <c r="AE93" s="337"/>
      <c r="AF93" s="337"/>
      <c r="AG93" s="337"/>
      <c r="AH93" s="337"/>
      <c r="AI93" s="337"/>
      <c r="AJ93" s="337"/>
      <c r="AK93" s="337"/>
      <c r="AL93" s="337"/>
      <c r="AM93" s="337"/>
      <c r="AN93" s="337"/>
      <c r="AO93" s="337"/>
      <c r="AP93" s="337"/>
      <c r="AQ93" s="337"/>
      <c r="AR93" s="337"/>
      <c r="AS93" s="337"/>
      <c r="AT93" s="337"/>
      <c r="AU93" s="337"/>
      <c r="AV93" s="337"/>
      <c r="AW93" s="337"/>
      <c r="AX93" s="337"/>
      <c r="AY93" s="337"/>
      <c r="AZ93" s="337"/>
      <c r="BA93" s="337"/>
      <c r="BB93" s="337"/>
      <c r="BC93" s="337"/>
      <c r="BD93" s="235">
        <v>45000000</v>
      </c>
      <c r="BE93" s="235">
        <v>0</v>
      </c>
      <c r="BF93" s="235">
        <v>0</v>
      </c>
      <c r="BG93" s="336"/>
      <c r="BH93" s="336"/>
      <c r="BI93" s="336"/>
      <c r="BJ93" s="336"/>
      <c r="BK93" s="336"/>
      <c r="BL93" s="336"/>
      <c r="BM93" s="336"/>
      <c r="BN93" s="336"/>
      <c r="BO93" s="336"/>
      <c r="BP93" s="273">
        <f t="shared" si="24"/>
        <v>45000000</v>
      </c>
      <c r="BQ93" s="273">
        <f t="shared" si="25"/>
        <v>0</v>
      </c>
      <c r="BR93" s="273">
        <f t="shared" si="26"/>
        <v>0</v>
      </c>
      <c r="BS93" s="247" t="s">
        <v>1651</v>
      </c>
      <c r="BT93" s="233"/>
    </row>
    <row r="94" spans="1:72" s="27" customFormat="1" ht="147" customHeight="1" x14ac:dyDescent="0.2">
      <c r="A94" s="217">
        <v>312</v>
      </c>
      <c r="B94" s="216" t="s">
        <v>1622</v>
      </c>
      <c r="C94" s="213">
        <v>2</v>
      </c>
      <c r="D94" s="216" t="s">
        <v>1621</v>
      </c>
      <c r="E94" s="213">
        <v>17</v>
      </c>
      <c r="F94" s="216" t="s">
        <v>451</v>
      </c>
      <c r="G94" s="213">
        <v>1702</v>
      </c>
      <c r="H94" s="216" t="s">
        <v>452</v>
      </c>
      <c r="I94" s="213">
        <v>1702</v>
      </c>
      <c r="J94" s="216" t="s">
        <v>1575</v>
      </c>
      <c r="K94" s="216" t="s">
        <v>453</v>
      </c>
      <c r="L94" s="304">
        <v>1702021</v>
      </c>
      <c r="M94" s="216" t="s">
        <v>475</v>
      </c>
      <c r="N94" s="304">
        <v>1702021</v>
      </c>
      <c r="O94" s="216" t="s">
        <v>475</v>
      </c>
      <c r="P94" s="74" t="s">
        <v>476</v>
      </c>
      <c r="Q94" s="311" t="s">
        <v>477</v>
      </c>
      <c r="R94" s="74">
        <v>170202100</v>
      </c>
      <c r="S94" s="311" t="s">
        <v>477</v>
      </c>
      <c r="T94" s="236" t="s">
        <v>1673</v>
      </c>
      <c r="U94" s="76">
        <f>150+50</f>
        <v>200</v>
      </c>
      <c r="V94" s="76">
        <v>225</v>
      </c>
      <c r="W94" s="236" t="s">
        <v>469</v>
      </c>
      <c r="X94" s="216" t="s">
        <v>470</v>
      </c>
      <c r="Y94" s="216" t="s">
        <v>471</v>
      </c>
      <c r="Z94" s="337"/>
      <c r="AA94" s="337"/>
      <c r="AB94" s="337"/>
      <c r="AC94" s="337"/>
      <c r="AD94" s="337"/>
      <c r="AE94" s="337"/>
      <c r="AF94" s="337"/>
      <c r="AG94" s="337"/>
      <c r="AH94" s="337"/>
      <c r="AI94" s="337"/>
      <c r="AJ94" s="337"/>
      <c r="AK94" s="337"/>
      <c r="AL94" s="337"/>
      <c r="AM94" s="337"/>
      <c r="AN94" s="337"/>
      <c r="AO94" s="337"/>
      <c r="AP94" s="337"/>
      <c r="AQ94" s="337"/>
      <c r="AR94" s="337"/>
      <c r="AS94" s="337"/>
      <c r="AT94" s="337"/>
      <c r="AU94" s="337"/>
      <c r="AV94" s="337"/>
      <c r="AW94" s="337"/>
      <c r="AX94" s="337"/>
      <c r="AY94" s="337"/>
      <c r="AZ94" s="337"/>
      <c r="BA94" s="337"/>
      <c r="BB94" s="337"/>
      <c r="BC94" s="337"/>
      <c r="BD94" s="235">
        <v>20000000</v>
      </c>
      <c r="BE94" s="235">
        <v>11651333</v>
      </c>
      <c r="BF94" s="235">
        <v>11651333</v>
      </c>
      <c r="BG94" s="336"/>
      <c r="BH94" s="336"/>
      <c r="BI94" s="336"/>
      <c r="BJ94" s="336"/>
      <c r="BK94" s="336"/>
      <c r="BL94" s="336"/>
      <c r="BM94" s="336"/>
      <c r="BN94" s="336"/>
      <c r="BO94" s="336"/>
      <c r="BP94" s="273">
        <f t="shared" si="24"/>
        <v>20000000</v>
      </c>
      <c r="BQ94" s="273">
        <f t="shared" si="25"/>
        <v>11651333</v>
      </c>
      <c r="BR94" s="273">
        <f t="shared" si="26"/>
        <v>11651333</v>
      </c>
      <c r="BS94" s="247" t="s">
        <v>1651</v>
      </c>
      <c r="BT94" s="233"/>
    </row>
    <row r="95" spans="1:72" s="27" customFormat="1" ht="125.25" customHeight="1" x14ac:dyDescent="0.2">
      <c r="A95" s="217">
        <v>312</v>
      </c>
      <c r="B95" s="216" t="s">
        <v>1622</v>
      </c>
      <c r="C95" s="213">
        <v>2</v>
      </c>
      <c r="D95" s="216" t="s">
        <v>1621</v>
      </c>
      <c r="E95" s="213">
        <v>17</v>
      </c>
      <c r="F95" s="216" t="s">
        <v>451</v>
      </c>
      <c r="G95" s="213">
        <v>1702</v>
      </c>
      <c r="H95" s="216" t="s">
        <v>452</v>
      </c>
      <c r="I95" s="213">
        <v>1702</v>
      </c>
      <c r="J95" s="216" t="s">
        <v>1575</v>
      </c>
      <c r="K95" s="216" t="s">
        <v>453</v>
      </c>
      <c r="L95" s="304">
        <v>1702038</v>
      </c>
      <c r="M95" s="216" t="s">
        <v>478</v>
      </c>
      <c r="N95" s="304">
        <v>1702038</v>
      </c>
      <c r="O95" s="216" t="s">
        <v>478</v>
      </c>
      <c r="P95" s="213" t="s">
        <v>479</v>
      </c>
      <c r="Q95" s="216" t="s">
        <v>480</v>
      </c>
      <c r="R95" s="213" t="s">
        <v>479</v>
      </c>
      <c r="S95" s="216" t="s">
        <v>480</v>
      </c>
      <c r="T95" s="236" t="s">
        <v>1671</v>
      </c>
      <c r="U95" s="76">
        <v>30</v>
      </c>
      <c r="V95" s="76">
        <v>30</v>
      </c>
      <c r="W95" s="236" t="s">
        <v>481</v>
      </c>
      <c r="X95" s="296" t="s">
        <v>482</v>
      </c>
      <c r="Y95" s="216" t="s">
        <v>483</v>
      </c>
      <c r="Z95" s="337"/>
      <c r="AA95" s="337"/>
      <c r="AB95" s="337"/>
      <c r="AC95" s="337"/>
      <c r="AD95" s="337"/>
      <c r="AE95" s="337"/>
      <c r="AF95" s="337"/>
      <c r="AG95" s="337"/>
      <c r="AH95" s="337"/>
      <c r="AI95" s="337"/>
      <c r="AJ95" s="337"/>
      <c r="AK95" s="337"/>
      <c r="AL95" s="337"/>
      <c r="AM95" s="337"/>
      <c r="AN95" s="337"/>
      <c r="AO95" s="337"/>
      <c r="AP95" s="337"/>
      <c r="AQ95" s="337"/>
      <c r="AR95" s="337"/>
      <c r="AS95" s="337"/>
      <c r="AT95" s="337"/>
      <c r="AU95" s="337"/>
      <c r="AV95" s="337"/>
      <c r="AW95" s="337"/>
      <c r="AX95" s="337"/>
      <c r="AY95" s="337"/>
      <c r="AZ95" s="337"/>
      <c r="BA95" s="337"/>
      <c r="BB95" s="337"/>
      <c r="BC95" s="337"/>
      <c r="BD95" s="235">
        <v>65000000</v>
      </c>
      <c r="BE95" s="235">
        <v>65000000</v>
      </c>
      <c r="BF95" s="235">
        <v>65000000</v>
      </c>
      <c r="BG95" s="266"/>
      <c r="BH95" s="336"/>
      <c r="BI95" s="336"/>
      <c r="BJ95" s="336"/>
      <c r="BK95" s="336"/>
      <c r="BL95" s="336"/>
      <c r="BM95" s="557">
        <v>105606585.66</v>
      </c>
      <c r="BN95" s="235"/>
      <c r="BO95" s="235">
        <v>0</v>
      </c>
      <c r="BP95" s="273">
        <f>+Z95+AC95+AF95+AI95+AL95+AO95+AR95+AU95+AX95+BA95+BD95+BG95+BJ95+BM95</f>
        <v>170606585.66</v>
      </c>
      <c r="BQ95" s="273">
        <f>+AA95+AD95+AG95+AJ95+AM95+AP95+AS95+AV95+AY95+BB95+BE95+BH95+BK95+BN95</f>
        <v>65000000</v>
      </c>
      <c r="BR95" s="273">
        <f>+AB95+AE95+AH95+AK95+AN95+AQ95+AT95+AW95+AZ95+BC95+BF95+BI95+BL95+BO95</f>
        <v>65000000</v>
      </c>
      <c r="BS95" s="247" t="s">
        <v>1651</v>
      </c>
      <c r="BT95" s="233"/>
    </row>
    <row r="96" spans="1:72" s="27" customFormat="1" ht="120" customHeight="1" x14ac:dyDescent="0.2">
      <c r="A96" s="217">
        <v>312</v>
      </c>
      <c r="B96" s="216" t="s">
        <v>1622</v>
      </c>
      <c r="C96" s="213">
        <v>2</v>
      </c>
      <c r="D96" s="216" t="s">
        <v>1621</v>
      </c>
      <c r="E96" s="213">
        <v>17</v>
      </c>
      <c r="F96" s="216" t="s">
        <v>451</v>
      </c>
      <c r="G96" s="213">
        <v>1702</v>
      </c>
      <c r="H96" s="214" t="s">
        <v>452</v>
      </c>
      <c r="I96" s="213">
        <v>1702</v>
      </c>
      <c r="J96" s="214" t="s">
        <v>1575</v>
      </c>
      <c r="K96" s="216" t="s">
        <v>453</v>
      </c>
      <c r="L96" s="304">
        <v>1702038</v>
      </c>
      <c r="M96" s="216" t="s">
        <v>478</v>
      </c>
      <c r="N96" s="304">
        <v>1702038</v>
      </c>
      <c r="O96" s="216" t="s">
        <v>478</v>
      </c>
      <c r="P96" s="213" t="s">
        <v>484</v>
      </c>
      <c r="Q96" s="216" t="s">
        <v>485</v>
      </c>
      <c r="R96" s="213" t="s">
        <v>484</v>
      </c>
      <c r="S96" s="216" t="s">
        <v>485</v>
      </c>
      <c r="T96" s="236" t="s">
        <v>1673</v>
      </c>
      <c r="U96" s="76">
        <f>80+10</f>
        <v>90</v>
      </c>
      <c r="V96" s="76">
        <v>90</v>
      </c>
      <c r="W96" s="236" t="s">
        <v>481</v>
      </c>
      <c r="X96" s="296" t="s">
        <v>482</v>
      </c>
      <c r="Y96" s="216" t="s">
        <v>483</v>
      </c>
      <c r="Z96" s="337"/>
      <c r="AA96" s="337"/>
      <c r="AB96" s="337"/>
      <c r="AC96" s="337"/>
      <c r="AD96" s="337"/>
      <c r="AE96" s="337"/>
      <c r="AF96" s="337"/>
      <c r="AG96" s="337"/>
      <c r="AH96" s="337"/>
      <c r="AI96" s="337"/>
      <c r="AJ96" s="337"/>
      <c r="AK96" s="337"/>
      <c r="AL96" s="337"/>
      <c r="AM96" s="337"/>
      <c r="AN96" s="337"/>
      <c r="AO96" s="337"/>
      <c r="AP96" s="337"/>
      <c r="AQ96" s="337"/>
      <c r="AR96" s="337"/>
      <c r="AS96" s="337"/>
      <c r="AT96" s="337"/>
      <c r="AU96" s="337"/>
      <c r="AV96" s="337"/>
      <c r="AW96" s="337"/>
      <c r="AX96" s="337"/>
      <c r="AY96" s="337"/>
      <c r="AZ96" s="337"/>
      <c r="BA96" s="337"/>
      <c r="BB96" s="337"/>
      <c r="BC96" s="337"/>
      <c r="BD96" s="235">
        <v>18000000</v>
      </c>
      <c r="BE96" s="235">
        <v>13670000</v>
      </c>
      <c r="BF96" s="235">
        <v>13670000</v>
      </c>
      <c r="BG96" s="336"/>
      <c r="BH96" s="336"/>
      <c r="BI96" s="336"/>
      <c r="BJ96" s="336"/>
      <c r="BK96" s="336"/>
      <c r="BL96" s="336"/>
      <c r="BM96" s="336"/>
      <c r="BN96" s="336"/>
      <c r="BO96" s="336"/>
      <c r="BP96" s="273">
        <f t="shared" si="24"/>
        <v>18000000</v>
      </c>
      <c r="BQ96" s="273">
        <f t="shared" si="25"/>
        <v>13670000</v>
      </c>
      <c r="BR96" s="273">
        <f t="shared" si="26"/>
        <v>13670000</v>
      </c>
      <c r="BS96" s="247" t="s">
        <v>1651</v>
      </c>
      <c r="BT96" s="233"/>
    </row>
    <row r="97" spans="1:72" s="27" customFormat="1" ht="115.5" customHeight="1" x14ac:dyDescent="0.2">
      <c r="A97" s="217">
        <v>312</v>
      </c>
      <c r="B97" s="216" t="s">
        <v>1622</v>
      </c>
      <c r="C97" s="213">
        <v>2</v>
      </c>
      <c r="D97" s="216" t="s">
        <v>1621</v>
      </c>
      <c r="E97" s="213">
        <v>17</v>
      </c>
      <c r="F97" s="216" t="s">
        <v>451</v>
      </c>
      <c r="G97" s="213">
        <v>1702</v>
      </c>
      <c r="H97" s="216" t="s">
        <v>452</v>
      </c>
      <c r="I97" s="213">
        <v>1702</v>
      </c>
      <c r="J97" s="216" t="s">
        <v>1575</v>
      </c>
      <c r="K97" s="216" t="s">
        <v>453</v>
      </c>
      <c r="L97" s="304">
        <v>1702023</v>
      </c>
      <c r="M97" s="216" t="s">
        <v>233</v>
      </c>
      <c r="N97" s="304">
        <v>1702023</v>
      </c>
      <c r="O97" s="216" t="s">
        <v>233</v>
      </c>
      <c r="P97" s="213" t="s">
        <v>486</v>
      </c>
      <c r="Q97" s="216" t="s">
        <v>487</v>
      </c>
      <c r="R97" s="213">
        <v>170202301</v>
      </c>
      <c r="S97" s="216" t="s">
        <v>487</v>
      </c>
      <c r="T97" s="236" t="s">
        <v>1671</v>
      </c>
      <c r="U97" s="76">
        <v>1</v>
      </c>
      <c r="V97" s="76">
        <v>1</v>
      </c>
      <c r="W97" s="236" t="s">
        <v>488</v>
      </c>
      <c r="X97" s="216" t="s">
        <v>489</v>
      </c>
      <c r="Y97" s="216" t="s">
        <v>490</v>
      </c>
      <c r="Z97" s="337"/>
      <c r="AA97" s="337"/>
      <c r="AB97" s="337"/>
      <c r="AC97" s="337"/>
      <c r="AD97" s="337"/>
      <c r="AE97" s="337"/>
      <c r="AF97" s="337"/>
      <c r="AG97" s="337"/>
      <c r="AH97" s="337"/>
      <c r="AI97" s="337"/>
      <c r="AJ97" s="337"/>
      <c r="AK97" s="337"/>
      <c r="AL97" s="337"/>
      <c r="AM97" s="337"/>
      <c r="AN97" s="337"/>
      <c r="AO97" s="337"/>
      <c r="AP97" s="337"/>
      <c r="AQ97" s="337"/>
      <c r="AR97" s="337"/>
      <c r="AS97" s="337"/>
      <c r="AT97" s="337"/>
      <c r="AU97" s="337"/>
      <c r="AV97" s="337"/>
      <c r="AW97" s="337"/>
      <c r="AX97" s="337"/>
      <c r="AY97" s="337"/>
      <c r="AZ97" s="337"/>
      <c r="BA97" s="337"/>
      <c r="BB97" s="337"/>
      <c r="BC97" s="337"/>
      <c r="BD97" s="381">
        <f>45000000-11512613</f>
        <v>33487387</v>
      </c>
      <c r="BE97" s="235">
        <v>32310000</v>
      </c>
      <c r="BF97" s="235">
        <v>32310000</v>
      </c>
      <c r="BG97" s="336"/>
      <c r="BH97" s="336"/>
      <c r="BI97" s="336"/>
      <c r="BJ97" s="336"/>
      <c r="BK97" s="336"/>
      <c r="BL97" s="336"/>
      <c r="BM97" s="336"/>
      <c r="BN97" s="336"/>
      <c r="BO97" s="336"/>
      <c r="BP97" s="273">
        <f t="shared" si="24"/>
        <v>33487387</v>
      </c>
      <c r="BQ97" s="273">
        <f t="shared" si="25"/>
        <v>32310000</v>
      </c>
      <c r="BR97" s="273">
        <f t="shared" si="26"/>
        <v>32310000</v>
      </c>
      <c r="BS97" s="247" t="s">
        <v>1651</v>
      </c>
      <c r="BT97" s="233"/>
    </row>
    <row r="98" spans="1:72" s="27" customFormat="1" ht="108" customHeight="1" x14ac:dyDescent="0.2">
      <c r="A98" s="217">
        <v>312</v>
      </c>
      <c r="B98" s="216" t="s">
        <v>1622</v>
      </c>
      <c r="C98" s="213">
        <v>2</v>
      </c>
      <c r="D98" s="216" t="s">
        <v>1621</v>
      </c>
      <c r="E98" s="213">
        <v>17</v>
      </c>
      <c r="F98" s="216" t="s">
        <v>451</v>
      </c>
      <c r="G98" s="213">
        <v>1702</v>
      </c>
      <c r="H98" s="216" t="s">
        <v>452</v>
      </c>
      <c r="I98" s="213">
        <v>1702</v>
      </c>
      <c r="J98" s="216" t="s">
        <v>1575</v>
      </c>
      <c r="K98" s="216" t="s">
        <v>453</v>
      </c>
      <c r="L98" s="304">
        <v>1702024</v>
      </c>
      <c r="M98" s="216" t="s">
        <v>491</v>
      </c>
      <c r="N98" s="304">
        <v>1702024</v>
      </c>
      <c r="O98" s="216" t="s">
        <v>491</v>
      </c>
      <c r="P98" s="74" t="s">
        <v>492</v>
      </c>
      <c r="Q98" s="216" t="s">
        <v>493</v>
      </c>
      <c r="R98" s="74" t="s">
        <v>492</v>
      </c>
      <c r="S98" s="216" t="s">
        <v>493</v>
      </c>
      <c r="T98" s="236" t="s">
        <v>1671</v>
      </c>
      <c r="U98" s="76">
        <v>12</v>
      </c>
      <c r="V98" s="76">
        <v>12</v>
      </c>
      <c r="W98" s="236" t="s">
        <v>488</v>
      </c>
      <c r="X98" s="216" t="s">
        <v>489</v>
      </c>
      <c r="Y98" s="216" t="s">
        <v>490</v>
      </c>
      <c r="Z98" s="337"/>
      <c r="AA98" s="337"/>
      <c r="AB98" s="337"/>
      <c r="AC98" s="337"/>
      <c r="AD98" s="337"/>
      <c r="AE98" s="337"/>
      <c r="AF98" s="337"/>
      <c r="AG98" s="337"/>
      <c r="AH98" s="337"/>
      <c r="AI98" s="337"/>
      <c r="AJ98" s="337"/>
      <c r="AK98" s="337"/>
      <c r="AL98" s="337"/>
      <c r="AM98" s="337"/>
      <c r="AN98" s="337"/>
      <c r="AO98" s="337"/>
      <c r="AP98" s="337"/>
      <c r="AQ98" s="337"/>
      <c r="AR98" s="337"/>
      <c r="AS98" s="337"/>
      <c r="AT98" s="337"/>
      <c r="AU98" s="337"/>
      <c r="AV98" s="337"/>
      <c r="AW98" s="337"/>
      <c r="AX98" s="337"/>
      <c r="AY98" s="337"/>
      <c r="AZ98" s="337"/>
      <c r="BA98" s="337"/>
      <c r="BB98" s="337"/>
      <c r="BC98" s="337"/>
      <c r="BD98" s="381">
        <f>45000000-245000</f>
        <v>44755000</v>
      </c>
      <c r="BE98" s="235">
        <v>44755000</v>
      </c>
      <c r="BF98" s="235">
        <v>44755000</v>
      </c>
      <c r="BG98" s="336"/>
      <c r="BH98" s="336"/>
      <c r="BI98" s="336"/>
      <c r="BJ98" s="336"/>
      <c r="BK98" s="336"/>
      <c r="BL98" s="336"/>
      <c r="BM98" s="336"/>
      <c r="BN98" s="336"/>
      <c r="BO98" s="336"/>
      <c r="BP98" s="273">
        <f t="shared" si="24"/>
        <v>44755000</v>
      </c>
      <c r="BQ98" s="273">
        <f t="shared" si="25"/>
        <v>44755000</v>
      </c>
      <c r="BR98" s="273">
        <f t="shared" si="26"/>
        <v>44755000</v>
      </c>
      <c r="BS98" s="247" t="s">
        <v>1651</v>
      </c>
      <c r="BT98" s="233"/>
    </row>
    <row r="99" spans="1:72" s="27" customFormat="1" ht="150" customHeight="1" x14ac:dyDescent="0.2">
      <c r="A99" s="217">
        <v>312</v>
      </c>
      <c r="B99" s="216" t="s">
        <v>1622</v>
      </c>
      <c r="C99" s="213">
        <v>2</v>
      </c>
      <c r="D99" s="216" t="s">
        <v>1621</v>
      </c>
      <c r="E99" s="213">
        <v>17</v>
      </c>
      <c r="F99" s="216" t="s">
        <v>451</v>
      </c>
      <c r="G99" s="213">
        <v>1702</v>
      </c>
      <c r="H99" s="216" t="s">
        <v>452</v>
      </c>
      <c r="I99" s="213">
        <v>1702</v>
      </c>
      <c r="J99" s="216" t="s">
        <v>1575</v>
      </c>
      <c r="K99" s="216" t="s">
        <v>453</v>
      </c>
      <c r="L99" s="304">
        <v>1702025</v>
      </c>
      <c r="M99" s="216" t="s">
        <v>494</v>
      </c>
      <c r="N99" s="304">
        <v>1702025</v>
      </c>
      <c r="O99" s="216" t="s">
        <v>494</v>
      </c>
      <c r="P99" s="74" t="s">
        <v>495</v>
      </c>
      <c r="Q99" s="311" t="s">
        <v>496</v>
      </c>
      <c r="R99" s="74" t="s">
        <v>495</v>
      </c>
      <c r="S99" s="311" t="s">
        <v>496</v>
      </c>
      <c r="T99" s="236" t="s">
        <v>1673</v>
      </c>
      <c r="U99" s="76">
        <v>25</v>
      </c>
      <c r="V99" s="76">
        <v>28</v>
      </c>
      <c r="W99" s="236" t="s">
        <v>497</v>
      </c>
      <c r="X99" s="214" t="s">
        <v>498</v>
      </c>
      <c r="Y99" s="216" t="s">
        <v>499</v>
      </c>
      <c r="Z99" s="337"/>
      <c r="AA99" s="337"/>
      <c r="AB99" s="337"/>
      <c r="AC99" s="337"/>
      <c r="AD99" s="337"/>
      <c r="AE99" s="337"/>
      <c r="AF99" s="337"/>
      <c r="AG99" s="337"/>
      <c r="AH99" s="337"/>
      <c r="AI99" s="337"/>
      <c r="AJ99" s="337"/>
      <c r="AK99" s="337"/>
      <c r="AL99" s="337"/>
      <c r="AM99" s="337"/>
      <c r="AN99" s="337"/>
      <c r="AO99" s="337"/>
      <c r="AP99" s="337"/>
      <c r="AQ99" s="337"/>
      <c r="AR99" s="337"/>
      <c r="AS99" s="337"/>
      <c r="AT99" s="337"/>
      <c r="AU99" s="337"/>
      <c r="AV99" s="337"/>
      <c r="AW99" s="337"/>
      <c r="AX99" s="337"/>
      <c r="AY99" s="337"/>
      <c r="AZ99" s="337"/>
      <c r="BA99" s="337"/>
      <c r="BB99" s="337"/>
      <c r="BC99" s="337"/>
      <c r="BD99" s="235">
        <v>27000000</v>
      </c>
      <c r="BE99" s="235">
        <v>26940000</v>
      </c>
      <c r="BF99" s="235">
        <v>26940000</v>
      </c>
      <c r="BG99" s="336"/>
      <c r="BH99" s="336"/>
      <c r="BI99" s="336"/>
      <c r="BJ99" s="336"/>
      <c r="BK99" s="336"/>
      <c r="BL99" s="336"/>
      <c r="BM99" s="336"/>
      <c r="BN99" s="336"/>
      <c r="BO99" s="336"/>
      <c r="BP99" s="273">
        <f t="shared" si="24"/>
        <v>27000000</v>
      </c>
      <c r="BQ99" s="273">
        <f t="shared" si="25"/>
        <v>26940000</v>
      </c>
      <c r="BR99" s="273">
        <f t="shared" si="26"/>
        <v>26940000</v>
      </c>
      <c r="BS99" s="247" t="s">
        <v>1651</v>
      </c>
      <c r="BT99" s="233"/>
    </row>
    <row r="100" spans="1:72" s="27" customFormat="1" ht="187.5" customHeight="1" x14ac:dyDescent="0.2">
      <c r="A100" s="217">
        <v>312</v>
      </c>
      <c r="B100" s="216" t="s">
        <v>1622</v>
      </c>
      <c r="C100" s="213">
        <v>2</v>
      </c>
      <c r="D100" s="216" t="s">
        <v>1621</v>
      </c>
      <c r="E100" s="213">
        <v>17</v>
      </c>
      <c r="F100" s="216" t="s">
        <v>451</v>
      </c>
      <c r="G100" s="213">
        <v>1703</v>
      </c>
      <c r="H100" s="216" t="s">
        <v>500</v>
      </c>
      <c r="I100" s="213">
        <v>1703</v>
      </c>
      <c r="J100" s="216" t="s">
        <v>1576</v>
      </c>
      <c r="K100" s="216" t="s">
        <v>453</v>
      </c>
      <c r="L100" s="304">
        <v>1703013</v>
      </c>
      <c r="M100" s="216" t="s">
        <v>501</v>
      </c>
      <c r="N100" s="304">
        <v>1703013</v>
      </c>
      <c r="O100" s="216" t="s">
        <v>501</v>
      </c>
      <c r="P100" s="74" t="s">
        <v>502</v>
      </c>
      <c r="Q100" s="311" t="s">
        <v>503</v>
      </c>
      <c r="R100" s="74" t="s">
        <v>502</v>
      </c>
      <c r="S100" s="311" t="s">
        <v>503</v>
      </c>
      <c r="T100" s="236" t="s">
        <v>1673</v>
      </c>
      <c r="U100" s="76">
        <v>100</v>
      </c>
      <c r="V100" s="76">
        <v>100</v>
      </c>
      <c r="W100" s="236" t="s">
        <v>504</v>
      </c>
      <c r="X100" s="214" t="s">
        <v>505</v>
      </c>
      <c r="Y100" s="216" t="s">
        <v>506</v>
      </c>
      <c r="Z100" s="337"/>
      <c r="AA100" s="337"/>
      <c r="AB100" s="337"/>
      <c r="AC100" s="337"/>
      <c r="AD100" s="337"/>
      <c r="AE100" s="337"/>
      <c r="AF100" s="337"/>
      <c r="AG100" s="337"/>
      <c r="AH100" s="337"/>
      <c r="AI100" s="337"/>
      <c r="AJ100" s="337"/>
      <c r="AK100" s="337"/>
      <c r="AL100" s="337"/>
      <c r="AM100" s="337"/>
      <c r="AN100" s="337"/>
      <c r="AO100" s="337"/>
      <c r="AP100" s="337"/>
      <c r="AQ100" s="337"/>
      <c r="AR100" s="337"/>
      <c r="AS100" s="337"/>
      <c r="AT100" s="337"/>
      <c r="AU100" s="337"/>
      <c r="AV100" s="337"/>
      <c r="AW100" s="337"/>
      <c r="AX100" s="337"/>
      <c r="AY100" s="337"/>
      <c r="AZ100" s="337"/>
      <c r="BA100" s="337"/>
      <c r="BB100" s="337"/>
      <c r="BC100" s="337"/>
      <c r="BD100" s="235">
        <v>75000000</v>
      </c>
      <c r="BE100" s="235">
        <v>74995000</v>
      </c>
      <c r="BF100" s="235">
        <v>74995000</v>
      </c>
      <c r="BG100" s="266"/>
      <c r="BH100" s="290"/>
      <c r="BI100" s="290">
        <v>0</v>
      </c>
      <c r="BJ100" s="336"/>
      <c r="BK100" s="336"/>
      <c r="BL100" s="336"/>
      <c r="BM100" s="235">
        <v>250000000</v>
      </c>
      <c r="BN100" s="235">
        <v>250000000</v>
      </c>
      <c r="BO100" s="290">
        <v>250000000</v>
      </c>
      <c r="BP100" s="273">
        <f>+Z100+AC100+AF100+AI100+AL100+AO100+AR100+AU100+AX100+BA100+BD100+BG100+BJ100+BM100</f>
        <v>325000000</v>
      </c>
      <c r="BQ100" s="273">
        <f>+AA100+AD100+AG100+AJ100+AM100+AP100+AS100+AV100+AY100+BB100+BE100+BH100+BK100+BN100</f>
        <v>324995000</v>
      </c>
      <c r="BR100" s="273">
        <f>+AB100+AE100+AH100+AK100+AN100+AQ100+AT100+AW100+AZ100+BC100+BF100+BI100+BL100+BO100</f>
        <v>324995000</v>
      </c>
      <c r="BS100" s="247" t="s">
        <v>1651</v>
      </c>
      <c r="BT100" s="233"/>
    </row>
    <row r="101" spans="1:72" s="27" customFormat="1" ht="136.5" customHeight="1" x14ac:dyDescent="0.2">
      <c r="A101" s="217">
        <v>312</v>
      </c>
      <c r="B101" s="216" t="s">
        <v>1622</v>
      </c>
      <c r="C101" s="213">
        <v>2</v>
      </c>
      <c r="D101" s="216" t="s">
        <v>1621</v>
      </c>
      <c r="E101" s="213">
        <v>17</v>
      </c>
      <c r="F101" s="216" t="s">
        <v>451</v>
      </c>
      <c r="G101" s="217">
        <v>1704</v>
      </c>
      <c r="H101" s="216" t="s">
        <v>507</v>
      </c>
      <c r="I101" s="217">
        <v>1704</v>
      </c>
      <c r="J101" s="216" t="s">
        <v>1577</v>
      </c>
      <c r="K101" s="216" t="s">
        <v>453</v>
      </c>
      <c r="L101" s="304">
        <v>1704002</v>
      </c>
      <c r="M101" s="216" t="s">
        <v>84</v>
      </c>
      <c r="N101" s="304">
        <v>1704002</v>
      </c>
      <c r="O101" s="216" t="s">
        <v>84</v>
      </c>
      <c r="P101" s="213" t="s">
        <v>508</v>
      </c>
      <c r="Q101" s="216" t="s">
        <v>509</v>
      </c>
      <c r="R101" s="213" t="s">
        <v>508</v>
      </c>
      <c r="S101" s="216" t="s">
        <v>509</v>
      </c>
      <c r="T101" s="236" t="s">
        <v>1671</v>
      </c>
      <c r="U101" s="76">
        <v>1</v>
      </c>
      <c r="V101" s="76">
        <v>1</v>
      </c>
      <c r="W101" s="236" t="s">
        <v>510</v>
      </c>
      <c r="X101" s="214" t="s">
        <v>511</v>
      </c>
      <c r="Y101" s="216" t="s">
        <v>512</v>
      </c>
      <c r="Z101" s="297"/>
      <c r="AA101" s="297"/>
      <c r="AB101" s="297"/>
      <c r="AC101" s="297"/>
      <c r="AD101" s="297"/>
      <c r="AE101" s="297"/>
      <c r="AF101" s="297"/>
      <c r="AG101" s="297"/>
      <c r="AH101" s="297"/>
      <c r="AI101" s="297"/>
      <c r="AJ101" s="297"/>
      <c r="AK101" s="297"/>
      <c r="AL101" s="297"/>
      <c r="AM101" s="297"/>
      <c r="AN101" s="297"/>
      <c r="AO101" s="297"/>
      <c r="AP101" s="297"/>
      <c r="AQ101" s="297"/>
      <c r="AR101" s="297"/>
      <c r="AS101" s="297"/>
      <c r="AT101" s="297"/>
      <c r="AU101" s="297"/>
      <c r="AV101" s="297"/>
      <c r="AW101" s="297"/>
      <c r="AX101" s="297"/>
      <c r="AY101" s="297"/>
      <c r="AZ101" s="297"/>
      <c r="BA101" s="297"/>
      <c r="BB101" s="297"/>
      <c r="BC101" s="297"/>
      <c r="BD101" s="381">
        <v>41255500</v>
      </c>
      <c r="BE101" s="290">
        <v>41255500</v>
      </c>
      <c r="BF101" s="290">
        <v>41255500</v>
      </c>
      <c r="BG101" s="336"/>
      <c r="BH101" s="336"/>
      <c r="BI101" s="336"/>
      <c r="BJ101" s="336"/>
      <c r="BK101" s="336"/>
      <c r="BL101" s="336"/>
      <c r="BM101" s="336"/>
      <c r="BN101" s="336"/>
      <c r="BO101" s="336"/>
      <c r="BP101" s="273">
        <f t="shared" si="24"/>
        <v>41255500</v>
      </c>
      <c r="BQ101" s="273">
        <f t="shared" ref="BQ101:BQ113" si="27">+AA101+AD101+AG101+AJ101+AM101+AP101+AS101+AV101+AY101+BB101+BE101+BH101+BK101</f>
        <v>41255500</v>
      </c>
      <c r="BR101" s="273">
        <f t="shared" ref="BR101:BR113" si="28">+AB101+AE101+AH101+AK101+AN101+AQ101+AT101+AW101+AZ101+BC101+BF101+BI101+BL101</f>
        <v>41255500</v>
      </c>
      <c r="BS101" s="247" t="s">
        <v>1651</v>
      </c>
      <c r="BT101" s="233"/>
    </row>
    <row r="102" spans="1:72" s="27" customFormat="1" ht="130.5" customHeight="1" x14ac:dyDescent="0.2">
      <c r="A102" s="217">
        <v>312</v>
      </c>
      <c r="B102" s="216" t="s">
        <v>1622</v>
      </c>
      <c r="C102" s="213">
        <v>2</v>
      </c>
      <c r="D102" s="216" t="s">
        <v>1621</v>
      </c>
      <c r="E102" s="213">
        <v>17</v>
      </c>
      <c r="F102" s="216" t="s">
        <v>451</v>
      </c>
      <c r="G102" s="217">
        <v>1704</v>
      </c>
      <c r="H102" s="216" t="s">
        <v>507</v>
      </c>
      <c r="I102" s="217">
        <v>1704</v>
      </c>
      <c r="J102" s="216" t="s">
        <v>1577</v>
      </c>
      <c r="K102" s="216" t="s">
        <v>453</v>
      </c>
      <c r="L102" s="304">
        <v>1704017</v>
      </c>
      <c r="M102" s="216" t="s">
        <v>513</v>
      </c>
      <c r="N102" s="304">
        <v>1704017</v>
      </c>
      <c r="O102" s="216" t="s">
        <v>513</v>
      </c>
      <c r="P102" s="213" t="s">
        <v>514</v>
      </c>
      <c r="Q102" s="216" t="s">
        <v>515</v>
      </c>
      <c r="R102" s="213" t="s">
        <v>514</v>
      </c>
      <c r="S102" s="216" t="s">
        <v>515</v>
      </c>
      <c r="T102" s="236" t="s">
        <v>1673</v>
      </c>
      <c r="U102" s="76">
        <v>150</v>
      </c>
      <c r="V102" s="76">
        <v>150</v>
      </c>
      <c r="W102" s="236" t="s">
        <v>510</v>
      </c>
      <c r="X102" s="214" t="s">
        <v>511</v>
      </c>
      <c r="Y102" s="216" t="s">
        <v>512</v>
      </c>
      <c r="Z102" s="297"/>
      <c r="AA102" s="297"/>
      <c r="AB102" s="297"/>
      <c r="AC102" s="297"/>
      <c r="AD102" s="297"/>
      <c r="AE102" s="297"/>
      <c r="AF102" s="297"/>
      <c r="AG102" s="297"/>
      <c r="AH102" s="297"/>
      <c r="AI102" s="297"/>
      <c r="AJ102" s="297"/>
      <c r="AK102" s="297"/>
      <c r="AL102" s="297"/>
      <c r="AM102" s="297"/>
      <c r="AN102" s="297"/>
      <c r="AO102" s="297"/>
      <c r="AP102" s="297"/>
      <c r="AQ102" s="297"/>
      <c r="AR102" s="297"/>
      <c r="AS102" s="297"/>
      <c r="AT102" s="297"/>
      <c r="AU102" s="297"/>
      <c r="AV102" s="297"/>
      <c r="AW102" s="297"/>
      <c r="AX102" s="297"/>
      <c r="AY102" s="297"/>
      <c r="AZ102" s="297"/>
      <c r="BA102" s="297"/>
      <c r="BB102" s="297"/>
      <c r="BC102" s="297"/>
      <c r="BD102" s="290">
        <v>28000000</v>
      </c>
      <c r="BE102" s="290">
        <v>27999666</v>
      </c>
      <c r="BF102" s="290">
        <v>27999666</v>
      </c>
      <c r="BG102" s="336"/>
      <c r="BH102" s="336"/>
      <c r="BI102" s="336"/>
      <c r="BJ102" s="336"/>
      <c r="BK102" s="336"/>
      <c r="BL102" s="336"/>
      <c r="BM102" s="336"/>
      <c r="BN102" s="336"/>
      <c r="BO102" s="336"/>
      <c r="BP102" s="273">
        <f t="shared" si="24"/>
        <v>28000000</v>
      </c>
      <c r="BQ102" s="273">
        <f t="shared" si="27"/>
        <v>27999666</v>
      </c>
      <c r="BR102" s="273">
        <f t="shared" si="28"/>
        <v>27999666</v>
      </c>
      <c r="BS102" s="247" t="s">
        <v>1651</v>
      </c>
      <c r="BT102" s="233"/>
    </row>
    <row r="103" spans="1:72" s="27" customFormat="1" ht="116.25" customHeight="1" x14ac:dyDescent="0.2">
      <c r="A103" s="217">
        <v>312</v>
      </c>
      <c r="B103" s="216" t="s">
        <v>1622</v>
      </c>
      <c r="C103" s="213">
        <v>2</v>
      </c>
      <c r="D103" s="216" t="s">
        <v>1621</v>
      </c>
      <c r="E103" s="213">
        <v>17</v>
      </c>
      <c r="F103" s="216" t="s">
        <v>451</v>
      </c>
      <c r="G103" s="213">
        <v>1706</v>
      </c>
      <c r="H103" s="216" t="s">
        <v>516</v>
      </c>
      <c r="I103" s="213">
        <v>1706</v>
      </c>
      <c r="J103" s="216" t="s">
        <v>1578</v>
      </c>
      <c r="K103" s="216" t="s">
        <v>453</v>
      </c>
      <c r="L103" s="304">
        <v>1706004</v>
      </c>
      <c r="M103" s="216" t="s">
        <v>517</v>
      </c>
      <c r="N103" s="304">
        <v>1706004</v>
      </c>
      <c r="O103" s="216" t="s">
        <v>517</v>
      </c>
      <c r="P103" s="213" t="s">
        <v>518</v>
      </c>
      <c r="Q103" s="216" t="s">
        <v>519</v>
      </c>
      <c r="R103" s="213" t="s">
        <v>518</v>
      </c>
      <c r="S103" s="216" t="s">
        <v>519</v>
      </c>
      <c r="T103" s="236" t="s">
        <v>1671</v>
      </c>
      <c r="U103" s="76">
        <v>10</v>
      </c>
      <c r="V103" s="76">
        <v>4</v>
      </c>
      <c r="W103" s="236" t="s">
        <v>520</v>
      </c>
      <c r="X103" s="214" t="s">
        <v>521</v>
      </c>
      <c r="Y103" s="214" t="s">
        <v>522</v>
      </c>
      <c r="Z103" s="289"/>
      <c r="AA103" s="289"/>
      <c r="AB103" s="289"/>
      <c r="AC103" s="289"/>
      <c r="AD103" s="289"/>
      <c r="AE103" s="289"/>
      <c r="AF103" s="289"/>
      <c r="AG103" s="289"/>
      <c r="AH103" s="289"/>
      <c r="AI103" s="289"/>
      <c r="AJ103" s="289"/>
      <c r="AK103" s="289"/>
      <c r="AL103" s="289"/>
      <c r="AM103" s="289"/>
      <c r="AN103" s="289"/>
      <c r="AO103" s="289"/>
      <c r="AP103" s="289"/>
      <c r="AQ103" s="289"/>
      <c r="AR103" s="289"/>
      <c r="AS103" s="289"/>
      <c r="AT103" s="289"/>
      <c r="AU103" s="289"/>
      <c r="AV103" s="289"/>
      <c r="AW103" s="289"/>
      <c r="AX103" s="289"/>
      <c r="AY103" s="289"/>
      <c r="AZ103" s="289"/>
      <c r="BA103" s="289"/>
      <c r="BB103" s="289"/>
      <c r="BC103" s="289"/>
      <c r="BD103" s="290">
        <v>20000000</v>
      </c>
      <c r="BE103" s="290">
        <v>20000000</v>
      </c>
      <c r="BF103" s="290">
        <v>20000000</v>
      </c>
      <c r="BG103" s="336"/>
      <c r="BH103" s="336"/>
      <c r="BI103" s="336"/>
      <c r="BJ103" s="336"/>
      <c r="BK103" s="336"/>
      <c r="BL103" s="336"/>
      <c r="BM103" s="336"/>
      <c r="BN103" s="336"/>
      <c r="BO103" s="336"/>
      <c r="BP103" s="273">
        <f t="shared" si="24"/>
        <v>20000000</v>
      </c>
      <c r="BQ103" s="273">
        <f t="shared" si="27"/>
        <v>20000000</v>
      </c>
      <c r="BR103" s="273">
        <f t="shared" si="28"/>
        <v>20000000</v>
      </c>
      <c r="BS103" s="247" t="s">
        <v>1651</v>
      </c>
      <c r="BT103" s="233"/>
    </row>
    <row r="104" spans="1:72" s="27" customFormat="1" ht="128.25" customHeight="1" x14ac:dyDescent="0.2">
      <c r="A104" s="217">
        <v>312</v>
      </c>
      <c r="B104" s="216" t="s">
        <v>1622</v>
      </c>
      <c r="C104" s="213">
        <v>2</v>
      </c>
      <c r="D104" s="216" t="s">
        <v>1621</v>
      </c>
      <c r="E104" s="213">
        <v>17</v>
      </c>
      <c r="F104" s="216" t="s">
        <v>451</v>
      </c>
      <c r="G104" s="213">
        <v>1707</v>
      </c>
      <c r="H104" s="216" t="s">
        <v>523</v>
      </c>
      <c r="I104" s="213">
        <v>1707</v>
      </c>
      <c r="J104" s="216" t="s">
        <v>1579</v>
      </c>
      <c r="K104" s="216" t="s">
        <v>453</v>
      </c>
      <c r="L104" s="304">
        <v>1707069</v>
      </c>
      <c r="M104" s="216" t="s">
        <v>524</v>
      </c>
      <c r="N104" s="304">
        <v>1707069</v>
      </c>
      <c r="O104" s="216" t="s">
        <v>524</v>
      </c>
      <c r="P104" s="213" t="s">
        <v>525</v>
      </c>
      <c r="Q104" s="216" t="s">
        <v>526</v>
      </c>
      <c r="R104" s="213" t="s">
        <v>525</v>
      </c>
      <c r="S104" s="216" t="s">
        <v>526</v>
      </c>
      <c r="T104" s="236" t="s">
        <v>1673</v>
      </c>
      <c r="U104" s="76">
        <v>5</v>
      </c>
      <c r="V104" s="76">
        <v>5</v>
      </c>
      <c r="W104" s="236" t="s">
        <v>527</v>
      </c>
      <c r="X104" s="214" t="s">
        <v>528</v>
      </c>
      <c r="Y104" s="216" t="s">
        <v>529</v>
      </c>
      <c r="Z104" s="337"/>
      <c r="AA104" s="337"/>
      <c r="AB104" s="337"/>
      <c r="AC104" s="337"/>
      <c r="AD104" s="337"/>
      <c r="AE104" s="337"/>
      <c r="AF104" s="337"/>
      <c r="AG104" s="337"/>
      <c r="AH104" s="337"/>
      <c r="AI104" s="337"/>
      <c r="AJ104" s="337"/>
      <c r="AK104" s="337"/>
      <c r="AL104" s="337"/>
      <c r="AM104" s="337"/>
      <c r="AN104" s="337"/>
      <c r="AO104" s="337"/>
      <c r="AP104" s="337"/>
      <c r="AQ104" s="337"/>
      <c r="AR104" s="337"/>
      <c r="AS104" s="337"/>
      <c r="AT104" s="337"/>
      <c r="AU104" s="337"/>
      <c r="AV104" s="337"/>
      <c r="AW104" s="337"/>
      <c r="AX104" s="337"/>
      <c r="AY104" s="337"/>
      <c r="AZ104" s="337"/>
      <c r="BA104" s="337"/>
      <c r="BB104" s="337"/>
      <c r="BC104" s="337"/>
      <c r="BD104" s="235">
        <v>43000000</v>
      </c>
      <c r="BE104" s="235">
        <v>34865000</v>
      </c>
      <c r="BF104" s="235">
        <v>34865000</v>
      </c>
      <c r="BG104" s="336"/>
      <c r="BH104" s="336"/>
      <c r="BI104" s="336"/>
      <c r="BJ104" s="336"/>
      <c r="BK104" s="336"/>
      <c r="BL104" s="336"/>
      <c r="BM104" s="336"/>
      <c r="BN104" s="336"/>
      <c r="BO104" s="336"/>
      <c r="BP104" s="273">
        <f t="shared" si="24"/>
        <v>43000000</v>
      </c>
      <c r="BQ104" s="273">
        <f t="shared" si="27"/>
        <v>34865000</v>
      </c>
      <c r="BR104" s="273">
        <f t="shared" si="28"/>
        <v>34865000</v>
      </c>
      <c r="BS104" s="247" t="s">
        <v>1651</v>
      </c>
      <c r="BT104" s="233"/>
    </row>
    <row r="105" spans="1:72" s="27" customFormat="1" ht="168.75" customHeight="1" x14ac:dyDescent="0.2">
      <c r="A105" s="217">
        <v>312</v>
      </c>
      <c r="B105" s="216" t="s">
        <v>1622</v>
      </c>
      <c r="C105" s="213">
        <v>2</v>
      </c>
      <c r="D105" s="216" t="s">
        <v>1621</v>
      </c>
      <c r="E105" s="213">
        <v>17</v>
      </c>
      <c r="F105" s="216" t="s">
        <v>451</v>
      </c>
      <c r="G105" s="213">
        <v>1708</v>
      </c>
      <c r="H105" s="216" t="s">
        <v>530</v>
      </c>
      <c r="I105" s="213">
        <v>1708</v>
      </c>
      <c r="J105" s="216" t="s">
        <v>1580</v>
      </c>
      <c r="K105" s="216" t="s">
        <v>453</v>
      </c>
      <c r="L105" s="304">
        <v>1708016</v>
      </c>
      <c r="M105" s="216" t="s">
        <v>84</v>
      </c>
      <c r="N105" s="304">
        <v>1708016</v>
      </c>
      <c r="O105" s="216" t="s">
        <v>84</v>
      </c>
      <c r="P105" s="74" t="s">
        <v>531</v>
      </c>
      <c r="Q105" s="216" t="s">
        <v>532</v>
      </c>
      <c r="R105" s="74" t="s">
        <v>531</v>
      </c>
      <c r="S105" s="216" t="s">
        <v>532</v>
      </c>
      <c r="T105" s="236" t="s">
        <v>1671</v>
      </c>
      <c r="U105" s="76">
        <v>2</v>
      </c>
      <c r="V105" s="76">
        <v>2</v>
      </c>
      <c r="W105" s="236" t="s">
        <v>533</v>
      </c>
      <c r="X105" s="214" t="s">
        <v>534</v>
      </c>
      <c r="Y105" s="216" t="s">
        <v>535</v>
      </c>
      <c r="Z105" s="289"/>
      <c r="AA105" s="289"/>
      <c r="AB105" s="289"/>
      <c r="AC105" s="289"/>
      <c r="AD105" s="289"/>
      <c r="AE105" s="289"/>
      <c r="AF105" s="289"/>
      <c r="AG105" s="289"/>
      <c r="AH105" s="289"/>
      <c r="AI105" s="289"/>
      <c r="AJ105" s="289"/>
      <c r="AK105" s="289"/>
      <c r="AL105" s="289"/>
      <c r="AM105" s="289"/>
      <c r="AN105" s="289"/>
      <c r="AO105" s="289"/>
      <c r="AP105" s="289"/>
      <c r="AQ105" s="289"/>
      <c r="AR105" s="289"/>
      <c r="AS105" s="289"/>
      <c r="AT105" s="289"/>
      <c r="AU105" s="289"/>
      <c r="AV105" s="289"/>
      <c r="AW105" s="289"/>
      <c r="AX105" s="289"/>
      <c r="AY105" s="289"/>
      <c r="AZ105" s="289"/>
      <c r="BA105" s="289"/>
      <c r="BB105" s="289"/>
      <c r="BC105" s="289"/>
      <c r="BD105" s="235">
        <f>20000000-2445000</f>
        <v>17555000</v>
      </c>
      <c r="BE105" s="290">
        <v>17555000</v>
      </c>
      <c r="BF105" s="290">
        <v>17555000</v>
      </c>
      <c r="BG105" s="336"/>
      <c r="BH105" s="336"/>
      <c r="BI105" s="336"/>
      <c r="BJ105" s="336"/>
      <c r="BK105" s="336"/>
      <c r="BL105" s="336"/>
      <c r="BM105" s="336"/>
      <c r="BN105" s="336"/>
      <c r="BO105" s="336"/>
      <c r="BP105" s="273">
        <f t="shared" si="24"/>
        <v>17555000</v>
      </c>
      <c r="BQ105" s="273">
        <f t="shared" si="27"/>
        <v>17555000</v>
      </c>
      <c r="BR105" s="273">
        <f t="shared" si="28"/>
        <v>17555000</v>
      </c>
      <c r="BS105" s="247" t="s">
        <v>1651</v>
      </c>
      <c r="BT105" s="233"/>
    </row>
    <row r="106" spans="1:72" s="27" customFormat="1" ht="187.5" customHeight="1" x14ac:dyDescent="0.2">
      <c r="A106" s="217">
        <v>312</v>
      </c>
      <c r="B106" s="216" t="s">
        <v>1622</v>
      </c>
      <c r="C106" s="213">
        <v>2</v>
      </c>
      <c r="D106" s="216" t="s">
        <v>1621</v>
      </c>
      <c r="E106" s="213">
        <v>17</v>
      </c>
      <c r="F106" s="216" t="s">
        <v>451</v>
      </c>
      <c r="G106" s="213">
        <v>1708</v>
      </c>
      <c r="H106" s="216" t="s">
        <v>530</v>
      </c>
      <c r="I106" s="213">
        <v>1708</v>
      </c>
      <c r="J106" s="216" t="s">
        <v>1580</v>
      </c>
      <c r="K106" s="216" t="s">
        <v>453</v>
      </c>
      <c r="L106" s="304">
        <v>1708051</v>
      </c>
      <c r="M106" s="216" t="s">
        <v>536</v>
      </c>
      <c r="N106" s="304">
        <v>1708051</v>
      </c>
      <c r="O106" s="216" t="s">
        <v>536</v>
      </c>
      <c r="P106" s="74" t="s">
        <v>537</v>
      </c>
      <c r="Q106" s="311" t="s">
        <v>538</v>
      </c>
      <c r="R106" s="74" t="s">
        <v>537</v>
      </c>
      <c r="S106" s="311" t="s">
        <v>538</v>
      </c>
      <c r="T106" s="236" t="s">
        <v>1671</v>
      </c>
      <c r="U106" s="76">
        <v>1</v>
      </c>
      <c r="V106" s="76">
        <v>0</v>
      </c>
      <c r="W106" s="236" t="s">
        <v>533</v>
      </c>
      <c r="X106" s="214" t="s">
        <v>534</v>
      </c>
      <c r="Y106" s="216" t="s">
        <v>535</v>
      </c>
      <c r="Z106" s="289"/>
      <c r="AA106" s="289"/>
      <c r="AB106" s="289"/>
      <c r="AC106" s="289"/>
      <c r="AD106" s="289"/>
      <c r="AE106" s="289"/>
      <c r="AF106" s="289"/>
      <c r="AG106" s="289"/>
      <c r="AH106" s="289"/>
      <c r="AI106" s="289"/>
      <c r="AJ106" s="289"/>
      <c r="AK106" s="289"/>
      <c r="AL106" s="289"/>
      <c r="AM106" s="289"/>
      <c r="AN106" s="289"/>
      <c r="AO106" s="289"/>
      <c r="AP106" s="289"/>
      <c r="AQ106" s="289"/>
      <c r="AR106" s="289"/>
      <c r="AS106" s="289"/>
      <c r="AT106" s="289"/>
      <c r="AU106" s="289"/>
      <c r="AV106" s="289"/>
      <c r="AW106" s="289"/>
      <c r="AX106" s="289"/>
      <c r="AY106" s="289"/>
      <c r="AZ106" s="289"/>
      <c r="BA106" s="289"/>
      <c r="BB106" s="289"/>
      <c r="BC106" s="289"/>
      <c r="BD106" s="290">
        <v>20000000</v>
      </c>
      <c r="BE106" s="290"/>
      <c r="BF106" s="290"/>
      <c r="BG106" s="336"/>
      <c r="BH106" s="336"/>
      <c r="BI106" s="336"/>
      <c r="BJ106" s="336"/>
      <c r="BK106" s="336"/>
      <c r="BL106" s="336"/>
      <c r="BM106" s="336"/>
      <c r="BN106" s="336"/>
      <c r="BO106" s="336"/>
      <c r="BP106" s="273">
        <f t="shared" ref="BP106:BP111" si="29">+Z106+AC106+AF106+AI106+AL106+AO106+AR106+AU106+AX106+BA106+BD106+BG106+BJ106</f>
        <v>20000000</v>
      </c>
      <c r="BQ106" s="273">
        <f t="shared" si="27"/>
        <v>0</v>
      </c>
      <c r="BR106" s="273">
        <f t="shared" si="28"/>
        <v>0</v>
      </c>
      <c r="BS106" s="247" t="s">
        <v>1651</v>
      </c>
      <c r="BT106" s="233"/>
    </row>
    <row r="107" spans="1:72" s="27" customFormat="1" ht="138.75" customHeight="1" x14ac:dyDescent="0.2">
      <c r="A107" s="217">
        <v>312</v>
      </c>
      <c r="B107" s="216" t="s">
        <v>1622</v>
      </c>
      <c r="C107" s="213">
        <v>2</v>
      </c>
      <c r="D107" s="216" t="s">
        <v>1621</v>
      </c>
      <c r="E107" s="213">
        <v>17</v>
      </c>
      <c r="F107" s="216" t="s">
        <v>451</v>
      </c>
      <c r="G107" s="217">
        <v>1709</v>
      </c>
      <c r="H107" s="216" t="s">
        <v>539</v>
      </c>
      <c r="I107" s="217">
        <v>1709</v>
      </c>
      <c r="J107" s="216" t="s">
        <v>1581</v>
      </c>
      <c r="K107" s="216" t="s">
        <v>453</v>
      </c>
      <c r="L107" s="304">
        <v>1709019</v>
      </c>
      <c r="M107" s="216" t="s">
        <v>540</v>
      </c>
      <c r="N107" s="304">
        <v>1709019</v>
      </c>
      <c r="O107" s="216" t="s">
        <v>540</v>
      </c>
      <c r="P107" s="74">
        <v>170901900</v>
      </c>
      <c r="Q107" s="311" t="s">
        <v>540</v>
      </c>
      <c r="R107" s="74">
        <v>170901900</v>
      </c>
      <c r="S107" s="311" t="s">
        <v>540</v>
      </c>
      <c r="T107" s="236" t="s">
        <v>1673</v>
      </c>
      <c r="U107" s="76">
        <v>4</v>
      </c>
      <c r="V107" s="76">
        <v>4</v>
      </c>
      <c r="W107" s="324" t="s">
        <v>541</v>
      </c>
      <c r="X107" s="214" t="s">
        <v>542</v>
      </c>
      <c r="Y107" s="216" t="s">
        <v>543</v>
      </c>
      <c r="Z107" s="297"/>
      <c r="AA107" s="297"/>
      <c r="AB107" s="297"/>
      <c r="AC107" s="297"/>
      <c r="AD107" s="297"/>
      <c r="AE107" s="297"/>
      <c r="AF107" s="297"/>
      <c r="AG107" s="297"/>
      <c r="AH107" s="297"/>
      <c r="AI107" s="297"/>
      <c r="AJ107" s="297"/>
      <c r="AK107" s="297"/>
      <c r="AL107" s="297"/>
      <c r="AM107" s="297"/>
      <c r="AN107" s="297"/>
      <c r="AO107" s="297"/>
      <c r="AP107" s="297"/>
      <c r="AQ107" s="297"/>
      <c r="AR107" s="297"/>
      <c r="AS107" s="297"/>
      <c r="AT107" s="297"/>
      <c r="AU107" s="297"/>
      <c r="AV107" s="297"/>
      <c r="AW107" s="297"/>
      <c r="AX107" s="297"/>
      <c r="AY107" s="297"/>
      <c r="AZ107" s="297"/>
      <c r="BA107" s="297"/>
      <c r="BB107" s="297"/>
      <c r="BC107" s="297"/>
      <c r="BD107" s="290">
        <v>43000000</v>
      </c>
      <c r="BE107" s="290">
        <v>43000000</v>
      </c>
      <c r="BF107" s="290">
        <v>43000000</v>
      </c>
      <c r="BG107" s="336"/>
      <c r="BH107" s="336"/>
      <c r="BI107" s="336"/>
      <c r="BJ107" s="336"/>
      <c r="BK107" s="336"/>
      <c r="BL107" s="336"/>
      <c r="BM107" s="336"/>
      <c r="BN107" s="336"/>
      <c r="BO107" s="336"/>
      <c r="BP107" s="273">
        <f t="shared" si="29"/>
        <v>43000000</v>
      </c>
      <c r="BQ107" s="273">
        <f t="shared" si="27"/>
        <v>43000000</v>
      </c>
      <c r="BR107" s="273">
        <f t="shared" si="28"/>
        <v>43000000</v>
      </c>
      <c r="BS107" s="247" t="s">
        <v>1651</v>
      </c>
      <c r="BT107" s="233"/>
    </row>
    <row r="108" spans="1:72" s="27" customFormat="1" ht="132.75" customHeight="1" x14ac:dyDescent="0.2">
      <c r="A108" s="217">
        <v>312</v>
      </c>
      <c r="B108" s="216" t="s">
        <v>1622</v>
      </c>
      <c r="C108" s="213">
        <v>2</v>
      </c>
      <c r="D108" s="216" t="s">
        <v>1621</v>
      </c>
      <c r="E108" s="213">
        <v>17</v>
      </c>
      <c r="F108" s="216" t="s">
        <v>451</v>
      </c>
      <c r="G108" s="217">
        <v>1709</v>
      </c>
      <c r="H108" s="216" t="s">
        <v>539</v>
      </c>
      <c r="I108" s="217">
        <v>1709</v>
      </c>
      <c r="J108" s="216" t="s">
        <v>1581</v>
      </c>
      <c r="K108" s="216" t="s">
        <v>453</v>
      </c>
      <c r="L108" s="304">
        <v>1709034</v>
      </c>
      <c r="M108" s="216" t="s">
        <v>544</v>
      </c>
      <c r="N108" s="304">
        <v>1709034</v>
      </c>
      <c r="O108" s="216" t="s">
        <v>544</v>
      </c>
      <c r="P108" s="74" t="s">
        <v>545</v>
      </c>
      <c r="Q108" s="311" t="s">
        <v>544</v>
      </c>
      <c r="R108" s="74">
        <v>170903400</v>
      </c>
      <c r="S108" s="311" t="s">
        <v>544</v>
      </c>
      <c r="T108" s="236" t="s">
        <v>1673</v>
      </c>
      <c r="U108" s="76">
        <v>3</v>
      </c>
      <c r="V108" s="76">
        <v>2</v>
      </c>
      <c r="W108" s="324" t="s">
        <v>541</v>
      </c>
      <c r="X108" s="214" t="s">
        <v>542</v>
      </c>
      <c r="Y108" s="216" t="s">
        <v>543</v>
      </c>
      <c r="Z108" s="297"/>
      <c r="AA108" s="297"/>
      <c r="AB108" s="297"/>
      <c r="AC108" s="297"/>
      <c r="AD108" s="297"/>
      <c r="AE108" s="297"/>
      <c r="AF108" s="297"/>
      <c r="AG108" s="297"/>
      <c r="AH108" s="297"/>
      <c r="AI108" s="297"/>
      <c r="AJ108" s="297"/>
      <c r="AK108" s="297"/>
      <c r="AL108" s="297"/>
      <c r="AM108" s="297"/>
      <c r="AN108" s="297"/>
      <c r="AO108" s="297"/>
      <c r="AP108" s="297"/>
      <c r="AQ108" s="297"/>
      <c r="AR108" s="297"/>
      <c r="AS108" s="297"/>
      <c r="AT108" s="297"/>
      <c r="AU108" s="297"/>
      <c r="AV108" s="297"/>
      <c r="AW108" s="297"/>
      <c r="AX108" s="297"/>
      <c r="AY108" s="297"/>
      <c r="AZ108" s="297"/>
      <c r="BA108" s="297"/>
      <c r="BB108" s="297"/>
      <c r="BC108" s="297"/>
      <c r="BD108" s="290">
        <v>43000000</v>
      </c>
      <c r="BE108" s="290">
        <v>43000000</v>
      </c>
      <c r="BF108" s="290">
        <v>43000000</v>
      </c>
      <c r="BG108" s="336"/>
      <c r="BH108" s="336"/>
      <c r="BI108" s="336"/>
      <c r="BJ108" s="336"/>
      <c r="BK108" s="336"/>
      <c r="BL108" s="336"/>
      <c r="BM108" s="336"/>
      <c r="BN108" s="336"/>
      <c r="BO108" s="336"/>
      <c r="BP108" s="273">
        <f t="shared" si="29"/>
        <v>43000000</v>
      </c>
      <c r="BQ108" s="273">
        <f t="shared" si="27"/>
        <v>43000000</v>
      </c>
      <c r="BR108" s="273">
        <f t="shared" si="28"/>
        <v>43000000</v>
      </c>
      <c r="BS108" s="247" t="s">
        <v>1651</v>
      </c>
      <c r="BT108" s="233"/>
    </row>
    <row r="109" spans="1:72" s="27" customFormat="1" ht="132.75" customHeight="1" x14ac:dyDescent="0.2">
      <c r="A109" s="217">
        <v>312</v>
      </c>
      <c r="B109" s="216" t="s">
        <v>1622</v>
      </c>
      <c r="C109" s="213">
        <v>2</v>
      </c>
      <c r="D109" s="216" t="s">
        <v>1621</v>
      </c>
      <c r="E109" s="213">
        <v>17</v>
      </c>
      <c r="F109" s="216" t="s">
        <v>451</v>
      </c>
      <c r="G109" s="217">
        <v>1709</v>
      </c>
      <c r="H109" s="216" t="s">
        <v>539</v>
      </c>
      <c r="I109" s="217">
        <v>1709</v>
      </c>
      <c r="J109" s="216" t="s">
        <v>1581</v>
      </c>
      <c r="K109" s="216" t="s">
        <v>453</v>
      </c>
      <c r="L109" s="304">
        <v>1709093</v>
      </c>
      <c r="M109" s="216" t="s">
        <v>546</v>
      </c>
      <c r="N109" s="304">
        <v>1709093</v>
      </c>
      <c r="O109" s="216" t="s">
        <v>546</v>
      </c>
      <c r="P109" s="213" t="s">
        <v>547</v>
      </c>
      <c r="Q109" s="216" t="s">
        <v>548</v>
      </c>
      <c r="R109" s="213">
        <v>170909300</v>
      </c>
      <c r="S109" s="216" t="s">
        <v>548</v>
      </c>
      <c r="T109" s="236" t="s">
        <v>1673</v>
      </c>
      <c r="U109" s="76">
        <v>2</v>
      </c>
      <c r="V109" s="76">
        <v>2</v>
      </c>
      <c r="W109" s="324" t="s">
        <v>541</v>
      </c>
      <c r="X109" s="214" t="s">
        <v>542</v>
      </c>
      <c r="Y109" s="216" t="s">
        <v>543</v>
      </c>
      <c r="Z109" s="297"/>
      <c r="AA109" s="297"/>
      <c r="AB109" s="297"/>
      <c r="AC109" s="297"/>
      <c r="AD109" s="297"/>
      <c r="AE109" s="297"/>
      <c r="AF109" s="297"/>
      <c r="AG109" s="297"/>
      <c r="AH109" s="297"/>
      <c r="AI109" s="297"/>
      <c r="AJ109" s="297"/>
      <c r="AK109" s="297"/>
      <c r="AL109" s="297"/>
      <c r="AM109" s="297"/>
      <c r="AN109" s="297"/>
      <c r="AO109" s="297"/>
      <c r="AP109" s="297"/>
      <c r="AQ109" s="297"/>
      <c r="AR109" s="297"/>
      <c r="AS109" s="297"/>
      <c r="AT109" s="297"/>
      <c r="AU109" s="297"/>
      <c r="AV109" s="297"/>
      <c r="AW109" s="297"/>
      <c r="AX109" s="297"/>
      <c r="AY109" s="297"/>
      <c r="AZ109" s="297"/>
      <c r="BA109" s="297"/>
      <c r="BB109" s="297"/>
      <c r="BC109" s="297"/>
      <c r="BD109" s="290">
        <v>22000000</v>
      </c>
      <c r="BE109" s="290">
        <v>22000000</v>
      </c>
      <c r="BF109" s="290">
        <v>22000000</v>
      </c>
      <c r="BG109" s="336"/>
      <c r="BH109" s="336"/>
      <c r="BI109" s="336"/>
      <c r="BJ109" s="336"/>
      <c r="BK109" s="336"/>
      <c r="BL109" s="336"/>
      <c r="BM109" s="336"/>
      <c r="BN109" s="336"/>
      <c r="BO109" s="336"/>
      <c r="BP109" s="273">
        <f t="shared" si="29"/>
        <v>22000000</v>
      </c>
      <c r="BQ109" s="273">
        <f t="shared" si="27"/>
        <v>22000000</v>
      </c>
      <c r="BR109" s="273">
        <f t="shared" si="28"/>
        <v>22000000</v>
      </c>
      <c r="BS109" s="247" t="s">
        <v>1651</v>
      </c>
      <c r="BT109" s="233"/>
    </row>
    <row r="110" spans="1:72" s="27" customFormat="1" ht="110.25" customHeight="1" x14ac:dyDescent="0.2">
      <c r="A110" s="217">
        <v>312</v>
      </c>
      <c r="B110" s="216" t="s">
        <v>1622</v>
      </c>
      <c r="C110" s="213">
        <v>2</v>
      </c>
      <c r="D110" s="216" t="s">
        <v>1621</v>
      </c>
      <c r="E110" s="213">
        <v>35</v>
      </c>
      <c r="F110" s="216" t="s">
        <v>401</v>
      </c>
      <c r="G110" s="213">
        <v>3502</v>
      </c>
      <c r="H110" s="216" t="s">
        <v>1583</v>
      </c>
      <c r="I110" s="213">
        <v>3502</v>
      </c>
      <c r="J110" s="216" t="s">
        <v>1582</v>
      </c>
      <c r="K110" s="216" t="s">
        <v>549</v>
      </c>
      <c r="L110" s="304">
        <v>3502017</v>
      </c>
      <c r="M110" s="216" t="s">
        <v>550</v>
      </c>
      <c r="N110" s="304">
        <v>3502017</v>
      </c>
      <c r="O110" s="216" t="s">
        <v>550</v>
      </c>
      <c r="P110" s="74" t="s">
        <v>551</v>
      </c>
      <c r="Q110" s="311" t="s">
        <v>552</v>
      </c>
      <c r="R110" s="74" t="s">
        <v>551</v>
      </c>
      <c r="S110" s="311" t="s">
        <v>552</v>
      </c>
      <c r="T110" s="236" t="s">
        <v>1671</v>
      </c>
      <c r="U110" s="76">
        <v>6</v>
      </c>
      <c r="V110" s="76">
        <v>6</v>
      </c>
      <c r="W110" s="236" t="s">
        <v>553</v>
      </c>
      <c r="X110" s="214" t="s">
        <v>554</v>
      </c>
      <c r="Y110" s="216" t="s">
        <v>555</v>
      </c>
      <c r="Z110" s="289"/>
      <c r="AA110" s="289"/>
      <c r="AB110" s="289"/>
      <c r="AC110" s="289"/>
      <c r="AD110" s="289"/>
      <c r="AE110" s="289"/>
      <c r="AF110" s="289"/>
      <c r="AG110" s="289"/>
      <c r="AH110" s="289"/>
      <c r="AI110" s="289"/>
      <c r="AJ110" s="289"/>
      <c r="AK110" s="289"/>
      <c r="AL110" s="289"/>
      <c r="AM110" s="289"/>
      <c r="AN110" s="289"/>
      <c r="AO110" s="289"/>
      <c r="AP110" s="289"/>
      <c r="AQ110" s="289"/>
      <c r="AR110" s="289"/>
      <c r="AS110" s="289"/>
      <c r="AT110" s="289"/>
      <c r="AU110" s="289"/>
      <c r="AV110" s="289"/>
      <c r="AW110" s="289"/>
      <c r="AX110" s="289"/>
      <c r="AY110" s="289"/>
      <c r="AZ110" s="289"/>
      <c r="BA110" s="289"/>
      <c r="BB110" s="289"/>
      <c r="BC110" s="289"/>
      <c r="BD110" s="290">
        <v>18000000</v>
      </c>
      <c r="BE110" s="290">
        <v>18000000</v>
      </c>
      <c r="BF110" s="290">
        <v>18000000</v>
      </c>
      <c r="BG110" s="290"/>
      <c r="BH110" s="336"/>
      <c r="BI110" s="336"/>
      <c r="BJ110" s="336"/>
      <c r="BK110" s="336"/>
      <c r="BL110" s="336"/>
      <c r="BM110" s="336"/>
      <c r="BN110" s="336"/>
      <c r="BO110" s="336"/>
      <c r="BP110" s="273">
        <f t="shared" si="29"/>
        <v>18000000</v>
      </c>
      <c r="BQ110" s="273">
        <f t="shared" si="27"/>
        <v>18000000</v>
      </c>
      <c r="BR110" s="273">
        <f t="shared" si="28"/>
        <v>18000000</v>
      </c>
      <c r="BS110" s="247" t="s">
        <v>1651</v>
      </c>
      <c r="BT110" s="233"/>
    </row>
    <row r="111" spans="1:72" s="233" customFormat="1" ht="130.5" customHeight="1" x14ac:dyDescent="0.25">
      <c r="A111" s="217">
        <v>312</v>
      </c>
      <c r="B111" s="216" t="s">
        <v>1622</v>
      </c>
      <c r="C111" s="213">
        <v>2</v>
      </c>
      <c r="D111" s="216" t="s">
        <v>1621</v>
      </c>
      <c r="E111" s="213">
        <v>35</v>
      </c>
      <c r="F111" s="216" t="s">
        <v>401</v>
      </c>
      <c r="G111" s="213">
        <v>3502</v>
      </c>
      <c r="H111" s="216" t="s">
        <v>1583</v>
      </c>
      <c r="I111" s="213">
        <v>3502</v>
      </c>
      <c r="J111" s="216" t="s">
        <v>1582</v>
      </c>
      <c r="K111" s="216" t="s">
        <v>549</v>
      </c>
      <c r="L111" s="304">
        <v>3502007</v>
      </c>
      <c r="M111" s="216" t="s">
        <v>556</v>
      </c>
      <c r="N111" s="304">
        <v>3502007</v>
      </c>
      <c r="O111" s="216" t="s">
        <v>556</v>
      </c>
      <c r="P111" s="213" t="s">
        <v>411</v>
      </c>
      <c r="Q111" s="216" t="s">
        <v>412</v>
      </c>
      <c r="R111" s="213" t="s">
        <v>411</v>
      </c>
      <c r="S111" s="216" t="s">
        <v>412</v>
      </c>
      <c r="T111" s="236" t="s">
        <v>1671</v>
      </c>
      <c r="U111" s="213">
        <v>5</v>
      </c>
      <c r="V111" s="213">
        <v>4</v>
      </c>
      <c r="W111" s="236" t="s">
        <v>553</v>
      </c>
      <c r="X111" s="214" t="s">
        <v>554</v>
      </c>
      <c r="Y111" s="216" t="s">
        <v>555</v>
      </c>
      <c r="Z111" s="289"/>
      <c r="AA111" s="289"/>
      <c r="AB111" s="289"/>
      <c r="AC111" s="289"/>
      <c r="AD111" s="289"/>
      <c r="AE111" s="289"/>
      <c r="AF111" s="289"/>
      <c r="AG111" s="289"/>
      <c r="AH111" s="289"/>
      <c r="AI111" s="289"/>
      <c r="AJ111" s="289"/>
      <c r="AK111" s="289"/>
      <c r="AL111" s="289"/>
      <c r="AM111" s="289"/>
      <c r="AN111" s="289"/>
      <c r="AO111" s="289"/>
      <c r="AP111" s="289"/>
      <c r="AQ111" s="289"/>
      <c r="AR111" s="289"/>
      <c r="AS111" s="289"/>
      <c r="AT111" s="289"/>
      <c r="AU111" s="289"/>
      <c r="AV111" s="289"/>
      <c r="AW111" s="289"/>
      <c r="AX111" s="289"/>
      <c r="AY111" s="289"/>
      <c r="AZ111" s="289"/>
      <c r="BA111" s="289"/>
      <c r="BB111" s="289"/>
      <c r="BC111" s="289"/>
      <c r="BD111" s="290">
        <v>18000000</v>
      </c>
      <c r="BE111" s="290">
        <v>16195000</v>
      </c>
      <c r="BF111" s="290">
        <v>16195000</v>
      </c>
      <c r="BG111" s="290"/>
      <c r="BH111" s="336"/>
      <c r="BI111" s="336"/>
      <c r="BJ111" s="336"/>
      <c r="BK111" s="336"/>
      <c r="BL111" s="336"/>
      <c r="BM111" s="336"/>
      <c r="BN111" s="336"/>
      <c r="BO111" s="336"/>
      <c r="BP111" s="273">
        <f t="shared" si="29"/>
        <v>18000000</v>
      </c>
      <c r="BQ111" s="273">
        <f t="shared" si="27"/>
        <v>16195000</v>
      </c>
      <c r="BR111" s="273">
        <f t="shared" si="28"/>
        <v>16195000</v>
      </c>
      <c r="BS111" s="247" t="s">
        <v>1651</v>
      </c>
    </row>
    <row r="112" spans="1:72" s="27" customFormat="1" ht="131.25" customHeight="1" x14ac:dyDescent="0.2">
      <c r="A112" s="217">
        <v>312</v>
      </c>
      <c r="B112" s="216" t="s">
        <v>1622</v>
      </c>
      <c r="C112" s="213">
        <v>3</v>
      </c>
      <c r="D112" s="216" t="s">
        <v>1616</v>
      </c>
      <c r="E112" s="213">
        <v>32</v>
      </c>
      <c r="F112" s="216" t="s">
        <v>207</v>
      </c>
      <c r="G112" s="217">
        <v>3201</v>
      </c>
      <c r="H112" s="216" t="s">
        <v>1592</v>
      </c>
      <c r="I112" s="217">
        <v>3201</v>
      </c>
      <c r="J112" s="216" t="s">
        <v>1593</v>
      </c>
      <c r="K112" s="216" t="s">
        <v>209</v>
      </c>
      <c r="L112" s="304">
        <v>3201013</v>
      </c>
      <c r="M112" s="216" t="s">
        <v>559</v>
      </c>
      <c r="N112" s="304">
        <v>3201013</v>
      </c>
      <c r="O112" s="216" t="s">
        <v>559</v>
      </c>
      <c r="P112" s="74" t="s">
        <v>560</v>
      </c>
      <c r="Q112" s="311" t="s">
        <v>561</v>
      </c>
      <c r="R112" s="74" t="s">
        <v>560</v>
      </c>
      <c r="S112" s="311" t="s">
        <v>561</v>
      </c>
      <c r="T112" s="236" t="s">
        <v>1673</v>
      </c>
      <c r="U112" s="76">
        <v>1</v>
      </c>
      <c r="V112" s="76">
        <v>1</v>
      </c>
      <c r="W112" s="324" t="s">
        <v>562</v>
      </c>
      <c r="X112" s="214" t="s">
        <v>563</v>
      </c>
      <c r="Y112" s="216" t="s">
        <v>564</v>
      </c>
      <c r="Z112" s="308"/>
      <c r="AA112" s="308"/>
      <c r="AB112" s="308"/>
      <c r="AC112" s="308"/>
      <c r="AD112" s="308"/>
      <c r="AE112" s="308"/>
      <c r="AF112" s="308"/>
      <c r="AG112" s="308"/>
      <c r="AH112" s="308"/>
      <c r="AI112" s="308"/>
      <c r="AJ112" s="308"/>
      <c r="AK112" s="308"/>
      <c r="AL112" s="308"/>
      <c r="AM112" s="308"/>
      <c r="AN112" s="308"/>
      <c r="AO112" s="308"/>
      <c r="AP112" s="308"/>
      <c r="AQ112" s="308"/>
      <c r="AR112" s="308"/>
      <c r="AS112" s="308"/>
      <c r="AT112" s="308"/>
      <c r="AU112" s="308"/>
      <c r="AV112" s="308"/>
      <c r="AW112" s="308"/>
      <c r="AX112" s="308"/>
      <c r="AY112" s="308"/>
      <c r="AZ112" s="308"/>
      <c r="BA112" s="308"/>
      <c r="BB112" s="308"/>
      <c r="BC112" s="308"/>
      <c r="BD112" s="290">
        <f>32000000-543501</f>
        <v>31456499</v>
      </c>
      <c r="BE112" s="290">
        <v>31456499</v>
      </c>
      <c r="BF112" s="290">
        <v>31456499</v>
      </c>
      <c r="BG112" s="336"/>
      <c r="BH112" s="336"/>
      <c r="BI112" s="336"/>
      <c r="BJ112" s="336"/>
      <c r="BK112" s="336"/>
      <c r="BL112" s="336"/>
      <c r="BM112" s="336"/>
      <c r="BN112" s="336"/>
      <c r="BO112" s="336"/>
      <c r="BP112" s="273">
        <f t="shared" ref="BP112:BP126" si="30">+Z112+AC112+AF112+AI112+AL112+AO112+AR112+AU112+AX112+BA112+BD112+BG112+BJ112</f>
        <v>31456499</v>
      </c>
      <c r="BQ112" s="273">
        <f t="shared" si="27"/>
        <v>31456499</v>
      </c>
      <c r="BR112" s="273">
        <f t="shared" si="28"/>
        <v>31456499</v>
      </c>
      <c r="BS112" s="247" t="s">
        <v>1651</v>
      </c>
      <c r="BT112" s="233"/>
    </row>
    <row r="113" spans="1:72" s="27" customFormat="1" ht="130.5" customHeight="1" x14ac:dyDescent="0.2">
      <c r="A113" s="217">
        <v>312</v>
      </c>
      <c r="B113" s="216" t="s">
        <v>1622</v>
      </c>
      <c r="C113" s="213">
        <v>3</v>
      </c>
      <c r="D113" s="216" t="s">
        <v>1616</v>
      </c>
      <c r="E113" s="213">
        <v>32</v>
      </c>
      <c r="F113" s="216" t="s">
        <v>207</v>
      </c>
      <c r="G113" s="217">
        <v>3201</v>
      </c>
      <c r="H113" s="216" t="s">
        <v>1592</v>
      </c>
      <c r="I113" s="217">
        <v>3201</v>
      </c>
      <c r="J113" s="216" t="s">
        <v>1593</v>
      </c>
      <c r="K113" s="216" t="s">
        <v>209</v>
      </c>
      <c r="L113" s="304">
        <v>3201008</v>
      </c>
      <c r="M113" s="216" t="s">
        <v>565</v>
      </c>
      <c r="N113" s="304">
        <v>3201008</v>
      </c>
      <c r="O113" s="216" t="s">
        <v>565</v>
      </c>
      <c r="P113" s="74" t="s">
        <v>566</v>
      </c>
      <c r="Q113" s="216" t="s">
        <v>567</v>
      </c>
      <c r="R113" s="74" t="s">
        <v>566</v>
      </c>
      <c r="S113" s="216" t="s">
        <v>567</v>
      </c>
      <c r="T113" s="236" t="s">
        <v>1673</v>
      </c>
      <c r="U113" s="76">
        <v>2</v>
      </c>
      <c r="V113" s="76">
        <v>2</v>
      </c>
      <c r="W113" s="324" t="s">
        <v>562</v>
      </c>
      <c r="X113" s="214" t="s">
        <v>563</v>
      </c>
      <c r="Y113" s="216" t="s">
        <v>564</v>
      </c>
      <c r="Z113" s="308"/>
      <c r="AA113" s="308"/>
      <c r="AB113" s="308"/>
      <c r="AC113" s="308"/>
      <c r="AD113" s="308"/>
      <c r="AE113" s="308"/>
      <c r="AF113" s="308"/>
      <c r="AG113" s="308"/>
      <c r="AH113" s="308"/>
      <c r="AI113" s="308"/>
      <c r="AJ113" s="308"/>
      <c r="AK113" s="308"/>
      <c r="AL113" s="308"/>
      <c r="AM113" s="308"/>
      <c r="AN113" s="308"/>
      <c r="AO113" s="308"/>
      <c r="AP113" s="308"/>
      <c r="AQ113" s="308"/>
      <c r="AR113" s="308"/>
      <c r="AS113" s="308"/>
      <c r="AT113" s="308"/>
      <c r="AU113" s="308"/>
      <c r="AV113" s="308"/>
      <c r="AW113" s="308"/>
      <c r="AX113" s="308"/>
      <c r="AY113" s="308"/>
      <c r="AZ113" s="308"/>
      <c r="BA113" s="308"/>
      <c r="BB113" s="308"/>
      <c r="BC113" s="308"/>
      <c r="BD113" s="290">
        <v>50000000</v>
      </c>
      <c r="BE113" s="290">
        <v>50000000</v>
      </c>
      <c r="BF113" s="290">
        <v>50000000</v>
      </c>
      <c r="BG113" s="336"/>
      <c r="BH113" s="336"/>
      <c r="BI113" s="336"/>
      <c r="BJ113" s="336"/>
      <c r="BK113" s="336"/>
      <c r="BL113" s="336"/>
      <c r="BM113" s="336"/>
      <c r="BN113" s="336"/>
      <c r="BO113" s="336"/>
      <c r="BP113" s="273">
        <f t="shared" si="30"/>
        <v>50000000</v>
      </c>
      <c r="BQ113" s="273">
        <f t="shared" si="27"/>
        <v>50000000</v>
      </c>
      <c r="BR113" s="273">
        <f t="shared" si="28"/>
        <v>50000000</v>
      </c>
      <c r="BS113" s="247" t="s">
        <v>1651</v>
      </c>
      <c r="BT113" s="233"/>
    </row>
    <row r="114" spans="1:72" s="27" customFormat="1" ht="175.5" customHeight="1" x14ac:dyDescent="0.2">
      <c r="A114" s="217">
        <v>312</v>
      </c>
      <c r="B114" s="216" t="s">
        <v>1622</v>
      </c>
      <c r="C114" s="213">
        <v>3</v>
      </c>
      <c r="D114" s="216" t="s">
        <v>1616</v>
      </c>
      <c r="E114" s="213">
        <v>32</v>
      </c>
      <c r="F114" s="216" t="s">
        <v>207</v>
      </c>
      <c r="G114" s="213">
        <v>3202</v>
      </c>
      <c r="H114" s="216" t="s">
        <v>568</v>
      </c>
      <c r="I114" s="213">
        <v>3202</v>
      </c>
      <c r="J114" s="216" t="s">
        <v>1594</v>
      </c>
      <c r="K114" s="216" t="s">
        <v>209</v>
      </c>
      <c r="L114" s="304" t="s">
        <v>569</v>
      </c>
      <c r="M114" s="216" t="s">
        <v>570</v>
      </c>
      <c r="N114" s="304" t="s">
        <v>569</v>
      </c>
      <c r="O114" s="216" t="s">
        <v>570</v>
      </c>
      <c r="P114" s="74" t="s">
        <v>571</v>
      </c>
      <c r="Q114" s="311" t="s">
        <v>572</v>
      </c>
      <c r="R114" s="74" t="s">
        <v>571</v>
      </c>
      <c r="S114" s="311" t="s">
        <v>572</v>
      </c>
      <c r="T114" s="236" t="s">
        <v>1673</v>
      </c>
      <c r="U114" s="76">
        <v>600</v>
      </c>
      <c r="V114" s="76">
        <v>0</v>
      </c>
      <c r="W114" s="236" t="s">
        <v>573</v>
      </c>
      <c r="X114" s="214" t="s">
        <v>574</v>
      </c>
      <c r="Y114" s="216" t="s">
        <v>575</v>
      </c>
      <c r="Z114" s="289"/>
      <c r="AA114" s="289"/>
      <c r="AB114" s="289"/>
      <c r="AC114" s="289"/>
      <c r="AD114" s="289"/>
      <c r="AE114" s="289"/>
      <c r="AF114" s="289"/>
      <c r="AG114" s="289"/>
      <c r="AH114" s="289"/>
      <c r="AI114" s="289"/>
      <c r="AJ114" s="289"/>
      <c r="AK114" s="289"/>
      <c r="AL114" s="289"/>
      <c r="AM114" s="289"/>
      <c r="AN114" s="289"/>
      <c r="AO114" s="289"/>
      <c r="AP114" s="289"/>
      <c r="AQ114" s="289"/>
      <c r="AR114" s="289"/>
      <c r="AS114" s="289"/>
      <c r="AT114" s="289"/>
      <c r="AU114" s="289"/>
      <c r="AV114" s="289"/>
      <c r="AW114" s="289"/>
      <c r="AX114" s="289"/>
      <c r="AY114" s="289"/>
      <c r="AZ114" s="289"/>
      <c r="BA114" s="289"/>
      <c r="BB114" s="289"/>
      <c r="BC114" s="289"/>
      <c r="BD114" s="290">
        <f>200000000+20000000</f>
        <v>220000000</v>
      </c>
      <c r="BE114" s="290">
        <v>20000000</v>
      </c>
      <c r="BF114" s="290">
        <v>20000000</v>
      </c>
      <c r="BG114" s="336"/>
      <c r="BH114" s="336"/>
      <c r="BI114" s="336"/>
      <c r="BJ114" s="336"/>
      <c r="BK114" s="336"/>
      <c r="BL114" s="336"/>
      <c r="BM114" s="336"/>
      <c r="BN114" s="336"/>
      <c r="BO114" s="336"/>
      <c r="BP114" s="273">
        <f t="shared" si="30"/>
        <v>220000000</v>
      </c>
      <c r="BQ114" s="273">
        <f t="shared" ref="BQ114:BQ119" si="31">+AA114+AD114+AG114+AJ114+AM114+AP114+AS114+AV114+AY114+BB114+BE114+BH114+BK114</f>
        <v>20000000</v>
      </c>
      <c r="BR114" s="273">
        <f t="shared" ref="BR114:BR119" si="32">+AB114+AE114+AH114+AK114+AN114+AQ114+AT114+AW114+AZ114+BC114+BF114+BI114+BL114</f>
        <v>20000000</v>
      </c>
      <c r="BS114" s="247" t="s">
        <v>1651</v>
      </c>
      <c r="BT114" s="233"/>
    </row>
    <row r="115" spans="1:72" s="27" customFormat="1" ht="186" customHeight="1" x14ac:dyDescent="0.2">
      <c r="A115" s="217">
        <v>312</v>
      </c>
      <c r="B115" s="216" t="s">
        <v>1622</v>
      </c>
      <c r="C115" s="213">
        <v>3</v>
      </c>
      <c r="D115" s="216" t="s">
        <v>1616</v>
      </c>
      <c r="E115" s="213">
        <v>32</v>
      </c>
      <c r="F115" s="216" t="s">
        <v>207</v>
      </c>
      <c r="G115" s="213">
        <v>3202</v>
      </c>
      <c r="H115" s="216" t="s">
        <v>568</v>
      </c>
      <c r="I115" s="213">
        <v>3202</v>
      </c>
      <c r="J115" s="216" t="s">
        <v>1594</v>
      </c>
      <c r="K115" s="216" t="s">
        <v>209</v>
      </c>
      <c r="L115" s="304">
        <v>3202037</v>
      </c>
      <c r="M115" s="216" t="s">
        <v>576</v>
      </c>
      <c r="N115" s="304">
        <v>3202037</v>
      </c>
      <c r="O115" s="216" t="s">
        <v>576</v>
      </c>
      <c r="P115" s="74" t="s">
        <v>577</v>
      </c>
      <c r="Q115" s="311" t="s">
        <v>578</v>
      </c>
      <c r="R115" s="74" t="s">
        <v>577</v>
      </c>
      <c r="S115" s="311" t="s">
        <v>578</v>
      </c>
      <c r="T115" s="236" t="s">
        <v>1673</v>
      </c>
      <c r="U115" s="76">
        <v>40</v>
      </c>
      <c r="V115" s="76">
        <v>0</v>
      </c>
      <c r="W115" s="236" t="s">
        <v>573</v>
      </c>
      <c r="X115" s="214" t="s">
        <v>574</v>
      </c>
      <c r="Y115" s="216" t="s">
        <v>575</v>
      </c>
      <c r="Z115" s="289"/>
      <c r="AA115" s="289"/>
      <c r="AB115" s="289"/>
      <c r="AC115" s="289"/>
      <c r="AD115" s="289"/>
      <c r="AE115" s="289"/>
      <c r="AF115" s="289"/>
      <c r="AG115" s="289"/>
      <c r="AH115" s="289"/>
      <c r="AI115" s="289"/>
      <c r="AJ115" s="289"/>
      <c r="AK115" s="289"/>
      <c r="AL115" s="289"/>
      <c r="AM115" s="289"/>
      <c r="AN115" s="289"/>
      <c r="AO115" s="289"/>
      <c r="AP115" s="289"/>
      <c r="AQ115" s="289"/>
      <c r="AR115" s="289"/>
      <c r="AS115" s="289"/>
      <c r="AT115" s="289"/>
      <c r="AU115" s="289"/>
      <c r="AV115" s="289"/>
      <c r="AW115" s="289"/>
      <c r="AX115" s="289"/>
      <c r="AY115" s="289"/>
      <c r="AZ115" s="289"/>
      <c r="BA115" s="289"/>
      <c r="BB115" s="289"/>
      <c r="BC115" s="289"/>
      <c r="BD115" s="290">
        <f>82575952+12672234</f>
        <v>95248186</v>
      </c>
      <c r="BE115" s="290"/>
      <c r="BF115" s="290"/>
      <c r="BG115" s="336"/>
      <c r="BH115" s="336"/>
      <c r="BI115" s="336"/>
      <c r="BJ115" s="336"/>
      <c r="BK115" s="336"/>
      <c r="BL115" s="336"/>
      <c r="BM115" s="336"/>
      <c r="BN115" s="336"/>
      <c r="BO115" s="336"/>
      <c r="BP115" s="273">
        <f t="shared" si="30"/>
        <v>95248186</v>
      </c>
      <c r="BQ115" s="273">
        <f t="shared" si="31"/>
        <v>0</v>
      </c>
      <c r="BR115" s="273">
        <f t="shared" si="32"/>
        <v>0</v>
      </c>
      <c r="BS115" s="247" t="s">
        <v>1651</v>
      </c>
      <c r="BT115" s="233"/>
    </row>
    <row r="116" spans="1:72" s="27" customFormat="1" ht="186" customHeight="1" x14ac:dyDescent="0.2">
      <c r="A116" s="217">
        <v>312</v>
      </c>
      <c r="B116" s="216" t="s">
        <v>1622</v>
      </c>
      <c r="C116" s="213">
        <v>3</v>
      </c>
      <c r="D116" s="216" t="s">
        <v>1616</v>
      </c>
      <c r="E116" s="213">
        <v>32</v>
      </c>
      <c r="F116" s="216" t="s">
        <v>207</v>
      </c>
      <c r="G116" s="213">
        <v>3202</v>
      </c>
      <c r="H116" s="216" t="s">
        <v>568</v>
      </c>
      <c r="I116" s="213">
        <v>3202</v>
      </c>
      <c r="J116" s="216" t="s">
        <v>1594</v>
      </c>
      <c r="K116" s="216" t="s">
        <v>209</v>
      </c>
      <c r="L116" s="213" t="s">
        <v>41</v>
      </c>
      <c r="M116" s="216" t="s">
        <v>579</v>
      </c>
      <c r="N116" s="217">
        <v>3202037</v>
      </c>
      <c r="O116" s="216" t="s">
        <v>576</v>
      </c>
      <c r="P116" s="213" t="s">
        <v>41</v>
      </c>
      <c r="Q116" s="311" t="s">
        <v>580</v>
      </c>
      <c r="R116" s="217">
        <v>320203700</v>
      </c>
      <c r="S116" s="311" t="s">
        <v>581</v>
      </c>
      <c r="T116" s="236" t="s">
        <v>1673</v>
      </c>
      <c r="U116" s="76">
        <v>60</v>
      </c>
      <c r="V116" s="76">
        <v>58.3</v>
      </c>
      <c r="W116" s="236" t="s">
        <v>573</v>
      </c>
      <c r="X116" s="214" t="s">
        <v>574</v>
      </c>
      <c r="Y116" s="216" t="s">
        <v>575</v>
      </c>
      <c r="Z116" s="289"/>
      <c r="AA116" s="289"/>
      <c r="AB116" s="289"/>
      <c r="AC116" s="289"/>
      <c r="AD116" s="289"/>
      <c r="AE116" s="289"/>
      <c r="AF116" s="289"/>
      <c r="AG116" s="289"/>
      <c r="AH116" s="289"/>
      <c r="AI116" s="289"/>
      <c r="AJ116" s="289"/>
      <c r="AK116" s="289"/>
      <c r="AL116" s="289"/>
      <c r="AM116" s="289"/>
      <c r="AN116" s="289"/>
      <c r="AO116" s="289"/>
      <c r="AP116" s="289"/>
      <c r="AQ116" s="289"/>
      <c r="AR116" s="289"/>
      <c r="AS116" s="289"/>
      <c r="AT116" s="289"/>
      <c r="AU116" s="289"/>
      <c r="AV116" s="289"/>
      <c r="AW116" s="289"/>
      <c r="AX116" s="289"/>
      <c r="AY116" s="289"/>
      <c r="AZ116" s="289"/>
      <c r="BA116" s="289"/>
      <c r="BB116" s="289"/>
      <c r="BC116" s="289"/>
      <c r="BD116" s="290">
        <f>400000000+20000000+290383203</f>
        <v>710383203</v>
      </c>
      <c r="BE116" s="290">
        <v>331955352.56999999</v>
      </c>
      <c r="BF116" s="290">
        <v>331955352.56999999</v>
      </c>
      <c r="BG116" s="336"/>
      <c r="BH116" s="336"/>
      <c r="BI116" s="336"/>
      <c r="BJ116" s="336"/>
      <c r="BK116" s="336"/>
      <c r="BL116" s="336"/>
      <c r="BM116" s="336"/>
      <c r="BN116" s="336"/>
      <c r="BO116" s="336"/>
      <c r="BP116" s="273">
        <f t="shared" si="30"/>
        <v>710383203</v>
      </c>
      <c r="BQ116" s="273">
        <f t="shared" si="31"/>
        <v>331955352.56999999</v>
      </c>
      <c r="BR116" s="273">
        <f t="shared" si="32"/>
        <v>331955352.56999999</v>
      </c>
      <c r="BS116" s="247" t="s">
        <v>1651</v>
      </c>
      <c r="BT116" s="233"/>
    </row>
    <row r="117" spans="1:72" s="27" customFormat="1" ht="186" customHeight="1" x14ac:dyDescent="0.2">
      <c r="A117" s="217">
        <v>312</v>
      </c>
      <c r="B117" s="216" t="s">
        <v>1622</v>
      </c>
      <c r="C117" s="213">
        <v>3</v>
      </c>
      <c r="D117" s="216" t="s">
        <v>1616</v>
      </c>
      <c r="E117" s="213">
        <v>32</v>
      </c>
      <c r="F117" s="216" t="s">
        <v>207</v>
      </c>
      <c r="G117" s="213">
        <v>3202</v>
      </c>
      <c r="H117" s="216" t="s">
        <v>568</v>
      </c>
      <c r="I117" s="213">
        <v>3202</v>
      </c>
      <c r="J117" s="216" t="s">
        <v>1594</v>
      </c>
      <c r="K117" s="216" t="s">
        <v>209</v>
      </c>
      <c r="L117" s="213">
        <v>3202017</v>
      </c>
      <c r="M117" s="216" t="s">
        <v>582</v>
      </c>
      <c r="N117" s="304">
        <v>3202043</v>
      </c>
      <c r="O117" s="216" t="s">
        <v>583</v>
      </c>
      <c r="P117" s="213" t="s">
        <v>584</v>
      </c>
      <c r="Q117" s="311" t="s">
        <v>585</v>
      </c>
      <c r="R117" s="74">
        <v>320204300</v>
      </c>
      <c r="S117" s="311" t="s">
        <v>586</v>
      </c>
      <c r="T117" s="236" t="s">
        <v>1671</v>
      </c>
      <c r="U117" s="339">
        <v>1</v>
      </c>
      <c r="V117" s="339">
        <v>0.5</v>
      </c>
      <c r="W117" s="236" t="s">
        <v>573</v>
      </c>
      <c r="X117" s="214" t="s">
        <v>574</v>
      </c>
      <c r="Y117" s="216" t="s">
        <v>575</v>
      </c>
      <c r="Z117" s="289"/>
      <c r="AA117" s="289"/>
      <c r="AB117" s="289"/>
      <c r="AC117" s="289"/>
      <c r="AD117" s="289"/>
      <c r="AE117" s="289"/>
      <c r="AF117" s="289"/>
      <c r="AG117" s="289"/>
      <c r="AH117" s="289"/>
      <c r="AI117" s="289"/>
      <c r="AJ117" s="289"/>
      <c r="AK117" s="289"/>
      <c r="AL117" s="289"/>
      <c r="AM117" s="289"/>
      <c r="AN117" s="289"/>
      <c r="AO117" s="289"/>
      <c r="AP117" s="289"/>
      <c r="AQ117" s="289"/>
      <c r="AR117" s="289"/>
      <c r="AS117" s="289"/>
      <c r="AT117" s="289"/>
      <c r="AU117" s="289"/>
      <c r="AV117" s="289"/>
      <c r="AW117" s="289"/>
      <c r="AX117" s="289"/>
      <c r="AY117" s="289"/>
      <c r="AZ117" s="289"/>
      <c r="BA117" s="289"/>
      <c r="BB117" s="289"/>
      <c r="BC117" s="289"/>
      <c r="BD117" s="290">
        <f>100000000+20000000</f>
        <v>120000000</v>
      </c>
      <c r="BE117" s="290">
        <v>34672666</v>
      </c>
      <c r="BF117" s="290">
        <v>34672666</v>
      </c>
      <c r="BG117" s="336"/>
      <c r="BH117" s="336"/>
      <c r="BI117" s="336"/>
      <c r="BJ117" s="336"/>
      <c r="BK117" s="336"/>
      <c r="BL117" s="336"/>
      <c r="BM117" s="336"/>
      <c r="BN117" s="336"/>
      <c r="BO117" s="336"/>
      <c r="BP117" s="273">
        <f t="shared" si="30"/>
        <v>120000000</v>
      </c>
      <c r="BQ117" s="273">
        <f t="shared" si="31"/>
        <v>34672666</v>
      </c>
      <c r="BR117" s="273">
        <f t="shared" si="32"/>
        <v>34672666</v>
      </c>
      <c r="BS117" s="247" t="s">
        <v>1651</v>
      </c>
      <c r="BT117" s="233"/>
    </row>
    <row r="118" spans="1:72" s="27" customFormat="1" ht="216.75" customHeight="1" x14ac:dyDescent="0.2">
      <c r="A118" s="217">
        <v>312</v>
      </c>
      <c r="B118" s="216" t="s">
        <v>1622</v>
      </c>
      <c r="C118" s="213">
        <v>3</v>
      </c>
      <c r="D118" s="216" t="s">
        <v>1616</v>
      </c>
      <c r="E118" s="213">
        <v>32</v>
      </c>
      <c r="F118" s="216" t="s">
        <v>207</v>
      </c>
      <c r="G118" s="213">
        <v>3202</v>
      </c>
      <c r="H118" s="216" t="s">
        <v>568</v>
      </c>
      <c r="I118" s="213">
        <v>3202</v>
      </c>
      <c r="J118" s="216" t="s">
        <v>1594</v>
      </c>
      <c r="K118" s="216" t="s">
        <v>209</v>
      </c>
      <c r="L118" s="213" t="s">
        <v>41</v>
      </c>
      <c r="M118" s="216" t="s">
        <v>587</v>
      </c>
      <c r="N118" s="304">
        <v>3202014</v>
      </c>
      <c r="O118" s="216" t="s">
        <v>1481</v>
      </c>
      <c r="P118" s="213" t="s">
        <v>41</v>
      </c>
      <c r="Q118" s="311" t="s">
        <v>588</v>
      </c>
      <c r="R118" s="74">
        <v>320201402</v>
      </c>
      <c r="S118" s="311" t="s">
        <v>589</v>
      </c>
      <c r="T118" s="236" t="s">
        <v>1671</v>
      </c>
      <c r="U118" s="339">
        <v>1</v>
      </c>
      <c r="V118" s="339">
        <v>1</v>
      </c>
      <c r="W118" s="236" t="s">
        <v>590</v>
      </c>
      <c r="X118" s="214" t="s">
        <v>591</v>
      </c>
      <c r="Y118" s="216" t="s">
        <v>592</v>
      </c>
      <c r="Z118" s="289"/>
      <c r="AA118" s="289"/>
      <c r="AB118" s="289"/>
      <c r="AC118" s="289"/>
      <c r="AD118" s="289"/>
      <c r="AE118" s="289"/>
      <c r="AF118" s="289"/>
      <c r="AG118" s="289"/>
      <c r="AH118" s="289"/>
      <c r="AI118" s="289"/>
      <c r="AJ118" s="289"/>
      <c r="AK118" s="289"/>
      <c r="AL118" s="289"/>
      <c r="AM118" s="289"/>
      <c r="AN118" s="289"/>
      <c r="AO118" s="289"/>
      <c r="AP118" s="289"/>
      <c r="AQ118" s="289"/>
      <c r="AR118" s="289"/>
      <c r="AS118" s="289"/>
      <c r="AT118" s="289"/>
      <c r="AU118" s="289"/>
      <c r="AV118" s="289"/>
      <c r="AW118" s="289"/>
      <c r="AX118" s="289"/>
      <c r="AY118" s="289"/>
      <c r="AZ118" s="289"/>
      <c r="BA118" s="289"/>
      <c r="BB118" s="289"/>
      <c r="BC118" s="289"/>
      <c r="BD118" s="290">
        <v>36000000</v>
      </c>
      <c r="BE118" s="290">
        <v>34532000</v>
      </c>
      <c r="BF118" s="290">
        <v>34532000</v>
      </c>
      <c r="BG118" s="336"/>
      <c r="BH118" s="336"/>
      <c r="BI118" s="336"/>
      <c r="BJ118" s="336"/>
      <c r="BK118" s="336"/>
      <c r="BL118" s="336"/>
      <c r="BM118" s="336"/>
      <c r="BN118" s="336"/>
      <c r="BO118" s="336"/>
      <c r="BP118" s="273">
        <f t="shared" si="30"/>
        <v>36000000</v>
      </c>
      <c r="BQ118" s="273">
        <f t="shared" si="31"/>
        <v>34532000</v>
      </c>
      <c r="BR118" s="273">
        <f t="shared" si="32"/>
        <v>34532000</v>
      </c>
      <c r="BS118" s="247" t="s">
        <v>1651</v>
      </c>
      <c r="BT118" s="233"/>
    </row>
    <row r="119" spans="1:72" s="27" customFormat="1" ht="204" customHeight="1" x14ac:dyDescent="0.2">
      <c r="A119" s="217">
        <v>312</v>
      </c>
      <c r="B119" s="216" t="s">
        <v>1622</v>
      </c>
      <c r="C119" s="213">
        <v>3</v>
      </c>
      <c r="D119" s="216" t="s">
        <v>1616</v>
      </c>
      <c r="E119" s="213">
        <v>32</v>
      </c>
      <c r="F119" s="216" t="s">
        <v>207</v>
      </c>
      <c r="G119" s="213">
        <v>3202</v>
      </c>
      <c r="H119" s="216" t="s">
        <v>568</v>
      </c>
      <c r="I119" s="213">
        <v>3202</v>
      </c>
      <c r="J119" s="216" t="s">
        <v>1594</v>
      </c>
      <c r="K119" s="216" t="s">
        <v>209</v>
      </c>
      <c r="L119" s="213" t="s">
        <v>41</v>
      </c>
      <c r="M119" s="216" t="s">
        <v>593</v>
      </c>
      <c r="N119" s="213">
        <v>3202014</v>
      </c>
      <c r="O119" s="216" t="s">
        <v>1481</v>
      </c>
      <c r="P119" s="213" t="s">
        <v>41</v>
      </c>
      <c r="Q119" s="311" t="s">
        <v>594</v>
      </c>
      <c r="R119" s="213">
        <v>320201402</v>
      </c>
      <c r="S119" s="311" t="s">
        <v>589</v>
      </c>
      <c r="T119" s="236" t="s">
        <v>1673</v>
      </c>
      <c r="U119" s="339">
        <v>1</v>
      </c>
      <c r="V119" s="339">
        <v>1</v>
      </c>
      <c r="W119" s="236" t="s">
        <v>595</v>
      </c>
      <c r="X119" s="214" t="s">
        <v>596</v>
      </c>
      <c r="Y119" s="216" t="s">
        <v>597</v>
      </c>
      <c r="Z119" s="289"/>
      <c r="AA119" s="289"/>
      <c r="AB119" s="289"/>
      <c r="AC119" s="289"/>
      <c r="AD119" s="289"/>
      <c r="AE119" s="289"/>
      <c r="AF119" s="289"/>
      <c r="AG119" s="289"/>
      <c r="AH119" s="289"/>
      <c r="AI119" s="289"/>
      <c r="AJ119" s="289"/>
      <c r="AK119" s="289"/>
      <c r="AL119" s="289"/>
      <c r="AM119" s="289"/>
      <c r="AN119" s="289"/>
      <c r="AO119" s="289"/>
      <c r="AP119" s="289"/>
      <c r="AQ119" s="289"/>
      <c r="AR119" s="289"/>
      <c r="AS119" s="289"/>
      <c r="AT119" s="289"/>
      <c r="AU119" s="289"/>
      <c r="AV119" s="289"/>
      <c r="AW119" s="289"/>
      <c r="AX119" s="289"/>
      <c r="AY119" s="289"/>
      <c r="AZ119" s="289"/>
      <c r="BA119" s="289"/>
      <c r="BB119" s="289"/>
      <c r="BC119" s="289"/>
      <c r="BD119" s="290">
        <v>54000000</v>
      </c>
      <c r="BE119" s="290">
        <v>43120666</v>
      </c>
      <c r="BF119" s="290">
        <v>43120666</v>
      </c>
      <c r="BG119" s="336"/>
      <c r="BH119" s="336"/>
      <c r="BI119" s="336"/>
      <c r="BJ119" s="336"/>
      <c r="BK119" s="336"/>
      <c r="BL119" s="336"/>
      <c r="BM119" s="336"/>
      <c r="BN119" s="336"/>
      <c r="BO119" s="336"/>
      <c r="BP119" s="273">
        <f t="shared" si="30"/>
        <v>54000000</v>
      </c>
      <c r="BQ119" s="273">
        <f t="shared" si="31"/>
        <v>43120666</v>
      </c>
      <c r="BR119" s="273">
        <f t="shared" si="32"/>
        <v>43120666</v>
      </c>
      <c r="BS119" s="247" t="s">
        <v>1651</v>
      </c>
      <c r="BT119" s="233"/>
    </row>
    <row r="120" spans="1:72" s="27" customFormat="1" ht="206.25" customHeight="1" x14ac:dyDescent="0.2">
      <c r="A120" s="217">
        <v>312</v>
      </c>
      <c r="B120" s="216" t="s">
        <v>1622</v>
      </c>
      <c r="C120" s="213">
        <v>3</v>
      </c>
      <c r="D120" s="216" t="s">
        <v>1616</v>
      </c>
      <c r="E120" s="213">
        <v>32</v>
      </c>
      <c r="F120" s="216" t="s">
        <v>207</v>
      </c>
      <c r="G120" s="213">
        <v>3204</v>
      </c>
      <c r="H120" s="216" t="s">
        <v>1595</v>
      </c>
      <c r="I120" s="213">
        <v>3204</v>
      </c>
      <c r="J120" s="216" t="s">
        <v>1595</v>
      </c>
      <c r="K120" s="216" t="s">
        <v>209</v>
      </c>
      <c r="L120" s="304">
        <v>3204012</v>
      </c>
      <c r="M120" s="216" t="s">
        <v>600</v>
      </c>
      <c r="N120" s="304">
        <v>3204012</v>
      </c>
      <c r="O120" s="216" t="s">
        <v>600</v>
      </c>
      <c r="P120" s="74" t="s">
        <v>601</v>
      </c>
      <c r="Q120" s="311" t="s">
        <v>602</v>
      </c>
      <c r="R120" s="74" t="s">
        <v>601</v>
      </c>
      <c r="S120" s="311" t="s">
        <v>602</v>
      </c>
      <c r="T120" s="236" t="s">
        <v>1673</v>
      </c>
      <c r="U120" s="76">
        <v>2</v>
      </c>
      <c r="V120" s="76">
        <v>1</v>
      </c>
      <c r="W120" s="236" t="s">
        <v>603</v>
      </c>
      <c r="X120" s="214" t="s">
        <v>604</v>
      </c>
      <c r="Y120" s="216" t="s">
        <v>605</v>
      </c>
      <c r="Z120" s="289"/>
      <c r="AA120" s="289"/>
      <c r="AB120" s="289"/>
      <c r="AC120" s="289"/>
      <c r="AD120" s="289"/>
      <c r="AE120" s="289"/>
      <c r="AF120" s="289"/>
      <c r="AG120" s="289"/>
      <c r="AH120" s="289"/>
      <c r="AI120" s="289"/>
      <c r="AJ120" s="289"/>
      <c r="AK120" s="289"/>
      <c r="AL120" s="289"/>
      <c r="AM120" s="289"/>
      <c r="AN120" s="289"/>
      <c r="AO120" s="289"/>
      <c r="AP120" s="289"/>
      <c r="AQ120" s="289"/>
      <c r="AR120" s="289"/>
      <c r="AS120" s="289"/>
      <c r="AT120" s="289"/>
      <c r="AU120" s="289"/>
      <c r="AV120" s="289"/>
      <c r="AW120" s="289"/>
      <c r="AX120" s="289"/>
      <c r="AY120" s="289"/>
      <c r="AZ120" s="289"/>
      <c r="BA120" s="289"/>
      <c r="BB120" s="289"/>
      <c r="BC120" s="289"/>
      <c r="BD120" s="290">
        <v>120000000</v>
      </c>
      <c r="BE120" s="290">
        <v>52835333</v>
      </c>
      <c r="BF120" s="290">
        <v>52835333</v>
      </c>
      <c r="BG120" s="336"/>
      <c r="BH120" s="336"/>
      <c r="BI120" s="336"/>
      <c r="BJ120" s="336"/>
      <c r="BK120" s="336"/>
      <c r="BL120" s="336"/>
      <c r="BM120" s="336"/>
      <c r="BN120" s="336"/>
      <c r="BO120" s="336"/>
      <c r="BP120" s="273">
        <f t="shared" si="30"/>
        <v>120000000</v>
      </c>
      <c r="BQ120" s="273">
        <f t="shared" ref="BQ120:BR126" si="33">+AA120+AD120+AG120+AJ120+AM120+AP120+AS120+AV120+AY120+BB120+BE120+BH120+BK120</f>
        <v>52835333</v>
      </c>
      <c r="BR120" s="273">
        <f t="shared" si="33"/>
        <v>52835333</v>
      </c>
      <c r="BS120" s="247" t="s">
        <v>1651</v>
      </c>
      <c r="BT120" s="233"/>
    </row>
    <row r="121" spans="1:72" s="27" customFormat="1" ht="98.25" customHeight="1" x14ac:dyDescent="0.2">
      <c r="A121" s="217">
        <v>312</v>
      </c>
      <c r="B121" s="216" t="s">
        <v>1622</v>
      </c>
      <c r="C121" s="213">
        <v>3</v>
      </c>
      <c r="D121" s="216" t="s">
        <v>1616</v>
      </c>
      <c r="E121" s="213">
        <v>32</v>
      </c>
      <c r="F121" s="216" t="s">
        <v>207</v>
      </c>
      <c r="G121" s="213">
        <v>3205</v>
      </c>
      <c r="H121" s="216" t="s">
        <v>208</v>
      </c>
      <c r="I121" s="213">
        <v>3205</v>
      </c>
      <c r="J121" s="216" t="s">
        <v>1596</v>
      </c>
      <c r="K121" s="216" t="s">
        <v>209</v>
      </c>
      <c r="L121" s="304" t="s">
        <v>606</v>
      </c>
      <c r="M121" s="216" t="s">
        <v>607</v>
      </c>
      <c r="N121" s="304" t="s">
        <v>606</v>
      </c>
      <c r="O121" s="216" t="s">
        <v>607</v>
      </c>
      <c r="P121" s="213" t="s">
        <v>608</v>
      </c>
      <c r="Q121" s="216" t="s">
        <v>609</v>
      </c>
      <c r="R121" s="213" t="s">
        <v>608</v>
      </c>
      <c r="S121" s="216" t="s">
        <v>609</v>
      </c>
      <c r="T121" s="236" t="s">
        <v>1673</v>
      </c>
      <c r="U121" s="76">
        <v>200</v>
      </c>
      <c r="V121" s="76">
        <v>0</v>
      </c>
      <c r="W121" s="236" t="s">
        <v>610</v>
      </c>
      <c r="X121" s="214" t="s">
        <v>611</v>
      </c>
      <c r="Y121" s="216" t="s">
        <v>612</v>
      </c>
      <c r="Z121" s="296"/>
      <c r="AA121" s="296"/>
      <c r="AB121" s="296"/>
      <c r="AC121" s="289"/>
      <c r="AD121" s="289"/>
      <c r="AE121" s="289"/>
      <c r="AF121" s="289"/>
      <c r="AG121" s="289"/>
      <c r="AH121" s="289"/>
      <c r="AI121" s="289"/>
      <c r="AJ121" s="289"/>
      <c r="AK121" s="289"/>
      <c r="AL121" s="289"/>
      <c r="AM121" s="289"/>
      <c r="AN121" s="289"/>
      <c r="AO121" s="289"/>
      <c r="AP121" s="289"/>
      <c r="AQ121" s="289"/>
      <c r="AR121" s="289"/>
      <c r="AS121" s="289"/>
      <c r="AT121" s="289"/>
      <c r="AU121" s="289"/>
      <c r="AV121" s="289"/>
      <c r="AW121" s="289"/>
      <c r="AX121" s="289"/>
      <c r="AY121" s="289"/>
      <c r="AZ121" s="289"/>
      <c r="BA121" s="289"/>
      <c r="BB121" s="289"/>
      <c r="BC121" s="289"/>
      <c r="BD121" s="290">
        <v>20000000</v>
      </c>
      <c r="BE121" s="544"/>
      <c r="BF121" s="544"/>
      <c r="BG121" s="336"/>
      <c r="BH121" s="336"/>
      <c r="BI121" s="336"/>
      <c r="BJ121" s="336"/>
      <c r="BK121" s="336"/>
      <c r="BL121" s="336"/>
      <c r="BM121" s="336"/>
      <c r="BN121" s="336"/>
      <c r="BO121" s="336"/>
      <c r="BP121" s="273">
        <f t="shared" si="30"/>
        <v>20000000</v>
      </c>
      <c r="BQ121" s="273">
        <f t="shared" si="33"/>
        <v>0</v>
      </c>
      <c r="BR121" s="273">
        <f t="shared" si="33"/>
        <v>0</v>
      </c>
      <c r="BS121" s="247" t="s">
        <v>1651</v>
      </c>
      <c r="BT121" s="233"/>
    </row>
    <row r="122" spans="1:72" s="27" customFormat="1" ht="105.75" customHeight="1" x14ac:dyDescent="0.2">
      <c r="A122" s="217">
        <v>312</v>
      </c>
      <c r="B122" s="216" t="s">
        <v>1622</v>
      </c>
      <c r="C122" s="213">
        <v>3</v>
      </c>
      <c r="D122" s="216" t="s">
        <v>1616</v>
      </c>
      <c r="E122" s="213">
        <v>32</v>
      </c>
      <c r="F122" s="216" t="s">
        <v>207</v>
      </c>
      <c r="G122" s="213">
        <v>3205</v>
      </c>
      <c r="H122" s="216" t="s">
        <v>208</v>
      </c>
      <c r="I122" s="213">
        <v>3205</v>
      </c>
      <c r="J122" s="216" t="s">
        <v>1596</v>
      </c>
      <c r="K122" s="216" t="s">
        <v>209</v>
      </c>
      <c r="L122" s="304" t="s">
        <v>613</v>
      </c>
      <c r="M122" s="216" t="s">
        <v>614</v>
      </c>
      <c r="N122" s="304" t="s">
        <v>613</v>
      </c>
      <c r="O122" s="216" t="s">
        <v>614</v>
      </c>
      <c r="P122" s="213" t="s">
        <v>615</v>
      </c>
      <c r="Q122" s="216" t="s">
        <v>616</v>
      </c>
      <c r="R122" s="213" t="s">
        <v>615</v>
      </c>
      <c r="S122" s="216" t="s">
        <v>616</v>
      </c>
      <c r="T122" s="236" t="s">
        <v>1673</v>
      </c>
      <c r="U122" s="76">
        <v>10</v>
      </c>
      <c r="V122" s="76">
        <v>0</v>
      </c>
      <c r="W122" s="236" t="s">
        <v>610</v>
      </c>
      <c r="X122" s="214" t="s">
        <v>611</v>
      </c>
      <c r="Y122" s="216" t="s">
        <v>612</v>
      </c>
      <c r="Z122" s="296"/>
      <c r="AA122" s="296"/>
      <c r="AB122" s="296"/>
      <c r="AC122" s="289"/>
      <c r="AD122" s="289"/>
      <c r="AE122" s="289"/>
      <c r="AF122" s="289"/>
      <c r="AG122" s="289"/>
      <c r="AH122" s="289"/>
      <c r="AI122" s="289"/>
      <c r="AJ122" s="289"/>
      <c r="AK122" s="289"/>
      <c r="AL122" s="289"/>
      <c r="AM122" s="289"/>
      <c r="AN122" s="289"/>
      <c r="AO122" s="289"/>
      <c r="AP122" s="289"/>
      <c r="AQ122" s="289"/>
      <c r="AR122" s="289"/>
      <c r="AS122" s="289"/>
      <c r="AT122" s="289"/>
      <c r="AU122" s="289"/>
      <c r="AV122" s="289"/>
      <c r="AW122" s="289"/>
      <c r="AX122" s="289"/>
      <c r="AY122" s="289"/>
      <c r="AZ122" s="289"/>
      <c r="BA122" s="289"/>
      <c r="BB122" s="289"/>
      <c r="BC122" s="289"/>
      <c r="BD122" s="290">
        <v>20000000</v>
      </c>
      <c r="BE122" s="544"/>
      <c r="BF122" s="544"/>
      <c r="BG122" s="336"/>
      <c r="BH122" s="336"/>
      <c r="BI122" s="336"/>
      <c r="BJ122" s="336"/>
      <c r="BK122" s="336"/>
      <c r="BL122" s="336"/>
      <c r="BM122" s="336"/>
      <c r="BN122" s="336"/>
      <c r="BO122" s="336"/>
      <c r="BP122" s="273">
        <f t="shared" si="30"/>
        <v>20000000</v>
      </c>
      <c r="BQ122" s="273">
        <f t="shared" si="33"/>
        <v>0</v>
      </c>
      <c r="BR122" s="273">
        <f t="shared" si="33"/>
        <v>0</v>
      </c>
      <c r="BS122" s="247" t="s">
        <v>1651</v>
      </c>
      <c r="BT122" s="233"/>
    </row>
    <row r="123" spans="1:72" s="27" customFormat="1" ht="105" customHeight="1" x14ac:dyDescent="0.2">
      <c r="A123" s="217">
        <v>312</v>
      </c>
      <c r="B123" s="216" t="s">
        <v>1622</v>
      </c>
      <c r="C123" s="213">
        <v>3</v>
      </c>
      <c r="D123" s="216" t="s">
        <v>1616</v>
      </c>
      <c r="E123" s="213">
        <v>32</v>
      </c>
      <c r="F123" s="216" t="s">
        <v>207</v>
      </c>
      <c r="G123" s="213">
        <v>3205</v>
      </c>
      <c r="H123" s="216" t="s">
        <v>208</v>
      </c>
      <c r="I123" s="213">
        <v>3205</v>
      </c>
      <c r="J123" s="216" t="s">
        <v>1596</v>
      </c>
      <c r="K123" s="216" t="s">
        <v>209</v>
      </c>
      <c r="L123" s="304">
        <v>3205010</v>
      </c>
      <c r="M123" s="216" t="s">
        <v>210</v>
      </c>
      <c r="N123" s="304">
        <v>3205010</v>
      </c>
      <c r="O123" s="216" t="s">
        <v>210</v>
      </c>
      <c r="P123" s="213" t="s">
        <v>211</v>
      </c>
      <c r="Q123" s="216" t="s">
        <v>212</v>
      </c>
      <c r="R123" s="213" t="s">
        <v>211</v>
      </c>
      <c r="S123" s="216" t="s">
        <v>212</v>
      </c>
      <c r="T123" s="236" t="s">
        <v>1673</v>
      </c>
      <c r="U123" s="76">
        <v>1</v>
      </c>
      <c r="V123" s="76">
        <v>0</v>
      </c>
      <c r="W123" s="236" t="s">
        <v>610</v>
      </c>
      <c r="X123" s="214" t="s">
        <v>611</v>
      </c>
      <c r="Y123" s="216" t="s">
        <v>612</v>
      </c>
      <c r="Z123" s="296"/>
      <c r="AA123" s="296"/>
      <c r="AB123" s="296"/>
      <c r="AC123" s="289"/>
      <c r="AD123" s="289"/>
      <c r="AE123" s="289"/>
      <c r="AF123" s="289"/>
      <c r="AG123" s="289"/>
      <c r="AH123" s="289"/>
      <c r="AI123" s="289"/>
      <c r="AJ123" s="289"/>
      <c r="AK123" s="289"/>
      <c r="AL123" s="289"/>
      <c r="AM123" s="289"/>
      <c r="AN123" s="289"/>
      <c r="AO123" s="289"/>
      <c r="AP123" s="289"/>
      <c r="AQ123" s="289"/>
      <c r="AR123" s="289"/>
      <c r="AS123" s="289"/>
      <c r="AT123" s="289"/>
      <c r="AU123" s="289"/>
      <c r="AV123" s="289"/>
      <c r="AW123" s="289"/>
      <c r="AX123" s="289"/>
      <c r="AY123" s="289"/>
      <c r="AZ123" s="289"/>
      <c r="BA123" s="289"/>
      <c r="BB123" s="289"/>
      <c r="BC123" s="289"/>
      <c r="BD123" s="290">
        <v>42000000</v>
      </c>
      <c r="BE123" s="336"/>
      <c r="BF123" s="336"/>
      <c r="BG123" s="336"/>
      <c r="BH123" s="336"/>
      <c r="BI123" s="336"/>
      <c r="BJ123" s="336"/>
      <c r="BK123" s="336"/>
      <c r="BL123" s="336"/>
      <c r="BM123" s="336"/>
      <c r="BN123" s="336"/>
      <c r="BO123" s="336"/>
      <c r="BP123" s="273">
        <f t="shared" si="30"/>
        <v>42000000</v>
      </c>
      <c r="BQ123" s="273">
        <f t="shared" si="33"/>
        <v>0</v>
      </c>
      <c r="BR123" s="273">
        <f t="shared" si="33"/>
        <v>0</v>
      </c>
      <c r="BS123" s="247" t="s">
        <v>1651</v>
      </c>
      <c r="BT123" s="233"/>
    </row>
    <row r="124" spans="1:72" s="27" customFormat="1" ht="119.25" customHeight="1" x14ac:dyDescent="0.2">
      <c r="A124" s="217">
        <v>312</v>
      </c>
      <c r="B124" s="216" t="s">
        <v>1622</v>
      </c>
      <c r="C124" s="213">
        <v>3</v>
      </c>
      <c r="D124" s="216" t="s">
        <v>1616</v>
      </c>
      <c r="E124" s="213">
        <v>32</v>
      </c>
      <c r="F124" s="216" t="s">
        <v>207</v>
      </c>
      <c r="G124" s="213">
        <v>3206</v>
      </c>
      <c r="H124" s="216" t="s">
        <v>618</v>
      </c>
      <c r="I124" s="213">
        <v>3206</v>
      </c>
      <c r="J124" s="216" t="s">
        <v>1597</v>
      </c>
      <c r="K124" s="216" t="s">
        <v>209</v>
      </c>
      <c r="L124" s="304" t="s">
        <v>619</v>
      </c>
      <c r="M124" s="216" t="s">
        <v>620</v>
      </c>
      <c r="N124" s="304" t="s">
        <v>619</v>
      </c>
      <c r="O124" s="216" t="s">
        <v>620</v>
      </c>
      <c r="P124" s="74" t="s">
        <v>621</v>
      </c>
      <c r="Q124" s="311" t="s">
        <v>622</v>
      </c>
      <c r="R124" s="74" t="s">
        <v>621</v>
      </c>
      <c r="S124" s="311" t="s">
        <v>622</v>
      </c>
      <c r="T124" s="236" t="s">
        <v>1673</v>
      </c>
      <c r="U124" s="76">
        <v>6</v>
      </c>
      <c r="V124" s="76">
        <v>6</v>
      </c>
      <c r="W124" s="236" t="s">
        <v>623</v>
      </c>
      <c r="X124" s="214" t="s">
        <v>624</v>
      </c>
      <c r="Y124" s="216" t="s">
        <v>625</v>
      </c>
      <c r="Z124" s="289"/>
      <c r="AA124" s="289"/>
      <c r="AB124" s="289"/>
      <c r="AC124" s="289"/>
      <c r="AD124" s="289"/>
      <c r="AE124" s="289"/>
      <c r="AF124" s="289"/>
      <c r="AG124" s="289"/>
      <c r="AH124" s="289"/>
      <c r="AI124" s="289"/>
      <c r="AJ124" s="289"/>
      <c r="AK124" s="289"/>
      <c r="AL124" s="289"/>
      <c r="AM124" s="289"/>
      <c r="AN124" s="289"/>
      <c r="AO124" s="289"/>
      <c r="AP124" s="289"/>
      <c r="AQ124" s="289"/>
      <c r="AR124" s="289"/>
      <c r="AS124" s="289"/>
      <c r="AT124" s="289"/>
      <c r="AU124" s="289"/>
      <c r="AV124" s="289"/>
      <c r="AW124" s="289"/>
      <c r="AX124" s="289"/>
      <c r="AY124" s="289"/>
      <c r="AZ124" s="289"/>
      <c r="BA124" s="289"/>
      <c r="BB124" s="289"/>
      <c r="BC124" s="289"/>
      <c r="BD124" s="290">
        <v>25000000</v>
      </c>
      <c r="BE124" s="290">
        <v>9535000</v>
      </c>
      <c r="BF124" s="290">
        <v>9535000</v>
      </c>
      <c r="BG124" s="336"/>
      <c r="BH124" s="336"/>
      <c r="BI124" s="336"/>
      <c r="BJ124" s="336"/>
      <c r="BK124" s="336"/>
      <c r="BL124" s="336"/>
      <c r="BM124" s="336"/>
      <c r="BN124" s="336"/>
      <c r="BO124" s="336"/>
      <c r="BP124" s="273">
        <f t="shared" si="30"/>
        <v>25000000</v>
      </c>
      <c r="BQ124" s="273">
        <f t="shared" si="33"/>
        <v>9535000</v>
      </c>
      <c r="BR124" s="273">
        <f t="shared" si="33"/>
        <v>9535000</v>
      </c>
      <c r="BS124" s="247" t="s">
        <v>1651</v>
      </c>
      <c r="BT124" s="233"/>
    </row>
    <row r="125" spans="1:72" s="27" customFormat="1" ht="117.75" customHeight="1" x14ac:dyDescent="0.2">
      <c r="A125" s="217">
        <v>312</v>
      </c>
      <c r="B125" s="216" t="s">
        <v>1622</v>
      </c>
      <c r="C125" s="213">
        <v>3</v>
      </c>
      <c r="D125" s="216" t="s">
        <v>1616</v>
      </c>
      <c r="E125" s="213">
        <v>32</v>
      </c>
      <c r="F125" s="216" t="s">
        <v>207</v>
      </c>
      <c r="G125" s="213">
        <v>3206</v>
      </c>
      <c r="H125" s="216" t="s">
        <v>618</v>
      </c>
      <c r="I125" s="213">
        <v>3206</v>
      </c>
      <c r="J125" s="216" t="s">
        <v>1597</v>
      </c>
      <c r="K125" s="216" t="s">
        <v>209</v>
      </c>
      <c r="L125" s="304">
        <v>3206014</v>
      </c>
      <c r="M125" s="216" t="s">
        <v>626</v>
      </c>
      <c r="N125" s="304">
        <v>3206014</v>
      </c>
      <c r="O125" s="216" t="s">
        <v>626</v>
      </c>
      <c r="P125" s="74" t="s">
        <v>627</v>
      </c>
      <c r="Q125" s="311" t="s">
        <v>628</v>
      </c>
      <c r="R125" s="74" t="s">
        <v>627</v>
      </c>
      <c r="S125" s="311" t="s">
        <v>628</v>
      </c>
      <c r="T125" s="236" t="s">
        <v>1673</v>
      </c>
      <c r="U125" s="76">
        <v>1950</v>
      </c>
      <c r="V125" s="76">
        <v>1932</v>
      </c>
      <c r="W125" s="236" t="s">
        <v>623</v>
      </c>
      <c r="X125" s="214" t="s">
        <v>624</v>
      </c>
      <c r="Y125" s="216" t="s">
        <v>625</v>
      </c>
      <c r="Z125" s="289"/>
      <c r="AA125" s="289"/>
      <c r="AB125" s="289"/>
      <c r="AC125" s="289"/>
      <c r="AD125" s="289"/>
      <c r="AE125" s="289"/>
      <c r="AF125" s="289"/>
      <c r="AG125" s="289"/>
      <c r="AH125" s="289"/>
      <c r="AI125" s="289"/>
      <c r="AJ125" s="289"/>
      <c r="AK125" s="289"/>
      <c r="AL125" s="289"/>
      <c r="AM125" s="289"/>
      <c r="AN125" s="289"/>
      <c r="AO125" s="289"/>
      <c r="AP125" s="289"/>
      <c r="AQ125" s="289"/>
      <c r="AR125" s="289"/>
      <c r="AS125" s="289"/>
      <c r="AT125" s="289"/>
      <c r="AU125" s="289"/>
      <c r="AV125" s="289"/>
      <c r="AW125" s="289"/>
      <c r="AX125" s="289"/>
      <c r="AY125" s="289"/>
      <c r="AZ125" s="289"/>
      <c r="BA125" s="289"/>
      <c r="BB125" s="289"/>
      <c r="BC125" s="289"/>
      <c r="BD125" s="290">
        <v>18000000</v>
      </c>
      <c r="BE125" s="336"/>
      <c r="BF125" s="336"/>
      <c r="BG125" s="336"/>
      <c r="BH125" s="336"/>
      <c r="BI125" s="336"/>
      <c r="BJ125" s="336"/>
      <c r="BK125" s="336"/>
      <c r="BL125" s="336"/>
      <c r="BM125" s="336"/>
      <c r="BN125" s="336"/>
      <c r="BO125" s="336"/>
      <c r="BP125" s="273">
        <f t="shared" si="30"/>
        <v>18000000</v>
      </c>
      <c r="BQ125" s="273">
        <f t="shared" si="33"/>
        <v>0</v>
      </c>
      <c r="BR125" s="273">
        <f t="shared" si="33"/>
        <v>0</v>
      </c>
      <c r="BS125" s="247" t="s">
        <v>1651</v>
      </c>
      <c r="BT125" s="233"/>
    </row>
    <row r="126" spans="1:72" s="27" customFormat="1" ht="113.25" customHeight="1" x14ac:dyDescent="0.2">
      <c r="A126" s="217">
        <v>312</v>
      </c>
      <c r="B126" s="216" t="s">
        <v>1622</v>
      </c>
      <c r="C126" s="213">
        <v>3</v>
      </c>
      <c r="D126" s="216" t="s">
        <v>1616</v>
      </c>
      <c r="E126" s="213">
        <v>32</v>
      </c>
      <c r="F126" s="216" t="s">
        <v>207</v>
      </c>
      <c r="G126" s="213">
        <v>3206</v>
      </c>
      <c r="H126" s="216" t="s">
        <v>618</v>
      </c>
      <c r="I126" s="213">
        <v>3206</v>
      </c>
      <c r="J126" s="216" t="s">
        <v>1597</v>
      </c>
      <c r="K126" s="216" t="s">
        <v>209</v>
      </c>
      <c r="L126" s="304" t="s">
        <v>629</v>
      </c>
      <c r="M126" s="216" t="s">
        <v>630</v>
      </c>
      <c r="N126" s="304" t="s">
        <v>629</v>
      </c>
      <c r="O126" s="216" t="s">
        <v>630</v>
      </c>
      <c r="P126" s="74" t="s">
        <v>631</v>
      </c>
      <c r="Q126" s="311" t="s">
        <v>632</v>
      </c>
      <c r="R126" s="74" t="s">
        <v>631</v>
      </c>
      <c r="S126" s="311" t="s">
        <v>632</v>
      </c>
      <c r="T126" s="236" t="s">
        <v>1673</v>
      </c>
      <c r="U126" s="76">
        <v>20</v>
      </c>
      <c r="V126" s="76">
        <v>0</v>
      </c>
      <c r="W126" s="236" t="s">
        <v>623</v>
      </c>
      <c r="X126" s="214" t="s">
        <v>624</v>
      </c>
      <c r="Y126" s="216" t="s">
        <v>625</v>
      </c>
      <c r="Z126" s="289"/>
      <c r="AA126" s="289"/>
      <c r="AB126" s="289"/>
      <c r="AC126" s="289"/>
      <c r="AD126" s="289"/>
      <c r="AE126" s="289"/>
      <c r="AF126" s="289"/>
      <c r="AG126" s="289"/>
      <c r="AH126" s="289"/>
      <c r="AI126" s="289"/>
      <c r="AJ126" s="289"/>
      <c r="AK126" s="289"/>
      <c r="AL126" s="289"/>
      <c r="AM126" s="289"/>
      <c r="AN126" s="289"/>
      <c r="AO126" s="289"/>
      <c r="AP126" s="289"/>
      <c r="AQ126" s="289"/>
      <c r="AR126" s="289"/>
      <c r="AS126" s="289"/>
      <c r="AT126" s="289"/>
      <c r="AU126" s="289"/>
      <c r="AV126" s="289"/>
      <c r="AW126" s="289"/>
      <c r="AX126" s="289"/>
      <c r="AY126" s="289"/>
      <c r="AZ126" s="289"/>
      <c r="BA126" s="289"/>
      <c r="BB126" s="289"/>
      <c r="BC126" s="289"/>
      <c r="BD126" s="290">
        <v>75000000</v>
      </c>
      <c r="BE126" s="336"/>
      <c r="BF126" s="336"/>
      <c r="BG126" s="336"/>
      <c r="BH126" s="336"/>
      <c r="BI126" s="336"/>
      <c r="BJ126" s="336"/>
      <c r="BK126" s="336"/>
      <c r="BL126" s="336"/>
      <c r="BM126" s="336"/>
      <c r="BN126" s="336"/>
      <c r="BO126" s="336"/>
      <c r="BP126" s="273">
        <f t="shared" si="30"/>
        <v>75000000</v>
      </c>
      <c r="BQ126" s="273">
        <f t="shared" si="33"/>
        <v>0</v>
      </c>
      <c r="BR126" s="273">
        <f t="shared" si="33"/>
        <v>0</v>
      </c>
      <c r="BS126" s="247" t="s">
        <v>1651</v>
      </c>
      <c r="BT126" s="233"/>
    </row>
    <row r="127" spans="1:72" s="27" customFormat="1" ht="222" customHeight="1" x14ac:dyDescent="0.2">
      <c r="A127" s="217">
        <v>313</v>
      </c>
      <c r="B127" s="216" t="s">
        <v>1624</v>
      </c>
      <c r="C127" s="213">
        <v>4</v>
      </c>
      <c r="D127" s="216" t="s">
        <v>1612</v>
      </c>
      <c r="E127" s="213">
        <v>45</v>
      </c>
      <c r="F127" s="287" t="s">
        <v>38</v>
      </c>
      <c r="G127" s="213" t="s">
        <v>41</v>
      </c>
      <c r="H127" s="216" t="s">
        <v>1570</v>
      </c>
      <c r="I127" s="213">
        <v>4599</v>
      </c>
      <c r="J127" s="216" t="s">
        <v>1571</v>
      </c>
      <c r="K127" s="216" t="s">
        <v>40</v>
      </c>
      <c r="L127" s="213" t="s">
        <v>41</v>
      </c>
      <c r="M127" s="216" t="s">
        <v>635</v>
      </c>
      <c r="N127" s="213">
        <v>4599023</v>
      </c>
      <c r="O127" s="216" t="s">
        <v>116</v>
      </c>
      <c r="P127" s="213" t="s">
        <v>41</v>
      </c>
      <c r="Q127" s="291" t="s">
        <v>636</v>
      </c>
      <c r="R127" s="213">
        <v>459902304</v>
      </c>
      <c r="S127" s="291" t="s">
        <v>637</v>
      </c>
      <c r="T127" s="236" t="s">
        <v>1671</v>
      </c>
      <c r="U127" s="339">
        <v>1</v>
      </c>
      <c r="V127" s="339">
        <v>1</v>
      </c>
      <c r="W127" s="236" t="s">
        <v>638</v>
      </c>
      <c r="X127" s="327" t="s">
        <v>639</v>
      </c>
      <c r="Y127" s="327" t="s">
        <v>640</v>
      </c>
      <c r="Z127" s="289"/>
      <c r="AA127" s="289"/>
      <c r="AB127" s="289"/>
      <c r="AC127" s="289"/>
      <c r="AD127" s="289"/>
      <c r="AE127" s="289"/>
      <c r="AF127" s="289"/>
      <c r="AG127" s="289"/>
      <c r="AH127" s="289"/>
      <c r="AI127" s="289"/>
      <c r="AJ127" s="289"/>
      <c r="AK127" s="289"/>
      <c r="AL127" s="289"/>
      <c r="AM127" s="289"/>
      <c r="AN127" s="289"/>
      <c r="AO127" s="289"/>
      <c r="AP127" s="289"/>
      <c r="AQ127" s="289"/>
      <c r="AR127" s="289"/>
      <c r="AS127" s="289"/>
      <c r="AT127" s="289"/>
      <c r="AU127" s="289"/>
      <c r="AV127" s="289"/>
      <c r="AW127" s="289"/>
      <c r="AX127" s="289"/>
      <c r="AY127" s="289"/>
      <c r="AZ127" s="289"/>
      <c r="BA127" s="289"/>
      <c r="BB127" s="289"/>
      <c r="BC127" s="289"/>
      <c r="BD127" s="302">
        <v>249636991.63999999</v>
      </c>
      <c r="BE127" s="302">
        <v>249630991.63999999</v>
      </c>
      <c r="BF127" s="302">
        <v>249630991.63999999</v>
      </c>
      <c r="BG127" s="289"/>
      <c r="BH127" s="289"/>
      <c r="BI127" s="289"/>
      <c r="BJ127" s="289"/>
      <c r="BK127" s="289"/>
      <c r="BL127" s="289"/>
      <c r="BM127" s="289"/>
      <c r="BN127" s="289"/>
      <c r="BO127" s="289"/>
      <c r="BP127" s="273">
        <f>+Z127+AC127+AF127+AI127+AL127+AO127+AR127+AU127+AX127+BA127+BD127+BG127+BJ127</f>
        <v>249636991.63999999</v>
      </c>
      <c r="BQ127" s="273">
        <f t="shared" ref="BP127:BR128" si="34">+AA127+AD127+AG127+AJ127+AM127+AP127+AS127+AV127+AY127+BB127+BE127+BH127+BK127</f>
        <v>249630991.63999999</v>
      </c>
      <c r="BR127" s="273">
        <f t="shared" si="34"/>
        <v>249630991.63999999</v>
      </c>
      <c r="BS127" s="236" t="s">
        <v>1652</v>
      </c>
      <c r="BT127" s="233"/>
    </row>
    <row r="128" spans="1:72" s="27" customFormat="1" ht="193.5" customHeight="1" x14ac:dyDescent="0.2">
      <c r="A128" s="217">
        <v>313</v>
      </c>
      <c r="B128" s="216" t="s">
        <v>1624</v>
      </c>
      <c r="C128" s="213">
        <v>4</v>
      </c>
      <c r="D128" s="216" t="s">
        <v>1612</v>
      </c>
      <c r="E128" s="213">
        <v>45</v>
      </c>
      <c r="F128" s="287" t="s">
        <v>38</v>
      </c>
      <c r="G128" s="213" t="s">
        <v>41</v>
      </c>
      <c r="H128" s="216" t="s">
        <v>1570</v>
      </c>
      <c r="I128" s="213">
        <v>4599</v>
      </c>
      <c r="J128" s="216" t="s">
        <v>1571</v>
      </c>
      <c r="K128" s="216" t="s">
        <v>40</v>
      </c>
      <c r="L128" s="213" t="s">
        <v>41</v>
      </c>
      <c r="M128" s="216" t="s">
        <v>641</v>
      </c>
      <c r="N128" s="213">
        <v>4599029</v>
      </c>
      <c r="O128" s="216" t="s">
        <v>63</v>
      </c>
      <c r="P128" s="213" t="s">
        <v>41</v>
      </c>
      <c r="Q128" s="291" t="s">
        <v>642</v>
      </c>
      <c r="R128" s="217">
        <v>459902900</v>
      </c>
      <c r="S128" s="291" t="s">
        <v>65</v>
      </c>
      <c r="T128" s="236" t="s">
        <v>1671</v>
      </c>
      <c r="U128" s="339">
        <v>1</v>
      </c>
      <c r="V128" s="339">
        <v>1</v>
      </c>
      <c r="W128" s="236" t="s">
        <v>643</v>
      </c>
      <c r="X128" s="214" t="s">
        <v>644</v>
      </c>
      <c r="Y128" s="216" t="s">
        <v>645</v>
      </c>
      <c r="Z128" s="289"/>
      <c r="AA128" s="289"/>
      <c r="AB128" s="289"/>
      <c r="AC128" s="289"/>
      <c r="AD128" s="289"/>
      <c r="AE128" s="289"/>
      <c r="AF128" s="289"/>
      <c r="AG128" s="289"/>
      <c r="AH128" s="289"/>
      <c r="AI128" s="289"/>
      <c r="AJ128" s="289"/>
      <c r="AK128" s="289"/>
      <c r="AL128" s="289"/>
      <c r="AM128" s="289"/>
      <c r="AN128" s="289"/>
      <c r="AO128" s="289"/>
      <c r="AP128" s="289"/>
      <c r="AQ128" s="289"/>
      <c r="AR128" s="289"/>
      <c r="AS128" s="289"/>
      <c r="AT128" s="289"/>
      <c r="AU128" s="289"/>
      <c r="AV128" s="289"/>
      <c r="AW128" s="289"/>
      <c r="AX128" s="289"/>
      <c r="AY128" s="289"/>
      <c r="AZ128" s="289"/>
      <c r="BA128" s="289"/>
      <c r="BB128" s="289"/>
      <c r="BC128" s="289"/>
      <c r="BD128" s="302">
        <v>783075508.38</v>
      </c>
      <c r="BE128" s="302">
        <v>781340164.30999994</v>
      </c>
      <c r="BF128" s="302">
        <v>781340164.30999994</v>
      </c>
      <c r="BG128" s="289"/>
      <c r="BH128" s="289"/>
      <c r="BI128" s="289"/>
      <c r="BJ128" s="289"/>
      <c r="BK128" s="289"/>
      <c r="BL128" s="289"/>
      <c r="BM128" s="289"/>
      <c r="BN128" s="289"/>
      <c r="BO128" s="289"/>
      <c r="BP128" s="273">
        <f t="shared" si="34"/>
        <v>783075508.38</v>
      </c>
      <c r="BQ128" s="273">
        <f t="shared" si="34"/>
        <v>781340164.30999994</v>
      </c>
      <c r="BR128" s="273">
        <f t="shared" si="34"/>
        <v>781340164.30999994</v>
      </c>
      <c r="BS128" s="236" t="s">
        <v>1652</v>
      </c>
      <c r="BT128" s="233"/>
    </row>
    <row r="129" spans="1:72" s="27" customFormat="1" ht="191.25" customHeight="1" x14ac:dyDescent="0.2">
      <c r="A129" s="217">
        <v>313</v>
      </c>
      <c r="B129" s="216" t="s">
        <v>1624</v>
      </c>
      <c r="C129" s="213">
        <v>4</v>
      </c>
      <c r="D129" s="216" t="s">
        <v>1612</v>
      </c>
      <c r="E129" s="213">
        <v>45</v>
      </c>
      <c r="F129" s="287" t="s">
        <v>38</v>
      </c>
      <c r="G129" s="213">
        <v>4502</v>
      </c>
      <c r="H129" s="216" t="s">
        <v>1566</v>
      </c>
      <c r="I129" s="213">
        <v>4502</v>
      </c>
      <c r="J129" s="216" t="s">
        <v>1567</v>
      </c>
      <c r="K129" s="216" t="s">
        <v>61</v>
      </c>
      <c r="L129" s="213" t="s">
        <v>41</v>
      </c>
      <c r="M129" s="216" t="s">
        <v>646</v>
      </c>
      <c r="N129" s="213">
        <v>4502001</v>
      </c>
      <c r="O129" s="216" t="s">
        <v>72</v>
      </c>
      <c r="P129" s="213" t="s">
        <v>41</v>
      </c>
      <c r="Q129" s="291" t="s">
        <v>647</v>
      </c>
      <c r="R129" s="213">
        <v>450200100</v>
      </c>
      <c r="S129" s="291" t="s">
        <v>74</v>
      </c>
      <c r="T129" s="236" t="s">
        <v>1671</v>
      </c>
      <c r="U129" s="76">
        <v>30</v>
      </c>
      <c r="V129" s="76">
        <v>30</v>
      </c>
      <c r="W129" s="324" t="s">
        <v>648</v>
      </c>
      <c r="X129" s="214" t="s">
        <v>649</v>
      </c>
      <c r="Y129" s="216" t="s">
        <v>650</v>
      </c>
      <c r="Z129" s="308"/>
      <c r="AA129" s="308"/>
      <c r="AB129" s="308"/>
      <c r="AC129" s="308"/>
      <c r="AD129" s="308"/>
      <c r="AE129" s="308"/>
      <c r="AF129" s="308"/>
      <c r="AG129" s="308"/>
      <c r="AH129" s="308"/>
      <c r="AI129" s="308"/>
      <c r="AJ129" s="308"/>
      <c r="AK129" s="308"/>
      <c r="AL129" s="308"/>
      <c r="AM129" s="308"/>
      <c r="AN129" s="308"/>
      <c r="AO129" s="308"/>
      <c r="AP129" s="308"/>
      <c r="AQ129" s="308"/>
      <c r="AR129" s="308"/>
      <c r="AS129" s="308"/>
      <c r="AT129" s="308"/>
      <c r="AU129" s="308"/>
      <c r="AV129" s="308"/>
      <c r="AW129" s="308"/>
      <c r="AX129" s="308"/>
      <c r="AY129" s="308"/>
      <c r="AZ129" s="308"/>
      <c r="BA129" s="308"/>
      <c r="BB129" s="308"/>
      <c r="BC129" s="308"/>
      <c r="BD129" s="333">
        <v>144287499.97999999</v>
      </c>
      <c r="BE129" s="333">
        <v>144287499.97999999</v>
      </c>
      <c r="BF129" s="333">
        <v>144287499.97999999</v>
      </c>
      <c r="BG129" s="308"/>
      <c r="BH129" s="308"/>
      <c r="BI129" s="308"/>
      <c r="BJ129" s="308"/>
      <c r="BK129" s="308"/>
      <c r="BL129" s="308"/>
      <c r="BM129" s="308"/>
      <c r="BN129" s="308"/>
      <c r="BO129" s="308"/>
      <c r="BP129" s="273">
        <f t="shared" ref="BP129:BR130" si="35">+Z129+AC129+AF129+AI129+AL129+AO129+AR129+AU129+AX129+BA129+BD129+BG129+BJ129</f>
        <v>144287499.97999999</v>
      </c>
      <c r="BQ129" s="273">
        <f t="shared" si="35"/>
        <v>144287499.97999999</v>
      </c>
      <c r="BR129" s="273">
        <f t="shared" si="35"/>
        <v>144287499.97999999</v>
      </c>
      <c r="BS129" s="236" t="s">
        <v>1652</v>
      </c>
      <c r="BT129" s="233"/>
    </row>
    <row r="130" spans="1:72" s="27" customFormat="1" ht="130.5" customHeight="1" x14ac:dyDescent="0.2">
      <c r="A130" s="217">
        <v>314</v>
      </c>
      <c r="B130" s="216" t="s">
        <v>1626</v>
      </c>
      <c r="C130" s="213">
        <v>1</v>
      </c>
      <c r="D130" s="216" t="s">
        <v>1614</v>
      </c>
      <c r="E130" s="213">
        <v>22</v>
      </c>
      <c r="F130" s="287" t="s">
        <v>156</v>
      </c>
      <c r="G130" s="213">
        <v>2201</v>
      </c>
      <c r="H130" s="216" t="s">
        <v>277</v>
      </c>
      <c r="I130" s="213">
        <v>2201</v>
      </c>
      <c r="J130" s="216" t="s">
        <v>1587</v>
      </c>
      <c r="K130" s="216" t="s">
        <v>652</v>
      </c>
      <c r="L130" s="213">
        <v>2201030</v>
      </c>
      <c r="M130" s="216" t="s">
        <v>653</v>
      </c>
      <c r="N130" s="213">
        <v>2201030</v>
      </c>
      <c r="O130" s="216" t="s">
        <v>653</v>
      </c>
      <c r="P130" s="334">
        <v>220103000</v>
      </c>
      <c r="Q130" s="216" t="s">
        <v>654</v>
      </c>
      <c r="R130" s="334">
        <v>220103000</v>
      </c>
      <c r="S130" s="216" t="s">
        <v>654</v>
      </c>
      <c r="T130" s="236" t="s">
        <v>1671</v>
      </c>
      <c r="U130" s="76">
        <v>2500</v>
      </c>
      <c r="V130" s="76">
        <v>2292</v>
      </c>
      <c r="W130" s="236" t="s">
        <v>655</v>
      </c>
      <c r="X130" s="214" t="s">
        <v>656</v>
      </c>
      <c r="Y130" s="216" t="s">
        <v>657</v>
      </c>
      <c r="Z130" s="289"/>
      <c r="AA130" s="289"/>
      <c r="AB130" s="289"/>
      <c r="AC130" s="289"/>
      <c r="AD130" s="289"/>
      <c r="AE130" s="289"/>
      <c r="AF130" s="289"/>
      <c r="AG130" s="289"/>
      <c r="AH130" s="289"/>
      <c r="AI130" s="289"/>
      <c r="AJ130" s="289"/>
      <c r="AK130" s="289"/>
      <c r="AL130" s="289"/>
      <c r="AM130" s="289"/>
      <c r="AN130" s="289"/>
      <c r="AO130" s="289"/>
      <c r="AP130" s="289"/>
      <c r="AQ130" s="289"/>
      <c r="AR130" s="289">
        <v>1343703729</v>
      </c>
      <c r="AS130" s="289">
        <v>1300832085</v>
      </c>
      <c r="AT130" s="289">
        <v>1300832085</v>
      </c>
      <c r="AU130" s="289"/>
      <c r="AV130" s="289"/>
      <c r="AW130" s="289"/>
      <c r="AX130" s="289"/>
      <c r="AY130" s="289"/>
      <c r="AZ130" s="289"/>
      <c r="BA130" s="289"/>
      <c r="BB130" s="289"/>
      <c r="BC130" s="289"/>
      <c r="BD130" s="294"/>
      <c r="BE130" s="294"/>
      <c r="BF130" s="294"/>
      <c r="BG130" s="289"/>
      <c r="BH130" s="289"/>
      <c r="BI130" s="289"/>
      <c r="BJ130" s="289"/>
      <c r="BK130" s="289"/>
      <c r="BL130" s="289"/>
      <c r="BM130" s="289"/>
      <c r="BN130" s="289"/>
      <c r="BO130" s="289"/>
      <c r="BP130" s="273">
        <f>+Z130+AC130+AF130+AI130+AL130+AO130+AR130+AU130+AX130+BA130+BD130+BG130+BJ130</f>
        <v>1343703729</v>
      </c>
      <c r="BQ130" s="273">
        <f>+AA130+AD130+AG130+AJ130+AM130+AP130+AS130+AV130+AY130+BB130+BE130+BH130+BK130</f>
        <v>1300832085</v>
      </c>
      <c r="BR130" s="273">
        <f t="shared" si="35"/>
        <v>1300832085</v>
      </c>
      <c r="BS130" s="246" t="s">
        <v>1653</v>
      </c>
      <c r="BT130" s="233"/>
    </row>
    <row r="131" spans="1:72" s="27" customFormat="1" ht="111.75" customHeight="1" x14ac:dyDescent="0.2">
      <c r="A131" s="217">
        <v>314</v>
      </c>
      <c r="B131" s="216" t="s">
        <v>1626</v>
      </c>
      <c r="C131" s="213">
        <v>1</v>
      </c>
      <c r="D131" s="216" t="s">
        <v>1614</v>
      </c>
      <c r="E131" s="213">
        <v>22</v>
      </c>
      <c r="F131" s="287" t="s">
        <v>156</v>
      </c>
      <c r="G131" s="213">
        <v>2201</v>
      </c>
      <c r="H131" s="216" t="s">
        <v>277</v>
      </c>
      <c r="I131" s="213">
        <v>2201</v>
      </c>
      <c r="J131" s="216" t="s">
        <v>1587</v>
      </c>
      <c r="K131" s="216" t="s">
        <v>658</v>
      </c>
      <c r="L131" s="213">
        <v>2201033</v>
      </c>
      <c r="M131" s="216" t="s">
        <v>659</v>
      </c>
      <c r="N131" s="213">
        <v>2201033</v>
      </c>
      <c r="O131" s="216" t="s">
        <v>659</v>
      </c>
      <c r="P131" s="334">
        <v>220103300</v>
      </c>
      <c r="Q131" s="311" t="s">
        <v>660</v>
      </c>
      <c r="R131" s="334">
        <v>220103300</v>
      </c>
      <c r="S131" s="311" t="s">
        <v>660</v>
      </c>
      <c r="T131" s="236" t="s">
        <v>1673</v>
      </c>
      <c r="U131" s="76">
        <v>9000</v>
      </c>
      <c r="V131" s="76">
        <v>9000</v>
      </c>
      <c r="W131" s="236" t="s">
        <v>655</v>
      </c>
      <c r="X131" s="214" t="s">
        <v>656</v>
      </c>
      <c r="Y131" s="216" t="s">
        <v>657</v>
      </c>
      <c r="Z131" s="289"/>
      <c r="AA131" s="289"/>
      <c r="AB131" s="289"/>
      <c r="AC131" s="289"/>
      <c r="AD131" s="289"/>
      <c r="AE131" s="289"/>
      <c r="AF131" s="289"/>
      <c r="AG131" s="289"/>
      <c r="AH131" s="289"/>
      <c r="AI131" s="289"/>
      <c r="AJ131" s="289"/>
      <c r="AK131" s="289"/>
      <c r="AL131" s="289"/>
      <c r="AM131" s="289"/>
      <c r="AN131" s="289"/>
      <c r="AO131" s="289"/>
      <c r="AP131" s="289"/>
      <c r="AQ131" s="289"/>
      <c r="AR131" s="289"/>
      <c r="AS131" s="289"/>
      <c r="AT131" s="289"/>
      <c r="AU131" s="289"/>
      <c r="AV131" s="289"/>
      <c r="AW131" s="289"/>
      <c r="AX131" s="289"/>
      <c r="AY131" s="289"/>
      <c r="AZ131" s="289"/>
      <c r="BA131" s="289"/>
      <c r="BB131" s="289"/>
      <c r="BC131" s="289"/>
      <c r="BD131" s="340">
        <f>18000000</f>
        <v>18000000</v>
      </c>
      <c r="BE131" s="340">
        <v>18000000</v>
      </c>
      <c r="BF131" s="340">
        <v>18000000</v>
      </c>
      <c r="BG131" s="289"/>
      <c r="BH131" s="289"/>
      <c r="BI131" s="289"/>
      <c r="BJ131" s="289"/>
      <c r="BK131" s="289"/>
      <c r="BL131" s="289"/>
      <c r="BM131" s="289"/>
      <c r="BN131" s="289"/>
      <c r="BO131" s="289"/>
      <c r="BP131" s="273">
        <f>+Z131+AC131+AF131+AI131+AL131+AO131+AR131+AU131+AX131+BA131+BD131+BG131+BJ131</f>
        <v>18000000</v>
      </c>
      <c r="BQ131" s="273">
        <f t="shared" ref="BQ131:BQ142" si="36">+AA131+AD131+AG131+AJ131+AM131+AP131+AS131+AV131+AY131+BB131+BE131+BH131+BK131</f>
        <v>18000000</v>
      </c>
      <c r="BR131" s="273">
        <f t="shared" ref="BR131:BR141" si="37">+AB131+AE131+AH131+AK131+AN131+AQ131+AT131+AW131+AZ131+BC131+BF131+BI131+BL131</f>
        <v>18000000</v>
      </c>
      <c r="BS131" s="246" t="s">
        <v>1653</v>
      </c>
      <c r="BT131" s="233"/>
    </row>
    <row r="132" spans="1:72" s="27" customFormat="1" ht="120" customHeight="1" x14ac:dyDescent="0.2">
      <c r="A132" s="217">
        <v>314</v>
      </c>
      <c r="B132" s="216" t="s">
        <v>1626</v>
      </c>
      <c r="C132" s="213">
        <v>1</v>
      </c>
      <c r="D132" s="216" t="s">
        <v>1614</v>
      </c>
      <c r="E132" s="213">
        <v>22</v>
      </c>
      <c r="F132" s="287" t="s">
        <v>156</v>
      </c>
      <c r="G132" s="213">
        <v>2201</v>
      </c>
      <c r="H132" s="216" t="s">
        <v>277</v>
      </c>
      <c r="I132" s="213">
        <v>2201</v>
      </c>
      <c r="J132" s="216" t="s">
        <v>1587</v>
      </c>
      <c r="K132" s="216" t="s">
        <v>661</v>
      </c>
      <c r="L132" s="213">
        <v>2201032</v>
      </c>
      <c r="M132" s="216" t="s">
        <v>662</v>
      </c>
      <c r="N132" s="213">
        <v>2201032</v>
      </c>
      <c r="O132" s="216" t="s">
        <v>662</v>
      </c>
      <c r="P132" s="304">
        <v>220103200</v>
      </c>
      <c r="Q132" s="216" t="s">
        <v>663</v>
      </c>
      <c r="R132" s="304">
        <v>220103200</v>
      </c>
      <c r="S132" s="216" t="s">
        <v>663</v>
      </c>
      <c r="T132" s="236" t="s">
        <v>1673</v>
      </c>
      <c r="U132" s="76">
        <v>200</v>
      </c>
      <c r="V132" s="76">
        <v>264</v>
      </c>
      <c r="W132" s="236" t="s">
        <v>655</v>
      </c>
      <c r="X132" s="214" t="s">
        <v>656</v>
      </c>
      <c r="Y132" s="216" t="s">
        <v>657</v>
      </c>
      <c r="Z132" s="289"/>
      <c r="AA132" s="289"/>
      <c r="AB132" s="289"/>
      <c r="AC132" s="289"/>
      <c r="AD132" s="289"/>
      <c r="AE132" s="289"/>
      <c r="AF132" s="289"/>
      <c r="AG132" s="289"/>
      <c r="AH132" s="289"/>
      <c r="AI132" s="289"/>
      <c r="AJ132" s="289"/>
      <c r="AK132" s="289"/>
      <c r="AL132" s="289"/>
      <c r="AM132" s="289"/>
      <c r="AN132" s="289"/>
      <c r="AO132" s="289"/>
      <c r="AP132" s="289"/>
      <c r="AQ132" s="289"/>
      <c r="AR132" s="289"/>
      <c r="AS132" s="289"/>
      <c r="AT132" s="289"/>
      <c r="AU132" s="289"/>
      <c r="AV132" s="289"/>
      <c r="AW132" s="289"/>
      <c r="AX132" s="289"/>
      <c r="AY132" s="289"/>
      <c r="AZ132" s="289"/>
      <c r="BA132" s="289"/>
      <c r="BB132" s="289"/>
      <c r="BC132" s="289"/>
      <c r="BD132" s="326">
        <f>10000000.01-10000000.01</f>
        <v>0</v>
      </c>
      <c r="BE132" s="326"/>
      <c r="BF132" s="326"/>
      <c r="BG132" s="289"/>
      <c r="BH132" s="289"/>
      <c r="BI132" s="289"/>
      <c r="BJ132" s="289"/>
      <c r="BK132" s="289"/>
      <c r="BL132" s="289"/>
      <c r="BM132" s="289"/>
      <c r="BN132" s="289"/>
      <c r="BO132" s="289"/>
      <c r="BP132" s="273">
        <f t="shared" ref="BP132:BP141" si="38">+Z132+AC132+AF132+AI132+AL132+AO132+AR132+AU132+AX132+BA132+BD132+BG132+BJ132</f>
        <v>0</v>
      </c>
      <c r="BQ132" s="273">
        <f t="shared" si="36"/>
        <v>0</v>
      </c>
      <c r="BR132" s="273">
        <f t="shared" si="37"/>
        <v>0</v>
      </c>
      <c r="BS132" s="246" t="s">
        <v>1653</v>
      </c>
      <c r="BT132" s="233"/>
    </row>
    <row r="133" spans="1:72" s="27" customFormat="1" ht="175.5" customHeight="1" x14ac:dyDescent="0.2">
      <c r="A133" s="217">
        <v>314</v>
      </c>
      <c r="B133" s="216" t="s">
        <v>1626</v>
      </c>
      <c r="C133" s="213">
        <v>1</v>
      </c>
      <c r="D133" s="216" t="s">
        <v>1614</v>
      </c>
      <c r="E133" s="213">
        <v>22</v>
      </c>
      <c r="F133" s="287" t="s">
        <v>156</v>
      </c>
      <c r="G133" s="213">
        <v>2201</v>
      </c>
      <c r="H133" s="216" t="s">
        <v>277</v>
      </c>
      <c r="I133" s="213">
        <v>2201</v>
      </c>
      <c r="J133" s="216" t="s">
        <v>1587</v>
      </c>
      <c r="K133" s="216" t="s">
        <v>664</v>
      </c>
      <c r="L133" s="213">
        <v>2201055</v>
      </c>
      <c r="M133" s="216" t="s">
        <v>665</v>
      </c>
      <c r="N133" s="213">
        <v>2201055</v>
      </c>
      <c r="O133" s="216" t="s">
        <v>665</v>
      </c>
      <c r="P133" s="334">
        <v>220105500</v>
      </c>
      <c r="Q133" s="311" t="s">
        <v>666</v>
      </c>
      <c r="R133" s="334">
        <v>220105500</v>
      </c>
      <c r="S133" s="311" t="s">
        <v>666</v>
      </c>
      <c r="T133" s="236" t="s">
        <v>1671</v>
      </c>
      <c r="U133" s="76">
        <v>1</v>
      </c>
      <c r="V133" s="76">
        <v>1</v>
      </c>
      <c r="W133" s="236" t="s">
        <v>655</v>
      </c>
      <c r="X133" s="214" t="s">
        <v>656</v>
      </c>
      <c r="Y133" s="216" t="s">
        <v>657</v>
      </c>
      <c r="Z133" s="289"/>
      <c r="AA133" s="289"/>
      <c r="AB133" s="289"/>
      <c r="AC133" s="289"/>
      <c r="AD133" s="289"/>
      <c r="AE133" s="289"/>
      <c r="AF133" s="289"/>
      <c r="AG133" s="289"/>
      <c r="AH133" s="289"/>
      <c r="AI133" s="289"/>
      <c r="AJ133" s="289"/>
      <c r="AK133" s="289"/>
      <c r="AL133" s="289"/>
      <c r="AM133" s="289"/>
      <c r="AN133" s="289"/>
      <c r="AO133" s="289"/>
      <c r="AP133" s="289"/>
      <c r="AQ133" s="289"/>
      <c r="AR133" s="289">
        <v>48279229</v>
      </c>
      <c r="AS133" s="289">
        <v>48279229</v>
      </c>
      <c r="AT133" s="289">
        <v>48279229</v>
      </c>
      <c r="AU133" s="289"/>
      <c r="AV133" s="289"/>
      <c r="AW133" s="289"/>
      <c r="AX133" s="289"/>
      <c r="AY133" s="289"/>
      <c r="AZ133" s="289"/>
      <c r="BA133" s="289"/>
      <c r="BB133" s="289"/>
      <c r="BC133" s="289"/>
      <c r="BD133" s="294">
        <v>0</v>
      </c>
      <c r="BE133" s="326"/>
      <c r="BF133" s="294"/>
      <c r="BG133" s="289"/>
      <c r="BH133" s="289"/>
      <c r="BI133" s="289"/>
      <c r="BJ133" s="289"/>
      <c r="BK133" s="289"/>
      <c r="BL133" s="289"/>
      <c r="BM133" s="289"/>
      <c r="BN133" s="289"/>
      <c r="BO133" s="289"/>
      <c r="BP133" s="273">
        <f t="shared" si="38"/>
        <v>48279229</v>
      </c>
      <c r="BQ133" s="273">
        <f t="shared" si="36"/>
        <v>48279229</v>
      </c>
      <c r="BR133" s="273">
        <f t="shared" si="37"/>
        <v>48279229</v>
      </c>
      <c r="BS133" s="246" t="s">
        <v>1653</v>
      </c>
      <c r="BT133" s="233"/>
    </row>
    <row r="134" spans="1:72" s="27" customFormat="1" ht="144.75" customHeight="1" x14ac:dyDescent="0.2">
      <c r="A134" s="217">
        <v>314</v>
      </c>
      <c r="B134" s="216" t="s">
        <v>1626</v>
      </c>
      <c r="C134" s="213">
        <v>1</v>
      </c>
      <c r="D134" s="216" t="s">
        <v>1614</v>
      </c>
      <c r="E134" s="213">
        <v>22</v>
      </c>
      <c r="F134" s="287" t="s">
        <v>156</v>
      </c>
      <c r="G134" s="213">
        <v>2201</v>
      </c>
      <c r="H134" s="216" t="s">
        <v>277</v>
      </c>
      <c r="I134" s="213">
        <v>2201</v>
      </c>
      <c r="J134" s="216" t="s">
        <v>1587</v>
      </c>
      <c r="K134" s="216" t="s">
        <v>667</v>
      </c>
      <c r="L134" s="213">
        <v>2201067</v>
      </c>
      <c r="M134" s="216" t="s">
        <v>668</v>
      </c>
      <c r="N134" s="213">
        <v>2201067</v>
      </c>
      <c r="O134" s="216" t="s">
        <v>668</v>
      </c>
      <c r="P134" s="304">
        <v>220106700</v>
      </c>
      <c r="Q134" s="216" t="s">
        <v>669</v>
      </c>
      <c r="R134" s="304">
        <v>220106700</v>
      </c>
      <c r="S134" s="216" t="s">
        <v>669</v>
      </c>
      <c r="T134" s="236" t="s">
        <v>1671</v>
      </c>
      <c r="U134" s="76">
        <v>54</v>
      </c>
      <c r="V134" s="76">
        <v>54</v>
      </c>
      <c r="W134" s="236" t="s">
        <v>655</v>
      </c>
      <c r="X134" s="214" t="s">
        <v>656</v>
      </c>
      <c r="Y134" s="216" t="s">
        <v>657</v>
      </c>
      <c r="Z134" s="289"/>
      <c r="AA134" s="289"/>
      <c r="AB134" s="289"/>
      <c r="AC134" s="289"/>
      <c r="AD134" s="289"/>
      <c r="AE134" s="289"/>
      <c r="AF134" s="289"/>
      <c r="AG134" s="289"/>
      <c r="AH134" s="289"/>
      <c r="AI134" s="289"/>
      <c r="AJ134" s="289"/>
      <c r="AK134" s="289"/>
      <c r="AL134" s="289"/>
      <c r="AM134" s="289"/>
      <c r="AN134" s="289"/>
      <c r="AO134" s="289"/>
      <c r="AP134" s="289"/>
      <c r="AQ134" s="289"/>
      <c r="AR134" s="289"/>
      <c r="AS134" s="289"/>
      <c r="AT134" s="289"/>
      <c r="AU134" s="289"/>
      <c r="AV134" s="289"/>
      <c r="AW134" s="289"/>
      <c r="AX134" s="289"/>
      <c r="AY134" s="289"/>
      <c r="AZ134" s="289"/>
      <c r="BA134" s="289"/>
      <c r="BB134" s="289"/>
      <c r="BC134" s="289"/>
      <c r="BD134" s="326">
        <v>10000000.01</v>
      </c>
      <c r="BE134" s="326">
        <v>9905167</v>
      </c>
      <c r="BF134" s="326">
        <v>9905167</v>
      </c>
      <c r="BG134" s="289"/>
      <c r="BH134" s="289"/>
      <c r="BI134" s="289"/>
      <c r="BJ134" s="289"/>
      <c r="BK134" s="289"/>
      <c r="BL134" s="289"/>
      <c r="BM134" s="289"/>
      <c r="BN134" s="289"/>
      <c r="BO134" s="289"/>
      <c r="BP134" s="273">
        <f t="shared" si="38"/>
        <v>10000000.01</v>
      </c>
      <c r="BQ134" s="273">
        <f t="shared" si="36"/>
        <v>9905167</v>
      </c>
      <c r="BR134" s="273">
        <f t="shared" si="37"/>
        <v>9905167</v>
      </c>
      <c r="BS134" s="246" t="s">
        <v>1653</v>
      </c>
      <c r="BT134" s="233"/>
    </row>
    <row r="135" spans="1:72" s="27" customFormat="1" ht="112.5" customHeight="1" x14ac:dyDescent="0.2">
      <c r="A135" s="217">
        <v>314</v>
      </c>
      <c r="B135" s="216" t="s">
        <v>1626</v>
      </c>
      <c r="C135" s="213">
        <v>1</v>
      </c>
      <c r="D135" s="216" t="s">
        <v>1614</v>
      </c>
      <c r="E135" s="213">
        <v>22</v>
      </c>
      <c r="F135" s="287" t="s">
        <v>156</v>
      </c>
      <c r="G135" s="213">
        <v>2201</v>
      </c>
      <c r="H135" s="216" t="s">
        <v>277</v>
      </c>
      <c r="I135" s="213">
        <v>2201</v>
      </c>
      <c r="J135" s="216" t="s">
        <v>1587</v>
      </c>
      <c r="K135" s="216" t="s">
        <v>667</v>
      </c>
      <c r="L135" s="213">
        <v>2201028</v>
      </c>
      <c r="M135" s="216" t="s">
        <v>670</v>
      </c>
      <c r="N135" s="213">
        <v>2201028</v>
      </c>
      <c r="O135" s="216" t="s">
        <v>670</v>
      </c>
      <c r="P135" s="334">
        <v>220102801</v>
      </c>
      <c r="Q135" s="216" t="s">
        <v>671</v>
      </c>
      <c r="R135" s="334">
        <v>220102801</v>
      </c>
      <c r="S135" s="216" t="s">
        <v>671</v>
      </c>
      <c r="T135" s="236" t="s">
        <v>1671</v>
      </c>
      <c r="U135" s="76">
        <v>36000</v>
      </c>
      <c r="V135" s="76">
        <v>30730</v>
      </c>
      <c r="W135" s="236" t="s">
        <v>655</v>
      </c>
      <c r="X135" s="214" t="s">
        <v>656</v>
      </c>
      <c r="Y135" s="216" t="s">
        <v>657</v>
      </c>
      <c r="Z135" s="289"/>
      <c r="AA135" s="289"/>
      <c r="AB135" s="289"/>
      <c r="AC135" s="289"/>
      <c r="AD135" s="289"/>
      <c r="AE135" s="289"/>
      <c r="AF135" s="289"/>
      <c r="AG135" s="289"/>
      <c r="AH135" s="289"/>
      <c r="AI135" s="289"/>
      <c r="AJ135" s="289"/>
      <c r="AK135" s="289"/>
      <c r="AL135" s="289"/>
      <c r="AM135" s="289"/>
      <c r="AN135" s="289"/>
      <c r="AO135" s="289"/>
      <c r="AP135" s="289"/>
      <c r="AQ135" s="289"/>
      <c r="AR135" s="289"/>
      <c r="AS135" s="342"/>
      <c r="AT135" s="289"/>
      <c r="AU135" s="341"/>
      <c r="AV135" s="341"/>
      <c r="AW135" s="341"/>
      <c r="AX135" s="326">
        <v>12544566918.389999</v>
      </c>
      <c r="AY135" s="326">
        <v>10751473890</v>
      </c>
      <c r="AZ135" s="326">
        <v>10751473890</v>
      </c>
      <c r="BA135" s="289"/>
      <c r="BB135" s="289"/>
      <c r="BC135" s="289"/>
      <c r="BD135" s="326">
        <v>2377000000</v>
      </c>
      <c r="BE135" s="294">
        <v>2079012660</v>
      </c>
      <c r="BF135" s="326">
        <v>2079012660</v>
      </c>
      <c r="BG135" s="326">
        <v>62.1</v>
      </c>
      <c r="BH135" s="326"/>
      <c r="BI135" s="326"/>
      <c r="BJ135" s="289"/>
      <c r="BK135" s="289"/>
      <c r="BL135" s="289"/>
      <c r="BM135" s="289"/>
      <c r="BN135" s="289"/>
      <c r="BO135" s="289"/>
      <c r="BP135" s="273">
        <f t="shared" si="38"/>
        <v>14921566980.49</v>
      </c>
      <c r="BQ135" s="273">
        <f>+AA135+AD135+AG135+AJ135+AM135+AP135+AS135+AV135+AY135+BB135+BE135+BH135+BK135</f>
        <v>12830486550</v>
      </c>
      <c r="BR135" s="273">
        <f>+AB135+AE135+AH135+AK135+AN135+AQ135+AT135+AW135+AZ135+BC135+BF135+BI135+BL135</f>
        <v>12830486550</v>
      </c>
      <c r="BS135" s="246" t="s">
        <v>1653</v>
      </c>
      <c r="BT135" s="233"/>
    </row>
    <row r="136" spans="1:72" s="27" customFormat="1" ht="165" customHeight="1" x14ac:dyDescent="0.2">
      <c r="A136" s="217">
        <v>314</v>
      </c>
      <c r="B136" s="216" t="s">
        <v>1626</v>
      </c>
      <c r="C136" s="213">
        <v>1</v>
      </c>
      <c r="D136" s="216" t="s">
        <v>1614</v>
      </c>
      <c r="E136" s="213">
        <v>22</v>
      </c>
      <c r="F136" s="287" t="s">
        <v>156</v>
      </c>
      <c r="G136" s="213">
        <v>2201</v>
      </c>
      <c r="H136" s="216" t="s">
        <v>277</v>
      </c>
      <c r="I136" s="213">
        <v>2201</v>
      </c>
      <c r="J136" s="216" t="s">
        <v>1587</v>
      </c>
      <c r="K136" s="216" t="s">
        <v>667</v>
      </c>
      <c r="L136" s="213">
        <v>2201029</v>
      </c>
      <c r="M136" s="216" t="s">
        <v>672</v>
      </c>
      <c r="N136" s="213">
        <v>2201029</v>
      </c>
      <c r="O136" s="216" t="s">
        <v>672</v>
      </c>
      <c r="P136" s="334">
        <v>220102900</v>
      </c>
      <c r="Q136" s="216" t="s">
        <v>673</v>
      </c>
      <c r="R136" s="334">
        <v>220102900</v>
      </c>
      <c r="S136" s="216" t="s">
        <v>673</v>
      </c>
      <c r="T136" s="236" t="s">
        <v>1673</v>
      </c>
      <c r="U136" s="76">
        <v>1000</v>
      </c>
      <c r="V136" s="76">
        <v>593</v>
      </c>
      <c r="W136" s="236" t="s">
        <v>655</v>
      </c>
      <c r="X136" s="214" t="s">
        <v>656</v>
      </c>
      <c r="Y136" s="216" t="s">
        <v>657</v>
      </c>
      <c r="Z136" s="289"/>
      <c r="AA136" s="289"/>
      <c r="AB136" s="289"/>
      <c r="AC136" s="289"/>
      <c r="AD136" s="289"/>
      <c r="AE136" s="289"/>
      <c r="AF136" s="289"/>
      <c r="AG136" s="289"/>
      <c r="AH136" s="289"/>
      <c r="AI136" s="289"/>
      <c r="AJ136" s="289"/>
      <c r="AK136" s="289"/>
      <c r="AL136" s="289"/>
      <c r="AM136" s="289"/>
      <c r="AN136" s="289"/>
      <c r="AO136" s="289"/>
      <c r="AP136" s="289"/>
      <c r="AQ136" s="289"/>
      <c r="AR136" s="289"/>
      <c r="AS136" s="289"/>
      <c r="AT136" s="289"/>
      <c r="AU136" s="289"/>
      <c r="AV136" s="289"/>
      <c r="AW136" s="289"/>
      <c r="AX136" s="289"/>
      <c r="AY136" s="289"/>
      <c r="AZ136" s="289"/>
      <c r="BA136" s="289"/>
      <c r="BB136" s="289"/>
      <c r="BC136" s="289"/>
      <c r="BD136" s="369">
        <v>95316290.020000011</v>
      </c>
      <c r="BE136" s="326">
        <v>95316290</v>
      </c>
      <c r="BF136" s="326">
        <v>95316290</v>
      </c>
      <c r="BG136" s="289"/>
      <c r="BH136" s="289"/>
      <c r="BI136" s="289"/>
      <c r="BJ136" s="289"/>
      <c r="BK136" s="289"/>
      <c r="BL136" s="289"/>
      <c r="BM136" s="289"/>
      <c r="BN136" s="289"/>
      <c r="BO136" s="289"/>
      <c r="BP136" s="273">
        <f t="shared" si="38"/>
        <v>95316290.020000011</v>
      </c>
      <c r="BQ136" s="273">
        <f t="shared" si="36"/>
        <v>95316290</v>
      </c>
      <c r="BR136" s="273">
        <f t="shared" si="37"/>
        <v>95316290</v>
      </c>
      <c r="BS136" s="246" t="s">
        <v>1653</v>
      </c>
      <c r="BT136" s="233"/>
    </row>
    <row r="137" spans="1:72" s="27" customFormat="1" ht="138.75" customHeight="1" x14ac:dyDescent="0.2">
      <c r="A137" s="217">
        <v>314</v>
      </c>
      <c r="B137" s="216" t="s">
        <v>1626</v>
      </c>
      <c r="C137" s="213">
        <v>1</v>
      </c>
      <c r="D137" s="216" t="s">
        <v>1614</v>
      </c>
      <c r="E137" s="213">
        <v>22</v>
      </c>
      <c r="F137" s="287" t="s">
        <v>156</v>
      </c>
      <c r="G137" s="213">
        <v>2201</v>
      </c>
      <c r="H137" s="216" t="s">
        <v>277</v>
      </c>
      <c r="I137" s="213">
        <v>2201</v>
      </c>
      <c r="J137" s="216" t="s">
        <v>1587</v>
      </c>
      <c r="K137" s="216" t="s">
        <v>158</v>
      </c>
      <c r="L137" s="213" t="s">
        <v>41</v>
      </c>
      <c r="M137" s="216" t="s">
        <v>674</v>
      </c>
      <c r="N137" s="213">
        <v>2201062</v>
      </c>
      <c r="O137" s="216" t="s">
        <v>160</v>
      </c>
      <c r="P137" s="213" t="s">
        <v>41</v>
      </c>
      <c r="Q137" s="216" t="s">
        <v>161</v>
      </c>
      <c r="R137" s="213">
        <v>220106200</v>
      </c>
      <c r="S137" s="216" t="s">
        <v>675</v>
      </c>
      <c r="T137" s="236" t="s">
        <v>1673</v>
      </c>
      <c r="U137" s="213">
        <v>15</v>
      </c>
      <c r="V137" s="76">
        <v>4</v>
      </c>
      <c r="W137" s="236" t="s">
        <v>655</v>
      </c>
      <c r="X137" s="214" t="s">
        <v>656</v>
      </c>
      <c r="Y137" s="216" t="s">
        <v>657</v>
      </c>
      <c r="Z137" s="289"/>
      <c r="AA137" s="289"/>
      <c r="AB137" s="289"/>
      <c r="AC137" s="289"/>
      <c r="AD137" s="289"/>
      <c r="AE137" s="289"/>
      <c r="AF137" s="289"/>
      <c r="AG137" s="289"/>
      <c r="AH137" s="289"/>
      <c r="AI137" s="289"/>
      <c r="AJ137" s="289"/>
      <c r="AK137" s="289"/>
      <c r="AL137" s="289"/>
      <c r="AM137" s="289"/>
      <c r="AN137" s="289"/>
      <c r="AO137" s="289"/>
      <c r="AP137" s="289"/>
      <c r="AQ137" s="289"/>
      <c r="AR137" s="289"/>
      <c r="AS137" s="289"/>
      <c r="AT137" s="289"/>
      <c r="AU137" s="289"/>
      <c r="AV137" s="289"/>
      <c r="AW137" s="289"/>
      <c r="AX137" s="289"/>
      <c r="AY137" s="289"/>
      <c r="AZ137" s="289"/>
      <c r="BA137" s="289"/>
      <c r="BB137" s="289"/>
      <c r="BC137" s="289"/>
      <c r="BD137" s="294">
        <v>109520000</v>
      </c>
      <c r="BE137" s="326">
        <v>108090000</v>
      </c>
      <c r="BF137" s="294">
        <v>108090000</v>
      </c>
      <c r="BG137" s="289"/>
      <c r="BH137" s="289"/>
      <c r="BI137" s="289"/>
      <c r="BJ137" s="289"/>
      <c r="BK137" s="289"/>
      <c r="BL137" s="289"/>
      <c r="BM137" s="289"/>
      <c r="BN137" s="289"/>
      <c r="BO137" s="289"/>
      <c r="BP137" s="273">
        <f t="shared" si="38"/>
        <v>109520000</v>
      </c>
      <c r="BQ137" s="273">
        <f>+AA137+AD137+AG137+AJ137+AM137+AP137+AS137+AV137+AY137+BB137+BE137+BH137+BK137</f>
        <v>108090000</v>
      </c>
      <c r="BR137" s="273">
        <f>+AB137+AE137+AH137+AK137+AN137+AQ137+AT137+AW137+AZ137+BC137+BF137+BI137+BL137</f>
        <v>108090000</v>
      </c>
      <c r="BS137" s="246" t="s">
        <v>1653</v>
      </c>
      <c r="BT137" s="233"/>
    </row>
    <row r="138" spans="1:72" s="27" customFormat="1" ht="111.75" customHeight="1" x14ac:dyDescent="0.2">
      <c r="A138" s="217">
        <v>314</v>
      </c>
      <c r="B138" s="216" t="s">
        <v>1626</v>
      </c>
      <c r="C138" s="213">
        <v>1</v>
      </c>
      <c r="D138" s="216" t="s">
        <v>1614</v>
      </c>
      <c r="E138" s="213">
        <v>22</v>
      </c>
      <c r="F138" s="287" t="s">
        <v>156</v>
      </c>
      <c r="G138" s="213">
        <v>2201</v>
      </c>
      <c r="H138" s="216" t="s">
        <v>277</v>
      </c>
      <c r="I138" s="213">
        <v>2201</v>
      </c>
      <c r="J138" s="216" t="s">
        <v>1587</v>
      </c>
      <c r="K138" s="216" t="s">
        <v>676</v>
      </c>
      <c r="L138" s="213">
        <v>2201063</v>
      </c>
      <c r="M138" s="216" t="s">
        <v>677</v>
      </c>
      <c r="N138" s="213">
        <v>2201063</v>
      </c>
      <c r="O138" s="216" t="s">
        <v>677</v>
      </c>
      <c r="P138" s="304">
        <v>220106300</v>
      </c>
      <c r="Q138" s="216" t="s">
        <v>678</v>
      </c>
      <c r="R138" s="304">
        <v>220106300</v>
      </c>
      <c r="S138" s="216" t="s">
        <v>678</v>
      </c>
      <c r="T138" s="236" t="s">
        <v>1673</v>
      </c>
      <c r="U138" s="76">
        <v>2</v>
      </c>
      <c r="V138" s="76">
        <v>2</v>
      </c>
      <c r="W138" s="236" t="s">
        <v>655</v>
      </c>
      <c r="X138" s="214" t="s">
        <v>656</v>
      </c>
      <c r="Y138" s="216" t="s">
        <v>657</v>
      </c>
      <c r="Z138" s="289"/>
      <c r="AA138" s="289"/>
      <c r="AB138" s="289"/>
      <c r="AC138" s="289"/>
      <c r="AD138" s="289"/>
      <c r="AE138" s="289"/>
      <c r="AF138" s="289"/>
      <c r="AG138" s="289"/>
      <c r="AH138" s="289"/>
      <c r="AI138" s="289"/>
      <c r="AJ138" s="289"/>
      <c r="AK138" s="289"/>
      <c r="AL138" s="289"/>
      <c r="AM138" s="289"/>
      <c r="AN138" s="289"/>
      <c r="AO138" s="289"/>
      <c r="AP138" s="289"/>
      <c r="AQ138" s="289"/>
      <c r="AR138" s="289"/>
      <c r="AS138" s="289"/>
      <c r="AT138" s="289"/>
      <c r="AU138" s="289"/>
      <c r="AV138" s="289"/>
      <c r="AW138" s="289"/>
      <c r="AX138" s="289"/>
      <c r="AY138" s="289"/>
      <c r="AZ138" s="289"/>
      <c r="BA138" s="289"/>
      <c r="BB138" s="289"/>
      <c r="BC138" s="289"/>
      <c r="BD138" s="326">
        <f>30000000-30000000</f>
        <v>0</v>
      </c>
      <c r="BE138" s="326"/>
      <c r="BF138" s="326"/>
      <c r="BG138" s="289"/>
      <c r="BH138" s="289"/>
      <c r="BI138" s="289"/>
      <c r="BJ138" s="289"/>
      <c r="BK138" s="289"/>
      <c r="BL138" s="289"/>
      <c r="BM138" s="289"/>
      <c r="BN138" s="289"/>
      <c r="BO138" s="289"/>
      <c r="BP138" s="273">
        <f t="shared" si="38"/>
        <v>0</v>
      </c>
      <c r="BQ138" s="273">
        <f>+AA138+AD138+AG138+AJ138+AM138+AP138+AS138+AV138+AY138+BB138+BE138+BH138+BK138</f>
        <v>0</v>
      </c>
      <c r="BR138" s="273">
        <f t="shared" si="37"/>
        <v>0</v>
      </c>
      <c r="BS138" s="246" t="s">
        <v>1653</v>
      </c>
      <c r="BT138" s="233"/>
    </row>
    <row r="139" spans="1:72" s="27" customFormat="1" ht="110.25" customHeight="1" x14ac:dyDescent="0.2">
      <c r="A139" s="217">
        <v>314</v>
      </c>
      <c r="B139" s="216" t="s">
        <v>1626</v>
      </c>
      <c r="C139" s="213">
        <v>1</v>
      </c>
      <c r="D139" s="216" t="s">
        <v>1614</v>
      </c>
      <c r="E139" s="213">
        <v>22</v>
      </c>
      <c r="F139" s="287" t="s">
        <v>156</v>
      </c>
      <c r="G139" s="213">
        <v>2201</v>
      </c>
      <c r="H139" s="216" t="s">
        <v>277</v>
      </c>
      <c r="I139" s="213">
        <v>2201</v>
      </c>
      <c r="J139" s="216" t="s">
        <v>1587</v>
      </c>
      <c r="K139" s="216" t="s">
        <v>676</v>
      </c>
      <c r="L139" s="213">
        <v>2201069</v>
      </c>
      <c r="M139" s="216" t="s">
        <v>679</v>
      </c>
      <c r="N139" s="213">
        <v>2201069</v>
      </c>
      <c r="O139" s="216" t="s">
        <v>679</v>
      </c>
      <c r="P139" s="304">
        <v>220106900</v>
      </c>
      <c r="Q139" s="214" t="s">
        <v>680</v>
      </c>
      <c r="R139" s="304">
        <v>220106900</v>
      </c>
      <c r="S139" s="214" t="s">
        <v>680</v>
      </c>
      <c r="T139" s="236" t="s">
        <v>1673</v>
      </c>
      <c r="U139" s="76">
        <v>3</v>
      </c>
      <c r="V139" s="76">
        <v>3</v>
      </c>
      <c r="W139" s="236" t="s">
        <v>655</v>
      </c>
      <c r="X139" s="214" t="s">
        <v>656</v>
      </c>
      <c r="Y139" s="216" t="s">
        <v>657</v>
      </c>
      <c r="Z139" s="289"/>
      <c r="AA139" s="289"/>
      <c r="AB139" s="289"/>
      <c r="AC139" s="289"/>
      <c r="AD139" s="289"/>
      <c r="AE139" s="289"/>
      <c r="AF139" s="289"/>
      <c r="AG139" s="289"/>
      <c r="AH139" s="289"/>
      <c r="AI139" s="289"/>
      <c r="AJ139" s="289"/>
      <c r="AK139" s="289"/>
      <c r="AL139" s="289"/>
      <c r="AM139" s="289"/>
      <c r="AN139" s="289"/>
      <c r="AO139" s="289"/>
      <c r="AP139" s="289"/>
      <c r="AQ139" s="289"/>
      <c r="AR139" s="289">
        <v>3286467.8</v>
      </c>
      <c r="AS139" s="289"/>
      <c r="AT139" s="289"/>
      <c r="AU139" s="289"/>
      <c r="AV139" s="289"/>
      <c r="AW139" s="289"/>
      <c r="AX139" s="289"/>
      <c r="AY139" s="289"/>
      <c r="AZ139" s="289"/>
      <c r="BA139" s="289"/>
      <c r="BB139" s="289"/>
      <c r="BC139" s="289"/>
      <c r="BD139" s="326">
        <v>20000000</v>
      </c>
      <c r="BE139" s="294">
        <v>15568000</v>
      </c>
      <c r="BF139" s="326">
        <v>15568000</v>
      </c>
      <c r="BG139" s="289"/>
      <c r="BH139" s="289"/>
      <c r="BI139" s="289"/>
      <c r="BJ139" s="289"/>
      <c r="BK139" s="289"/>
      <c r="BL139" s="289"/>
      <c r="BM139" s="289"/>
      <c r="BN139" s="289"/>
      <c r="BO139" s="289"/>
      <c r="BP139" s="273">
        <f t="shared" si="38"/>
        <v>23286467.800000001</v>
      </c>
      <c r="BQ139" s="273">
        <f t="shared" si="36"/>
        <v>15568000</v>
      </c>
      <c r="BR139" s="273">
        <f t="shared" si="37"/>
        <v>15568000</v>
      </c>
      <c r="BS139" s="246" t="s">
        <v>1653</v>
      </c>
      <c r="BT139" s="233"/>
    </row>
    <row r="140" spans="1:72" s="27" customFormat="1" ht="138" customHeight="1" x14ac:dyDescent="0.2">
      <c r="A140" s="217">
        <v>314</v>
      </c>
      <c r="B140" s="216" t="s">
        <v>1626</v>
      </c>
      <c r="C140" s="213">
        <v>1</v>
      </c>
      <c r="D140" s="216" t="s">
        <v>1614</v>
      </c>
      <c r="E140" s="213">
        <v>22</v>
      </c>
      <c r="F140" s="287" t="s">
        <v>156</v>
      </c>
      <c r="G140" s="213">
        <v>2201</v>
      </c>
      <c r="H140" s="216" t="s">
        <v>277</v>
      </c>
      <c r="I140" s="213">
        <v>2201</v>
      </c>
      <c r="J140" s="216" t="s">
        <v>1587</v>
      </c>
      <c r="K140" s="216" t="s">
        <v>681</v>
      </c>
      <c r="L140" s="213">
        <v>2201018</v>
      </c>
      <c r="M140" s="216" t="s">
        <v>682</v>
      </c>
      <c r="N140" s="213">
        <v>2201018</v>
      </c>
      <c r="O140" s="216" t="s">
        <v>682</v>
      </c>
      <c r="P140" s="304">
        <v>220101802</v>
      </c>
      <c r="Q140" s="216" t="s">
        <v>683</v>
      </c>
      <c r="R140" s="304">
        <v>220101802</v>
      </c>
      <c r="S140" s="216" t="s">
        <v>683</v>
      </c>
      <c r="T140" s="236" t="s">
        <v>1671</v>
      </c>
      <c r="U140" s="76">
        <v>1</v>
      </c>
      <c r="V140" s="76">
        <v>1</v>
      </c>
      <c r="W140" s="236" t="s">
        <v>684</v>
      </c>
      <c r="X140" s="214" t="s">
        <v>685</v>
      </c>
      <c r="Y140" s="216" t="s">
        <v>686</v>
      </c>
      <c r="Z140" s="289"/>
      <c r="AA140" s="289"/>
      <c r="AB140" s="289"/>
      <c r="AC140" s="289"/>
      <c r="AD140" s="289"/>
      <c r="AE140" s="289"/>
      <c r="AF140" s="289"/>
      <c r="AG140" s="289"/>
      <c r="AH140" s="289"/>
      <c r="AI140" s="289"/>
      <c r="AJ140" s="289"/>
      <c r="AK140" s="289"/>
      <c r="AL140" s="289"/>
      <c r="AM140" s="289"/>
      <c r="AN140" s="289"/>
      <c r="AO140" s="289"/>
      <c r="AP140" s="289"/>
      <c r="AQ140" s="289"/>
      <c r="AR140" s="289"/>
      <c r="AS140" s="289"/>
      <c r="AT140" s="289"/>
      <c r="AU140" s="289"/>
      <c r="AV140" s="289"/>
      <c r="AW140" s="289"/>
      <c r="AX140" s="289"/>
      <c r="AY140" s="289"/>
      <c r="AZ140" s="289"/>
      <c r="BA140" s="289"/>
      <c r="BB140" s="289"/>
      <c r="BC140" s="289"/>
      <c r="BD140" s="326">
        <f>6000000-6000000</f>
        <v>0</v>
      </c>
      <c r="BE140" s="294"/>
      <c r="BF140" s="326"/>
      <c r="BG140" s="289"/>
      <c r="BH140" s="289"/>
      <c r="BI140" s="289"/>
      <c r="BJ140" s="289"/>
      <c r="BK140" s="289"/>
      <c r="BL140" s="289"/>
      <c r="BM140" s="289"/>
      <c r="BN140" s="289"/>
      <c r="BO140" s="289"/>
      <c r="BP140" s="273">
        <f>+Z140+AC140+AF140+AI140+AL140+AO140+AR140+AU140+AX140+BA140+BD140+BG140+BJ140</f>
        <v>0</v>
      </c>
      <c r="BQ140" s="273">
        <f t="shared" si="36"/>
        <v>0</v>
      </c>
      <c r="BR140" s="273">
        <f t="shared" si="37"/>
        <v>0</v>
      </c>
      <c r="BS140" s="246" t="s">
        <v>1653</v>
      </c>
      <c r="BT140" s="233"/>
    </row>
    <row r="141" spans="1:72" s="27" customFormat="1" ht="115.5" customHeight="1" x14ac:dyDescent="0.2">
      <c r="A141" s="217">
        <v>314</v>
      </c>
      <c r="B141" s="216" t="s">
        <v>1626</v>
      </c>
      <c r="C141" s="213">
        <v>1</v>
      </c>
      <c r="D141" s="216" t="s">
        <v>1614</v>
      </c>
      <c r="E141" s="213">
        <v>22</v>
      </c>
      <c r="F141" s="287" t="s">
        <v>156</v>
      </c>
      <c r="G141" s="213">
        <v>2201</v>
      </c>
      <c r="H141" s="216" t="s">
        <v>277</v>
      </c>
      <c r="I141" s="213">
        <v>2201</v>
      </c>
      <c r="J141" s="216" t="s">
        <v>1587</v>
      </c>
      <c r="K141" s="216" t="s">
        <v>687</v>
      </c>
      <c r="L141" s="213">
        <v>2201037</v>
      </c>
      <c r="M141" s="216" t="s">
        <v>688</v>
      </c>
      <c r="N141" s="213">
        <v>2201037</v>
      </c>
      <c r="O141" s="216" t="s">
        <v>688</v>
      </c>
      <c r="P141" s="334">
        <v>220103700</v>
      </c>
      <c r="Q141" s="311" t="s">
        <v>689</v>
      </c>
      <c r="R141" s="334">
        <v>220103700</v>
      </c>
      <c r="S141" s="311" t="s">
        <v>689</v>
      </c>
      <c r="T141" s="236" t="s">
        <v>1671</v>
      </c>
      <c r="U141" s="76">
        <v>54</v>
      </c>
      <c r="V141" s="76">
        <v>54</v>
      </c>
      <c r="W141" s="236" t="s">
        <v>684</v>
      </c>
      <c r="X141" s="214" t="s">
        <v>685</v>
      </c>
      <c r="Y141" s="216" t="s">
        <v>686</v>
      </c>
      <c r="Z141" s="289"/>
      <c r="AA141" s="289"/>
      <c r="AB141" s="289"/>
      <c r="AC141" s="289"/>
      <c r="AD141" s="289"/>
      <c r="AE141" s="289"/>
      <c r="AF141" s="289"/>
      <c r="AG141" s="289"/>
      <c r="AH141" s="289"/>
      <c r="AI141" s="289"/>
      <c r="AJ141" s="289"/>
      <c r="AK141" s="289"/>
      <c r="AL141" s="289"/>
      <c r="AM141" s="289"/>
      <c r="AN141" s="289"/>
      <c r="AO141" s="289"/>
      <c r="AP141" s="289"/>
      <c r="AQ141" s="289"/>
      <c r="AR141" s="289"/>
      <c r="AS141" s="289"/>
      <c r="AT141" s="289"/>
      <c r="AU141" s="289"/>
      <c r="AV141" s="289"/>
      <c r="AW141" s="289"/>
      <c r="AX141" s="289"/>
      <c r="AY141" s="289"/>
      <c r="AZ141" s="289"/>
      <c r="BA141" s="289"/>
      <c r="BB141" s="289"/>
      <c r="BC141" s="289"/>
      <c r="BD141" s="326">
        <v>10000000</v>
      </c>
      <c r="BE141" s="326">
        <v>9905167</v>
      </c>
      <c r="BF141" s="326">
        <v>9905167</v>
      </c>
      <c r="BG141" s="289"/>
      <c r="BH141" s="289"/>
      <c r="BI141" s="289"/>
      <c r="BJ141" s="289"/>
      <c r="BK141" s="289"/>
      <c r="BL141" s="289"/>
      <c r="BM141" s="289"/>
      <c r="BN141" s="289"/>
      <c r="BO141" s="289"/>
      <c r="BP141" s="273">
        <f t="shared" si="38"/>
        <v>10000000</v>
      </c>
      <c r="BQ141" s="273">
        <f t="shared" si="36"/>
        <v>9905167</v>
      </c>
      <c r="BR141" s="273">
        <f t="shared" si="37"/>
        <v>9905167</v>
      </c>
      <c r="BS141" s="246" t="s">
        <v>1653</v>
      </c>
      <c r="BT141" s="233"/>
    </row>
    <row r="142" spans="1:72" s="27" customFormat="1" ht="218.25" customHeight="1" x14ac:dyDescent="0.2">
      <c r="A142" s="217">
        <v>314</v>
      </c>
      <c r="B142" s="216" t="s">
        <v>1626</v>
      </c>
      <c r="C142" s="213">
        <v>1</v>
      </c>
      <c r="D142" s="216" t="s">
        <v>1614</v>
      </c>
      <c r="E142" s="213">
        <v>22</v>
      </c>
      <c r="F142" s="287" t="s">
        <v>156</v>
      </c>
      <c r="G142" s="213">
        <v>2201</v>
      </c>
      <c r="H142" s="216" t="s">
        <v>277</v>
      </c>
      <c r="I142" s="213">
        <v>2201</v>
      </c>
      <c r="J142" s="216" t="s">
        <v>1587</v>
      </c>
      <c r="K142" s="216" t="s">
        <v>690</v>
      </c>
      <c r="L142" s="213">
        <v>2201007</v>
      </c>
      <c r="M142" s="216" t="s">
        <v>691</v>
      </c>
      <c r="N142" s="213">
        <v>2201073</v>
      </c>
      <c r="O142" s="216" t="s">
        <v>691</v>
      </c>
      <c r="P142" s="213">
        <v>220100700</v>
      </c>
      <c r="Q142" s="216" t="s">
        <v>692</v>
      </c>
      <c r="R142" s="304">
        <v>220107300</v>
      </c>
      <c r="S142" s="216" t="s">
        <v>692</v>
      </c>
      <c r="T142" s="236" t="s">
        <v>1673</v>
      </c>
      <c r="U142" s="76">
        <v>7774</v>
      </c>
      <c r="V142" s="76">
        <v>8318</v>
      </c>
      <c r="W142" s="236" t="s">
        <v>693</v>
      </c>
      <c r="X142" s="214" t="s">
        <v>694</v>
      </c>
      <c r="Y142" s="216" t="s">
        <v>695</v>
      </c>
      <c r="Z142" s="289"/>
      <c r="AA142" s="289"/>
      <c r="AB142" s="289"/>
      <c r="AC142" s="289"/>
      <c r="AD142" s="289"/>
      <c r="AE142" s="289"/>
      <c r="AF142" s="289"/>
      <c r="AG142" s="289"/>
      <c r="AH142" s="289"/>
      <c r="AI142" s="289"/>
      <c r="AJ142" s="289"/>
      <c r="AK142" s="289"/>
      <c r="AL142" s="289"/>
      <c r="AM142" s="289"/>
      <c r="AN142" s="289"/>
      <c r="AO142" s="289"/>
      <c r="AP142" s="289"/>
      <c r="AQ142" s="289"/>
      <c r="AR142" s="289">
        <v>13838656.48</v>
      </c>
      <c r="AS142" s="289">
        <v>13834320</v>
      </c>
      <c r="AT142" s="289">
        <v>13834320</v>
      </c>
      <c r="AU142" s="289"/>
      <c r="AV142" s="289"/>
      <c r="AW142" s="289"/>
      <c r="AX142" s="289"/>
      <c r="AY142" s="289"/>
      <c r="AZ142" s="289"/>
      <c r="BA142" s="289"/>
      <c r="BB142" s="289"/>
      <c r="BC142" s="289"/>
      <c r="BD142" s="326">
        <v>19999999.989999998</v>
      </c>
      <c r="BE142" s="326">
        <v>18672292</v>
      </c>
      <c r="BF142" s="326">
        <v>18672292</v>
      </c>
      <c r="BG142" s="289"/>
      <c r="BH142" s="289"/>
      <c r="BI142" s="289"/>
      <c r="BJ142" s="289"/>
      <c r="BK142" s="289"/>
      <c r="BL142" s="289"/>
      <c r="BM142" s="289"/>
      <c r="BN142" s="289"/>
      <c r="BO142" s="289"/>
      <c r="BP142" s="273">
        <f>+Z142+AC142+AF142+AI142+AL142+AO142+AR142+AU142+AX142+BA142+BD142+BG142+BJ142</f>
        <v>33838656.469999999</v>
      </c>
      <c r="BQ142" s="273">
        <f t="shared" si="36"/>
        <v>32506612</v>
      </c>
      <c r="BR142" s="273">
        <f>+AB142+AE142+AH142+AK142+AN142+AQ142+AT142+AW142+AZ142+BC142+BF142+BI142+BL142</f>
        <v>32506612</v>
      </c>
      <c r="BS142" s="246" t="s">
        <v>1653</v>
      </c>
      <c r="BT142" s="233"/>
    </row>
    <row r="143" spans="1:72" s="27" customFormat="1" ht="138.75" customHeight="1" x14ac:dyDescent="0.2">
      <c r="A143" s="217">
        <v>314</v>
      </c>
      <c r="B143" s="216" t="s">
        <v>1626</v>
      </c>
      <c r="C143" s="213">
        <v>1</v>
      </c>
      <c r="D143" s="216" t="s">
        <v>1614</v>
      </c>
      <c r="E143" s="213">
        <v>22</v>
      </c>
      <c r="F143" s="287" t="s">
        <v>156</v>
      </c>
      <c r="G143" s="213">
        <v>2201</v>
      </c>
      <c r="H143" s="216" t="s">
        <v>277</v>
      </c>
      <c r="I143" s="213">
        <v>2201</v>
      </c>
      <c r="J143" s="216" t="s">
        <v>1587</v>
      </c>
      <c r="K143" s="216" t="s">
        <v>696</v>
      </c>
      <c r="L143" s="213">
        <v>2201068</v>
      </c>
      <c r="M143" s="216" t="s">
        <v>279</v>
      </c>
      <c r="N143" s="213">
        <v>2201068</v>
      </c>
      <c r="O143" s="216" t="s">
        <v>279</v>
      </c>
      <c r="P143" s="334">
        <v>220106800</v>
      </c>
      <c r="Q143" s="311" t="s">
        <v>280</v>
      </c>
      <c r="R143" s="334">
        <v>220106800</v>
      </c>
      <c r="S143" s="311" t="s">
        <v>280</v>
      </c>
      <c r="T143" s="236" t="s">
        <v>1673</v>
      </c>
      <c r="U143" s="213">
        <v>70</v>
      </c>
      <c r="V143" s="213">
        <v>79</v>
      </c>
      <c r="W143" s="236" t="s">
        <v>693</v>
      </c>
      <c r="X143" s="214" t="s">
        <v>694</v>
      </c>
      <c r="Y143" s="216" t="s">
        <v>695</v>
      </c>
      <c r="Z143" s="289"/>
      <c r="AA143" s="289"/>
      <c r="AB143" s="289"/>
      <c r="AC143" s="289"/>
      <c r="AD143" s="289"/>
      <c r="AE143" s="289"/>
      <c r="AF143" s="289">
        <v>0</v>
      </c>
      <c r="AG143" s="289"/>
      <c r="AH143" s="289"/>
      <c r="AI143" s="289">
        <v>0</v>
      </c>
      <c r="AJ143" s="289"/>
      <c r="AK143" s="289"/>
      <c r="AL143" s="289">
        <v>0</v>
      </c>
      <c r="AM143" s="289"/>
      <c r="AN143" s="289"/>
      <c r="AO143" s="289">
        <v>0</v>
      </c>
      <c r="AP143" s="289"/>
      <c r="AQ143" s="289"/>
      <c r="AR143" s="289">
        <v>0</v>
      </c>
      <c r="AS143" s="289"/>
      <c r="AT143" s="289"/>
      <c r="AU143" s="289">
        <v>0</v>
      </c>
      <c r="AV143" s="289"/>
      <c r="AW143" s="289"/>
      <c r="AX143" s="289">
        <v>0</v>
      </c>
      <c r="AY143" s="289"/>
      <c r="AZ143" s="289"/>
      <c r="BA143" s="289">
        <v>0</v>
      </c>
      <c r="BB143" s="289"/>
      <c r="BC143" s="289"/>
      <c r="BD143" s="294">
        <v>18000000</v>
      </c>
      <c r="BE143" s="326">
        <v>17310000</v>
      </c>
      <c r="BF143" s="294">
        <v>17310000</v>
      </c>
      <c r="BG143" s="289">
        <v>0</v>
      </c>
      <c r="BH143" s="289"/>
      <c r="BI143" s="289"/>
      <c r="BJ143" s="289">
        <v>0</v>
      </c>
      <c r="BK143" s="289"/>
      <c r="BL143" s="289"/>
      <c r="BM143" s="289"/>
      <c r="BN143" s="289"/>
      <c r="BO143" s="289"/>
      <c r="BP143" s="273">
        <f>+Z143+AC143+AF143+AI143+AL143+AO143+AR143+AU143+AX143+BA143+BD143+BG143+BJ143</f>
        <v>18000000</v>
      </c>
      <c r="BQ143" s="273">
        <f t="shared" ref="BP143:BR145" si="39">+AA143+AD143+AG143+AJ143+AM143+AP143+AS143+AV143+AY143+BB143+BE143+BH143+BK143</f>
        <v>17310000</v>
      </c>
      <c r="BR143" s="273">
        <f t="shared" si="39"/>
        <v>17310000</v>
      </c>
      <c r="BS143" s="246" t="s">
        <v>1653</v>
      </c>
      <c r="BT143" s="233"/>
    </row>
    <row r="144" spans="1:72" s="27" customFormat="1" ht="74.25" customHeight="1" x14ac:dyDescent="0.2">
      <c r="A144" s="217">
        <v>314</v>
      </c>
      <c r="B144" s="216" t="s">
        <v>1626</v>
      </c>
      <c r="C144" s="213">
        <v>1</v>
      </c>
      <c r="D144" s="216" t="s">
        <v>1614</v>
      </c>
      <c r="E144" s="213">
        <v>22</v>
      </c>
      <c r="F144" s="287" t="s">
        <v>156</v>
      </c>
      <c r="G144" s="213">
        <v>2201</v>
      </c>
      <c r="H144" s="216" t="s">
        <v>277</v>
      </c>
      <c r="I144" s="213">
        <v>2201</v>
      </c>
      <c r="J144" s="216" t="s">
        <v>1587</v>
      </c>
      <c r="K144" s="216" t="s">
        <v>676</v>
      </c>
      <c r="L144" s="213">
        <v>2201026</v>
      </c>
      <c r="M144" s="216" t="s">
        <v>697</v>
      </c>
      <c r="N144" s="213">
        <v>2201026</v>
      </c>
      <c r="O144" s="216" t="s">
        <v>697</v>
      </c>
      <c r="P144" s="334">
        <v>220102600</v>
      </c>
      <c r="Q144" s="216" t="s">
        <v>698</v>
      </c>
      <c r="R144" s="334">
        <v>220102600</v>
      </c>
      <c r="S144" s="216" t="s">
        <v>698</v>
      </c>
      <c r="T144" s="236" t="s">
        <v>1673</v>
      </c>
      <c r="U144" s="76">
        <v>17</v>
      </c>
      <c r="V144" s="76">
        <v>17</v>
      </c>
      <c r="W144" s="236" t="s">
        <v>693</v>
      </c>
      <c r="X144" s="214" t="s">
        <v>694</v>
      </c>
      <c r="Y144" s="216" t="s">
        <v>695</v>
      </c>
      <c r="Z144" s="289"/>
      <c r="AA144" s="289"/>
      <c r="AB144" s="289"/>
      <c r="AC144" s="289"/>
      <c r="AD144" s="289"/>
      <c r="AE144" s="289"/>
      <c r="AF144" s="289"/>
      <c r="AG144" s="289"/>
      <c r="AH144" s="289"/>
      <c r="AI144" s="289"/>
      <c r="AJ144" s="289"/>
      <c r="AK144" s="289"/>
      <c r="AL144" s="289"/>
      <c r="AM144" s="289"/>
      <c r="AN144" s="289"/>
      <c r="AO144" s="289"/>
      <c r="AP144" s="289"/>
      <c r="AQ144" s="289"/>
      <c r="AR144" s="289">
        <v>1594997</v>
      </c>
      <c r="AS144" s="289">
        <v>1594997</v>
      </c>
      <c r="AT144" s="289">
        <v>1594997</v>
      </c>
      <c r="AU144" s="289"/>
      <c r="AV144" s="289"/>
      <c r="AW144" s="289"/>
      <c r="AX144" s="289"/>
      <c r="AY144" s="289"/>
      <c r="AZ144" s="289"/>
      <c r="BA144" s="289"/>
      <c r="BB144" s="289"/>
      <c r="BC144" s="289"/>
      <c r="BD144" s="294">
        <v>18000000</v>
      </c>
      <c r="BE144" s="294">
        <v>17000000</v>
      </c>
      <c r="BF144" s="294">
        <v>17000000</v>
      </c>
      <c r="BG144" s="289"/>
      <c r="BH144" s="289"/>
      <c r="BI144" s="289"/>
      <c r="BJ144" s="289"/>
      <c r="BK144" s="289"/>
      <c r="BL144" s="289"/>
      <c r="BM144" s="289"/>
      <c r="BN144" s="289"/>
      <c r="BO144" s="289"/>
      <c r="BP144" s="273">
        <f t="shared" si="39"/>
        <v>19594997</v>
      </c>
      <c r="BQ144" s="273">
        <f t="shared" si="39"/>
        <v>18594997</v>
      </c>
      <c r="BR144" s="273">
        <f t="shared" si="39"/>
        <v>18594997</v>
      </c>
      <c r="BS144" s="246" t="s">
        <v>1653</v>
      </c>
      <c r="BT144" s="233"/>
    </row>
    <row r="145" spans="1:72" s="27" customFormat="1" ht="116.25" customHeight="1" x14ac:dyDescent="0.2">
      <c r="A145" s="217">
        <v>314</v>
      </c>
      <c r="B145" s="216" t="s">
        <v>1626</v>
      </c>
      <c r="C145" s="213">
        <v>1</v>
      </c>
      <c r="D145" s="216" t="s">
        <v>1614</v>
      </c>
      <c r="E145" s="213">
        <v>22</v>
      </c>
      <c r="F145" s="287" t="s">
        <v>156</v>
      </c>
      <c r="G145" s="213">
        <v>2201</v>
      </c>
      <c r="H145" s="216" t="s">
        <v>277</v>
      </c>
      <c r="I145" s="213">
        <v>2201</v>
      </c>
      <c r="J145" s="216" t="s">
        <v>1587</v>
      </c>
      <c r="K145" s="216" t="s">
        <v>690</v>
      </c>
      <c r="L145" s="213">
        <v>2201009</v>
      </c>
      <c r="M145" s="216" t="s">
        <v>699</v>
      </c>
      <c r="N145" s="213">
        <v>2201074</v>
      </c>
      <c r="O145" s="216" t="s">
        <v>699</v>
      </c>
      <c r="P145" s="213">
        <v>220100900</v>
      </c>
      <c r="Q145" s="216" t="s">
        <v>700</v>
      </c>
      <c r="R145" s="304">
        <v>220107400</v>
      </c>
      <c r="S145" s="216" t="s">
        <v>701</v>
      </c>
      <c r="T145" s="236" t="s">
        <v>1673</v>
      </c>
      <c r="U145" s="76">
        <v>606</v>
      </c>
      <c r="V145" s="76">
        <v>620</v>
      </c>
      <c r="W145" s="236" t="s">
        <v>693</v>
      </c>
      <c r="X145" s="214" t="s">
        <v>694</v>
      </c>
      <c r="Y145" s="216" t="s">
        <v>695</v>
      </c>
      <c r="Z145" s="289"/>
      <c r="AA145" s="289"/>
      <c r="AB145" s="289"/>
      <c r="AC145" s="289"/>
      <c r="AD145" s="289"/>
      <c r="AE145" s="289"/>
      <c r="AF145" s="289"/>
      <c r="AG145" s="289"/>
      <c r="AH145" s="289"/>
      <c r="AI145" s="289"/>
      <c r="AJ145" s="289"/>
      <c r="AK145" s="289"/>
      <c r="AL145" s="289"/>
      <c r="AM145" s="289"/>
      <c r="AN145" s="289"/>
      <c r="AO145" s="289"/>
      <c r="AP145" s="289"/>
      <c r="AQ145" s="289"/>
      <c r="AR145" s="289"/>
      <c r="AS145" s="289"/>
      <c r="AT145" s="289"/>
      <c r="AU145" s="289"/>
      <c r="AV145" s="289"/>
      <c r="AW145" s="289"/>
      <c r="AX145" s="289"/>
      <c r="AY145" s="289"/>
      <c r="AZ145" s="289"/>
      <c r="BA145" s="289"/>
      <c r="BB145" s="289"/>
      <c r="BC145" s="289"/>
      <c r="BD145" s="326">
        <v>19999999.989999998</v>
      </c>
      <c r="BE145" s="326">
        <v>19999999.989999998</v>
      </c>
      <c r="BF145" s="326">
        <v>19999999.989999998</v>
      </c>
      <c r="BG145" s="289"/>
      <c r="BH145" s="289"/>
      <c r="BI145" s="289"/>
      <c r="BJ145" s="289"/>
      <c r="BK145" s="289"/>
      <c r="BL145" s="289"/>
      <c r="BM145" s="289"/>
      <c r="BN145" s="289"/>
      <c r="BO145" s="289"/>
      <c r="BP145" s="273">
        <f>+Z145+AC145+AF145+AI145+AL145+AO145+AR145+AU145+AX145+BA145+BD145+BG145+BJ145</f>
        <v>19999999.989999998</v>
      </c>
      <c r="BQ145" s="273">
        <f t="shared" si="39"/>
        <v>19999999.989999998</v>
      </c>
      <c r="BR145" s="273">
        <f t="shared" si="39"/>
        <v>19999999.989999998</v>
      </c>
      <c r="BS145" s="246" t="s">
        <v>1653</v>
      </c>
      <c r="BT145" s="233"/>
    </row>
    <row r="146" spans="1:72" s="27" customFormat="1" ht="162.75" customHeight="1" x14ac:dyDescent="0.2">
      <c r="A146" s="217">
        <v>314</v>
      </c>
      <c r="B146" s="216" t="s">
        <v>1626</v>
      </c>
      <c r="C146" s="213">
        <v>1</v>
      </c>
      <c r="D146" s="216" t="s">
        <v>1614</v>
      </c>
      <c r="E146" s="213">
        <v>22</v>
      </c>
      <c r="F146" s="287" t="s">
        <v>156</v>
      </c>
      <c r="G146" s="213">
        <v>2201</v>
      </c>
      <c r="H146" s="216" t="s">
        <v>277</v>
      </c>
      <c r="I146" s="213">
        <v>2201</v>
      </c>
      <c r="J146" s="216" t="s">
        <v>1587</v>
      </c>
      <c r="K146" s="216" t="s">
        <v>690</v>
      </c>
      <c r="L146" s="213">
        <v>2201010</v>
      </c>
      <c r="M146" s="216" t="s">
        <v>702</v>
      </c>
      <c r="N146" s="213">
        <v>2201074</v>
      </c>
      <c r="O146" s="216" t="s">
        <v>703</v>
      </c>
      <c r="P146" s="213">
        <v>220101000</v>
      </c>
      <c r="Q146" s="216" t="s">
        <v>704</v>
      </c>
      <c r="R146" s="304">
        <v>220107400</v>
      </c>
      <c r="S146" s="216" t="s">
        <v>701</v>
      </c>
      <c r="T146" s="236" t="s">
        <v>1671</v>
      </c>
      <c r="U146" s="76">
        <v>94</v>
      </c>
      <c r="V146" s="76">
        <v>94</v>
      </c>
      <c r="W146" s="236" t="s">
        <v>693</v>
      </c>
      <c r="X146" s="214" t="s">
        <v>694</v>
      </c>
      <c r="Y146" s="216" t="s">
        <v>695</v>
      </c>
      <c r="Z146" s="289"/>
      <c r="AA146" s="289"/>
      <c r="AB146" s="289"/>
      <c r="AC146" s="289"/>
      <c r="AD146" s="289"/>
      <c r="AE146" s="289"/>
      <c r="AF146" s="289"/>
      <c r="AG146" s="289"/>
      <c r="AH146" s="289"/>
      <c r="AI146" s="289"/>
      <c r="AJ146" s="289"/>
      <c r="AK146" s="289"/>
      <c r="AL146" s="289"/>
      <c r="AM146" s="289"/>
      <c r="AN146" s="289"/>
      <c r="AO146" s="289"/>
      <c r="AP146" s="289"/>
      <c r="AQ146" s="289"/>
      <c r="AR146" s="289"/>
      <c r="AS146" s="289"/>
      <c r="AT146" s="289"/>
      <c r="AU146" s="289"/>
      <c r="AV146" s="289"/>
      <c r="AW146" s="289"/>
      <c r="AX146" s="289"/>
      <c r="AY146" s="289"/>
      <c r="AZ146" s="289"/>
      <c r="BA146" s="289"/>
      <c r="BB146" s="289"/>
      <c r="BC146" s="289"/>
      <c r="BD146" s="326">
        <v>20000000</v>
      </c>
      <c r="BE146" s="326">
        <v>20000000</v>
      </c>
      <c r="BF146" s="326">
        <v>20000000</v>
      </c>
      <c r="BG146" s="289"/>
      <c r="BH146" s="289"/>
      <c r="BI146" s="289"/>
      <c r="BJ146" s="289"/>
      <c r="BK146" s="289"/>
      <c r="BL146" s="289"/>
      <c r="BM146" s="289"/>
      <c r="BN146" s="289"/>
      <c r="BO146" s="289"/>
      <c r="BP146" s="273">
        <f>+Z146+AC146+AF146+AI146+AL146+AO146+AR146+AU146+AX146+BA146+BD146+BG146+BJ146</f>
        <v>20000000</v>
      </c>
      <c r="BQ146" s="273">
        <f t="shared" ref="BQ146:BQ163" si="40">+AA146+AD146+AG146+AJ146+AM146+AP146+AS146+AV146+AY146+BB146+BE146+BH146+BK146</f>
        <v>20000000</v>
      </c>
      <c r="BR146" s="273">
        <f t="shared" ref="BR146:BR163" si="41">+AB146+AE146+AH146+AK146+AN146+AQ146+AT146+AW146+AZ146+BC146+BF146+BI146+BL146</f>
        <v>20000000</v>
      </c>
      <c r="BS146" s="246" t="s">
        <v>1653</v>
      </c>
      <c r="BT146" s="233"/>
    </row>
    <row r="147" spans="1:72" s="27" customFormat="1" ht="129.75" customHeight="1" x14ac:dyDescent="0.2">
      <c r="A147" s="217">
        <v>314</v>
      </c>
      <c r="B147" s="216" t="s">
        <v>1626</v>
      </c>
      <c r="C147" s="213">
        <v>1</v>
      </c>
      <c r="D147" s="216" t="s">
        <v>1614</v>
      </c>
      <c r="E147" s="213">
        <v>22</v>
      </c>
      <c r="F147" s="287" t="s">
        <v>156</v>
      </c>
      <c r="G147" s="213">
        <v>2201</v>
      </c>
      <c r="H147" s="216" t="s">
        <v>277</v>
      </c>
      <c r="I147" s="213">
        <v>2201</v>
      </c>
      <c r="J147" s="216" t="s">
        <v>1587</v>
      </c>
      <c r="K147" s="216" t="s">
        <v>705</v>
      </c>
      <c r="L147" s="213">
        <v>2201035</v>
      </c>
      <c r="M147" s="216" t="s">
        <v>706</v>
      </c>
      <c r="N147" s="213">
        <v>2201035</v>
      </c>
      <c r="O147" s="216" t="s">
        <v>706</v>
      </c>
      <c r="P147" s="304">
        <v>220103500</v>
      </c>
      <c r="Q147" s="216" t="s">
        <v>707</v>
      </c>
      <c r="R147" s="304">
        <v>220103500</v>
      </c>
      <c r="S147" s="214" t="s">
        <v>707</v>
      </c>
      <c r="T147" s="236" t="s">
        <v>1673</v>
      </c>
      <c r="U147" s="76">
        <v>8</v>
      </c>
      <c r="V147" s="76">
        <v>8</v>
      </c>
      <c r="W147" s="236" t="s">
        <v>693</v>
      </c>
      <c r="X147" s="214" t="s">
        <v>694</v>
      </c>
      <c r="Y147" s="216" t="s">
        <v>695</v>
      </c>
      <c r="Z147" s="289"/>
      <c r="AA147" s="289"/>
      <c r="AB147" s="289"/>
      <c r="AC147" s="289"/>
      <c r="AD147" s="289"/>
      <c r="AE147" s="289"/>
      <c r="AF147" s="289"/>
      <c r="AG147" s="289"/>
      <c r="AH147" s="289"/>
      <c r="AI147" s="289"/>
      <c r="AJ147" s="289"/>
      <c r="AK147" s="289"/>
      <c r="AL147" s="289"/>
      <c r="AM147" s="289"/>
      <c r="AN147" s="289"/>
      <c r="AO147" s="289"/>
      <c r="AP147" s="289"/>
      <c r="AQ147" s="289"/>
      <c r="AR147" s="289"/>
      <c r="AS147" s="289"/>
      <c r="AT147" s="289"/>
      <c r="AU147" s="289"/>
      <c r="AV147" s="289"/>
      <c r="AW147" s="289"/>
      <c r="AX147" s="289"/>
      <c r="AY147" s="289"/>
      <c r="AZ147" s="289"/>
      <c r="BA147" s="289"/>
      <c r="BB147" s="289"/>
      <c r="BC147" s="289"/>
      <c r="BD147" s="326">
        <v>10000000</v>
      </c>
      <c r="BE147" s="326">
        <v>10000000</v>
      </c>
      <c r="BF147" s="326">
        <v>10000000</v>
      </c>
      <c r="BG147" s="289"/>
      <c r="BH147" s="289"/>
      <c r="BI147" s="289"/>
      <c r="BJ147" s="289"/>
      <c r="BK147" s="289"/>
      <c r="BL147" s="289"/>
      <c r="BM147" s="289"/>
      <c r="BN147" s="289"/>
      <c r="BO147" s="289"/>
      <c r="BP147" s="273">
        <f>+Z147+AC147+AF147+AI147+AL147+AO147+AR147+AU147+AX147+BA147+BD147+BG147+BJ147</f>
        <v>10000000</v>
      </c>
      <c r="BQ147" s="273">
        <f>+AA147+AD147+AG147+AJ147+AM147+AP147+AS147+AV147+AY147+BB147+BE147+BH147+BK147</f>
        <v>10000000</v>
      </c>
      <c r="BR147" s="273">
        <f>+AB147+AE147+AH147+AK147+AN147+AQ147+AT147+AW147+AZ147+BC147+BF147+BI147+BL147</f>
        <v>10000000</v>
      </c>
      <c r="BS147" s="246" t="s">
        <v>1653</v>
      </c>
      <c r="BT147" s="233"/>
    </row>
    <row r="148" spans="1:72" s="27" customFormat="1" ht="121.5" customHeight="1" x14ac:dyDescent="0.2">
      <c r="A148" s="217">
        <v>314</v>
      </c>
      <c r="B148" s="216" t="s">
        <v>1626</v>
      </c>
      <c r="C148" s="213">
        <v>1</v>
      </c>
      <c r="D148" s="216" t="s">
        <v>1614</v>
      </c>
      <c r="E148" s="213">
        <v>22</v>
      </c>
      <c r="F148" s="287" t="s">
        <v>156</v>
      </c>
      <c r="G148" s="213">
        <v>2201</v>
      </c>
      <c r="H148" s="216" t="s">
        <v>277</v>
      </c>
      <c r="I148" s="213">
        <v>2201</v>
      </c>
      <c r="J148" s="216" t="s">
        <v>1587</v>
      </c>
      <c r="K148" s="216" t="s">
        <v>667</v>
      </c>
      <c r="L148" s="213">
        <v>2201046</v>
      </c>
      <c r="M148" s="216" t="s">
        <v>708</v>
      </c>
      <c r="N148" s="213">
        <v>2201046</v>
      </c>
      <c r="O148" s="216" t="s">
        <v>708</v>
      </c>
      <c r="P148" s="334">
        <v>220104602</v>
      </c>
      <c r="Q148" s="216" t="s">
        <v>709</v>
      </c>
      <c r="R148" s="334">
        <v>220104602</v>
      </c>
      <c r="S148" s="216" t="s">
        <v>709</v>
      </c>
      <c r="T148" s="236" t="s">
        <v>1673</v>
      </c>
      <c r="U148" s="76">
        <v>13</v>
      </c>
      <c r="V148" s="76">
        <v>16</v>
      </c>
      <c r="W148" s="236" t="s">
        <v>693</v>
      </c>
      <c r="X148" s="214" t="s">
        <v>694</v>
      </c>
      <c r="Y148" s="216" t="s">
        <v>695</v>
      </c>
      <c r="Z148" s="289"/>
      <c r="AA148" s="289"/>
      <c r="AB148" s="289"/>
      <c r="AC148" s="289"/>
      <c r="AD148" s="289"/>
      <c r="AE148" s="289"/>
      <c r="AF148" s="289"/>
      <c r="AG148" s="289"/>
      <c r="AH148" s="289"/>
      <c r="AI148" s="273"/>
      <c r="AJ148" s="273"/>
      <c r="AK148" s="273"/>
      <c r="AL148" s="289"/>
      <c r="AM148" s="289"/>
      <c r="AN148" s="289"/>
      <c r="AO148" s="289"/>
      <c r="AP148" s="289"/>
      <c r="AQ148" s="289"/>
      <c r="AR148" s="289"/>
      <c r="AS148" s="289"/>
      <c r="AT148" s="289"/>
      <c r="AU148" s="289"/>
      <c r="AV148" s="289"/>
      <c r="AW148" s="289"/>
      <c r="AX148" s="289"/>
      <c r="AY148" s="289"/>
      <c r="AZ148" s="289"/>
      <c r="BA148" s="289"/>
      <c r="BB148" s="289"/>
      <c r="BC148" s="289"/>
      <c r="BD148" s="294">
        <v>10000000.01</v>
      </c>
      <c r="BE148" s="326">
        <v>9999000.0100000016</v>
      </c>
      <c r="BF148" s="294">
        <v>9999000.0100000016</v>
      </c>
      <c r="BG148" s="289"/>
      <c r="BH148" s="289"/>
      <c r="BI148" s="289"/>
      <c r="BJ148" s="289"/>
      <c r="BK148" s="289"/>
      <c r="BL148" s="289"/>
      <c r="BM148" s="289"/>
      <c r="BN148" s="289"/>
      <c r="BO148" s="289"/>
      <c r="BP148" s="273">
        <f t="shared" ref="BP148:BP163" si="42">+Z148+AC148+AF148+AI148+AL148+AO148+AR148+AU148+AX148+BA148+BD148+BG148+BJ148</f>
        <v>10000000.01</v>
      </c>
      <c r="BQ148" s="273">
        <f t="shared" si="40"/>
        <v>9999000.0100000016</v>
      </c>
      <c r="BR148" s="273">
        <f t="shared" si="41"/>
        <v>9999000.0100000016</v>
      </c>
      <c r="BS148" s="246" t="s">
        <v>1653</v>
      </c>
      <c r="BT148" s="233"/>
    </row>
    <row r="149" spans="1:72" s="27" customFormat="1" ht="131.25" customHeight="1" x14ac:dyDescent="0.2">
      <c r="A149" s="217">
        <v>314</v>
      </c>
      <c r="B149" s="216" t="s">
        <v>1626</v>
      </c>
      <c r="C149" s="213">
        <v>1</v>
      </c>
      <c r="D149" s="216" t="s">
        <v>1614</v>
      </c>
      <c r="E149" s="213">
        <v>22</v>
      </c>
      <c r="F149" s="287" t="s">
        <v>156</v>
      </c>
      <c r="G149" s="213">
        <v>2201</v>
      </c>
      <c r="H149" s="216" t="s">
        <v>277</v>
      </c>
      <c r="I149" s="213">
        <v>2201</v>
      </c>
      <c r="J149" s="216" t="s">
        <v>1587</v>
      </c>
      <c r="K149" s="216" t="s">
        <v>667</v>
      </c>
      <c r="L149" s="213">
        <v>2201054</v>
      </c>
      <c r="M149" s="216" t="s">
        <v>710</v>
      </c>
      <c r="N149" s="213">
        <v>2201054</v>
      </c>
      <c r="O149" s="216" t="s">
        <v>710</v>
      </c>
      <c r="P149" s="304">
        <v>220105400</v>
      </c>
      <c r="Q149" s="216" t="s">
        <v>711</v>
      </c>
      <c r="R149" s="304">
        <v>220105400</v>
      </c>
      <c r="S149" s="216" t="s">
        <v>711</v>
      </c>
      <c r="T149" s="236" t="s">
        <v>1671</v>
      </c>
      <c r="U149" s="76">
        <v>11</v>
      </c>
      <c r="V149" s="76">
        <v>11</v>
      </c>
      <c r="W149" s="236" t="s">
        <v>693</v>
      </c>
      <c r="X149" s="214" t="s">
        <v>694</v>
      </c>
      <c r="Y149" s="216" t="s">
        <v>695</v>
      </c>
      <c r="Z149" s="289"/>
      <c r="AA149" s="289"/>
      <c r="AB149" s="289"/>
      <c r="AC149" s="289"/>
      <c r="AD149" s="289"/>
      <c r="AE149" s="289"/>
      <c r="AF149" s="289"/>
      <c r="AG149" s="289"/>
      <c r="AH149" s="289"/>
      <c r="AI149" s="289"/>
      <c r="AJ149" s="289"/>
      <c r="AK149" s="289"/>
      <c r="AL149" s="289"/>
      <c r="AM149" s="289"/>
      <c r="AN149" s="289"/>
      <c r="AO149" s="289"/>
      <c r="AP149" s="289"/>
      <c r="AQ149" s="289"/>
      <c r="AR149" s="289"/>
      <c r="AS149" s="289"/>
      <c r="AT149" s="289"/>
      <c r="AU149" s="289"/>
      <c r="AV149" s="289"/>
      <c r="AW149" s="289"/>
      <c r="AX149" s="289"/>
      <c r="AY149" s="289"/>
      <c r="AZ149" s="289"/>
      <c r="BA149" s="289"/>
      <c r="BB149" s="289"/>
      <c r="BC149" s="289"/>
      <c r="BD149" s="326">
        <v>10000000.01</v>
      </c>
      <c r="BE149" s="294">
        <v>9905167</v>
      </c>
      <c r="BF149" s="326">
        <v>9905167</v>
      </c>
      <c r="BG149" s="289"/>
      <c r="BH149" s="289"/>
      <c r="BI149" s="289"/>
      <c r="BJ149" s="289"/>
      <c r="BK149" s="289"/>
      <c r="BL149" s="289"/>
      <c r="BM149" s="289"/>
      <c r="BN149" s="289"/>
      <c r="BO149" s="289"/>
      <c r="BP149" s="273">
        <f t="shared" si="42"/>
        <v>10000000.01</v>
      </c>
      <c r="BQ149" s="273">
        <f>+AA149+AD149+AG149+AJ149+AM149+AP149+AS149+AV149+AY149+BB149+BE149+BH149+BK149</f>
        <v>9905167</v>
      </c>
      <c r="BR149" s="273">
        <f t="shared" si="41"/>
        <v>9905167</v>
      </c>
      <c r="BS149" s="246" t="s">
        <v>1653</v>
      </c>
      <c r="BT149" s="233"/>
    </row>
    <row r="150" spans="1:72" s="27" customFormat="1" ht="121.5" customHeight="1" x14ac:dyDescent="0.2">
      <c r="A150" s="217">
        <v>314</v>
      </c>
      <c r="B150" s="216" t="s">
        <v>1626</v>
      </c>
      <c r="C150" s="213">
        <v>1</v>
      </c>
      <c r="D150" s="216" t="s">
        <v>1614</v>
      </c>
      <c r="E150" s="213">
        <v>22</v>
      </c>
      <c r="F150" s="287" t="s">
        <v>156</v>
      </c>
      <c r="G150" s="213">
        <v>2201</v>
      </c>
      <c r="H150" s="216" t="s">
        <v>277</v>
      </c>
      <c r="I150" s="213">
        <v>2201</v>
      </c>
      <c r="J150" s="216" t="s">
        <v>1587</v>
      </c>
      <c r="K150" s="216" t="s">
        <v>664</v>
      </c>
      <c r="L150" s="213">
        <v>2201061</v>
      </c>
      <c r="M150" s="216" t="s">
        <v>712</v>
      </c>
      <c r="N150" s="213">
        <v>2201061</v>
      </c>
      <c r="O150" s="216" t="s">
        <v>712</v>
      </c>
      <c r="P150" s="304">
        <v>220106102</v>
      </c>
      <c r="Q150" s="216" t="s">
        <v>713</v>
      </c>
      <c r="R150" s="304">
        <v>220106102</v>
      </c>
      <c r="S150" s="216" t="s">
        <v>713</v>
      </c>
      <c r="T150" s="236" t="s">
        <v>1673</v>
      </c>
      <c r="U150" s="76">
        <v>12</v>
      </c>
      <c r="V150" s="76">
        <v>12</v>
      </c>
      <c r="W150" s="236" t="s">
        <v>693</v>
      </c>
      <c r="X150" s="214" t="s">
        <v>694</v>
      </c>
      <c r="Y150" s="216" t="s">
        <v>695</v>
      </c>
      <c r="Z150" s="289"/>
      <c r="AA150" s="289"/>
      <c r="AB150" s="289"/>
      <c r="AC150" s="289"/>
      <c r="AD150" s="289"/>
      <c r="AE150" s="289"/>
      <c r="AF150" s="289"/>
      <c r="AG150" s="289"/>
      <c r="AH150" s="289"/>
      <c r="AI150" s="289"/>
      <c r="AJ150" s="289"/>
      <c r="AK150" s="289"/>
      <c r="AL150" s="289"/>
      <c r="AM150" s="289"/>
      <c r="AN150" s="289"/>
      <c r="AO150" s="289"/>
      <c r="AP150" s="289"/>
      <c r="AQ150" s="289"/>
      <c r="AR150" s="289"/>
      <c r="AS150" s="289"/>
      <c r="AT150" s="289"/>
      <c r="AU150" s="289"/>
      <c r="AV150" s="289"/>
      <c r="AW150" s="289"/>
      <c r="AX150" s="289"/>
      <c r="AY150" s="289"/>
      <c r="AZ150" s="289"/>
      <c r="BA150" s="289"/>
      <c r="BB150" s="289"/>
      <c r="BC150" s="289"/>
      <c r="BD150" s="326">
        <v>10000000</v>
      </c>
      <c r="BE150" s="359">
        <v>10000000</v>
      </c>
      <c r="BF150" s="326">
        <v>10000000</v>
      </c>
      <c r="BG150" s="289"/>
      <c r="BH150" s="289"/>
      <c r="BI150" s="289"/>
      <c r="BJ150" s="289"/>
      <c r="BK150" s="289"/>
      <c r="BL150" s="289"/>
      <c r="BM150" s="289"/>
      <c r="BN150" s="289"/>
      <c r="BO150" s="289"/>
      <c r="BP150" s="273">
        <f t="shared" si="42"/>
        <v>10000000</v>
      </c>
      <c r="BQ150" s="273">
        <f t="shared" si="40"/>
        <v>10000000</v>
      </c>
      <c r="BR150" s="273">
        <f t="shared" si="41"/>
        <v>10000000</v>
      </c>
      <c r="BS150" s="246" t="s">
        <v>1653</v>
      </c>
      <c r="BT150" s="233"/>
    </row>
    <row r="151" spans="1:72" s="27" customFormat="1" ht="137.25" customHeight="1" x14ac:dyDescent="0.2">
      <c r="A151" s="217">
        <v>314</v>
      </c>
      <c r="B151" s="216" t="s">
        <v>1626</v>
      </c>
      <c r="C151" s="213">
        <v>1</v>
      </c>
      <c r="D151" s="216" t="s">
        <v>1614</v>
      </c>
      <c r="E151" s="213">
        <v>22</v>
      </c>
      <c r="F151" s="287" t="s">
        <v>156</v>
      </c>
      <c r="G151" s="213">
        <v>2201</v>
      </c>
      <c r="H151" s="216" t="s">
        <v>277</v>
      </c>
      <c r="I151" s="213">
        <v>2201</v>
      </c>
      <c r="J151" s="216" t="s">
        <v>1587</v>
      </c>
      <c r="K151" s="216" t="s">
        <v>664</v>
      </c>
      <c r="L151" s="213">
        <v>2201066</v>
      </c>
      <c r="M151" s="216" t="s">
        <v>714</v>
      </c>
      <c r="N151" s="213">
        <v>2201066</v>
      </c>
      <c r="O151" s="216" t="s">
        <v>714</v>
      </c>
      <c r="P151" s="304">
        <v>220106600</v>
      </c>
      <c r="Q151" s="216" t="s">
        <v>715</v>
      </c>
      <c r="R151" s="304">
        <v>220106600</v>
      </c>
      <c r="S151" s="216" t="s">
        <v>715</v>
      </c>
      <c r="T151" s="236" t="s">
        <v>1673</v>
      </c>
      <c r="U151" s="76">
        <v>10000</v>
      </c>
      <c r="V151" s="76">
        <v>4934</v>
      </c>
      <c r="W151" s="236" t="s">
        <v>693</v>
      </c>
      <c r="X151" s="214" t="s">
        <v>694</v>
      </c>
      <c r="Y151" s="216" t="s">
        <v>695</v>
      </c>
      <c r="Z151" s="289"/>
      <c r="AA151" s="289"/>
      <c r="AB151" s="289"/>
      <c r="AC151" s="289"/>
      <c r="AD151" s="289"/>
      <c r="AE151" s="289"/>
      <c r="AF151" s="289"/>
      <c r="AG151" s="289"/>
      <c r="AH151" s="289"/>
      <c r="AI151" s="289"/>
      <c r="AJ151" s="289"/>
      <c r="AK151" s="289"/>
      <c r="AL151" s="289"/>
      <c r="AM151" s="289"/>
      <c r="AN151" s="289"/>
      <c r="AO151" s="289"/>
      <c r="AP151" s="289"/>
      <c r="AQ151" s="289"/>
      <c r="AR151" s="289"/>
      <c r="AS151" s="289"/>
      <c r="AT151" s="289"/>
      <c r="AU151" s="289"/>
      <c r="AV151" s="289"/>
      <c r="AW151" s="289"/>
      <c r="AX151" s="289"/>
      <c r="AY151" s="289"/>
      <c r="AZ151" s="289"/>
      <c r="BA151" s="289"/>
      <c r="BB151" s="289"/>
      <c r="BC151" s="289"/>
      <c r="BD151" s="326">
        <f>10000000-8460000</f>
        <v>1540000</v>
      </c>
      <c r="BE151" s="326">
        <v>1540000</v>
      </c>
      <c r="BF151" s="326">
        <v>1540000</v>
      </c>
      <c r="BG151" s="289"/>
      <c r="BH151" s="289"/>
      <c r="BI151" s="289"/>
      <c r="BJ151" s="289"/>
      <c r="BK151" s="289"/>
      <c r="BL151" s="289"/>
      <c r="BM151" s="289"/>
      <c r="BN151" s="289"/>
      <c r="BO151" s="289"/>
      <c r="BP151" s="273">
        <f>+Z151+AC151+AF151+AI151+AL151+AO151+AR151+AU151+AX151+BA151+BD151+BG151+BJ151</f>
        <v>1540000</v>
      </c>
      <c r="BQ151" s="273">
        <f>+AA151+AD151+AG151+AJ151+AM151+AP151+AS151+AV151+AY151+BB151+BE151+BH151+BK151</f>
        <v>1540000</v>
      </c>
      <c r="BR151" s="273">
        <f t="shared" si="41"/>
        <v>1540000</v>
      </c>
      <c r="BS151" s="246" t="s">
        <v>1653</v>
      </c>
      <c r="BT151" s="233"/>
    </row>
    <row r="152" spans="1:72" s="27" customFormat="1" ht="128.25" customHeight="1" x14ac:dyDescent="0.2">
      <c r="A152" s="217">
        <v>314</v>
      </c>
      <c r="B152" s="216" t="s">
        <v>1626</v>
      </c>
      <c r="C152" s="213">
        <v>1</v>
      </c>
      <c r="D152" s="216" t="s">
        <v>1614</v>
      </c>
      <c r="E152" s="213">
        <v>22</v>
      </c>
      <c r="F152" s="287" t="s">
        <v>156</v>
      </c>
      <c r="G152" s="213">
        <v>2201</v>
      </c>
      <c r="H152" s="216" t="s">
        <v>277</v>
      </c>
      <c r="I152" s="213">
        <v>2201</v>
      </c>
      <c r="J152" s="216" t="s">
        <v>1587</v>
      </c>
      <c r="K152" s="216" t="s">
        <v>716</v>
      </c>
      <c r="L152" s="213">
        <v>2201006</v>
      </c>
      <c r="M152" s="216" t="s">
        <v>717</v>
      </c>
      <c r="N152" s="213">
        <v>2201006</v>
      </c>
      <c r="O152" s="216" t="s">
        <v>717</v>
      </c>
      <c r="P152" s="334">
        <v>220100600</v>
      </c>
      <c r="Q152" s="216" t="s">
        <v>718</v>
      </c>
      <c r="R152" s="334">
        <v>220100600</v>
      </c>
      <c r="S152" s="216" t="s">
        <v>718</v>
      </c>
      <c r="T152" s="236" t="s">
        <v>1671</v>
      </c>
      <c r="U152" s="76">
        <v>54</v>
      </c>
      <c r="V152" s="76">
        <v>54</v>
      </c>
      <c r="W152" s="236" t="s">
        <v>719</v>
      </c>
      <c r="X152" s="214" t="s">
        <v>720</v>
      </c>
      <c r="Y152" s="216" t="s">
        <v>721</v>
      </c>
      <c r="Z152" s="289"/>
      <c r="AA152" s="289"/>
      <c r="AB152" s="289"/>
      <c r="AC152" s="289"/>
      <c r="AD152" s="289"/>
      <c r="AE152" s="289"/>
      <c r="AF152" s="289"/>
      <c r="AG152" s="289"/>
      <c r="AH152" s="289"/>
      <c r="AI152" s="289"/>
      <c r="AJ152" s="289"/>
      <c r="AK152" s="289"/>
      <c r="AL152" s="289"/>
      <c r="AM152" s="289"/>
      <c r="AN152" s="289"/>
      <c r="AO152" s="289"/>
      <c r="AP152" s="289"/>
      <c r="AQ152" s="289"/>
      <c r="AR152" s="342"/>
      <c r="AS152" s="342"/>
      <c r="AT152" s="342"/>
      <c r="AU152" s="289"/>
      <c r="AV152" s="289"/>
      <c r="AW152" s="289"/>
      <c r="AX152" s="289"/>
      <c r="AY152" s="289"/>
      <c r="AZ152" s="289"/>
      <c r="BA152" s="289"/>
      <c r="BB152" s="289"/>
      <c r="BC152" s="289"/>
      <c r="BD152" s="370">
        <v>174900000.94999999</v>
      </c>
      <c r="BE152" s="326">
        <v>171388333</v>
      </c>
      <c r="BF152" s="326">
        <v>171388333</v>
      </c>
      <c r="BG152" s="289"/>
      <c r="BH152" s="289"/>
      <c r="BI152" s="289"/>
      <c r="BJ152" s="289"/>
      <c r="BK152" s="289"/>
      <c r="BL152" s="289"/>
      <c r="BM152" s="289"/>
      <c r="BN152" s="289"/>
      <c r="BO152" s="289"/>
      <c r="BP152" s="273">
        <f t="shared" si="42"/>
        <v>174900000.94999999</v>
      </c>
      <c r="BQ152" s="273">
        <f>+AA152+AD152+AG152+AJ152+AM152+AP152+AS152+AV152+AY152+BB152+BE152+BH152+BK152</f>
        <v>171388333</v>
      </c>
      <c r="BR152" s="273">
        <f>+AB152+AE152+AH152+AK152+AN152+AQ152+AT152+AW152+AZ152+BC152+BF152+BI152+BL152</f>
        <v>171388333</v>
      </c>
      <c r="BS152" s="246" t="s">
        <v>1653</v>
      </c>
      <c r="BT152" s="233"/>
    </row>
    <row r="153" spans="1:72" s="27" customFormat="1" ht="150" customHeight="1" x14ac:dyDescent="0.2">
      <c r="A153" s="217">
        <v>314</v>
      </c>
      <c r="B153" s="216" t="s">
        <v>1626</v>
      </c>
      <c r="C153" s="213">
        <v>1</v>
      </c>
      <c r="D153" s="216" t="s">
        <v>1614</v>
      </c>
      <c r="E153" s="213">
        <v>22</v>
      </c>
      <c r="F153" s="287" t="s">
        <v>156</v>
      </c>
      <c r="G153" s="213">
        <v>2201</v>
      </c>
      <c r="H153" s="216" t="s">
        <v>277</v>
      </c>
      <c r="I153" s="213">
        <v>2201</v>
      </c>
      <c r="J153" s="216" t="s">
        <v>1587</v>
      </c>
      <c r="K153" s="216" t="s">
        <v>716</v>
      </c>
      <c r="L153" s="213">
        <v>2201015</v>
      </c>
      <c r="M153" s="216" t="s">
        <v>722</v>
      </c>
      <c r="N153" s="213">
        <v>2201015</v>
      </c>
      <c r="O153" s="216" t="s">
        <v>722</v>
      </c>
      <c r="P153" s="304">
        <v>220101500</v>
      </c>
      <c r="Q153" s="216" t="s">
        <v>723</v>
      </c>
      <c r="R153" s="304">
        <v>220101500</v>
      </c>
      <c r="S153" s="216" t="s">
        <v>723</v>
      </c>
      <c r="T153" s="236" t="s">
        <v>1671</v>
      </c>
      <c r="U153" s="76">
        <v>11</v>
      </c>
      <c r="V153" s="76">
        <v>11</v>
      </c>
      <c r="W153" s="236" t="s">
        <v>719</v>
      </c>
      <c r="X153" s="214" t="s">
        <v>720</v>
      </c>
      <c r="Y153" s="216" t="s">
        <v>721</v>
      </c>
      <c r="Z153" s="289"/>
      <c r="AA153" s="289"/>
      <c r="AB153" s="289"/>
      <c r="AC153" s="289"/>
      <c r="AD153" s="289"/>
      <c r="AE153" s="289"/>
      <c r="AF153" s="289"/>
      <c r="AG153" s="289"/>
      <c r="AH153" s="289"/>
      <c r="AI153" s="289"/>
      <c r="AJ153" s="289"/>
      <c r="AK153" s="289"/>
      <c r="AL153" s="289"/>
      <c r="AM153" s="289"/>
      <c r="AN153" s="289"/>
      <c r="AO153" s="289"/>
      <c r="AP153" s="289"/>
      <c r="AQ153" s="289"/>
      <c r="AR153" s="289"/>
      <c r="AS153" s="289"/>
      <c r="AT153" s="289"/>
      <c r="AU153" s="289"/>
      <c r="AV153" s="289"/>
      <c r="AW153" s="289"/>
      <c r="AX153" s="289"/>
      <c r="AY153" s="289"/>
      <c r="AZ153" s="289"/>
      <c r="BA153" s="289"/>
      <c r="BB153" s="289"/>
      <c r="BC153" s="289"/>
      <c r="BD153" s="326">
        <f>12000000-12000000</f>
        <v>0</v>
      </c>
      <c r="BE153" s="326"/>
      <c r="BF153" s="326"/>
      <c r="BG153" s="289"/>
      <c r="BH153" s="289"/>
      <c r="BI153" s="289"/>
      <c r="BJ153" s="289"/>
      <c r="BK153" s="289"/>
      <c r="BL153" s="289"/>
      <c r="BM153" s="289"/>
      <c r="BN153" s="289"/>
      <c r="BO153" s="289"/>
      <c r="BP153" s="273">
        <f t="shared" si="42"/>
        <v>0</v>
      </c>
      <c r="BQ153" s="273">
        <f t="shared" si="40"/>
        <v>0</v>
      </c>
      <c r="BR153" s="273">
        <f t="shared" si="41"/>
        <v>0</v>
      </c>
      <c r="BS153" s="246" t="s">
        <v>1653</v>
      </c>
      <c r="BT153" s="233"/>
    </row>
    <row r="154" spans="1:72" s="27" customFormat="1" ht="154.5" customHeight="1" x14ac:dyDescent="0.2">
      <c r="A154" s="217">
        <v>314</v>
      </c>
      <c r="B154" s="216" t="s">
        <v>1626</v>
      </c>
      <c r="C154" s="213">
        <v>1</v>
      </c>
      <c r="D154" s="216" t="s">
        <v>1614</v>
      </c>
      <c r="E154" s="213">
        <v>22</v>
      </c>
      <c r="F154" s="287" t="s">
        <v>156</v>
      </c>
      <c r="G154" s="213">
        <v>2201</v>
      </c>
      <c r="H154" s="216" t="s">
        <v>277</v>
      </c>
      <c r="I154" s="213">
        <v>2201</v>
      </c>
      <c r="J154" s="216" t="s">
        <v>1587</v>
      </c>
      <c r="K154" s="216" t="s">
        <v>667</v>
      </c>
      <c r="L154" s="213">
        <v>2201042</v>
      </c>
      <c r="M154" s="216" t="s">
        <v>724</v>
      </c>
      <c r="N154" s="213">
        <v>2201042</v>
      </c>
      <c r="O154" s="216" t="s">
        <v>724</v>
      </c>
      <c r="P154" s="304">
        <v>220104200</v>
      </c>
      <c r="Q154" s="216" t="s">
        <v>725</v>
      </c>
      <c r="R154" s="304">
        <v>220104200</v>
      </c>
      <c r="S154" s="216" t="s">
        <v>725</v>
      </c>
      <c r="T154" s="236" t="s">
        <v>1673</v>
      </c>
      <c r="U154" s="76">
        <v>6000</v>
      </c>
      <c r="V154" s="76">
        <v>6000</v>
      </c>
      <c r="W154" s="236" t="s">
        <v>719</v>
      </c>
      <c r="X154" s="214" t="s">
        <v>720</v>
      </c>
      <c r="Y154" s="216" t="s">
        <v>721</v>
      </c>
      <c r="Z154" s="289"/>
      <c r="AA154" s="289"/>
      <c r="AB154" s="289"/>
      <c r="AC154" s="289"/>
      <c r="AD154" s="289"/>
      <c r="AE154" s="289"/>
      <c r="AF154" s="289"/>
      <c r="AG154" s="289"/>
      <c r="AH154" s="289"/>
      <c r="AI154" s="289"/>
      <c r="AJ154" s="289"/>
      <c r="AK154" s="289"/>
      <c r="AL154" s="289"/>
      <c r="AM154" s="289"/>
      <c r="AN154" s="289"/>
      <c r="AO154" s="289"/>
      <c r="AP154" s="289"/>
      <c r="AQ154" s="289"/>
      <c r="AR154" s="289"/>
      <c r="AS154" s="289"/>
      <c r="AT154" s="289"/>
      <c r="AU154" s="289"/>
      <c r="AV154" s="289"/>
      <c r="AW154" s="289"/>
      <c r="AX154" s="289"/>
      <c r="AY154" s="289"/>
      <c r="AZ154" s="289"/>
      <c r="BA154" s="289"/>
      <c r="BB154" s="289"/>
      <c r="BC154" s="289"/>
      <c r="BD154" s="294">
        <v>10000000.01</v>
      </c>
      <c r="BE154" s="326">
        <v>9905167</v>
      </c>
      <c r="BF154" s="294">
        <v>9905167</v>
      </c>
      <c r="BG154" s="289"/>
      <c r="BH154" s="289"/>
      <c r="BI154" s="289"/>
      <c r="BJ154" s="289"/>
      <c r="BK154" s="289"/>
      <c r="BL154" s="289"/>
      <c r="BM154" s="289"/>
      <c r="BN154" s="289"/>
      <c r="BO154" s="289"/>
      <c r="BP154" s="273">
        <f t="shared" si="42"/>
        <v>10000000.01</v>
      </c>
      <c r="BQ154" s="273">
        <f>+AA154+AD154+AG154+AJ154+AM154+AP154+AS154+AV154+AY154+BB154+BE154+BH154+BK154</f>
        <v>9905167</v>
      </c>
      <c r="BR154" s="273">
        <f t="shared" si="41"/>
        <v>9905167</v>
      </c>
      <c r="BS154" s="246" t="s">
        <v>1653</v>
      </c>
      <c r="BT154" s="233"/>
    </row>
    <row r="155" spans="1:72" s="27" customFormat="1" ht="111.75" customHeight="1" x14ac:dyDescent="0.2">
      <c r="A155" s="217">
        <v>314</v>
      </c>
      <c r="B155" s="216" t="s">
        <v>1626</v>
      </c>
      <c r="C155" s="213">
        <v>1</v>
      </c>
      <c r="D155" s="216" t="s">
        <v>1614</v>
      </c>
      <c r="E155" s="213">
        <v>22</v>
      </c>
      <c r="F155" s="287" t="s">
        <v>156</v>
      </c>
      <c r="G155" s="213">
        <v>2201</v>
      </c>
      <c r="H155" s="216" t="s">
        <v>277</v>
      </c>
      <c r="I155" s="213">
        <v>2201</v>
      </c>
      <c r="J155" s="216" t="s">
        <v>1587</v>
      </c>
      <c r="K155" s="216" t="s">
        <v>726</v>
      </c>
      <c r="L155" s="213">
        <v>2201071</v>
      </c>
      <c r="M155" s="343" t="s">
        <v>727</v>
      </c>
      <c r="N155" s="213">
        <v>2201071</v>
      </c>
      <c r="O155" s="343" t="s">
        <v>727</v>
      </c>
      <c r="P155" s="334">
        <v>220107100</v>
      </c>
      <c r="Q155" s="216" t="s">
        <v>728</v>
      </c>
      <c r="R155" s="334">
        <v>220107100</v>
      </c>
      <c r="S155" s="216" t="s">
        <v>728</v>
      </c>
      <c r="T155" s="236" t="s">
        <v>1671</v>
      </c>
      <c r="U155" s="76">
        <v>54</v>
      </c>
      <c r="V155" s="76">
        <v>54</v>
      </c>
      <c r="W155" s="236" t="s">
        <v>719</v>
      </c>
      <c r="X155" s="214" t="s">
        <v>720</v>
      </c>
      <c r="Y155" s="216" t="s">
        <v>721</v>
      </c>
      <c r="Z155" s="344"/>
      <c r="AA155" s="344"/>
      <c r="AB155" s="344"/>
      <c r="AC155" s="344"/>
      <c r="AD155" s="344"/>
      <c r="AE155" s="344"/>
      <c r="AF155" s="344"/>
      <c r="AG155" s="344"/>
      <c r="AH155" s="344"/>
      <c r="AI155" s="368">
        <v>1573920278.6600001</v>
      </c>
      <c r="AJ155" s="344">
        <v>1498549072.7800002</v>
      </c>
      <c r="AK155" s="344">
        <v>1498549072.7800002</v>
      </c>
      <c r="AL155" s="344"/>
      <c r="AM155" s="344"/>
      <c r="AN155" s="344"/>
      <c r="AO155" s="344"/>
      <c r="AP155" s="344"/>
      <c r="AQ155" s="344"/>
      <c r="AR155" s="342">
        <v>135943144737.94</v>
      </c>
      <c r="AS155" s="342">
        <v>134541477492.14999</v>
      </c>
      <c r="AT155" s="342">
        <v>134541477492.14999</v>
      </c>
      <c r="AU155" s="345">
        <v>28315024554</v>
      </c>
      <c r="AV155" s="345">
        <v>28315024554</v>
      </c>
      <c r="AW155" s="345">
        <v>28315024554</v>
      </c>
      <c r="AX155" s="344"/>
      <c r="AY155" s="344"/>
      <c r="AZ155" s="344"/>
      <c r="BA155" s="344"/>
      <c r="BB155" s="344"/>
      <c r="BC155" s="344"/>
      <c r="BD155" s="366">
        <v>6038518198.2200003</v>
      </c>
      <c r="BE155" s="326">
        <v>5639793613.2200003</v>
      </c>
      <c r="BF155" s="359">
        <v>5639793613.2200003</v>
      </c>
      <c r="BG155" s="344"/>
      <c r="BH155" s="344"/>
      <c r="BI155" s="344"/>
      <c r="BJ155" s="344">
        <v>3316642291.1900001</v>
      </c>
      <c r="BK155" s="344">
        <v>2997838179.8000002</v>
      </c>
      <c r="BL155" s="344">
        <v>2997838179.8000002</v>
      </c>
      <c r="BM155" s="344"/>
      <c r="BN155" s="344"/>
      <c r="BO155" s="344"/>
      <c r="BP155" s="273">
        <f>+Z155+AC155+AF155+AI155+AL155+AO155+AR155+AU155+AX155+BA155+BD155+BG155+BJ155</f>
        <v>175187250060.01001</v>
      </c>
      <c r="BQ155" s="273">
        <f>+AA155+AD155+AG155+AJ155+AM155+AP155+AS155+AV155+AY155+BB155+BE155+BH155+BK155</f>
        <v>172992682911.94998</v>
      </c>
      <c r="BR155" s="273">
        <f>+AB155+AE155+AH155+AK155+AN155+AQ155+AT155+AW155+AZ155+BC155+BF155+BI155+BL155</f>
        <v>172992682911.94998</v>
      </c>
      <c r="BS155" s="246" t="s">
        <v>1653</v>
      </c>
      <c r="BT155" s="233"/>
    </row>
    <row r="156" spans="1:72" s="27" customFormat="1" ht="168" customHeight="1" x14ac:dyDescent="0.2">
      <c r="A156" s="217">
        <v>314</v>
      </c>
      <c r="B156" s="216" t="s">
        <v>1626</v>
      </c>
      <c r="C156" s="213">
        <v>1</v>
      </c>
      <c r="D156" s="216" t="s">
        <v>1614</v>
      </c>
      <c r="E156" s="213">
        <v>22</v>
      </c>
      <c r="F156" s="287" t="s">
        <v>156</v>
      </c>
      <c r="G156" s="213">
        <v>2201</v>
      </c>
      <c r="H156" s="216" t="s">
        <v>277</v>
      </c>
      <c r="I156" s="213">
        <v>2201</v>
      </c>
      <c r="J156" s="216" t="s">
        <v>1587</v>
      </c>
      <c r="K156" s="216" t="s">
        <v>667</v>
      </c>
      <c r="L156" s="213">
        <v>2201050</v>
      </c>
      <c r="M156" s="216" t="s">
        <v>729</v>
      </c>
      <c r="N156" s="213">
        <v>2201050</v>
      </c>
      <c r="O156" s="216" t="s">
        <v>729</v>
      </c>
      <c r="P156" s="304">
        <v>220105000</v>
      </c>
      <c r="Q156" s="216" t="s">
        <v>730</v>
      </c>
      <c r="R156" s="304">
        <v>220105000</v>
      </c>
      <c r="S156" s="216" t="s">
        <v>730</v>
      </c>
      <c r="T156" s="236" t="s">
        <v>1673</v>
      </c>
      <c r="U156" s="76">
        <v>8000</v>
      </c>
      <c r="V156" s="76">
        <v>8000</v>
      </c>
      <c r="W156" s="236" t="s">
        <v>731</v>
      </c>
      <c r="X156" s="214" t="s">
        <v>732</v>
      </c>
      <c r="Y156" s="216" t="s">
        <v>733</v>
      </c>
      <c r="Z156" s="289"/>
      <c r="AA156" s="289"/>
      <c r="AB156" s="289"/>
      <c r="AC156" s="289"/>
      <c r="AD156" s="289"/>
      <c r="AE156" s="289"/>
      <c r="AF156" s="289"/>
      <c r="AG156" s="289"/>
      <c r="AH156" s="289"/>
      <c r="AI156" s="289"/>
      <c r="AJ156" s="289"/>
      <c r="AK156" s="289"/>
      <c r="AL156" s="289"/>
      <c r="AM156" s="289"/>
      <c r="AN156" s="289"/>
      <c r="AO156" s="289"/>
      <c r="AP156" s="289"/>
      <c r="AQ156" s="289"/>
      <c r="AR156" s="297"/>
      <c r="AS156" s="297"/>
      <c r="AT156" s="297"/>
      <c r="AU156" s="289"/>
      <c r="AV156" s="289"/>
      <c r="AW156" s="289"/>
      <c r="AX156" s="289"/>
      <c r="AY156" s="289"/>
      <c r="AZ156" s="289"/>
      <c r="BA156" s="289"/>
      <c r="BB156" s="289"/>
      <c r="BC156" s="289"/>
      <c r="BD156" s="326">
        <v>10000000.01</v>
      </c>
      <c r="BE156" s="294">
        <v>10000000</v>
      </c>
      <c r="BF156" s="326">
        <v>10000000</v>
      </c>
      <c r="BG156" s="289"/>
      <c r="BH156" s="289"/>
      <c r="BI156" s="289"/>
      <c r="BJ156" s="289"/>
      <c r="BK156" s="289"/>
      <c r="BL156" s="289"/>
      <c r="BM156" s="289"/>
      <c r="BN156" s="289"/>
      <c r="BO156" s="289"/>
      <c r="BP156" s="273">
        <f>+Z156+AC156+AF156+AI156+AL156+AO156+AR156+AU156+AX156+BA156+BD156+BG156+BJ156</f>
        <v>10000000.01</v>
      </c>
      <c r="BQ156" s="273">
        <f>+AA156+AD156+AG156+AJ156+AM156+AP156+AS156+AV156+AY156+BB156+BE156+BH156+BK156</f>
        <v>10000000</v>
      </c>
      <c r="BR156" s="273">
        <f t="shared" si="41"/>
        <v>10000000</v>
      </c>
      <c r="BS156" s="246" t="s">
        <v>1653</v>
      </c>
      <c r="BT156" s="233"/>
    </row>
    <row r="157" spans="1:72" s="27" customFormat="1" ht="135" customHeight="1" x14ac:dyDescent="0.2">
      <c r="A157" s="217">
        <v>314</v>
      </c>
      <c r="B157" s="216" t="s">
        <v>1626</v>
      </c>
      <c r="C157" s="213">
        <v>1</v>
      </c>
      <c r="D157" s="216" t="s">
        <v>1614</v>
      </c>
      <c r="E157" s="213">
        <v>22</v>
      </c>
      <c r="F157" s="287" t="s">
        <v>156</v>
      </c>
      <c r="G157" s="213">
        <v>2201</v>
      </c>
      <c r="H157" s="216" t="s">
        <v>277</v>
      </c>
      <c r="I157" s="213">
        <v>2201</v>
      </c>
      <c r="J157" s="216" t="s">
        <v>1587</v>
      </c>
      <c r="K157" s="216" t="s">
        <v>667</v>
      </c>
      <c r="L157" s="213">
        <v>2201050</v>
      </c>
      <c r="M157" s="216" t="s">
        <v>729</v>
      </c>
      <c r="N157" s="213">
        <v>2201050</v>
      </c>
      <c r="O157" s="216" t="s">
        <v>729</v>
      </c>
      <c r="P157" s="334">
        <v>220105001</v>
      </c>
      <c r="Q157" s="216" t="s">
        <v>734</v>
      </c>
      <c r="R157" s="334">
        <v>220105001</v>
      </c>
      <c r="S157" s="216" t="s">
        <v>734</v>
      </c>
      <c r="T157" s="236" t="s">
        <v>1671</v>
      </c>
      <c r="U157" s="76">
        <v>150</v>
      </c>
      <c r="V157" s="76">
        <v>150</v>
      </c>
      <c r="W157" s="236" t="s">
        <v>731</v>
      </c>
      <c r="X157" s="214" t="s">
        <v>732</v>
      </c>
      <c r="Y157" s="216" t="s">
        <v>733</v>
      </c>
      <c r="Z157" s="289"/>
      <c r="AA157" s="289"/>
      <c r="AB157" s="289"/>
      <c r="AC157" s="289"/>
      <c r="AD157" s="289"/>
      <c r="AE157" s="289"/>
      <c r="AF157" s="289"/>
      <c r="AG157" s="289"/>
      <c r="AH157" s="289"/>
      <c r="AI157" s="289"/>
      <c r="AJ157" s="289"/>
      <c r="AK157" s="289"/>
      <c r="AL157" s="289"/>
      <c r="AM157" s="289"/>
      <c r="AN157" s="289"/>
      <c r="AO157" s="289"/>
      <c r="AP157" s="289"/>
      <c r="AQ157" s="289"/>
      <c r="AR157" s="289">
        <f>749000000-157054393</f>
        <v>591945607</v>
      </c>
      <c r="AS157" s="289">
        <v>591802211</v>
      </c>
      <c r="AT157" s="289">
        <v>591802211</v>
      </c>
      <c r="AU157" s="289">
        <v>0</v>
      </c>
      <c r="AV157" s="289"/>
      <c r="AW157" s="289"/>
      <c r="AX157" s="289">
        <v>0</v>
      </c>
      <c r="AY157" s="289"/>
      <c r="AZ157" s="289"/>
      <c r="BA157" s="289">
        <v>0</v>
      </c>
      <c r="BB157" s="289"/>
      <c r="BC157" s="289"/>
      <c r="BD157" s="289">
        <v>0</v>
      </c>
      <c r="BE157" s="294"/>
      <c r="BF157" s="289"/>
      <c r="BG157" s="289">
        <v>0</v>
      </c>
      <c r="BH157" s="289"/>
      <c r="BI157" s="289"/>
      <c r="BJ157" s="289">
        <v>0</v>
      </c>
      <c r="BK157" s="289"/>
      <c r="BL157" s="289"/>
      <c r="BM157" s="289"/>
      <c r="BN157" s="289"/>
      <c r="BO157" s="289"/>
      <c r="BP157" s="273">
        <f t="shared" si="42"/>
        <v>591945607</v>
      </c>
      <c r="BQ157" s="273">
        <f>+AA157+AD157+AG157+AJ157+AM157+AP157+AS157+AV157+AY157+BB157+BE157+BH157+BK157</f>
        <v>591802211</v>
      </c>
      <c r="BR157" s="273">
        <f>+AB157+AE157+AH157+AK157+AN157+AQ157+AT157+AW157+AZ157+BC157+BF157+BI157+BL157</f>
        <v>591802211</v>
      </c>
      <c r="BS157" s="246" t="s">
        <v>1653</v>
      </c>
      <c r="BT157" s="233"/>
    </row>
    <row r="158" spans="1:72" s="27" customFormat="1" ht="120.75" customHeight="1" x14ac:dyDescent="0.2">
      <c r="A158" s="217">
        <v>314</v>
      </c>
      <c r="B158" s="216" t="s">
        <v>1626</v>
      </c>
      <c r="C158" s="213">
        <v>1</v>
      </c>
      <c r="D158" s="216" t="s">
        <v>1614</v>
      </c>
      <c r="E158" s="213">
        <v>22</v>
      </c>
      <c r="F158" s="287" t="s">
        <v>156</v>
      </c>
      <c r="G158" s="213">
        <v>2201</v>
      </c>
      <c r="H158" s="216" t="s">
        <v>277</v>
      </c>
      <c r="I158" s="213">
        <v>2201</v>
      </c>
      <c r="J158" s="216" t="s">
        <v>1587</v>
      </c>
      <c r="K158" s="216" t="s">
        <v>676</v>
      </c>
      <c r="L158" s="213" t="s">
        <v>41</v>
      </c>
      <c r="M158" s="216" t="s">
        <v>735</v>
      </c>
      <c r="N158" s="213">
        <v>2201001</v>
      </c>
      <c r="O158" s="216" t="s">
        <v>233</v>
      </c>
      <c r="P158" s="213" t="s">
        <v>41</v>
      </c>
      <c r="Q158" s="216" t="s">
        <v>736</v>
      </c>
      <c r="R158" s="304">
        <v>220100100</v>
      </c>
      <c r="S158" s="216" t="s">
        <v>737</v>
      </c>
      <c r="T158" s="236" t="s">
        <v>1671</v>
      </c>
      <c r="U158" s="76">
        <v>2</v>
      </c>
      <c r="V158" s="76">
        <v>2</v>
      </c>
      <c r="W158" s="236" t="s">
        <v>731</v>
      </c>
      <c r="X158" s="214" t="s">
        <v>732</v>
      </c>
      <c r="Y158" s="216" t="s">
        <v>733</v>
      </c>
      <c r="Z158" s="289"/>
      <c r="AA158" s="289"/>
      <c r="AB158" s="289"/>
      <c r="AC158" s="289"/>
      <c r="AD158" s="289"/>
      <c r="AE158" s="289"/>
      <c r="AF158" s="289"/>
      <c r="AG158" s="289"/>
      <c r="AH158" s="289"/>
      <c r="AI158" s="289"/>
      <c r="AJ158" s="289"/>
      <c r="AK158" s="289"/>
      <c r="AL158" s="289"/>
      <c r="AM158" s="289"/>
      <c r="AN158" s="289"/>
      <c r="AO158" s="289"/>
      <c r="AP158" s="289"/>
      <c r="AQ158" s="289"/>
      <c r="AR158" s="289"/>
      <c r="AS158" s="289"/>
      <c r="AT158" s="289"/>
      <c r="AU158" s="289"/>
      <c r="AV158" s="289"/>
      <c r="AW158" s="289"/>
      <c r="AX158" s="289"/>
      <c r="AY158" s="289"/>
      <c r="AZ158" s="289"/>
      <c r="BA158" s="289"/>
      <c r="BB158" s="289"/>
      <c r="BC158" s="289"/>
      <c r="BD158" s="326">
        <v>10000000.01</v>
      </c>
      <c r="BE158" s="326">
        <v>7800000</v>
      </c>
      <c r="BF158" s="326">
        <v>7800000</v>
      </c>
      <c r="BG158" s="289"/>
      <c r="BH158" s="289"/>
      <c r="BI158" s="289"/>
      <c r="BJ158" s="289"/>
      <c r="BK158" s="289"/>
      <c r="BL158" s="289"/>
      <c r="BM158" s="289"/>
      <c r="BN158" s="289"/>
      <c r="BO158" s="289"/>
      <c r="BP158" s="273">
        <f>+Z158+AC158+AF158+AI158+AL158+AO158+AR158+AU158+AX158+BA158+BD158+BG158+BJ158</f>
        <v>10000000.01</v>
      </c>
      <c r="BQ158" s="273">
        <f>+AA158+AD158+AG158+AJ158+AM158+AP158+AS158+AV158+AY158+BB158+BE158+BH158+BK158</f>
        <v>7800000</v>
      </c>
      <c r="BR158" s="273">
        <f t="shared" si="41"/>
        <v>7800000</v>
      </c>
      <c r="BS158" s="246" t="s">
        <v>1653</v>
      </c>
      <c r="BT158" s="233"/>
    </row>
    <row r="159" spans="1:72" s="27" customFormat="1" ht="114" customHeight="1" x14ac:dyDescent="0.2">
      <c r="A159" s="217">
        <v>314</v>
      </c>
      <c r="B159" s="216" t="s">
        <v>1626</v>
      </c>
      <c r="C159" s="213">
        <v>1</v>
      </c>
      <c r="D159" s="216" t="s">
        <v>1614</v>
      </c>
      <c r="E159" s="213">
        <v>22</v>
      </c>
      <c r="F159" s="287" t="s">
        <v>156</v>
      </c>
      <c r="G159" s="213">
        <v>2201</v>
      </c>
      <c r="H159" s="216" t="s">
        <v>277</v>
      </c>
      <c r="I159" s="213">
        <v>2201</v>
      </c>
      <c r="J159" s="216" t="s">
        <v>1587</v>
      </c>
      <c r="K159" s="216" t="s">
        <v>738</v>
      </c>
      <c r="L159" s="213">
        <v>2201034</v>
      </c>
      <c r="M159" s="216" t="s">
        <v>739</v>
      </c>
      <c r="N159" s="213">
        <v>2201034</v>
      </c>
      <c r="O159" s="216" t="s">
        <v>739</v>
      </c>
      <c r="P159" s="334">
        <v>220103400</v>
      </c>
      <c r="Q159" s="216" t="s">
        <v>740</v>
      </c>
      <c r="R159" s="334">
        <v>220103400</v>
      </c>
      <c r="S159" s="216" t="s">
        <v>740</v>
      </c>
      <c r="T159" s="236" t="s">
        <v>1673</v>
      </c>
      <c r="U159" s="76">
        <v>5500</v>
      </c>
      <c r="V159" s="76">
        <v>4760</v>
      </c>
      <c r="W159" s="236" t="s">
        <v>741</v>
      </c>
      <c r="X159" s="214" t="s">
        <v>742</v>
      </c>
      <c r="Y159" s="216" t="s">
        <v>743</v>
      </c>
      <c r="Z159" s="289"/>
      <c r="AA159" s="289"/>
      <c r="AB159" s="289"/>
      <c r="AC159" s="289"/>
      <c r="AD159" s="289"/>
      <c r="AE159" s="289"/>
      <c r="AF159" s="289"/>
      <c r="AG159" s="289"/>
      <c r="AH159" s="289"/>
      <c r="AI159" s="289"/>
      <c r="AJ159" s="289"/>
      <c r="AK159" s="289"/>
      <c r="AL159" s="289"/>
      <c r="AM159" s="289"/>
      <c r="AN159" s="289"/>
      <c r="AO159" s="289"/>
      <c r="AP159" s="289"/>
      <c r="AQ159" s="289"/>
      <c r="AR159" s="289"/>
      <c r="AS159" s="289"/>
      <c r="AT159" s="289"/>
      <c r="AU159" s="289"/>
      <c r="AV159" s="289"/>
      <c r="AW159" s="289"/>
      <c r="AX159" s="289"/>
      <c r="AY159" s="289"/>
      <c r="AZ159" s="289"/>
      <c r="BA159" s="289"/>
      <c r="BB159" s="289"/>
      <c r="BC159" s="289"/>
      <c r="BD159" s="326">
        <v>10000000.01</v>
      </c>
      <c r="BE159" s="326">
        <v>10000000</v>
      </c>
      <c r="BF159" s="326">
        <v>10000000</v>
      </c>
      <c r="BG159" s="289"/>
      <c r="BH159" s="289"/>
      <c r="BI159" s="289"/>
      <c r="BJ159" s="289"/>
      <c r="BK159" s="289"/>
      <c r="BL159" s="289"/>
      <c r="BM159" s="289"/>
      <c r="BN159" s="289"/>
      <c r="BO159" s="289"/>
      <c r="BP159" s="273">
        <f t="shared" si="42"/>
        <v>10000000.01</v>
      </c>
      <c r="BQ159" s="273">
        <f t="shared" si="40"/>
        <v>10000000</v>
      </c>
      <c r="BR159" s="273">
        <f t="shared" si="41"/>
        <v>10000000</v>
      </c>
      <c r="BS159" s="246" t="s">
        <v>1653</v>
      </c>
      <c r="BT159" s="233"/>
    </row>
    <row r="160" spans="1:72" s="27" customFormat="1" ht="103.5" customHeight="1" x14ac:dyDescent="0.2">
      <c r="A160" s="217">
        <v>314</v>
      </c>
      <c r="B160" s="216" t="s">
        <v>1626</v>
      </c>
      <c r="C160" s="213">
        <v>1</v>
      </c>
      <c r="D160" s="216" t="s">
        <v>1614</v>
      </c>
      <c r="E160" s="213">
        <v>22</v>
      </c>
      <c r="F160" s="287" t="s">
        <v>156</v>
      </c>
      <c r="G160" s="213">
        <v>2201</v>
      </c>
      <c r="H160" s="216" t="s">
        <v>277</v>
      </c>
      <c r="I160" s="213">
        <v>2201</v>
      </c>
      <c r="J160" s="216" t="s">
        <v>1587</v>
      </c>
      <c r="K160" s="216" t="s">
        <v>738</v>
      </c>
      <c r="L160" s="213">
        <v>2201034</v>
      </c>
      <c r="M160" s="216" t="s">
        <v>744</v>
      </c>
      <c r="N160" s="213">
        <v>2201034</v>
      </c>
      <c r="O160" s="216" t="s">
        <v>744</v>
      </c>
      <c r="P160" s="304">
        <v>220103401</v>
      </c>
      <c r="Q160" s="216" t="s">
        <v>745</v>
      </c>
      <c r="R160" s="304">
        <v>220103401</v>
      </c>
      <c r="S160" s="216" t="s">
        <v>745</v>
      </c>
      <c r="T160" s="236" t="s">
        <v>1671</v>
      </c>
      <c r="U160" s="76">
        <v>54</v>
      </c>
      <c r="V160" s="76">
        <v>54</v>
      </c>
      <c r="W160" s="236" t="s">
        <v>741</v>
      </c>
      <c r="X160" s="214" t="s">
        <v>742</v>
      </c>
      <c r="Y160" s="216" t="s">
        <v>743</v>
      </c>
      <c r="Z160" s="289"/>
      <c r="AA160" s="289"/>
      <c r="AB160" s="289"/>
      <c r="AC160" s="289"/>
      <c r="AD160" s="289"/>
      <c r="AE160" s="289"/>
      <c r="AF160" s="289"/>
      <c r="AG160" s="289"/>
      <c r="AH160" s="289"/>
      <c r="AI160" s="289"/>
      <c r="AJ160" s="289"/>
      <c r="AK160" s="289"/>
      <c r="AL160" s="289"/>
      <c r="AM160" s="289"/>
      <c r="AN160" s="289"/>
      <c r="AO160" s="289"/>
      <c r="AP160" s="289"/>
      <c r="AQ160" s="289"/>
      <c r="AR160" s="289"/>
      <c r="AS160" s="289"/>
      <c r="AT160" s="289"/>
      <c r="AU160" s="289"/>
      <c r="AV160" s="289"/>
      <c r="AW160" s="289"/>
      <c r="AX160" s="289"/>
      <c r="AY160" s="289"/>
      <c r="AZ160" s="289"/>
      <c r="BA160" s="289"/>
      <c r="BB160" s="289"/>
      <c r="BC160" s="289"/>
      <c r="BD160" s="326">
        <v>9999999.9800000004</v>
      </c>
      <c r="BE160" s="326">
        <v>9334359</v>
      </c>
      <c r="BF160" s="326">
        <v>9334359</v>
      </c>
      <c r="BG160" s="289"/>
      <c r="BH160" s="289"/>
      <c r="BI160" s="289"/>
      <c r="BJ160" s="289"/>
      <c r="BK160" s="289"/>
      <c r="BL160" s="289"/>
      <c r="BM160" s="289"/>
      <c r="BN160" s="289"/>
      <c r="BO160" s="289"/>
      <c r="BP160" s="273">
        <f t="shared" si="42"/>
        <v>9999999.9800000004</v>
      </c>
      <c r="BQ160" s="273">
        <f t="shared" si="40"/>
        <v>9334359</v>
      </c>
      <c r="BR160" s="273">
        <f t="shared" si="41"/>
        <v>9334359</v>
      </c>
      <c r="BS160" s="246" t="s">
        <v>1653</v>
      </c>
      <c r="BT160" s="233"/>
    </row>
    <row r="161" spans="1:72" s="27" customFormat="1" ht="93.75" customHeight="1" x14ac:dyDescent="0.2">
      <c r="A161" s="217">
        <v>314</v>
      </c>
      <c r="B161" s="216" t="s">
        <v>1626</v>
      </c>
      <c r="C161" s="213">
        <v>1</v>
      </c>
      <c r="D161" s="216" t="s">
        <v>1614</v>
      </c>
      <c r="E161" s="213">
        <v>22</v>
      </c>
      <c r="F161" s="287" t="s">
        <v>156</v>
      </c>
      <c r="G161" s="213">
        <v>2201</v>
      </c>
      <c r="H161" s="216" t="s">
        <v>277</v>
      </c>
      <c r="I161" s="213">
        <v>2201</v>
      </c>
      <c r="J161" s="216" t="s">
        <v>1587</v>
      </c>
      <c r="K161" s="216" t="s">
        <v>738</v>
      </c>
      <c r="L161" s="213">
        <v>2201060</v>
      </c>
      <c r="M161" s="216" t="s">
        <v>746</v>
      </c>
      <c r="N161" s="213">
        <v>2201060</v>
      </c>
      <c r="O161" s="216" t="s">
        <v>746</v>
      </c>
      <c r="P161" s="334">
        <v>220106000</v>
      </c>
      <c r="Q161" s="216" t="s">
        <v>747</v>
      </c>
      <c r="R161" s="334">
        <v>220106000</v>
      </c>
      <c r="S161" s="216" t="s">
        <v>747</v>
      </c>
      <c r="T161" s="236" t="s">
        <v>1673</v>
      </c>
      <c r="U161" s="76">
        <v>200</v>
      </c>
      <c r="V161" s="76">
        <v>153</v>
      </c>
      <c r="W161" s="236" t="s">
        <v>741</v>
      </c>
      <c r="X161" s="214" t="s">
        <v>742</v>
      </c>
      <c r="Y161" s="216" t="s">
        <v>743</v>
      </c>
      <c r="Z161" s="289"/>
      <c r="AA161" s="289"/>
      <c r="AB161" s="289"/>
      <c r="AC161" s="289"/>
      <c r="AD161" s="289"/>
      <c r="AE161" s="289"/>
      <c r="AF161" s="289"/>
      <c r="AG161" s="289"/>
      <c r="AH161" s="289"/>
      <c r="AI161" s="289"/>
      <c r="AJ161" s="289"/>
      <c r="AK161" s="289"/>
      <c r="AL161" s="289"/>
      <c r="AM161" s="289"/>
      <c r="AN161" s="289"/>
      <c r="AO161" s="289"/>
      <c r="AP161" s="289"/>
      <c r="AQ161" s="289"/>
      <c r="AR161" s="289"/>
      <c r="AS161" s="289"/>
      <c r="AT161" s="289"/>
      <c r="AU161" s="289"/>
      <c r="AV161" s="289"/>
      <c r="AW161" s="289"/>
      <c r="AX161" s="289"/>
      <c r="AY161" s="289"/>
      <c r="AZ161" s="289"/>
      <c r="BA161" s="289"/>
      <c r="BB161" s="289"/>
      <c r="BC161" s="289"/>
      <c r="BD161" s="326">
        <f>10000000.01-10000000.01</f>
        <v>0</v>
      </c>
      <c r="BE161" s="326"/>
      <c r="BF161" s="326"/>
      <c r="BG161" s="289"/>
      <c r="BH161" s="289"/>
      <c r="BI161" s="289"/>
      <c r="BJ161" s="289"/>
      <c r="BK161" s="289"/>
      <c r="BL161" s="289"/>
      <c r="BM161" s="289"/>
      <c r="BN161" s="289"/>
      <c r="BO161" s="289"/>
      <c r="BP161" s="273">
        <f t="shared" si="42"/>
        <v>0</v>
      </c>
      <c r="BQ161" s="273">
        <f t="shared" si="40"/>
        <v>0</v>
      </c>
      <c r="BR161" s="273">
        <f>+AB161+AE161+AH161+AK161+AN161+AQ161+AT161+AW161+AZ161+BC161+BF161+BI161+BL161</f>
        <v>0</v>
      </c>
      <c r="BS161" s="246" t="s">
        <v>1653</v>
      </c>
      <c r="BT161" s="233"/>
    </row>
    <row r="162" spans="1:72" s="27" customFormat="1" ht="159.75" customHeight="1" x14ac:dyDescent="0.2">
      <c r="A162" s="217">
        <v>314</v>
      </c>
      <c r="B162" s="216" t="s">
        <v>1626</v>
      </c>
      <c r="C162" s="213">
        <v>1</v>
      </c>
      <c r="D162" s="216" t="s">
        <v>1614</v>
      </c>
      <c r="E162" s="213">
        <v>22</v>
      </c>
      <c r="F162" s="287" t="s">
        <v>156</v>
      </c>
      <c r="G162" s="213">
        <v>2201</v>
      </c>
      <c r="H162" s="216" t="s">
        <v>277</v>
      </c>
      <c r="I162" s="213">
        <v>2201</v>
      </c>
      <c r="J162" s="216" t="s">
        <v>1587</v>
      </c>
      <c r="K162" s="216" t="s">
        <v>716</v>
      </c>
      <c r="L162" s="213">
        <v>2201001</v>
      </c>
      <c r="M162" s="216" t="s">
        <v>233</v>
      </c>
      <c r="N162" s="213">
        <v>2201001</v>
      </c>
      <c r="O162" s="216" t="s">
        <v>233</v>
      </c>
      <c r="P162" s="213">
        <v>2201001</v>
      </c>
      <c r="Q162" s="216" t="s">
        <v>737</v>
      </c>
      <c r="R162" s="213">
        <v>220100100</v>
      </c>
      <c r="S162" s="216" t="s">
        <v>737</v>
      </c>
      <c r="T162" s="236" t="s">
        <v>1671</v>
      </c>
      <c r="U162" s="76">
        <v>5</v>
      </c>
      <c r="V162" s="76">
        <v>5</v>
      </c>
      <c r="W162" s="236" t="s">
        <v>748</v>
      </c>
      <c r="X162" s="214" t="s">
        <v>1662</v>
      </c>
      <c r="Y162" s="216" t="s">
        <v>1663</v>
      </c>
      <c r="Z162" s="289"/>
      <c r="AA162" s="289"/>
      <c r="AB162" s="289"/>
      <c r="AC162" s="289"/>
      <c r="AD162" s="289"/>
      <c r="AE162" s="289"/>
      <c r="AF162" s="289"/>
      <c r="AG162" s="289"/>
      <c r="AH162" s="289"/>
      <c r="AI162" s="289"/>
      <c r="AJ162" s="289"/>
      <c r="AK162" s="289"/>
      <c r="AL162" s="289"/>
      <c r="AM162" s="289"/>
      <c r="AN162" s="289"/>
      <c r="AO162" s="289"/>
      <c r="AP162" s="289"/>
      <c r="AQ162" s="289"/>
      <c r="AR162" s="289"/>
      <c r="AS162" s="289"/>
      <c r="AT162" s="289"/>
      <c r="AU162" s="289"/>
      <c r="AV162" s="289"/>
      <c r="AW162" s="289"/>
      <c r="AX162" s="289"/>
      <c r="AY162" s="289"/>
      <c r="AZ162" s="289"/>
      <c r="BA162" s="289"/>
      <c r="BB162" s="289"/>
      <c r="BC162" s="289"/>
      <c r="BD162" s="370">
        <f>9000000+5100000</f>
        <v>14100000</v>
      </c>
      <c r="BE162" s="326">
        <v>13100000</v>
      </c>
      <c r="BF162" s="326">
        <v>13100000</v>
      </c>
      <c r="BG162" s="289"/>
      <c r="BH162" s="289"/>
      <c r="BI162" s="289"/>
      <c r="BJ162" s="289"/>
      <c r="BK162" s="289"/>
      <c r="BL162" s="289"/>
      <c r="BM162" s="289"/>
      <c r="BN162" s="289"/>
      <c r="BO162" s="289"/>
      <c r="BP162" s="273">
        <f t="shared" si="42"/>
        <v>14100000</v>
      </c>
      <c r="BQ162" s="273">
        <f t="shared" si="40"/>
        <v>13100000</v>
      </c>
      <c r="BR162" s="273">
        <f t="shared" si="41"/>
        <v>13100000</v>
      </c>
      <c r="BS162" s="246" t="s">
        <v>1653</v>
      </c>
      <c r="BT162" s="233"/>
    </row>
    <row r="163" spans="1:72" s="27" customFormat="1" ht="122.25" customHeight="1" x14ac:dyDescent="0.2">
      <c r="A163" s="217">
        <v>314</v>
      </c>
      <c r="B163" s="216" t="s">
        <v>1626</v>
      </c>
      <c r="C163" s="213">
        <v>1</v>
      </c>
      <c r="D163" s="216" t="s">
        <v>1614</v>
      </c>
      <c r="E163" s="213">
        <v>22</v>
      </c>
      <c r="F163" s="287" t="s">
        <v>156</v>
      </c>
      <c r="G163" s="213">
        <v>2201</v>
      </c>
      <c r="H163" s="216" t="s">
        <v>277</v>
      </c>
      <c r="I163" s="213">
        <v>2201</v>
      </c>
      <c r="J163" s="216" t="s">
        <v>1587</v>
      </c>
      <c r="K163" s="216" t="s">
        <v>667</v>
      </c>
      <c r="L163" s="213">
        <v>2201048</v>
      </c>
      <c r="M163" s="216" t="s">
        <v>750</v>
      </c>
      <c r="N163" s="213">
        <v>2201048</v>
      </c>
      <c r="O163" s="216" t="s">
        <v>750</v>
      </c>
      <c r="P163" s="304">
        <v>220104801</v>
      </c>
      <c r="Q163" s="216" t="s">
        <v>751</v>
      </c>
      <c r="R163" s="304">
        <v>220104801</v>
      </c>
      <c r="S163" s="216" t="s">
        <v>751</v>
      </c>
      <c r="T163" s="236" t="s">
        <v>1671</v>
      </c>
      <c r="U163" s="76">
        <v>1</v>
      </c>
      <c r="V163" s="76">
        <v>1</v>
      </c>
      <c r="W163" s="236" t="s">
        <v>748</v>
      </c>
      <c r="X163" s="214" t="s">
        <v>1662</v>
      </c>
      <c r="Y163" s="216" t="s">
        <v>1663</v>
      </c>
      <c r="Z163" s="289"/>
      <c r="AA163" s="289"/>
      <c r="AB163" s="289"/>
      <c r="AC163" s="289"/>
      <c r="AD163" s="289"/>
      <c r="AE163" s="289"/>
      <c r="AF163" s="289"/>
      <c r="AG163" s="289"/>
      <c r="AH163" s="289"/>
      <c r="AI163" s="289"/>
      <c r="AJ163" s="289"/>
      <c r="AK163" s="289"/>
      <c r="AL163" s="289"/>
      <c r="AM163" s="289"/>
      <c r="AN163" s="289"/>
      <c r="AO163" s="289"/>
      <c r="AP163" s="289"/>
      <c r="AQ163" s="289"/>
      <c r="AR163" s="289"/>
      <c r="AS163" s="289"/>
      <c r="AT163" s="289"/>
      <c r="AU163" s="289"/>
      <c r="AV163" s="289"/>
      <c r="AW163" s="289"/>
      <c r="AX163" s="289"/>
      <c r="AY163" s="289"/>
      <c r="AZ163" s="289"/>
      <c r="BA163" s="289"/>
      <c r="BB163" s="289"/>
      <c r="BC163" s="289"/>
      <c r="BD163" s="326">
        <f>9000000-9000000</f>
        <v>0</v>
      </c>
      <c r="BE163" s="326"/>
      <c r="BF163" s="326"/>
      <c r="BG163" s="289"/>
      <c r="BH163" s="289"/>
      <c r="BI163" s="289"/>
      <c r="BJ163" s="289"/>
      <c r="BK163" s="289"/>
      <c r="BL163" s="289"/>
      <c r="BM163" s="289"/>
      <c r="BN163" s="289"/>
      <c r="BO163" s="289"/>
      <c r="BP163" s="273">
        <f t="shared" si="42"/>
        <v>0</v>
      </c>
      <c r="BQ163" s="273">
        <f t="shared" si="40"/>
        <v>0</v>
      </c>
      <c r="BR163" s="273">
        <f t="shared" si="41"/>
        <v>0</v>
      </c>
      <c r="BS163" s="246" t="s">
        <v>1653</v>
      </c>
      <c r="BT163" s="233"/>
    </row>
    <row r="164" spans="1:72" s="57" customFormat="1" ht="156" customHeight="1" x14ac:dyDescent="0.25">
      <c r="A164" s="217">
        <v>314</v>
      </c>
      <c r="B164" s="216" t="s">
        <v>1626</v>
      </c>
      <c r="C164" s="213">
        <v>1</v>
      </c>
      <c r="D164" s="216" t="s">
        <v>1614</v>
      </c>
      <c r="E164" s="213">
        <v>22</v>
      </c>
      <c r="F164" s="287" t="s">
        <v>156</v>
      </c>
      <c r="G164" s="213" t="s">
        <v>41</v>
      </c>
      <c r="H164" s="216" t="s">
        <v>1559</v>
      </c>
      <c r="I164" s="346">
        <v>2202</v>
      </c>
      <c r="J164" s="216" t="s">
        <v>1560</v>
      </c>
      <c r="K164" s="216" t="s">
        <v>752</v>
      </c>
      <c r="L164" s="213" t="s">
        <v>41</v>
      </c>
      <c r="M164" s="216" t="s">
        <v>753</v>
      </c>
      <c r="N164" s="213">
        <v>2202006</v>
      </c>
      <c r="O164" s="216" t="s">
        <v>753</v>
      </c>
      <c r="P164" s="213" t="s">
        <v>41</v>
      </c>
      <c r="Q164" s="216" t="s">
        <v>754</v>
      </c>
      <c r="R164" s="213">
        <v>220200604</v>
      </c>
      <c r="S164" s="216" t="s">
        <v>755</v>
      </c>
      <c r="T164" s="236" t="s">
        <v>1671</v>
      </c>
      <c r="U164" s="76">
        <v>2</v>
      </c>
      <c r="V164" s="76">
        <v>2</v>
      </c>
      <c r="W164" s="236" t="s">
        <v>756</v>
      </c>
      <c r="X164" s="214" t="s">
        <v>757</v>
      </c>
      <c r="Y164" s="216" t="s">
        <v>758</v>
      </c>
      <c r="Z164" s="289"/>
      <c r="AA164" s="289"/>
      <c r="AB164" s="289"/>
      <c r="AC164" s="289"/>
      <c r="AD164" s="289"/>
      <c r="AE164" s="289"/>
      <c r="AF164" s="289"/>
      <c r="AG164" s="289"/>
      <c r="AH164" s="289"/>
      <c r="AI164" s="290">
        <v>1818304</v>
      </c>
      <c r="AJ164" s="289">
        <v>1818304</v>
      </c>
      <c r="AK164" s="289">
        <v>1818304</v>
      </c>
      <c r="AL164" s="289"/>
      <c r="AM164" s="289"/>
      <c r="AN164" s="289"/>
      <c r="AO164" s="289"/>
      <c r="AP164" s="289"/>
      <c r="AQ164" s="289"/>
      <c r="AR164" s="322"/>
      <c r="AS164" s="322"/>
      <c r="AT164" s="322"/>
      <c r="AU164" s="322"/>
      <c r="AV164" s="322"/>
      <c r="AW164" s="322"/>
      <c r="AX164" s="289"/>
      <c r="AY164" s="289"/>
      <c r="AZ164" s="289"/>
      <c r="BA164" s="289"/>
      <c r="BB164" s="289"/>
      <c r="BC164" s="289"/>
      <c r="BD164" s="366">
        <v>437239948</v>
      </c>
      <c r="BE164" s="294">
        <v>430762458</v>
      </c>
      <c r="BF164" s="294">
        <v>430762458</v>
      </c>
      <c r="BG164" s="289"/>
      <c r="BH164" s="289"/>
      <c r="BI164" s="289"/>
      <c r="BJ164" s="289"/>
      <c r="BK164" s="289"/>
      <c r="BL164" s="289"/>
      <c r="BM164" s="289"/>
      <c r="BN164" s="289"/>
      <c r="BO164" s="289"/>
      <c r="BP164" s="273">
        <f t="shared" ref="BP164:BR165" si="43">+Z164+AC164+AF164+AI164+AL164+AO164+AR164+AU164+AX164+BA164+BD164+BG164+BJ164</f>
        <v>439058252</v>
      </c>
      <c r="BQ164" s="273">
        <f t="shared" si="43"/>
        <v>432580762</v>
      </c>
      <c r="BR164" s="273">
        <f t="shared" si="43"/>
        <v>432580762</v>
      </c>
      <c r="BS164" s="246" t="s">
        <v>1653</v>
      </c>
      <c r="BT164" s="233"/>
    </row>
    <row r="165" spans="1:72" s="57" customFormat="1" ht="147.75" customHeight="1" x14ac:dyDescent="0.25">
      <c r="A165" s="217">
        <v>314</v>
      </c>
      <c r="B165" s="216" t="s">
        <v>1626</v>
      </c>
      <c r="C165" s="213">
        <v>2</v>
      </c>
      <c r="D165" s="216" t="s">
        <v>1621</v>
      </c>
      <c r="E165" s="213">
        <v>39</v>
      </c>
      <c r="F165" s="216" t="s">
        <v>1483</v>
      </c>
      <c r="G165" s="213">
        <v>3904</v>
      </c>
      <c r="H165" s="216" t="s">
        <v>1602</v>
      </c>
      <c r="I165" s="213">
        <v>3904</v>
      </c>
      <c r="J165" s="216" t="s">
        <v>1602</v>
      </c>
      <c r="K165" s="216" t="s">
        <v>760</v>
      </c>
      <c r="L165" s="213">
        <v>3904006</v>
      </c>
      <c r="M165" s="216" t="s">
        <v>761</v>
      </c>
      <c r="N165" s="213">
        <v>3904006</v>
      </c>
      <c r="O165" s="216" t="s">
        <v>761</v>
      </c>
      <c r="P165" s="292">
        <v>390400604</v>
      </c>
      <c r="Q165" s="311" t="s">
        <v>762</v>
      </c>
      <c r="R165" s="292">
        <v>390400604</v>
      </c>
      <c r="S165" s="311" t="s">
        <v>763</v>
      </c>
      <c r="T165" s="236" t="s">
        <v>1673</v>
      </c>
      <c r="U165" s="76">
        <v>18</v>
      </c>
      <c r="V165" s="76">
        <v>24</v>
      </c>
      <c r="W165" s="346" t="s">
        <v>764</v>
      </c>
      <c r="X165" s="214" t="s">
        <v>765</v>
      </c>
      <c r="Y165" s="216" t="s">
        <v>766</v>
      </c>
      <c r="Z165" s="289"/>
      <c r="AA165" s="289"/>
      <c r="AB165" s="289"/>
      <c r="AC165" s="289"/>
      <c r="AD165" s="289"/>
      <c r="AE165" s="289"/>
      <c r="AF165" s="289"/>
      <c r="AG165" s="289"/>
      <c r="AH165" s="289"/>
      <c r="AI165" s="271"/>
      <c r="AJ165" s="289"/>
      <c r="AK165" s="289"/>
      <c r="AL165" s="289"/>
      <c r="AM165" s="289"/>
      <c r="AN165" s="289"/>
      <c r="AO165" s="289"/>
      <c r="AP165" s="289"/>
      <c r="AQ165" s="289"/>
      <c r="AR165" s="322"/>
      <c r="AS165" s="322"/>
      <c r="AT165" s="322"/>
      <c r="AU165" s="322"/>
      <c r="AV165" s="322"/>
      <c r="AW165" s="322"/>
      <c r="AX165" s="289"/>
      <c r="AY165" s="289"/>
      <c r="AZ165" s="289"/>
      <c r="BA165" s="289"/>
      <c r="BB165" s="289"/>
      <c r="BC165" s="289"/>
      <c r="BD165" s="294">
        <v>7500000</v>
      </c>
      <c r="BE165" s="294">
        <v>7500000</v>
      </c>
      <c r="BF165" s="294">
        <v>7500000</v>
      </c>
      <c r="BG165" s="289"/>
      <c r="BH165" s="289"/>
      <c r="BI165" s="289"/>
      <c r="BJ165" s="289"/>
      <c r="BK165" s="289"/>
      <c r="BL165" s="289"/>
      <c r="BM165" s="289"/>
      <c r="BN165" s="289"/>
      <c r="BO165" s="289"/>
      <c r="BP165" s="273">
        <f t="shared" si="43"/>
        <v>7500000</v>
      </c>
      <c r="BQ165" s="273">
        <f t="shared" si="43"/>
        <v>7500000</v>
      </c>
      <c r="BR165" s="273">
        <f t="shared" si="43"/>
        <v>7500000</v>
      </c>
      <c r="BS165" s="246" t="s">
        <v>1653</v>
      </c>
      <c r="BT165" s="233"/>
    </row>
    <row r="166" spans="1:72" s="27" customFormat="1" ht="222.75" customHeight="1" x14ac:dyDescent="0.2">
      <c r="A166" s="217">
        <v>316</v>
      </c>
      <c r="B166" s="216" t="s">
        <v>1627</v>
      </c>
      <c r="C166" s="213">
        <v>1</v>
      </c>
      <c r="D166" s="216" t="s">
        <v>1614</v>
      </c>
      <c r="E166" s="213">
        <v>19</v>
      </c>
      <c r="F166" s="216" t="s">
        <v>147</v>
      </c>
      <c r="G166" s="213">
        <v>1905</v>
      </c>
      <c r="H166" s="216" t="s">
        <v>768</v>
      </c>
      <c r="I166" s="213">
        <v>1905</v>
      </c>
      <c r="J166" s="216" t="s">
        <v>1586</v>
      </c>
      <c r="K166" s="216" t="s">
        <v>769</v>
      </c>
      <c r="L166" s="304">
        <v>1905021</v>
      </c>
      <c r="M166" s="216" t="s">
        <v>770</v>
      </c>
      <c r="N166" s="304">
        <v>1905021</v>
      </c>
      <c r="O166" s="216" t="s">
        <v>770</v>
      </c>
      <c r="P166" s="304">
        <v>190502100</v>
      </c>
      <c r="Q166" s="216" t="s">
        <v>771</v>
      </c>
      <c r="R166" s="213">
        <v>190502100</v>
      </c>
      <c r="S166" s="216" t="s">
        <v>771</v>
      </c>
      <c r="T166" s="236" t="s">
        <v>1671</v>
      </c>
      <c r="U166" s="76">
        <v>12</v>
      </c>
      <c r="V166" s="76">
        <v>12</v>
      </c>
      <c r="W166" s="236" t="s">
        <v>772</v>
      </c>
      <c r="X166" s="214" t="s">
        <v>773</v>
      </c>
      <c r="Y166" s="216" t="s">
        <v>774</v>
      </c>
      <c r="Z166" s="289">
        <v>0</v>
      </c>
      <c r="AA166" s="289"/>
      <c r="AB166" s="289"/>
      <c r="AC166" s="289">
        <v>0</v>
      </c>
      <c r="AD166" s="289"/>
      <c r="AE166" s="289"/>
      <c r="AF166" s="289">
        <v>0</v>
      </c>
      <c r="AG166" s="289"/>
      <c r="AH166" s="289"/>
      <c r="AI166" s="289">
        <v>0</v>
      </c>
      <c r="AJ166" s="289"/>
      <c r="AK166" s="289"/>
      <c r="AL166" s="289">
        <v>0</v>
      </c>
      <c r="AM166" s="289"/>
      <c r="AN166" s="289"/>
      <c r="AO166" s="289">
        <v>0</v>
      </c>
      <c r="AP166" s="289"/>
      <c r="AQ166" s="289"/>
      <c r="AR166" s="289">
        <v>0</v>
      </c>
      <c r="AS166" s="289"/>
      <c r="AT166" s="289"/>
      <c r="AU166" s="289">
        <v>0</v>
      </c>
      <c r="AV166" s="289"/>
      <c r="AW166" s="289"/>
      <c r="AX166" s="289">
        <v>0</v>
      </c>
      <c r="AY166" s="289"/>
      <c r="AZ166" s="289"/>
      <c r="BA166" s="289">
        <v>0</v>
      </c>
      <c r="BB166" s="289"/>
      <c r="BC166" s="289"/>
      <c r="BD166" s="294">
        <f>100000000+15386000</f>
        <v>115386000</v>
      </c>
      <c r="BE166" s="294">
        <v>114685334</v>
      </c>
      <c r="BF166" s="294">
        <v>114685334</v>
      </c>
      <c r="BG166" s="289">
        <v>0</v>
      </c>
      <c r="BH166" s="289"/>
      <c r="BI166" s="289"/>
      <c r="BJ166" s="289">
        <v>0</v>
      </c>
      <c r="BK166" s="289"/>
      <c r="BL166" s="289"/>
      <c r="BM166" s="289"/>
      <c r="BN166" s="289"/>
      <c r="BO166" s="289"/>
      <c r="BP166" s="273">
        <f>+Z166+AC166+AF166+AI166+AL166+AO166+AR166+AU166+AX166+BA166+BD166+BG166+BJ166</f>
        <v>115386000</v>
      </c>
      <c r="BQ166" s="273">
        <f t="shared" ref="BQ166:BR168" si="44">+AA166+AD166+AG166+AJ166+AM166+AP166+AS166+AV166+AY166+BB166+BE166+BH166+BK166</f>
        <v>114685334</v>
      </c>
      <c r="BR166" s="273">
        <f t="shared" si="44"/>
        <v>114685334</v>
      </c>
      <c r="BS166" s="246" t="s">
        <v>1654</v>
      </c>
      <c r="BT166" s="233"/>
    </row>
    <row r="167" spans="1:72" s="27" customFormat="1" ht="186" customHeight="1" x14ac:dyDescent="0.2">
      <c r="A167" s="217">
        <v>316</v>
      </c>
      <c r="B167" s="216" t="s">
        <v>1627</v>
      </c>
      <c r="C167" s="213">
        <v>1</v>
      </c>
      <c r="D167" s="216" t="s">
        <v>1614</v>
      </c>
      <c r="E167" s="213">
        <v>19</v>
      </c>
      <c r="F167" s="216" t="s">
        <v>147</v>
      </c>
      <c r="G167" s="213">
        <v>1905</v>
      </c>
      <c r="H167" s="216" t="s">
        <v>768</v>
      </c>
      <c r="I167" s="213">
        <v>1905</v>
      </c>
      <c r="J167" s="216" t="s">
        <v>1586</v>
      </c>
      <c r="K167" s="216" t="s">
        <v>775</v>
      </c>
      <c r="L167" s="299">
        <v>1905022</v>
      </c>
      <c r="M167" s="298" t="s">
        <v>776</v>
      </c>
      <c r="N167" s="299">
        <v>1905022</v>
      </c>
      <c r="O167" s="298" t="s">
        <v>776</v>
      </c>
      <c r="P167" s="292">
        <v>190502200</v>
      </c>
      <c r="Q167" s="216" t="s">
        <v>777</v>
      </c>
      <c r="R167" s="292">
        <v>190502200</v>
      </c>
      <c r="S167" s="216" t="s">
        <v>777</v>
      </c>
      <c r="T167" s="236" t="s">
        <v>1671</v>
      </c>
      <c r="U167" s="76">
        <v>12</v>
      </c>
      <c r="V167" s="76">
        <v>12</v>
      </c>
      <c r="W167" s="236" t="s">
        <v>772</v>
      </c>
      <c r="X167" s="214" t="s">
        <v>773</v>
      </c>
      <c r="Y167" s="216" t="s">
        <v>774</v>
      </c>
      <c r="Z167" s="289">
        <v>0</v>
      </c>
      <c r="AA167" s="289"/>
      <c r="AB167" s="289"/>
      <c r="AC167" s="289"/>
      <c r="AD167" s="289"/>
      <c r="AE167" s="289"/>
      <c r="AF167" s="289"/>
      <c r="AG167" s="289"/>
      <c r="AH167" s="289"/>
      <c r="AI167" s="289"/>
      <c r="AJ167" s="289"/>
      <c r="AK167" s="289"/>
      <c r="AL167" s="289"/>
      <c r="AM167" s="289"/>
      <c r="AN167" s="289"/>
      <c r="AO167" s="289"/>
      <c r="AP167" s="289"/>
      <c r="AQ167" s="289"/>
      <c r="AR167" s="289"/>
      <c r="AS167" s="289"/>
      <c r="AT167" s="289"/>
      <c r="AU167" s="289"/>
      <c r="AV167" s="289"/>
      <c r="AW167" s="289"/>
      <c r="AX167" s="289"/>
      <c r="AY167" s="289"/>
      <c r="AZ167" s="289"/>
      <c r="BA167" s="289"/>
      <c r="BB167" s="289"/>
      <c r="BC167" s="289"/>
      <c r="BD167" s="294">
        <f>75000000-15386000-5000000</f>
        <v>54614000</v>
      </c>
      <c r="BE167" s="294">
        <v>51160550</v>
      </c>
      <c r="BF167" s="294">
        <v>51160550</v>
      </c>
      <c r="BG167" s="289"/>
      <c r="BH167" s="289"/>
      <c r="BI167" s="289"/>
      <c r="BJ167" s="289"/>
      <c r="BK167" s="289"/>
      <c r="BL167" s="289"/>
      <c r="BM167" s="289"/>
      <c r="BN167" s="289"/>
      <c r="BO167" s="289"/>
      <c r="BP167" s="273">
        <f>+Z167+AC167+AF167+AI167+AL167+AO167+AR167+AU167+AX167+BA167+BD167+BG167+BJ167</f>
        <v>54614000</v>
      </c>
      <c r="BQ167" s="273">
        <f t="shared" si="44"/>
        <v>51160550</v>
      </c>
      <c r="BR167" s="273">
        <f t="shared" si="44"/>
        <v>51160550</v>
      </c>
      <c r="BS167" s="246" t="s">
        <v>1654</v>
      </c>
      <c r="BT167" s="233"/>
    </row>
    <row r="168" spans="1:72" s="27" customFormat="1" ht="183" customHeight="1" x14ac:dyDescent="0.2">
      <c r="A168" s="217">
        <v>316</v>
      </c>
      <c r="B168" s="216" t="s">
        <v>1627</v>
      </c>
      <c r="C168" s="213">
        <v>1</v>
      </c>
      <c r="D168" s="216" t="s">
        <v>1614</v>
      </c>
      <c r="E168" s="213">
        <v>33</v>
      </c>
      <c r="F168" s="287" t="s">
        <v>166</v>
      </c>
      <c r="G168" s="213">
        <v>3301</v>
      </c>
      <c r="H168" s="216" t="s">
        <v>167</v>
      </c>
      <c r="I168" s="213">
        <v>3301</v>
      </c>
      <c r="J168" s="216" t="s">
        <v>1598</v>
      </c>
      <c r="K168" s="216" t="s">
        <v>778</v>
      </c>
      <c r="L168" s="304">
        <v>3301051</v>
      </c>
      <c r="M168" s="216" t="s">
        <v>779</v>
      </c>
      <c r="N168" s="304">
        <v>3301051</v>
      </c>
      <c r="O168" s="216" t="s">
        <v>779</v>
      </c>
      <c r="P168" s="304">
        <v>330105110</v>
      </c>
      <c r="Q168" s="216" t="s">
        <v>780</v>
      </c>
      <c r="R168" s="304">
        <v>330105110</v>
      </c>
      <c r="S168" s="216" t="s">
        <v>780</v>
      </c>
      <c r="T168" s="236" t="s">
        <v>1673</v>
      </c>
      <c r="U168" s="76">
        <v>250</v>
      </c>
      <c r="V168" s="76">
        <v>250</v>
      </c>
      <c r="W168" s="236" t="s">
        <v>781</v>
      </c>
      <c r="X168" s="214" t="s">
        <v>782</v>
      </c>
      <c r="Y168" s="216" t="s">
        <v>783</v>
      </c>
      <c r="Z168" s="289"/>
      <c r="AA168" s="289"/>
      <c r="AB168" s="289"/>
      <c r="AC168" s="289"/>
      <c r="AD168" s="289"/>
      <c r="AE168" s="289"/>
      <c r="AF168" s="289"/>
      <c r="AG168" s="289"/>
      <c r="AH168" s="289"/>
      <c r="AI168" s="289"/>
      <c r="AJ168" s="289"/>
      <c r="AK168" s="289"/>
      <c r="AL168" s="289"/>
      <c r="AM168" s="289"/>
      <c r="AN168" s="289"/>
      <c r="AO168" s="289"/>
      <c r="AP168" s="289"/>
      <c r="AQ168" s="289"/>
      <c r="AR168" s="289"/>
      <c r="AS168" s="289"/>
      <c r="AT168" s="289"/>
      <c r="AU168" s="289"/>
      <c r="AV168" s="289"/>
      <c r="AW168" s="289"/>
      <c r="AX168" s="289"/>
      <c r="AY168" s="289"/>
      <c r="AZ168" s="289"/>
      <c r="BA168" s="289"/>
      <c r="BB168" s="289"/>
      <c r="BC168" s="289"/>
      <c r="BD168" s="294">
        <v>14250000</v>
      </c>
      <c r="BE168" s="294">
        <v>14250000</v>
      </c>
      <c r="BF168" s="294">
        <v>14250000</v>
      </c>
      <c r="BG168" s="289"/>
      <c r="BH168" s="289"/>
      <c r="BI168" s="289"/>
      <c r="BJ168" s="289"/>
      <c r="BK168" s="289"/>
      <c r="BL168" s="289"/>
      <c r="BM168" s="289"/>
      <c r="BN168" s="289"/>
      <c r="BO168" s="289"/>
      <c r="BP168" s="273">
        <f>+Z168+AC168+AF168+AI168+AL168+AO168+AR168+AU168+AX168+BA168+BD168+BG168+BJ168</f>
        <v>14250000</v>
      </c>
      <c r="BQ168" s="273">
        <f t="shared" si="44"/>
        <v>14250000</v>
      </c>
      <c r="BR168" s="273">
        <f t="shared" si="44"/>
        <v>14250000</v>
      </c>
      <c r="BS168" s="246" t="s">
        <v>1654</v>
      </c>
      <c r="BT168" s="233"/>
    </row>
    <row r="169" spans="1:72" s="27" customFormat="1" ht="127.5" customHeight="1" x14ac:dyDescent="0.2">
      <c r="A169" s="217">
        <v>316</v>
      </c>
      <c r="B169" s="216" t="s">
        <v>1627</v>
      </c>
      <c r="C169" s="213">
        <v>1</v>
      </c>
      <c r="D169" s="216" t="s">
        <v>1614</v>
      </c>
      <c r="E169" s="213">
        <v>41</v>
      </c>
      <c r="F169" s="216" t="s">
        <v>784</v>
      </c>
      <c r="G169" s="213">
        <v>4102</v>
      </c>
      <c r="H169" s="216" t="s">
        <v>785</v>
      </c>
      <c r="I169" s="213">
        <v>4102</v>
      </c>
      <c r="J169" s="216" t="s">
        <v>1563</v>
      </c>
      <c r="K169" s="216" t="s">
        <v>786</v>
      </c>
      <c r="L169" s="213" t="s">
        <v>41</v>
      </c>
      <c r="M169" s="216" t="s">
        <v>787</v>
      </c>
      <c r="N169" s="304">
        <v>4102035</v>
      </c>
      <c r="O169" s="216" t="s">
        <v>84</v>
      </c>
      <c r="P169" s="213" t="s">
        <v>41</v>
      </c>
      <c r="Q169" s="216" t="s">
        <v>788</v>
      </c>
      <c r="R169" s="74">
        <v>410203500</v>
      </c>
      <c r="S169" s="216" t="s">
        <v>86</v>
      </c>
      <c r="T169" s="236" t="s">
        <v>1671</v>
      </c>
      <c r="U169" s="313">
        <v>1</v>
      </c>
      <c r="V169" s="313">
        <v>1</v>
      </c>
      <c r="W169" s="236" t="s">
        <v>789</v>
      </c>
      <c r="X169" s="214" t="s">
        <v>1484</v>
      </c>
      <c r="Y169" s="216" t="s">
        <v>790</v>
      </c>
      <c r="Z169" s="289"/>
      <c r="AA169" s="289"/>
      <c r="AB169" s="289"/>
      <c r="AC169" s="289"/>
      <c r="AD169" s="289"/>
      <c r="AE169" s="289"/>
      <c r="AF169" s="289"/>
      <c r="AG169" s="289"/>
      <c r="AH169" s="289"/>
      <c r="AI169" s="289"/>
      <c r="AJ169" s="289"/>
      <c r="AK169" s="289"/>
      <c r="AL169" s="289"/>
      <c r="AM169" s="289"/>
      <c r="AN169" s="289"/>
      <c r="AO169" s="289"/>
      <c r="AP169" s="289"/>
      <c r="AQ169" s="289"/>
      <c r="AR169" s="289"/>
      <c r="AS169" s="289"/>
      <c r="AT169" s="289"/>
      <c r="AU169" s="289"/>
      <c r="AV169" s="289"/>
      <c r="AW169" s="289"/>
      <c r="AX169" s="289"/>
      <c r="AY169" s="289"/>
      <c r="AZ169" s="289"/>
      <c r="BA169" s="289"/>
      <c r="BB169" s="289"/>
      <c r="BC169" s="289"/>
      <c r="BD169" s="294">
        <f>20000000+30000000</f>
        <v>50000000</v>
      </c>
      <c r="BE169" s="294">
        <v>48661500</v>
      </c>
      <c r="BF169" s="294">
        <v>48661500</v>
      </c>
      <c r="BG169" s="289"/>
      <c r="BH169" s="289"/>
      <c r="BI169" s="289"/>
      <c r="BJ169" s="289"/>
      <c r="BK169" s="289"/>
      <c r="BL169" s="289"/>
      <c r="BM169" s="289"/>
      <c r="BN169" s="289"/>
      <c r="BO169" s="289"/>
      <c r="BP169" s="273">
        <f t="shared" ref="BP169:BP178" si="45">+Z169+AC169+AF169+AI169+AL169+AO169+AR169+AU169+AX169+BA169+BD169+BG169+BJ169</f>
        <v>50000000</v>
      </c>
      <c r="BQ169" s="273">
        <f t="shared" ref="BQ169:BQ178" si="46">+AA169+AD169+AG169+AJ169+AM169+AP169+AS169+AV169+AY169+BB169+BE169+BH169+BK169</f>
        <v>48661500</v>
      </c>
      <c r="BR169" s="273">
        <f t="shared" ref="BR169:BR178" si="47">+AB169+AE169+AH169+AK169+AN169+AQ169+AT169+AW169+AZ169+BC169+BF169+BI169+BL169</f>
        <v>48661500</v>
      </c>
      <c r="BS169" s="246" t="s">
        <v>1654</v>
      </c>
      <c r="BT169" s="233"/>
    </row>
    <row r="170" spans="1:72" s="27" customFormat="1" ht="92.25" customHeight="1" x14ac:dyDescent="0.2">
      <c r="A170" s="217">
        <v>316</v>
      </c>
      <c r="B170" s="216" t="s">
        <v>1627</v>
      </c>
      <c r="C170" s="213">
        <v>1</v>
      </c>
      <c r="D170" s="216" t="s">
        <v>1614</v>
      </c>
      <c r="E170" s="213">
        <v>41</v>
      </c>
      <c r="F170" s="216" t="s">
        <v>784</v>
      </c>
      <c r="G170" s="213">
        <v>4102</v>
      </c>
      <c r="H170" s="216" t="s">
        <v>785</v>
      </c>
      <c r="I170" s="213">
        <v>4102</v>
      </c>
      <c r="J170" s="216" t="s">
        <v>1563</v>
      </c>
      <c r="K170" s="216" t="s">
        <v>791</v>
      </c>
      <c r="L170" s="213" t="s">
        <v>41</v>
      </c>
      <c r="M170" s="216" t="s">
        <v>792</v>
      </c>
      <c r="N170" s="304">
        <v>4102001</v>
      </c>
      <c r="O170" s="216" t="s">
        <v>793</v>
      </c>
      <c r="P170" s="213" t="s">
        <v>41</v>
      </c>
      <c r="Q170" s="311" t="s">
        <v>794</v>
      </c>
      <c r="R170" s="304">
        <v>410200100</v>
      </c>
      <c r="S170" s="311" t="s">
        <v>795</v>
      </c>
      <c r="T170" s="236" t="s">
        <v>1671</v>
      </c>
      <c r="U170" s="313">
        <v>12</v>
      </c>
      <c r="V170" s="313">
        <v>12</v>
      </c>
      <c r="W170" s="236" t="s">
        <v>789</v>
      </c>
      <c r="X170" s="214" t="s">
        <v>1484</v>
      </c>
      <c r="Y170" s="216" t="s">
        <v>790</v>
      </c>
      <c r="Z170" s="289"/>
      <c r="AA170" s="289"/>
      <c r="AB170" s="289"/>
      <c r="AC170" s="289"/>
      <c r="AD170" s="289"/>
      <c r="AE170" s="289"/>
      <c r="AF170" s="289"/>
      <c r="AG170" s="289"/>
      <c r="AH170" s="289"/>
      <c r="AI170" s="289"/>
      <c r="AJ170" s="289"/>
      <c r="AK170" s="289"/>
      <c r="AL170" s="289"/>
      <c r="AM170" s="289"/>
      <c r="AN170" s="289"/>
      <c r="AO170" s="289"/>
      <c r="AP170" s="289"/>
      <c r="AQ170" s="289"/>
      <c r="AR170" s="289"/>
      <c r="AS170" s="289"/>
      <c r="AT170" s="289"/>
      <c r="AU170" s="289"/>
      <c r="AV170" s="289"/>
      <c r="AW170" s="289"/>
      <c r="AX170" s="289"/>
      <c r="AY170" s="289"/>
      <c r="AZ170" s="289"/>
      <c r="BA170" s="289"/>
      <c r="BB170" s="289"/>
      <c r="BC170" s="289"/>
      <c r="BD170" s="294">
        <f>50000000+1930000</f>
        <v>51930000</v>
      </c>
      <c r="BE170" s="294">
        <v>46063834</v>
      </c>
      <c r="BF170" s="294">
        <v>46063834</v>
      </c>
      <c r="BG170" s="289"/>
      <c r="BH170" s="289"/>
      <c r="BI170" s="289"/>
      <c r="BJ170" s="289"/>
      <c r="BK170" s="289"/>
      <c r="BL170" s="289"/>
      <c r="BM170" s="289"/>
      <c r="BN170" s="289"/>
      <c r="BO170" s="289"/>
      <c r="BP170" s="273">
        <f t="shared" si="45"/>
        <v>51930000</v>
      </c>
      <c r="BQ170" s="273">
        <f t="shared" si="46"/>
        <v>46063834</v>
      </c>
      <c r="BR170" s="273">
        <f t="shared" si="47"/>
        <v>46063834</v>
      </c>
      <c r="BS170" s="246" t="s">
        <v>1654</v>
      </c>
      <c r="BT170" s="233"/>
    </row>
    <row r="171" spans="1:72" s="27" customFormat="1" ht="270.75" customHeight="1" x14ac:dyDescent="0.2">
      <c r="A171" s="217">
        <v>316</v>
      </c>
      <c r="B171" s="216" t="s">
        <v>1627</v>
      </c>
      <c r="C171" s="213">
        <v>1</v>
      </c>
      <c r="D171" s="216" t="s">
        <v>1614</v>
      </c>
      <c r="E171" s="213">
        <v>41</v>
      </c>
      <c r="F171" s="216" t="s">
        <v>784</v>
      </c>
      <c r="G171" s="213">
        <v>4102</v>
      </c>
      <c r="H171" s="216" t="s">
        <v>785</v>
      </c>
      <c r="I171" s="213">
        <v>4102</v>
      </c>
      <c r="J171" s="216" t="s">
        <v>1563</v>
      </c>
      <c r="K171" s="216" t="s">
        <v>796</v>
      </c>
      <c r="L171" s="213" t="s">
        <v>41</v>
      </c>
      <c r="M171" s="216" t="s">
        <v>797</v>
      </c>
      <c r="N171" s="272" t="s">
        <v>798</v>
      </c>
      <c r="O171" s="216" t="s">
        <v>799</v>
      </c>
      <c r="P171" s="213" t="s">
        <v>41</v>
      </c>
      <c r="Q171" s="216" t="s">
        <v>800</v>
      </c>
      <c r="R171" s="272" t="s">
        <v>801</v>
      </c>
      <c r="S171" s="311" t="s">
        <v>802</v>
      </c>
      <c r="T171" s="236" t="s">
        <v>1671</v>
      </c>
      <c r="U171" s="313">
        <v>1</v>
      </c>
      <c r="V171" s="313">
        <v>1</v>
      </c>
      <c r="W171" s="236" t="s">
        <v>803</v>
      </c>
      <c r="X171" s="214" t="s">
        <v>804</v>
      </c>
      <c r="Y171" s="216" t="s">
        <v>805</v>
      </c>
      <c r="Z171" s="289"/>
      <c r="AA171" s="289"/>
      <c r="AB171" s="289"/>
      <c r="AC171" s="289"/>
      <c r="AD171" s="289"/>
      <c r="AE171" s="289"/>
      <c r="AF171" s="289"/>
      <c r="AG171" s="289"/>
      <c r="AH171" s="289"/>
      <c r="AI171" s="289"/>
      <c r="AJ171" s="289"/>
      <c r="AK171" s="289"/>
      <c r="AL171" s="289"/>
      <c r="AM171" s="289"/>
      <c r="AN171" s="289"/>
      <c r="AO171" s="289"/>
      <c r="AP171" s="289"/>
      <c r="AQ171" s="289"/>
      <c r="AR171" s="289"/>
      <c r="AS171" s="289"/>
      <c r="AT171" s="289"/>
      <c r="AU171" s="289"/>
      <c r="AV171" s="289"/>
      <c r="AW171" s="289"/>
      <c r="AX171" s="289"/>
      <c r="AY171" s="289"/>
      <c r="AZ171" s="289"/>
      <c r="BA171" s="289"/>
      <c r="BB171" s="289"/>
      <c r="BC171" s="289"/>
      <c r="BD171" s="294">
        <f>135000000-3000000</f>
        <v>132000000</v>
      </c>
      <c r="BE171" s="294">
        <v>105491560</v>
      </c>
      <c r="BF171" s="294">
        <v>105491560</v>
      </c>
      <c r="BG171" s="289"/>
      <c r="BH171" s="289"/>
      <c r="BI171" s="289"/>
      <c r="BJ171" s="289"/>
      <c r="BK171" s="289"/>
      <c r="BL171" s="289"/>
      <c r="BM171" s="289"/>
      <c r="BN171" s="289"/>
      <c r="BO171" s="289"/>
      <c r="BP171" s="273">
        <f t="shared" si="45"/>
        <v>132000000</v>
      </c>
      <c r="BQ171" s="273">
        <f t="shared" si="46"/>
        <v>105491560</v>
      </c>
      <c r="BR171" s="273">
        <f t="shared" si="47"/>
        <v>105491560</v>
      </c>
      <c r="BS171" s="246" t="s">
        <v>1654</v>
      </c>
      <c r="BT171" s="233"/>
    </row>
    <row r="172" spans="1:72" s="27" customFormat="1" ht="237" customHeight="1" x14ac:dyDescent="0.2">
      <c r="A172" s="217">
        <v>316</v>
      </c>
      <c r="B172" s="216" t="s">
        <v>1627</v>
      </c>
      <c r="C172" s="213">
        <v>1</v>
      </c>
      <c r="D172" s="216" t="s">
        <v>1614</v>
      </c>
      <c r="E172" s="213">
        <v>41</v>
      </c>
      <c r="F172" s="216" t="s">
        <v>784</v>
      </c>
      <c r="G172" s="213">
        <v>4102</v>
      </c>
      <c r="H172" s="216" t="s">
        <v>785</v>
      </c>
      <c r="I172" s="213">
        <v>4102</v>
      </c>
      <c r="J172" s="216" t="s">
        <v>1563</v>
      </c>
      <c r="K172" s="216" t="s">
        <v>806</v>
      </c>
      <c r="L172" s="213" t="s">
        <v>41</v>
      </c>
      <c r="M172" s="216" t="s">
        <v>807</v>
      </c>
      <c r="N172" s="272" t="s">
        <v>808</v>
      </c>
      <c r="O172" s="216" t="s">
        <v>84</v>
      </c>
      <c r="P172" s="213" t="s">
        <v>41</v>
      </c>
      <c r="Q172" s="216" t="s">
        <v>809</v>
      </c>
      <c r="R172" s="304" t="s">
        <v>810</v>
      </c>
      <c r="S172" s="216" t="s">
        <v>811</v>
      </c>
      <c r="T172" s="236" t="s">
        <v>1673</v>
      </c>
      <c r="U172" s="313">
        <v>1</v>
      </c>
      <c r="V172" s="313">
        <v>1</v>
      </c>
      <c r="W172" s="236" t="s">
        <v>812</v>
      </c>
      <c r="X172" s="214" t="s">
        <v>813</v>
      </c>
      <c r="Y172" s="216" t="s">
        <v>814</v>
      </c>
      <c r="Z172" s="289"/>
      <c r="AA172" s="289"/>
      <c r="AB172" s="289"/>
      <c r="AC172" s="289"/>
      <c r="AD172" s="289"/>
      <c r="AE172" s="289"/>
      <c r="AF172" s="289"/>
      <c r="AG172" s="289"/>
      <c r="AH172" s="289"/>
      <c r="AI172" s="289"/>
      <c r="AJ172" s="289"/>
      <c r="AK172" s="289"/>
      <c r="AL172" s="289"/>
      <c r="AM172" s="289"/>
      <c r="AN172" s="289"/>
      <c r="AO172" s="289"/>
      <c r="AP172" s="289"/>
      <c r="AQ172" s="289"/>
      <c r="AR172" s="289"/>
      <c r="AS172" s="289"/>
      <c r="AT172" s="289"/>
      <c r="AU172" s="289"/>
      <c r="AV172" s="289"/>
      <c r="AW172" s="289"/>
      <c r="AX172" s="289"/>
      <c r="AY172" s="289"/>
      <c r="AZ172" s="289"/>
      <c r="BA172" s="289"/>
      <c r="BB172" s="289"/>
      <c r="BC172" s="289"/>
      <c r="BD172" s="294">
        <f>36000000-12460000</f>
        <v>23540000</v>
      </c>
      <c r="BE172" s="294">
        <v>23540000</v>
      </c>
      <c r="BF172" s="294">
        <v>23540000</v>
      </c>
      <c r="BG172" s="289"/>
      <c r="BH172" s="289"/>
      <c r="BI172" s="289"/>
      <c r="BJ172" s="289"/>
      <c r="BK172" s="289"/>
      <c r="BL172" s="289"/>
      <c r="BM172" s="289"/>
      <c r="BN172" s="289"/>
      <c r="BO172" s="289"/>
      <c r="BP172" s="273">
        <f>+Z172+AC172+AF172+AI172+AL172+AO172+AR172+AU172+AX172+BA172+BD172+BG172+BJ172</f>
        <v>23540000</v>
      </c>
      <c r="BQ172" s="273">
        <f t="shared" si="46"/>
        <v>23540000</v>
      </c>
      <c r="BR172" s="273">
        <f t="shared" si="47"/>
        <v>23540000</v>
      </c>
      <c r="BS172" s="246" t="s">
        <v>1654</v>
      </c>
      <c r="BT172" s="233"/>
    </row>
    <row r="173" spans="1:72" s="27" customFormat="1" ht="234" customHeight="1" x14ac:dyDescent="0.2">
      <c r="A173" s="217">
        <v>316</v>
      </c>
      <c r="B173" s="216" t="s">
        <v>1627</v>
      </c>
      <c r="C173" s="213">
        <v>1</v>
      </c>
      <c r="D173" s="216" t="s">
        <v>1614</v>
      </c>
      <c r="E173" s="213">
        <v>41</v>
      </c>
      <c r="F173" s="216" t="s">
        <v>784</v>
      </c>
      <c r="G173" s="213">
        <v>4102</v>
      </c>
      <c r="H173" s="216" t="s">
        <v>785</v>
      </c>
      <c r="I173" s="213">
        <v>4102</v>
      </c>
      <c r="J173" s="216" t="s">
        <v>1563</v>
      </c>
      <c r="K173" s="216" t="s">
        <v>806</v>
      </c>
      <c r="L173" s="213" t="s">
        <v>41</v>
      </c>
      <c r="M173" s="216" t="s">
        <v>815</v>
      </c>
      <c r="N173" s="272" t="s">
        <v>798</v>
      </c>
      <c r="O173" s="216" t="s">
        <v>816</v>
      </c>
      <c r="P173" s="213" t="s">
        <v>41</v>
      </c>
      <c r="Q173" s="216" t="s">
        <v>817</v>
      </c>
      <c r="R173" s="304">
        <v>410204301</v>
      </c>
      <c r="S173" s="216" t="s">
        <v>818</v>
      </c>
      <c r="T173" s="236" t="s">
        <v>1671</v>
      </c>
      <c r="U173" s="313">
        <v>1</v>
      </c>
      <c r="V173" s="313">
        <v>1</v>
      </c>
      <c r="W173" s="236" t="s">
        <v>812</v>
      </c>
      <c r="X173" s="214" t="s">
        <v>813</v>
      </c>
      <c r="Y173" s="216" t="s">
        <v>814</v>
      </c>
      <c r="Z173" s="289"/>
      <c r="AA173" s="289"/>
      <c r="AB173" s="289"/>
      <c r="AC173" s="289"/>
      <c r="AD173" s="289"/>
      <c r="AE173" s="289"/>
      <c r="AF173" s="289"/>
      <c r="AG173" s="289"/>
      <c r="AH173" s="289"/>
      <c r="AI173" s="289"/>
      <c r="AJ173" s="289"/>
      <c r="AK173" s="289"/>
      <c r="AL173" s="289"/>
      <c r="AM173" s="289"/>
      <c r="AN173" s="289"/>
      <c r="AO173" s="289"/>
      <c r="AP173" s="289"/>
      <c r="AQ173" s="289"/>
      <c r="AR173" s="289"/>
      <c r="AS173" s="289"/>
      <c r="AT173" s="289"/>
      <c r="AU173" s="289"/>
      <c r="AV173" s="289"/>
      <c r="AW173" s="289"/>
      <c r="AX173" s="289"/>
      <c r="AY173" s="289"/>
      <c r="AZ173" s="289"/>
      <c r="BA173" s="289"/>
      <c r="BB173" s="289"/>
      <c r="BC173" s="289"/>
      <c r="BD173" s="294">
        <v>601107889</v>
      </c>
      <c r="BE173" s="294">
        <v>580536511</v>
      </c>
      <c r="BF173" s="294">
        <v>580536511</v>
      </c>
      <c r="BG173" s="289"/>
      <c r="BH173" s="289"/>
      <c r="BI173" s="289"/>
      <c r="BJ173" s="289"/>
      <c r="BK173" s="289"/>
      <c r="BL173" s="289"/>
      <c r="BM173" s="289"/>
      <c r="BN173" s="289"/>
      <c r="BO173" s="289"/>
      <c r="BP173" s="273">
        <f>+Z173+AC173+AF173+AI173+AL173+AO173+AR173+AU173+AX173+BA173+BD173+BG173+BJ173</f>
        <v>601107889</v>
      </c>
      <c r="BQ173" s="273">
        <f t="shared" si="46"/>
        <v>580536511</v>
      </c>
      <c r="BR173" s="273">
        <f t="shared" si="47"/>
        <v>580536511</v>
      </c>
      <c r="BS173" s="246" t="s">
        <v>1654</v>
      </c>
      <c r="BT173" s="233"/>
    </row>
    <row r="174" spans="1:72" s="27" customFormat="1" ht="246.75" customHeight="1" x14ac:dyDescent="0.2">
      <c r="A174" s="217">
        <v>316</v>
      </c>
      <c r="B174" s="216" t="s">
        <v>1627</v>
      </c>
      <c r="C174" s="213">
        <v>1</v>
      </c>
      <c r="D174" s="216" t="s">
        <v>1614</v>
      </c>
      <c r="E174" s="213">
        <v>41</v>
      </c>
      <c r="F174" s="216" t="s">
        <v>784</v>
      </c>
      <c r="G174" s="213">
        <v>4102</v>
      </c>
      <c r="H174" s="216" t="s">
        <v>785</v>
      </c>
      <c r="I174" s="213">
        <v>4102</v>
      </c>
      <c r="J174" s="216" t="s">
        <v>1563</v>
      </c>
      <c r="K174" s="216" t="s">
        <v>819</v>
      </c>
      <c r="L174" s="213" t="s">
        <v>41</v>
      </c>
      <c r="M174" s="216" t="s">
        <v>820</v>
      </c>
      <c r="N174" s="304">
        <v>4102038</v>
      </c>
      <c r="O174" s="216" t="s">
        <v>821</v>
      </c>
      <c r="P174" s="213" t="s">
        <v>41</v>
      </c>
      <c r="Q174" s="216" t="s">
        <v>822</v>
      </c>
      <c r="R174" s="304">
        <v>410203800</v>
      </c>
      <c r="S174" s="216" t="s">
        <v>850</v>
      </c>
      <c r="T174" s="236" t="s">
        <v>1671</v>
      </c>
      <c r="U174" s="313">
        <v>1</v>
      </c>
      <c r="V174" s="313">
        <v>1</v>
      </c>
      <c r="W174" s="236" t="s">
        <v>823</v>
      </c>
      <c r="X174" s="214" t="s">
        <v>824</v>
      </c>
      <c r="Y174" s="216" t="s">
        <v>825</v>
      </c>
      <c r="Z174" s="289"/>
      <c r="AA174" s="289"/>
      <c r="AB174" s="289"/>
      <c r="AC174" s="289"/>
      <c r="AD174" s="289"/>
      <c r="AE174" s="289"/>
      <c r="AF174" s="289"/>
      <c r="AG174" s="289"/>
      <c r="AH174" s="289"/>
      <c r="AI174" s="289"/>
      <c r="AJ174" s="289"/>
      <c r="AK174" s="289"/>
      <c r="AL174" s="289"/>
      <c r="AM174" s="289"/>
      <c r="AN174" s="289"/>
      <c r="AO174" s="289"/>
      <c r="AP174" s="289"/>
      <c r="AQ174" s="289"/>
      <c r="AR174" s="289"/>
      <c r="AS174" s="289"/>
      <c r="AT174" s="289"/>
      <c r="AU174" s="289"/>
      <c r="AV174" s="289"/>
      <c r="AW174" s="289"/>
      <c r="AX174" s="289"/>
      <c r="AY174" s="289"/>
      <c r="AZ174" s="289"/>
      <c r="BA174" s="289"/>
      <c r="BB174" s="289"/>
      <c r="BC174" s="289"/>
      <c r="BD174" s="294">
        <f>210000000-10000000</f>
        <v>200000000</v>
      </c>
      <c r="BE174" s="294">
        <v>151606702</v>
      </c>
      <c r="BF174" s="294">
        <v>151606702</v>
      </c>
      <c r="BG174" s="289"/>
      <c r="BH174" s="289"/>
      <c r="BI174" s="289"/>
      <c r="BJ174" s="289"/>
      <c r="BK174" s="289"/>
      <c r="BL174" s="289"/>
      <c r="BM174" s="289"/>
      <c r="BN174" s="289"/>
      <c r="BO174" s="289"/>
      <c r="BP174" s="273">
        <f t="shared" si="45"/>
        <v>200000000</v>
      </c>
      <c r="BQ174" s="273">
        <f t="shared" si="46"/>
        <v>151606702</v>
      </c>
      <c r="BR174" s="273">
        <f t="shared" si="47"/>
        <v>151606702</v>
      </c>
      <c r="BS174" s="246" t="s">
        <v>1654</v>
      </c>
      <c r="BT174" s="233"/>
    </row>
    <row r="175" spans="1:72" s="27" customFormat="1" ht="189.75" customHeight="1" x14ac:dyDescent="0.2">
      <c r="A175" s="217">
        <v>316</v>
      </c>
      <c r="B175" s="216" t="s">
        <v>1627</v>
      </c>
      <c r="C175" s="213">
        <v>1</v>
      </c>
      <c r="D175" s="216" t="s">
        <v>1614</v>
      </c>
      <c r="E175" s="213">
        <v>41</v>
      </c>
      <c r="F175" s="216" t="s">
        <v>784</v>
      </c>
      <c r="G175" s="213">
        <v>4102</v>
      </c>
      <c r="H175" s="216" t="s">
        <v>785</v>
      </c>
      <c r="I175" s="213">
        <v>4102</v>
      </c>
      <c r="J175" s="216" t="s">
        <v>1563</v>
      </c>
      <c r="K175" s="216" t="s">
        <v>826</v>
      </c>
      <c r="L175" s="213" t="s">
        <v>41</v>
      </c>
      <c r="M175" s="216" t="s">
        <v>827</v>
      </c>
      <c r="N175" s="304">
        <v>4102042</v>
      </c>
      <c r="O175" s="216" t="s">
        <v>828</v>
      </c>
      <c r="P175" s="213" t="s">
        <v>41</v>
      </c>
      <c r="Q175" s="216" t="s">
        <v>829</v>
      </c>
      <c r="R175" s="304">
        <v>410204200</v>
      </c>
      <c r="S175" s="214" t="s">
        <v>830</v>
      </c>
      <c r="T175" s="236" t="s">
        <v>1671</v>
      </c>
      <c r="U175" s="313">
        <v>12</v>
      </c>
      <c r="V175" s="313">
        <v>12</v>
      </c>
      <c r="W175" s="236" t="s">
        <v>831</v>
      </c>
      <c r="X175" s="347" t="s">
        <v>832</v>
      </c>
      <c r="Y175" s="298" t="s">
        <v>833</v>
      </c>
      <c r="Z175" s="289"/>
      <c r="AA175" s="289"/>
      <c r="AB175" s="289"/>
      <c r="AC175" s="289"/>
      <c r="AD175" s="289"/>
      <c r="AE175" s="289"/>
      <c r="AF175" s="289"/>
      <c r="AG175" s="289"/>
      <c r="AH175" s="289"/>
      <c r="AI175" s="289"/>
      <c r="AJ175" s="289"/>
      <c r="AK175" s="289"/>
      <c r="AL175" s="289"/>
      <c r="AM175" s="289"/>
      <c r="AN175" s="289"/>
      <c r="AO175" s="289"/>
      <c r="AP175" s="289"/>
      <c r="AQ175" s="289"/>
      <c r="AR175" s="289"/>
      <c r="AS175" s="289"/>
      <c r="AT175" s="289"/>
      <c r="AU175" s="289"/>
      <c r="AV175" s="289"/>
      <c r="AW175" s="289"/>
      <c r="AX175" s="289"/>
      <c r="AY175" s="289"/>
      <c r="AZ175" s="289"/>
      <c r="BA175" s="289"/>
      <c r="BB175" s="289"/>
      <c r="BC175" s="289"/>
      <c r="BD175" s="294">
        <f>18000000+10000000</f>
        <v>28000000</v>
      </c>
      <c r="BE175" s="294">
        <v>23850296</v>
      </c>
      <c r="BF175" s="294">
        <v>23850296</v>
      </c>
      <c r="BG175" s="289"/>
      <c r="BH175" s="289"/>
      <c r="BI175" s="289"/>
      <c r="BJ175" s="289"/>
      <c r="BK175" s="289"/>
      <c r="BL175" s="289"/>
      <c r="BM175" s="289"/>
      <c r="BN175" s="289"/>
      <c r="BO175" s="289"/>
      <c r="BP175" s="273">
        <f t="shared" si="45"/>
        <v>28000000</v>
      </c>
      <c r="BQ175" s="273">
        <f t="shared" si="46"/>
        <v>23850296</v>
      </c>
      <c r="BR175" s="273">
        <f t="shared" si="47"/>
        <v>23850296</v>
      </c>
      <c r="BS175" s="246" t="s">
        <v>1654</v>
      </c>
      <c r="BT175" s="233"/>
    </row>
    <row r="176" spans="1:72" s="27" customFormat="1" ht="136.5" customHeight="1" x14ac:dyDescent="0.2">
      <c r="A176" s="217">
        <v>316</v>
      </c>
      <c r="B176" s="216" t="s">
        <v>1627</v>
      </c>
      <c r="C176" s="213">
        <v>1</v>
      </c>
      <c r="D176" s="216" t="s">
        <v>1614</v>
      </c>
      <c r="E176" s="213">
        <v>41</v>
      </c>
      <c r="F176" s="216" t="s">
        <v>784</v>
      </c>
      <c r="G176" s="213">
        <v>4102</v>
      </c>
      <c r="H176" s="216" t="s">
        <v>785</v>
      </c>
      <c r="I176" s="213">
        <v>4102</v>
      </c>
      <c r="J176" s="216" t="s">
        <v>1563</v>
      </c>
      <c r="K176" s="216" t="s">
        <v>834</v>
      </c>
      <c r="L176" s="213" t="s">
        <v>41</v>
      </c>
      <c r="M176" s="303" t="s">
        <v>835</v>
      </c>
      <c r="N176" s="304">
        <v>4102001</v>
      </c>
      <c r="O176" s="303" t="s">
        <v>836</v>
      </c>
      <c r="P176" s="213" t="s">
        <v>41</v>
      </c>
      <c r="Q176" s="216" t="s">
        <v>837</v>
      </c>
      <c r="R176" s="304">
        <v>410200100</v>
      </c>
      <c r="S176" s="216" t="s">
        <v>838</v>
      </c>
      <c r="T176" s="236" t="s">
        <v>1671</v>
      </c>
      <c r="U176" s="313">
        <v>1</v>
      </c>
      <c r="V176" s="313">
        <v>1</v>
      </c>
      <c r="W176" s="236" t="s">
        <v>839</v>
      </c>
      <c r="X176" s="347" t="s">
        <v>840</v>
      </c>
      <c r="Y176" s="298" t="s">
        <v>841</v>
      </c>
      <c r="Z176" s="289"/>
      <c r="AA176" s="289"/>
      <c r="AB176" s="289"/>
      <c r="AC176" s="289"/>
      <c r="AD176" s="289"/>
      <c r="AE176" s="289"/>
      <c r="AF176" s="289"/>
      <c r="AG176" s="289"/>
      <c r="AH176" s="289"/>
      <c r="AI176" s="289"/>
      <c r="AJ176" s="289"/>
      <c r="AK176" s="289"/>
      <c r="AL176" s="289"/>
      <c r="AM176" s="289"/>
      <c r="AN176" s="289"/>
      <c r="AO176" s="289"/>
      <c r="AP176" s="289"/>
      <c r="AQ176" s="289"/>
      <c r="AR176" s="289"/>
      <c r="AS176" s="289"/>
      <c r="AT176" s="289"/>
      <c r="AU176" s="289"/>
      <c r="AV176" s="289"/>
      <c r="AW176" s="289"/>
      <c r="AX176" s="289"/>
      <c r="AY176" s="289"/>
      <c r="AZ176" s="289"/>
      <c r="BA176" s="289"/>
      <c r="BB176" s="289"/>
      <c r="BC176" s="289"/>
      <c r="BD176" s="294">
        <f>20000000+12985000</f>
        <v>32985000</v>
      </c>
      <c r="BE176" s="294">
        <v>32943833</v>
      </c>
      <c r="BF176" s="294">
        <v>32943833</v>
      </c>
      <c r="BG176" s="289"/>
      <c r="BH176" s="289"/>
      <c r="BI176" s="289"/>
      <c r="BJ176" s="289"/>
      <c r="BK176" s="289"/>
      <c r="BL176" s="289"/>
      <c r="BM176" s="289"/>
      <c r="BN176" s="289"/>
      <c r="BO176" s="289"/>
      <c r="BP176" s="273">
        <f t="shared" si="45"/>
        <v>32985000</v>
      </c>
      <c r="BQ176" s="273">
        <f t="shared" si="46"/>
        <v>32943833</v>
      </c>
      <c r="BR176" s="273">
        <f t="shared" si="47"/>
        <v>32943833</v>
      </c>
      <c r="BS176" s="246" t="s">
        <v>1654</v>
      </c>
      <c r="BT176" s="233"/>
    </row>
    <row r="177" spans="1:72" s="27" customFormat="1" ht="248.25" customHeight="1" x14ac:dyDescent="0.2">
      <c r="A177" s="217">
        <v>316</v>
      </c>
      <c r="B177" s="216" t="s">
        <v>1627</v>
      </c>
      <c r="C177" s="213">
        <v>1</v>
      </c>
      <c r="D177" s="216" t="s">
        <v>1614</v>
      </c>
      <c r="E177" s="213">
        <v>41</v>
      </c>
      <c r="F177" s="216" t="s">
        <v>784</v>
      </c>
      <c r="G177" s="213">
        <v>4102</v>
      </c>
      <c r="H177" s="216" t="s">
        <v>785</v>
      </c>
      <c r="I177" s="213">
        <v>4102</v>
      </c>
      <c r="J177" s="216" t="s">
        <v>1563</v>
      </c>
      <c r="K177" s="216" t="s">
        <v>842</v>
      </c>
      <c r="L177" s="213">
        <v>4102022</v>
      </c>
      <c r="M177" s="298" t="s">
        <v>843</v>
      </c>
      <c r="N177" s="299">
        <v>4102046</v>
      </c>
      <c r="O177" s="298" t="s">
        <v>844</v>
      </c>
      <c r="P177" s="299" t="s">
        <v>845</v>
      </c>
      <c r="Q177" s="216" t="s">
        <v>846</v>
      </c>
      <c r="R177" s="299">
        <v>410204600</v>
      </c>
      <c r="S177" s="216" t="s">
        <v>847</v>
      </c>
      <c r="T177" s="236" t="s">
        <v>1673</v>
      </c>
      <c r="U177" s="313">
        <v>16</v>
      </c>
      <c r="V177" s="313">
        <v>16</v>
      </c>
      <c r="W177" s="236" t="s">
        <v>839</v>
      </c>
      <c r="X177" s="347" t="s">
        <v>840</v>
      </c>
      <c r="Y177" s="298" t="s">
        <v>841</v>
      </c>
      <c r="Z177" s="289"/>
      <c r="AA177" s="289"/>
      <c r="AB177" s="289"/>
      <c r="AC177" s="289"/>
      <c r="AD177" s="289"/>
      <c r="AE177" s="289"/>
      <c r="AF177" s="289"/>
      <c r="AG177" s="289"/>
      <c r="AH177" s="289"/>
      <c r="AI177" s="289"/>
      <c r="AJ177" s="289"/>
      <c r="AK177" s="289"/>
      <c r="AL177" s="289"/>
      <c r="AM177" s="289"/>
      <c r="AN177" s="289"/>
      <c r="AO177" s="289"/>
      <c r="AP177" s="289"/>
      <c r="AQ177" s="289"/>
      <c r="AR177" s="289"/>
      <c r="AS177" s="289"/>
      <c r="AT177" s="289"/>
      <c r="AU177" s="289"/>
      <c r="AV177" s="289"/>
      <c r="AW177" s="289"/>
      <c r="AX177" s="289"/>
      <c r="AY177" s="289"/>
      <c r="AZ177" s="289"/>
      <c r="BA177" s="289"/>
      <c r="BB177" s="289"/>
      <c r="BC177" s="289"/>
      <c r="BD177" s="294">
        <v>18000000</v>
      </c>
      <c r="BE177" s="294">
        <v>18000000</v>
      </c>
      <c r="BF177" s="294">
        <v>18000000</v>
      </c>
      <c r="BG177" s="289"/>
      <c r="BH177" s="289"/>
      <c r="BI177" s="289"/>
      <c r="BJ177" s="289"/>
      <c r="BK177" s="289"/>
      <c r="BL177" s="289"/>
      <c r="BM177" s="289"/>
      <c r="BN177" s="289"/>
      <c r="BO177" s="289"/>
      <c r="BP177" s="273">
        <f t="shared" si="45"/>
        <v>18000000</v>
      </c>
      <c r="BQ177" s="273">
        <f t="shared" si="46"/>
        <v>18000000</v>
      </c>
      <c r="BR177" s="273">
        <f t="shared" si="47"/>
        <v>18000000</v>
      </c>
      <c r="BS177" s="246" t="s">
        <v>1654</v>
      </c>
      <c r="BT177" s="233"/>
    </row>
    <row r="178" spans="1:72" s="27" customFormat="1" ht="174" customHeight="1" x14ac:dyDescent="0.2">
      <c r="A178" s="217">
        <v>316</v>
      </c>
      <c r="B178" s="216" t="s">
        <v>1627</v>
      </c>
      <c r="C178" s="213">
        <v>1</v>
      </c>
      <c r="D178" s="216" t="s">
        <v>1614</v>
      </c>
      <c r="E178" s="213">
        <v>41</v>
      </c>
      <c r="F178" s="216" t="s">
        <v>784</v>
      </c>
      <c r="G178" s="213">
        <v>4102</v>
      </c>
      <c r="H178" s="216" t="s">
        <v>785</v>
      </c>
      <c r="I178" s="213">
        <v>4102</v>
      </c>
      <c r="J178" s="216" t="s">
        <v>1563</v>
      </c>
      <c r="K178" s="216" t="s">
        <v>848</v>
      </c>
      <c r="L178" s="213">
        <v>4102038</v>
      </c>
      <c r="M178" s="216" t="s">
        <v>849</v>
      </c>
      <c r="N178" s="213">
        <v>4102038</v>
      </c>
      <c r="O178" s="216" t="s">
        <v>849</v>
      </c>
      <c r="P178" s="292">
        <v>410203800</v>
      </c>
      <c r="Q178" s="311" t="s">
        <v>850</v>
      </c>
      <c r="R178" s="292">
        <v>410203800</v>
      </c>
      <c r="S178" s="311" t="s">
        <v>850</v>
      </c>
      <c r="T178" s="236" t="s">
        <v>1673</v>
      </c>
      <c r="U178" s="313">
        <v>10</v>
      </c>
      <c r="V178" s="313">
        <v>10</v>
      </c>
      <c r="W178" s="236" t="s">
        <v>851</v>
      </c>
      <c r="X178" s="347" t="s">
        <v>852</v>
      </c>
      <c r="Y178" s="298" t="s">
        <v>853</v>
      </c>
      <c r="Z178" s="289"/>
      <c r="AA178" s="289"/>
      <c r="AB178" s="289"/>
      <c r="AC178" s="289"/>
      <c r="AD178" s="289"/>
      <c r="AE178" s="289"/>
      <c r="AF178" s="289"/>
      <c r="AG178" s="289"/>
      <c r="AH178" s="289"/>
      <c r="AI178" s="289"/>
      <c r="AJ178" s="289"/>
      <c r="AK178" s="289"/>
      <c r="AL178" s="289"/>
      <c r="AM178" s="289"/>
      <c r="AN178" s="289"/>
      <c r="AO178" s="289"/>
      <c r="AP178" s="289"/>
      <c r="AQ178" s="289"/>
      <c r="AR178" s="289"/>
      <c r="AS178" s="289"/>
      <c r="AT178" s="289"/>
      <c r="AU178" s="289"/>
      <c r="AV178" s="289"/>
      <c r="AW178" s="289"/>
      <c r="AX178" s="289"/>
      <c r="AY178" s="289"/>
      <c r="AZ178" s="289"/>
      <c r="BA178" s="289"/>
      <c r="BB178" s="289"/>
      <c r="BC178" s="289"/>
      <c r="BD178" s="294">
        <v>37000000</v>
      </c>
      <c r="BE178" s="294">
        <v>36718334</v>
      </c>
      <c r="BF178" s="294">
        <v>36718334</v>
      </c>
      <c r="BG178" s="289"/>
      <c r="BH178" s="289"/>
      <c r="BI178" s="289"/>
      <c r="BJ178" s="289"/>
      <c r="BK178" s="289"/>
      <c r="BL178" s="289"/>
      <c r="BM178" s="289"/>
      <c r="BN178" s="289"/>
      <c r="BO178" s="289"/>
      <c r="BP178" s="273">
        <f t="shared" si="45"/>
        <v>37000000</v>
      </c>
      <c r="BQ178" s="273">
        <f t="shared" si="46"/>
        <v>36718334</v>
      </c>
      <c r="BR178" s="273">
        <f t="shared" si="47"/>
        <v>36718334</v>
      </c>
      <c r="BS178" s="246" t="s">
        <v>1654</v>
      </c>
      <c r="BT178" s="233"/>
    </row>
    <row r="179" spans="1:72" s="27" customFormat="1" ht="141" customHeight="1" x14ac:dyDescent="0.2">
      <c r="A179" s="217">
        <v>316</v>
      </c>
      <c r="B179" s="216" t="s">
        <v>1627</v>
      </c>
      <c r="C179" s="213">
        <v>1</v>
      </c>
      <c r="D179" s="216" t="s">
        <v>1614</v>
      </c>
      <c r="E179" s="213">
        <v>41</v>
      </c>
      <c r="F179" s="216" t="s">
        <v>784</v>
      </c>
      <c r="G179" s="213">
        <v>4103</v>
      </c>
      <c r="H179" s="216" t="s">
        <v>302</v>
      </c>
      <c r="I179" s="213">
        <v>4103</v>
      </c>
      <c r="J179" s="216" t="s">
        <v>1606</v>
      </c>
      <c r="K179" s="216" t="s">
        <v>854</v>
      </c>
      <c r="L179" s="304">
        <v>4103059</v>
      </c>
      <c r="M179" s="216" t="s">
        <v>855</v>
      </c>
      <c r="N179" s="304">
        <v>4103059</v>
      </c>
      <c r="O179" s="216" t="s">
        <v>855</v>
      </c>
      <c r="P179" s="74">
        <v>410305900</v>
      </c>
      <c r="Q179" s="311" t="s">
        <v>856</v>
      </c>
      <c r="R179" s="74">
        <v>410305900</v>
      </c>
      <c r="S179" s="311" t="s">
        <v>856</v>
      </c>
      <c r="T179" s="236" t="s">
        <v>1673</v>
      </c>
      <c r="U179" s="76">
        <v>10</v>
      </c>
      <c r="V179" s="76">
        <v>10</v>
      </c>
      <c r="W179" s="236" t="s">
        <v>857</v>
      </c>
      <c r="X179" s="216" t="s">
        <v>858</v>
      </c>
      <c r="Y179" s="216" t="s">
        <v>859</v>
      </c>
      <c r="Z179" s="289"/>
      <c r="AA179" s="289"/>
      <c r="AB179" s="289"/>
      <c r="AC179" s="289"/>
      <c r="AD179" s="289"/>
      <c r="AE179" s="289"/>
      <c r="AF179" s="289"/>
      <c r="AG179" s="289"/>
      <c r="AH179" s="289"/>
      <c r="AI179" s="289"/>
      <c r="AJ179" s="289"/>
      <c r="AK179" s="289"/>
      <c r="AL179" s="289"/>
      <c r="AM179" s="289"/>
      <c r="AN179" s="289"/>
      <c r="AO179" s="289"/>
      <c r="AP179" s="289"/>
      <c r="AQ179" s="289"/>
      <c r="AR179" s="289"/>
      <c r="AS179" s="289"/>
      <c r="AT179" s="289"/>
      <c r="AU179" s="289"/>
      <c r="AV179" s="289"/>
      <c r="AW179" s="289"/>
      <c r="AX179" s="289"/>
      <c r="AY179" s="289"/>
      <c r="AZ179" s="289"/>
      <c r="BA179" s="289"/>
      <c r="BB179" s="289"/>
      <c r="BC179" s="289"/>
      <c r="BD179" s="294">
        <v>15000000</v>
      </c>
      <c r="BE179" s="294">
        <v>15000000</v>
      </c>
      <c r="BF179" s="294">
        <v>15000000</v>
      </c>
      <c r="BG179" s="289"/>
      <c r="BH179" s="289"/>
      <c r="BI179" s="289"/>
      <c r="BJ179" s="289"/>
      <c r="BK179" s="289"/>
      <c r="BL179" s="289"/>
      <c r="BM179" s="289"/>
      <c r="BN179" s="289"/>
      <c r="BO179" s="289"/>
      <c r="BP179" s="273">
        <f t="shared" ref="BP179:BP189" si="48">+Z179+AC179+AF179+AI179+AL179+AO179+AR179+AU179+AX179+BA179+BD179+BG179+BJ179</f>
        <v>15000000</v>
      </c>
      <c r="BQ179" s="273">
        <f t="shared" ref="BQ179:BR182" si="49">+AA179+AD179+AG179+AJ179+AM179+AP179+AS179+AV179+AY179+BB179+BE179+BH179+BK179</f>
        <v>15000000</v>
      </c>
      <c r="BR179" s="273">
        <f t="shared" si="49"/>
        <v>15000000</v>
      </c>
      <c r="BS179" s="246" t="s">
        <v>1654</v>
      </c>
      <c r="BT179" s="233"/>
    </row>
    <row r="180" spans="1:72" s="27" customFormat="1" ht="150.75" customHeight="1" x14ac:dyDescent="0.2">
      <c r="A180" s="217">
        <v>316</v>
      </c>
      <c r="B180" s="216" t="s">
        <v>1627</v>
      </c>
      <c r="C180" s="213">
        <v>1</v>
      </c>
      <c r="D180" s="216" t="s">
        <v>1614</v>
      </c>
      <c r="E180" s="213">
        <v>41</v>
      </c>
      <c r="F180" s="216" t="s">
        <v>784</v>
      </c>
      <c r="G180" s="213">
        <v>4103</v>
      </c>
      <c r="H180" s="216" t="s">
        <v>302</v>
      </c>
      <c r="I180" s="213">
        <v>4103</v>
      </c>
      <c r="J180" s="216" t="s">
        <v>1606</v>
      </c>
      <c r="K180" s="216" t="s">
        <v>860</v>
      </c>
      <c r="L180" s="213">
        <v>4103052</v>
      </c>
      <c r="M180" s="216" t="s">
        <v>305</v>
      </c>
      <c r="N180" s="213">
        <v>4103052</v>
      </c>
      <c r="O180" s="216" t="s">
        <v>305</v>
      </c>
      <c r="P180" s="292">
        <v>410305202</v>
      </c>
      <c r="Q180" s="311" t="s">
        <v>861</v>
      </c>
      <c r="R180" s="292">
        <v>410305202</v>
      </c>
      <c r="S180" s="311" t="s">
        <v>861</v>
      </c>
      <c r="T180" s="236" t="s">
        <v>1671</v>
      </c>
      <c r="U180" s="76">
        <v>1</v>
      </c>
      <c r="V180" s="76">
        <v>1</v>
      </c>
      <c r="W180" s="236" t="s">
        <v>862</v>
      </c>
      <c r="X180" s="216" t="s">
        <v>863</v>
      </c>
      <c r="Y180" s="216" t="s">
        <v>864</v>
      </c>
      <c r="Z180" s="289"/>
      <c r="AA180" s="289"/>
      <c r="AB180" s="289"/>
      <c r="AC180" s="289"/>
      <c r="AD180" s="289"/>
      <c r="AE180" s="289"/>
      <c r="AF180" s="289"/>
      <c r="AG180" s="289"/>
      <c r="AH180" s="289"/>
      <c r="AI180" s="289"/>
      <c r="AJ180" s="289"/>
      <c r="AK180" s="289"/>
      <c r="AL180" s="289"/>
      <c r="AM180" s="289"/>
      <c r="AN180" s="289"/>
      <c r="AO180" s="289"/>
      <c r="AP180" s="289"/>
      <c r="AQ180" s="289"/>
      <c r="AR180" s="289"/>
      <c r="AS180" s="289"/>
      <c r="AT180" s="289"/>
      <c r="AU180" s="289"/>
      <c r="AV180" s="289"/>
      <c r="AW180" s="289"/>
      <c r="AX180" s="289"/>
      <c r="AY180" s="289"/>
      <c r="AZ180" s="289"/>
      <c r="BA180" s="289"/>
      <c r="BB180" s="289"/>
      <c r="BC180" s="289"/>
      <c r="BD180" s="294">
        <v>20000000</v>
      </c>
      <c r="BE180" s="294">
        <v>20000000</v>
      </c>
      <c r="BF180" s="294">
        <v>20000000</v>
      </c>
      <c r="BG180" s="289"/>
      <c r="BH180" s="289"/>
      <c r="BI180" s="289"/>
      <c r="BJ180" s="289"/>
      <c r="BK180" s="289"/>
      <c r="BL180" s="289"/>
      <c r="BM180" s="289"/>
      <c r="BN180" s="289"/>
      <c r="BO180" s="289"/>
      <c r="BP180" s="273">
        <f t="shared" si="48"/>
        <v>20000000</v>
      </c>
      <c r="BQ180" s="273">
        <f t="shared" si="49"/>
        <v>20000000</v>
      </c>
      <c r="BR180" s="273">
        <f t="shared" si="49"/>
        <v>20000000</v>
      </c>
      <c r="BS180" s="246" t="s">
        <v>1654</v>
      </c>
      <c r="BT180" s="233"/>
    </row>
    <row r="181" spans="1:72" s="27" customFormat="1" ht="271.5" customHeight="1" x14ac:dyDescent="0.2">
      <c r="A181" s="217">
        <v>316</v>
      </c>
      <c r="B181" s="216" t="s">
        <v>1627</v>
      </c>
      <c r="C181" s="213">
        <v>1</v>
      </c>
      <c r="D181" s="216" t="s">
        <v>1614</v>
      </c>
      <c r="E181" s="213">
        <v>41</v>
      </c>
      <c r="F181" s="216" t="s">
        <v>784</v>
      </c>
      <c r="G181" s="213">
        <v>4103</v>
      </c>
      <c r="H181" s="216" t="s">
        <v>302</v>
      </c>
      <c r="I181" s="213">
        <v>4103</v>
      </c>
      <c r="J181" s="216" t="s">
        <v>1606</v>
      </c>
      <c r="K181" s="216" t="s">
        <v>842</v>
      </c>
      <c r="L181" s="213">
        <v>4103050</v>
      </c>
      <c r="M181" s="216" t="s">
        <v>865</v>
      </c>
      <c r="N181" s="213">
        <v>4103050</v>
      </c>
      <c r="O181" s="216" t="s">
        <v>865</v>
      </c>
      <c r="P181" s="292">
        <v>410305001</v>
      </c>
      <c r="Q181" s="311" t="s">
        <v>866</v>
      </c>
      <c r="R181" s="292">
        <v>410305001</v>
      </c>
      <c r="S181" s="311" t="s">
        <v>866</v>
      </c>
      <c r="T181" s="236" t="s">
        <v>1671</v>
      </c>
      <c r="U181" s="76">
        <v>12</v>
      </c>
      <c r="V181" s="76">
        <v>12</v>
      </c>
      <c r="W181" s="236" t="s">
        <v>867</v>
      </c>
      <c r="X181" s="216" t="s">
        <v>868</v>
      </c>
      <c r="Y181" s="216" t="s">
        <v>869</v>
      </c>
      <c r="Z181" s="289"/>
      <c r="AA181" s="289"/>
      <c r="AB181" s="289"/>
      <c r="AC181" s="289"/>
      <c r="AD181" s="289"/>
      <c r="AE181" s="289"/>
      <c r="AF181" s="289"/>
      <c r="AG181" s="289"/>
      <c r="AH181" s="289"/>
      <c r="AI181" s="289"/>
      <c r="AJ181" s="289"/>
      <c r="AK181" s="289"/>
      <c r="AL181" s="289"/>
      <c r="AM181" s="289"/>
      <c r="AN181" s="289"/>
      <c r="AO181" s="289"/>
      <c r="AP181" s="289"/>
      <c r="AQ181" s="289"/>
      <c r="AR181" s="289"/>
      <c r="AS181" s="289"/>
      <c r="AT181" s="289"/>
      <c r="AU181" s="289"/>
      <c r="AV181" s="289"/>
      <c r="AW181" s="289"/>
      <c r="AX181" s="289"/>
      <c r="AY181" s="289"/>
      <c r="AZ181" s="289"/>
      <c r="BA181" s="289"/>
      <c r="BB181" s="289"/>
      <c r="BC181" s="289"/>
      <c r="BD181" s="294">
        <v>25000000</v>
      </c>
      <c r="BE181" s="294">
        <v>24000000</v>
      </c>
      <c r="BF181" s="294">
        <v>24000000</v>
      </c>
      <c r="BG181" s="289"/>
      <c r="BH181" s="289"/>
      <c r="BI181" s="289"/>
      <c r="BJ181" s="289"/>
      <c r="BK181" s="289"/>
      <c r="BL181" s="289"/>
      <c r="BM181" s="289"/>
      <c r="BN181" s="289"/>
      <c r="BO181" s="289"/>
      <c r="BP181" s="273">
        <f t="shared" si="48"/>
        <v>25000000</v>
      </c>
      <c r="BQ181" s="273">
        <f t="shared" si="49"/>
        <v>24000000</v>
      </c>
      <c r="BR181" s="273">
        <f t="shared" si="49"/>
        <v>24000000</v>
      </c>
      <c r="BS181" s="246" t="s">
        <v>1654</v>
      </c>
      <c r="BT181" s="233"/>
    </row>
    <row r="182" spans="1:72" s="27" customFormat="1" ht="149.25" customHeight="1" x14ac:dyDescent="0.2">
      <c r="A182" s="217">
        <v>316</v>
      </c>
      <c r="B182" s="216" t="s">
        <v>1627</v>
      </c>
      <c r="C182" s="213">
        <v>1</v>
      </c>
      <c r="D182" s="216" t="s">
        <v>1614</v>
      </c>
      <c r="E182" s="213">
        <v>41</v>
      </c>
      <c r="F182" s="216" t="s">
        <v>784</v>
      </c>
      <c r="G182" s="213">
        <v>4103</v>
      </c>
      <c r="H182" s="216" t="s">
        <v>302</v>
      </c>
      <c r="I182" s="213">
        <v>4103</v>
      </c>
      <c r="J182" s="216" t="s">
        <v>1606</v>
      </c>
      <c r="K182" s="216" t="s">
        <v>870</v>
      </c>
      <c r="L182" s="304">
        <v>4103058</v>
      </c>
      <c r="M182" s="216" t="s">
        <v>871</v>
      </c>
      <c r="N182" s="304">
        <v>4103058</v>
      </c>
      <c r="O182" s="216" t="s">
        <v>871</v>
      </c>
      <c r="P182" s="74">
        <v>410305800</v>
      </c>
      <c r="Q182" s="311" t="s">
        <v>872</v>
      </c>
      <c r="R182" s="74">
        <v>410305800</v>
      </c>
      <c r="S182" s="311" t="s">
        <v>872</v>
      </c>
      <c r="T182" s="236" t="s">
        <v>1673</v>
      </c>
      <c r="U182" s="76">
        <v>2</v>
      </c>
      <c r="V182" s="76">
        <v>2</v>
      </c>
      <c r="W182" s="236" t="s">
        <v>873</v>
      </c>
      <c r="X182" s="216" t="s">
        <v>874</v>
      </c>
      <c r="Y182" s="216" t="s">
        <v>875</v>
      </c>
      <c r="Z182" s="289"/>
      <c r="AA182" s="289"/>
      <c r="AB182" s="289"/>
      <c r="AC182" s="289"/>
      <c r="AD182" s="289"/>
      <c r="AE182" s="289"/>
      <c r="AF182" s="289"/>
      <c r="AG182" s="289"/>
      <c r="AH182" s="289"/>
      <c r="AI182" s="289"/>
      <c r="AJ182" s="289"/>
      <c r="AK182" s="289"/>
      <c r="AL182" s="289"/>
      <c r="AM182" s="289"/>
      <c r="AN182" s="289"/>
      <c r="AO182" s="289"/>
      <c r="AP182" s="289"/>
      <c r="AQ182" s="289"/>
      <c r="AR182" s="289"/>
      <c r="AS182" s="289"/>
      <c r="AT182" s="289"/>
      <c r="AU182" s="289"/>
      <c r="AV182" s="289"/>
      <c r="AW182" s="289"/>
      <c r="AX182" s="289"/>
      <c r="AY182" s="289"/>
      <c r="AZ182" s="289"/>
      <c r="BA182" s="289"/>
      <c r="BB182" s="289"/>
      <c r="BC182" s="289"/>
      <c r="BD182" s="294">
        <f>28000000+47112368</f>
        <v>75112368</v>
      </c>
      <c r="BE182" s="294">
        <v>71374050.390000001</v>
      </c>
      <c r="BF182" s="294">
        <v>71374050.390000001</v>
      </c>
      <c r="BG182" s="289"/>
      <c r="BH182" s="289"/>
      <c r="BI182" s="289"/>
      <c r="BJ182" s="289"/>
      <c r="BK182" s="289"/>
      <c r="BL182" s="289"/>
      <c r="BM182" s="289"/>
      <c r="BN182" s="289"/>
      <c r="BO182" s="289"/>
      <c r="BP182" s="273">
        <f t="shared" si="48"/>
        <v>75112368</v>
      </c>
      <c r="BQ182" s="273">
        <f t="shared" si="49"/>
        <v>71374050.390000001</v>
      </c>
      <c r="BR182" s="273">
        <f t="shared" si="49"/>
        <v>71374050.390000001</v>
      </c>
      <c r="BS182" s="246" t="s">
        <v>1654</v>
      </c>
      <c r="BT182" s="233"/>
    </row>
    <row r="183" spans="1:72" s="27" customFormat="1" ht="96" customHeight="1" x14ac:dyDescent="0.2">
      <c r="A183" s="217">
        <v>316</v>
      </c>
      <c r="B183" s="216" t="s">
        <v>1627</v>
      </c>
      <c r="C183" s="213">
        <v>1</v>
      </c>
      <c r="D183" s="216" t="s">
        <v>1614</v>
      </c>
      <c r="E183" s="213">
        <v>41</v>
      </c>
      <c r="F183" s="216" t="s">
        <v>784</v>
      </c>
      <c r="G183" s="213">
        <v>4103</v>
      </c>
      <c r="H183" s="216" t="s">
        <v>302</v>
      </c>
      <c r="I183" s="213">
        <v>4103</v>
      </c>
      <c r="J183" s="216" t="s">
        <v>1606</v>
      </c>
      <c r="K183" s="303" t="s">
        <v>876</v>
      </c>
      <c r="L183" s="213" t="s">
        <v>41</v>
      </c>
      <c r="M183" s="216" t="s">
        <v>877</v>
      </c>
      <c r="N183" s="304">
        <v>4103060</v>
      </c>
      <c r="O183" s="216" t="s">
        <v>878</v>
      </c>
      <c r="P183" s="213" t="s">
        <v>41</v>
      </c>
      <c r="Q183" s="311" t="s">
        <v>879</v>
      </c>
      <c r="R183" s="304">
        <v>410306000</v>
      </c>
      <c r="S183" s="311" t="s">
        <v>880</v>
      </c>
      <c r="T183" s="236" t="s">
        <v>1673</v>
      </c>
      <c r="U183" s="76">
        <v>5</v>
      </c>
      <c r="V183" s="76">
        <v>5</v>
      </c>
      <c r="W183" s="236" t="s">
        <v>881</v>
      </c>
      <c r="X183" s="216" t="s">
        <v>882</v>
      </c>
      <c r="Y183" s="216" t="s">
        <v>883</v>
      </c>
      <c r="Z183" s="289"/>
      <c r="AA183" s="289"/>
      <c r="AB183" s="289"/>
      <c r="AC183" s="289"/>
      <c r="AD183" s="289"/>
      <c r="AE183" s="289"/>
      <c r="AF183" s="289"/>
      <c r="AG183" s="289"/>
      <c r="AH183" s="289"/>
      <c r="AI183" s="289"/>
      <c r="AJ183" s="289"/>
      <c r="AK183" s="289"/>
      <c r="AL183" s="289"/>
      <c r="AM183" s="289"/>
      <c r="AN183" s="289"/>
      <c r="AO183" s="289"/>
      <c r="AP183" s="289"/>
      <c r="AQ183" s="289"/>
      <c r="AR183" s="289"/>
      <c r="AS183" s="289"/>
      <c r="AT183" s="289"/>
      <c r="AU183" s="289"/>
      <c r="AV183" s="289"/>
      <c r="AW183" s="289"/>
      <c r="AX183" s="289"/>
      <c r="AY183" s="289"/>
      <c r="AZ183" s="289"/>
      <c r="BA183" s="289"/>
      <c r="BB183" s="289"/>
      <c r="BC183" s="289"/>
      <c r="BD183" s="294">
        <v>27000000</v>
      </c>
      <c r="BE183" s="294">
        <v>27000000</v>
      </c>
      <c r="BF183" s="294">
        <v>27000000</v>
      </c>
      <c r="BG183" s="289"/>
      <c r="BH183" s="289"/>
      <c r="BI183" s="289"/>
      <c r="BJ183" s="289"/>
      <c r="BK183" s="289"/>
      <c r="BL183" s="289"/>
      <c r="BM183" s="289"/>
      <c r="BN183" s="289"/>
      <c r="BO183" s="289"/>
      <c r="BP183" s="273">
        <f t="shared" si="48"/>
        <v>27000000</v>
      </c>
      <c r="BQ183" s="273">
        <f t="shared" ref="BQ183:BR186" si="50">+AA183+AD183+AG183+AJ183+AM183+AP183+AS183+AV183+AY183+BB183+BE183+BH183+BK183</f>
        <v>27000000</v>
      </c>
      <c r="BR183" s="273">
        <f t="shared" si="50"/>
        <v>27000000</v>
      </c>
      <c r="BS183" s="246" t="s">
        <v>1654</v>
      </c>
      <c r="BT183" s="233"/>
    </row>
    <row r="184" spans="1:72" s="27" customFormat="1" ht="98.25" customHeight="1" x14ac:dyDescent="0.2">
      <c r="A184" s="217">
        <v>316</v>
      </c>
      <c r="B184" s="216" t="s">
        <v>1627</v>
      </c>
      <c r="C184" s="213">
        <v>1</v>
      </c>
      <c r="D184" s="216" t="s">
        <v>1614</v>
      </c>
      <c r="E184" s="213">
        <v>41</v>
      </c>
      <c r="F184" s="216" t="s">
        <v>784</v>
      </c>
      <c r="G184" s="213">
        <v>4103</v>
      </c>
      <c r="H184" s="216" t="s">
        <v>302</v>
      </c>
      <c r="I184" s="213">
        <v>4103</v>
      </c>
      <c r="J184" s="216" t="s">
        <v>1606</v>
      </c>
      <c r="K184" s="303" t="s">
        <v>884</v>
      </c>
      <c r="L184" s="213" t="s">
        <v>41</v>
      </c>
      <c r="M184" s="216" t="s">
        <v>885</v>
      </c>
      <c r="N184" s="304">
        <v>4103060</v>
      </c>
      <c r="O184" s="216" t="s">
        <v>878</v>
      </c>
      <c r="P184" s="213" t="s">
        <v>41</v>
      </c>
      <c r="Q184" s="216" t="s">
        <v>886</v>
      </c>
      <c r="R184" s="304">
        <v>410306000</v>
      </c>
      <c r="S184" s="216" t="s">
        <v>880</v>
      </c>
      <c r="T184" s="236" t="s">
        <v>1671</v>
      </c>
      <c r="U184" s="76">
        <v>2</v>
      </c>
      <c r="V184" s="76">
        <v>2</v>
      </c>
      <c r="W184" s="236" t="s">
        <v>881</v>
      </c>
      <c r="X184" s="216" t="s">
        <v>882</v>
      </c>
      <c r="Y184" s="216" t="s">
        <v>883</v>
      </c>
      <c r="Z184" s="289"/>
      <c r="AA184" s="289"/>
      <c r="AB184" s="289"/>
      <c r="AC184" s="289"/>
      <c r="AD184" s="289"/>
      <c r="AE184" s="289"/>
      <c r="AF184" s="289"/>
      <c r="AG184" s="289"/>
      <c r="AH184" s="289"/>
      <c r="AI184" s="289"/>
      <c r="AJ184" s="289"/>
      <c r="AK184" s="289"/>
      <c r="AL184" s="289"/>
      <c r="AM184" s="289"/>
      <c r="AN184" s="289"/>
      <c r="AO184" s="289"/>
      <c r="AP184" s="289"/>
      <c r="AQ184" s="289"/>
      <c r="AR184" s="289"/>
      <c r="AS184" s="289"/>
      <c r="AT184" s="289"/>
      <c r="AU184" s="289"/>
      <c r="AV184" s="289"/>
      <c r="AW184" s="289"/>
      <c r="AX184" s="289"/>
      <c r="AY184" s="289"/>
      <c r="AZ184" s="289"/>
      <c r="BA184" s="289"/>
      <c r="BB184" s="289"/>
      <c r="BC184" s="289"/>
      <c r="BD184" s="294">
        <v>20000000</v>
      </c>
      <c r="BE184" s="294">
        <v>18333347</v>
      </c>
      <c r="BF184" s="294">
        <v>18333347</v>
      </c>
      <c r="BG184" s="289"/>
      <c r="BH184" s="289"/>
      <c r="BI184" s="289"/>
      <c r="BJ184" s="289"/>
      <c r="BK184" s="289"/>
      <c r="BL184" s="289"/>
      <c r="BM184" s="289"/>
      <c r="BN184" s="289"/>
      <c r="BO184" s="289"/>
      <c r="BP184" s="273">
        <f t="shared" si="48"/>
        <v>20000000</v>
      </c>
      <c r="BQ184" s="273">
        <f t="shared" si="50"/>
        <v>18333347</v>
      </c>
      <c r="BR184" s="273">
        <f t="shared" si="50"/>
        <v>18333347</v>
      </c>
      <c r="BS184" s="246" t="s">
        <v>1654</v>
      </c>
      <c r="BT184" s="233"/>
    </row>
    <row r="185" spans="1:72" s="27" customFormat="1" ht="152.25" customHeight="1" x14ac:dyDescent="0.2">
      <c r="A185" s="217">
        <v>316</v>
      </c>
      <c r="B185" s="216" t="s">
        <v>1627</v>
      </c>
      <c r="C185" s="213">
        <v>1</v>
      </c>
      <c r="D185" s="216" t="s">
        <v>1614</v>
      </c>
      <c r="E185" s="213">
        <v>41</v>
      </c>
      <c r="F185" s="216" t="s">
        <v>784</v>
      </c>
      <c r="G185" s="213">
        <v>4103</v>
      </c>
      <c r="H185" s="216" t="s">
        <v>302</v>
      </c>
      <c r="I185" s="213">
        <v>4103</v>
      </c>
      <c r="J185" s="216" t="s">
        <v>1606</v>
      </c>
      <c r="K185" s="216" t="s">
        <v>887</v>
      </c>
      <c r="L185" s="213" t="s">
        <v>41</v>
      </c>
      <c r="M185" s="216" t="s">
        <v>888</v>
      </c>
      <c r="N185" s="304">
        <v>4103052</v>
      </c>
      <c r="O185" s="216" t="s">
        <v>305</v>
      </c>
      <c r="P185" s="213" t="s">
        <v>41</v>
      </c>
      <c r="Q185" s="311" t="s">
        <v>889</v>
      </c>
      <c r="R185" s="304">
        <v>410305202</v>
      </c>
      <c r="S185" s="311" t="s">
        <v>861</v>
      </c>
      <c r="T185" s="236" t="s">
        <v>1671</v>
      </c>
      <c r="U185" s="76">
        <v>1</v>
      </c>
      <c r="V185" s="76">
        <v>1</v>
      </c>
      <c r="W185" s="236" t="s">
        <v>890</v>
      </c>
      <c r="X185" s="216" t="s">
        <v>891</v>
      </c>
      <c r="Y185" s="216" t="s">
        <v>892</v>
      </c>
      <c r="Z185" s="289"/>
      <c r="AA185" s="289"/>
      <c r="AB185" s="289"/>
      <c r="AC185" s="289"/>
      <c r="AD185" s="289"/>
      <c r="AE185" s="289"/>
      <c r="AF185" s="289"/>
      <c r="AG185" s="289"/>
      <c r="AH185" s="289"/>
      <c r="AI185" s="289"/>
      <c r="AJ185" s="289"/>
      <c r="AK185" s="289"/>
      <c r="AL185" s="289"/>
      <c r="AM185" s="289"/>
      <c r="AN185" s="289"/>
      <c r="AO185" s="289"/>
      <c r="AP185" s="289"/>
      <c r="AQ185" s="289"/>
      <c r="AR185" s="289"/>
      <c r="AS185" s="289"/>
      <c r="AT185" s="289"/>
      <c r="AU185" s="289"/>
      <c r="AV185" s="289"/>
      <c r="AW185" s="289"/>
      <c r="AX185" s="289"/>
      <c r="AY185" s="289"/>
      <c r="AZ185" s="289"/>
      <c r="BA185" s="289"/>
      <c r="BB185" s="289"/>
      <c r="BC185" s="289"/>
      <c r="BD185" s="294">
        <f>40000000+11681346</f>
        <v>51681346</v>
      </c>
      <c r="BE185" s="294">
        <v>51001400</v>
      </c>
      <c r="BF185" s="294">
        <v>51001400</v>
      </c>
      <c r="BG185" s="289"/>
      <c r="BH185" s="289"/>
      <c r="BI185" s="289"/>
      <c r="BJ185" s="289"/>
      <c r="BK185" s="289"/>
      <c r="BL185" s="289"/>
      <c r="BM185" s="289"/>
      <c r="BN185" s="289"/>
      <c r="BO185" s="289"/>
      <c r="BP185" s="273">
        <f t="shared" si="48"/>
        <v>51681346</v>
      </c>
      <c r="BQ185" s="273">
        <f t="shared" si="50"/>
        <v>51001400</v>
      </c>
      <c r="BR185" s="273">
        <f t="shared" si="50"/>
        <v>51001400</v>
      </c>
      <c r="BS185" s="246" t="s">
        <v>1654</v>
      </c>
      <c r="BT185" s="233"/>
    </row>
    <row r="186" spans="1:72" s="27" customFormat="1" ht="152.25" customHeight="1" x14ac:dyDescent="0.2">
      <c r="A186" s="217">
        <v>316</v>
      </c>
      <c r="B186" s="216" t="s">
        <v>1627</v>
      </c>
      <c r="C186" s="213">
        <v>1</v>
      </c>
      <c r="D186" s="216" t="s">
        <v>1614</v>
      </c>
      <c r="E186" s="213">
        <v>41</v>
      </c>
      <c r="F186" s="216" t="s">
        <v>784</v>
      </c>
      <c r="G186" s="213">
        <v>4104</v>
      </c>
      <c r="H186" s="216" t="s">
        <v>893</v>
      </c>
      <c r="I186" s="213">
        <v>4104</v>
      </c>
      <c r="J186" s="216" t="s">
        <v>1607</v>
      </c>
      <c r="K186" s="216" t="s">
        <v>894</v>
      </c>
      <c r="L186" s="213">
        <v>4104035</v>
      </c>
      <c r="M186" s="216" t="s">
        <v>895</v>
      </c>
      <c r="N186" s="304">
        <v>4104020</v>
      </c>
      <c r="O186" s="216" t="s">
        <v>896</v>
      </c>
      <c r="P186" s="74">
        <v>410403500</v>
      </c>
      <c r="Q186" s="216" t="s">
        <v>897</v>
      </c>
      <c r="R186" s="304">
        <v>410402000</v>
      </c>
      <c r="S186" s="216" t="s">
        <v>898</v>
      </c>
      <c r="T186" s="236" t="s">
        <v>1673</v>
      </c>
      <c r="U186" s="76">
        <f>50+20</f>
        <v>70</v>
      </c>
      <c r="V186" s="76">
        <v>60</v>
      </c>
      <c r="W186" s="236" t="s">
        <v>899</v>
      </c>
      <c r="X186" s="216" t="s">
        <v>900</v>
      </c>
      <c r="Y186" s="216" t="s">
        <v>901</v>
      </c>
      <c r="Z186" s="289"/>
      <c r="AA186" s="289"/>
      <c r="AB186" s="289"/>
      <c r="AC186" s="289"/>
      <c r="AD186" s="289"/>
      <c r="AE186" s="289"/>
      <c r="AF186" s="289"/>
      <c r="AG186" s="289"/>
      <c r="AH186" s="289"/>
      <c r="AI186" s="289"/>
      <c r="AJ186" s="289"/>
      <c r="AK186" s="289"/>
      <c r="AL186" s="289"/>
      <c r="AM186" s="289"/>
      <c r="AN186" s="289"/>
      <c r="AO186" s="289"/>
      <c r="AP186" s="289"/>
      <c r="AQ186" s="289"/>
      <c r="AR186" s="289"/>
      <c r="AS186" s="289"/>
      <c r="AT186" s="289"/>
      <c r="AU186" s="289"/>
      <c r="AV186" s="289"/>
      <c r="AW186" s="289"/>
      <c r="AX186" s="289"/>
      <c r="AY186" s="289"/>
      <c r="AZ186" s="289"/>
      <c r="BA186" s="289"/>
      <c r="BB186" s="289"/>
      <c r="BC186" s="289"/>
      <c r="BD186" s="294">
        <f>25000000+54000000-11540000</f>
        <v>67460000</v>
      </c>
      <c r="BE186" s="294">
        <v>67429000</v>
      </c>
      <c r="BF186" s="556">
        <v>67429000</v>
      </c>
      <c r="BG186" s="289"/>
      <c r="BH186" s="289"/>
      <c r="BI186" s="289"/>
      <c r="BJ186" s="289"/>
      <c r="BK186" s="289"/>
      <c r="BL186" s="289"/>
      <c r="BM186" s="289"/>
      <c r="BN186" s="289"/>
      <c r="BO186" s="289"/>
      <c r="BP186" s="273">
        <f t="shared" si="48"/>
        <v>67460000</v>
      </c>
      <c r="BQ186" s="273">
        <f t="shared" si="50"/>
        <v>67429000</v>
      </c>
      <c r="BR186" s="273">
        <f t="shared" si="50"/>
        <v>67429000</v>
      </c>
      <c r="BS186" s="246" t="s">
        <v>1654</v>
      </c>
      <c r="BT186" s="233"/>
    </row>
    <row r="187" spans="1:72" s="27" customFormat="1" ht="134.25" customHeight="1" x14ac:dyDescent="0.2">
      <c r="A187" s="217">
        <v>316</v>
      </c>
      <c r="B187" s="216" t="s">
        <v>1627</v>
      </c>
      <c r="C187" s="213">
        <v>1</v>
      </c>
      <c r="D187" s="216" t="s">
        <v>1614</v>
      </c>
      <c r="E187" s="213">
        <v>41</v>
      </c>
      <c r="F187" s="216" t="s">
        <v>784</v>
      </c>
      <c r="G187" s="213">
        <v>4104</v>
      </c>
      <c r="H187" s="216" t="s">
        <v>893</v>
      </c>
      <c r="I187" s="213">
        <v>4104</v>
      </c>
      <c r="J187" s="216" t="s">
        <v>1607</v>
      </c>
      <c r="K187" s="216" t="s">
        <v>902</v>
      </c>
      <c r="L187" s="213">
        <v>4104035</v>
      </c>
      <c r="M187" s="216" t="s">
        <v>895</v>
      </c>
      <c r="N187" s="304">
        <v>4104020</v>
      </c>
      <c r="O187" s="216" t="s">
        <v>896</v>
      </c>
      <c r="P187" s="213" t="s">
        <v>41</v>
      </c>
      <c r="Q187" s="216" t="s">
        <v>903</v>
      </c>
      <c r="R187" s="304">
        <v>410402000</v>
      </c>
      <c r="S187" s="216" t="s">
        <v>898</v>
      </c>
      <c r="T187" s="236" t="s">
        <v>1671</v>
      </c>
      <c r="U187" s="76">
        <v>12</v>
      </c>
      <c r="V187" s="76">
        <v>12</v>
      </c>
      <c r="W187" s="236" t="s">
        <v>899</v>
      </c>
      <c r="X187" s="216" t="s">
        <v>900</v>
      </c>
      <c r="Y187" s="216" t="s">
        <v>901</v>
      </c>
      <c r="Z187" s="289"/>
      <c r="AA187" s="289"/>
      <c r="AB187" s="289"/>
      <c r="AC187" s="289"/>
      <c r="AD187" s="289"/>
      <c r="AE187" s="289"/>
      <c r="AF187" s="289"/>
      <c r="AG187" s="289"/>
      <c r="AH187" s="289"/>
      <c r="AI187" s="289"/>
      <c r="AJ187" s="289"/>
      <c r="AK187" s="289"/>
      <c r="AL187" s="289"/>
      <c r="AM187" s="289"/>
      <c r="AN187" s="289"/>
      <c r="AO187" s="289"/>
      <c r="AP187" s="289"/>
      <c r="AQ187" s="289"/>
      <c r="AR187" s="289"/>
      <c r="AS187" s="289"/>
      <c r="AT187" s="289"/>
      <c r="AU187" s="289"/>
      <c r="AV187" s="289"/>
      <c r="AW187" s="289"/>
      <c r="AX187" s="289"/>
      <c r="AY187" s="289"/>
      <c r="AZ187" s="289"/>
      <c r="BA187" s="289"/>
      <c r="BB187" s="289"/>
      <c r="BC187" s="289"/>
      <c r="BD187" s="294">
        <f>19000000+4080000+11540000</f>
        <v>34620000</v>
      </c>
      <c r="BE187" s="294">
        <v>26522500</v>
      </c>
      <c r="BF187" s="294">
        <v>26522500</v>
      </c>
      <c r="BG187" s="289"/>
      <c r="BH187" s="289"/>
      <c r="BI187" s="289"/>
      <c r="BJ187" s="289"/>
      <c r="BK187" s="289"/>
      <c r="BL187" s="289"/>
      <c r="BM187" s="289"/>
      <c r="BN187" s="289"/>
      <c r="BO187" s="289"/>
      <c r="BP187" s="273">
        <f t="shared" si="48"/>
        <v>34620000</v>
      </c>
      <c r="BQ187" s="273">
        <f t="shared" ref="BQ187:BR190" si="51">+AA187+AD187+AG187+AJ187+AM187+AP187+AS187+AV187+AY187+BB187+BE187+BH187+BK187</f>
        <v>26522500</v>
      </c>
      <c r="BR187" s="273">
        <f t="shared" si="51"/>
        <v>26522500</v>
      </c>
      <c r="BS187" s="246" t="s">
        <v>1654</v>
      </c>
      <c r="BT187" s="233"/>
    </row>
    <row r="188" spans="1:72" s="27" customFormat="1" ht="108.75" customHeight="1" x14ac:dyDescent="0.2">
      <c r="A188" s="217">
        <v>316</v>
      </c>
      <c r="B188" s="216" t="s">
        <v>1627</v>
      </c>
      <c r="C188" s="213">
        <v>1</v>
      </c>
      <c r="D188" s="216" t="s">
        <v>1614</v>
      </c>
      <c r="E188" s="213">
        <v>41</v>
      </c>
      <c r="F188" s="216" t="s">
        <v>784</v>
      </c>
      <c r="G188" s="213">
        <v>4104</v>
      </c>
      <c r="H188" s="216" t="s">
        <v>893</v>
      </c>
      <c r="I188" s="213">
        <v>4104</v>
      </c>
      <c r="J188" s="216" t="s">
        <v>1607</v>
      </c>
      <c r="K188" s="216" t="s">
        <v>904</v>
      </c>
      <c r="L188" s="74">
        <v>4104026</v>
      </c>
      <c r="M188" s="216" t="s">
        <v>905</v>
      </c>
      <c r="N188" s="304">
        <v>4104027</v>
      </c>
      <c r="O188" s="216" t="s">
        <v>906</v>
      </c>
      <c r="P188" s="213" t="s">
        <v>41</v>
      </c>
      <c r="Q188" s="216" t="s">
        <v>907</v>
      </c>
      <c r="R188" s="304">
        <v>410402700</v>
      </c>
      <c r="S188" s="216" t="s">
        <v>908</v>
      </c>
      <c r="T188" s="236" t="s">
        <v>1671</v>
      </c>
      <c r="U188" s="76">
        <v>12</v>
      </c>
      <c r="V188" s="76">
        <v>12</v>
      </c>
      <c r="W188" s="236" t="s">
        <v>909</v>
      </c>
      <c r="X188" s="216" t="s">
        <v>910</v>
      </c>
      <c r="Y188" s="216" t="s">
        <v>911</v>
      </c>
      <c r="Z188" s="289"/>
      <c r="AA188" s="289"/>
      <c r="AB188" s="289"/>
      <c r="AC188" s="289"/>
      <c r="AD188" s="289"/>
      <c r="AE188" s="289"/>
      <c r="AF188" s="289"/>
      <c r="AG188" s="289"/>
      <c r="AH188" s="289"/>
      <c r="AI188" s="289"/>
      <c r="AJ188" s="289"/>
      <c r="AK188" s="289"/>
      <c r="AL188" s="289"/>
      <c r="AM188" s="289"/>
      <c r="AN188" s="289"/>
      <c r="AO188" s="289"/>
      <c r="AP188" s="289"/>
      <c r="AQ188" s="289"/>
      <c r="AR188" s="289"/>
      <c r="AS188" s="289"/>
      <c r="AT188" s="289"/>
      <c r="AU188" s="289"/>
      <c r="AV188" s="289"/>
      <c r="AW188" s="289"/>
      <c r="AX188" s="289"/>
      <c r="AY188" s="289"/>
      <c r="AZ188" s="289"/>
      <c r="BA188" s="289"/>
      <c r="BB188" s="289"/>
      <c r="BC188" s="289"/>
      <c r="BD188" s="294">
        <v>35000000</v>
      </c>
      <c r="BE188" s="294">
        <v>34994000</v>
      </c>
      <c r="BF188" s="294">
        <v>34994000</v>
      </c>
      <c r="BG188" s="289"/>
      <c r="BH188" s="289"/>
      <c r="BI188" s="289"/>
      <c r="BJ188" s="289"/>
      <c r="BK188" s="289"/>
      <c r="BL188" s="289"/>
      <c r="BM188" s="289"/>
      <c r="BN188" s="289"/>
      <c r="BO188" s="289"/>
      <c r="BP188" s="273">
        <f t="shared" si="48"/>
        <v>35000000</v>
      </c>
      <c r="BQ188" s="273">
        <f t="shared" si="51"/>
        <v>34994000</v>
      </c>
      <c r="BR188" s="273">
        <f t="shared" si="51"/>
        <v>34994000</v>
      </c>
      <c r="BS188" s="246" t="s">
        <v>1654</v>
      </c>
      <c r="BT188" s="233"/>
    </row>
    <row r="189" spans="1:72" s="27" customFormat="1" ht="131.25" customHeight="1" x14ac:dyDescent="0.2">
      <c r="A189" s="217">
        <v>316</v>
      </c>
      <c r="B189" s="216" t="s">
        <v>1627</v>
      </c>
      <c r="C189" s="213">
        <v>1</v>
      </c>
      <c r="D189" s="216" t="s">
        <v>1614</v>
      </c>
      <c r="E189" s="213">
        <v>41</v>
      </c>
      <c r="F189" s="216" t="s">
        <v>784</v>
      </c>
      <c r="G189" s="213">
        <v>4104</v>
      </c>
      <c r="H189" s="216" t="s">
        <v>893</v>
      </c>
      <c r="I189" s="213">
        <v>4104</v>
      </c>
      <c r="J189" s="216" t="s">
        <v>1607</v>
      </c>
      <c r="K189" s="216" t="s">
        <v>912</v>
      </c>
      <c r="L189" s="304">
        <v>4104015</v>
      </c>
      <c r="M189" s="298" t="s">
        <v>913</v>
      </c>
      <c r="N189" s="304">
        <v>4104015</v>
      </c>
      <c r="O189" s="298" t="s">
        <v>914</v>
      </c>
      <c r="P189" s="74">
        <v>410401500</v>
      </c>
      <c r="Q189" s="311" t="s">
        <v>915</v>
      </c>
      <c r="R189" s="74">
        <v>410401500</v>
      </c>
      <c r="S189" s="311" t="s">
        <v>916</v>
      </c>
      <c r="T189" s="236" t="s">
        <v>1671</v>
      </c>
      <c r="U189" s="292">
        <v>7500</v>
      </c>
      <c r="V189" s="292">
        <v>8123</v>
      </c>
      <c r="W189" s="236" t="s">
        <v>917</v>
      </c>
      <c r="X189" s="216" t="s">
        <v>918</v>
      </c>
      <c r="Y189" s="216" t="s">
        <v>919</v>
      </c>
      <c r="Z189" s="289"/>
      <c r="AA189" s="289"/>
      <c r="AB189" s="289"/>
      <c r="AC189" s="289"/>
      <c r="AD189" s="289"/>
      <c r="AE189" s="289"/>
      <c r="AF189" s="289"/>
      <c r="AG189" s="289"/>
      <c r="AH189" s="289"/>
      <c r="AI189" s="289"/>
      <c r="AJ189" s="289"/>
      <c r="AK189" s="289"/>
      <c r="AL189" s="289"/>
      <c r="AM189" s="289"/>
      <c r="AN189" s="289"/>
      <c r="AO189" s="289"/>
      <c r="AP189" s="289"/>
      <c r="AQ189" s="289"/>
      <c r="AR189" s="289"/>
      <c r="AS189" s="289"/>
      <c r="AT189" s="289"/>
      <c r="AU189" s="289"/>
      <c r="AV189" s="289"/>
      <c r="AW189" s="289"/>
      <c r="AX189" s="289"/>
      <c r="AY189" s="289"/>
      <c r="AZ189" s="289"/>
      <c r="BA189" s="289"/>
      <c r="BB189" s="289"/>
      <c r="BC189" s="289"/>
      <c r="BD189" s="294">
        <f>20000000-1000000+11800000</f>
        <v>30800000</v>
      </c>
      <c r="BE189" s="294">
        <v>26960000</v>
      </c>
      <c r="BF189" s="294">
        <v>26960000</v>
      </c>
      <c r="BG189" s="289"/>
      <c r="BH189" s="289"/>
      <c r="BI189" s="289"/>
      <c r="BJ189" s="289"/>
      <c r="BK189" s="289"/>
      <c r="BL189" s="289"/>
      <c r="BM189" s="289"/>
      <c r="BN189" s="289"/>
      <c r="BO189" s="289"/>
      <c r="BP189" s="273">
        <f t="shared" si="48"/>
        <v>30800000</v>
      </c>
      <c r="BQ189" s="273">
        <f t="shared" si="51"/>
        <v>26960000</v>
      </c>
      <c r="BR189" s="273">
        <f t="shared" si="51"/>
        <v>26960000</v>
      </c>
      <c r="BS189" s="246" t="s">
        <v>1654</v>
      </c>
      <c r="BT189" s="233"/>
    </row>
    <row r="190" spans="1:72" s="27" customFormat="1" ht="203.25" customHeight="1" x14ac:dyDescent="0.2">
      <c r="A190" s="217">
        <v>316</v>
      </c>
      <c r="B190" s="216" t="s">
        <v>1627</v>
      </c>
      <c r="C190" s="213">
        <v>1</v>
      </c>
      <c r="D190" s="216" t="s">
        <v>1614</v>
      </c>
      <c r="E190" s="213">
        <v>41</v>
      </c>
      <c r="F190" s="216" t="s">
        <v>784</v>
      </c>
      <c r="G190" s="213">
        <v>4104</v>
      </c>
      <c r="H190" s="216" t="s">
        <v>893</v>
      </c>
      <c r="I190" s="213">
        <v>4104</v>
      </c>
      <c r="J190" s="216" t="s">
        <v>1607</v>
      </c>
      <c r="K190" s="216" t="s">
        <v>920</v>
      </c>
      <c r="L190" s="213" t="s">
        <v>41</v>
      </c>
      <c r="M190" s="298" t="s">
        <v>921</v>
      </c>
      <c r="N190" s="213">
        <v>4104008</v>
      </c>
      <c r="O190" s="298" t="s">
        <v>922</v>
      </c>
      <c r="P190" s="213" t="s">
        <v>41</v>
      </c>
      <c r="Q190" s="348" t="s">
        <v>923</v>
      </c>
      <c r="R190" s="213">
        <v>410400800</v>
      </c>
      <c r="S190" s="348" t="s">
        <v>924</v>
      </c>
      <c r="T190" s="236" t="s">
        <v>1671</v>
      </c>
      <c r="U190" s="76">
        <v>12</v>
      </c>
      <c r="V190" s="76">
        <v>12</v>
      </c>
      <c r="W190" s="236" t="s">
        <v>917</v>
      </c>
      <c r="X190" s="216" t="s">
        <v>918</v>
      </c>
      <c r="Y190" s="216" t="s">
        <v>919</v>
      </c>
      <c r="Z190" s="372">
        <v>4621490244.0100002</v>
      </c>
      <c r="AA190" s="322">
        <v>3361086793.25</v>
      </c>
      <c r="AB190" s="322">
        <v>3361086793.25</v>
      </c>
      <c r="AC190" s="349"/>
      <c r="AD190" s="349"/>
      <c r="AE190" s="349"/>
      <c r="AF190" s="289"/>
      <c r="AG190" s="289"/>
      <c r="AH190" s="289"/>
      <c r="AI190" s="289"/>
      <c r="AJ190" s="289"/>
      <c r="AK190" s="289"/>
      <c r="AL190" s="289"/>
      <c r="AM190" s="289"/>
      <c r="AN190" s="289"/>
      <c r="AO190" s="289"/>
      <c r="AP190" s="289"/>
      <c r="AQ190" s="289"/>
      <c r="AR190" s="289"/>
      <c r="AS190" s="289"/>
      <c r="AT190" s="289"/>
      <c r="AU190" s="289"/>
      <c r="AV190" s="289"/>
      <c r="AW190" s="289"/>
      <c r="AX190" s="289"/>
      <c r="AY190" s="289"/>
      <c r="AZ190" s="289"/>
      <c r="BA190" s="289"/>
      <c r="BB190" s="289"/>
      <c r="BC190" s="289"/>
      <c r="BD190" s="294">
        <v>0</v>
      </c>
      <c r="BE190" s="294"/>
      <c r="BF190" s="294"/>
      <c r="BG190" s="289"/>
      <c r="BH190" s="289"/>
      <c r="BI190" s="289"/>
      <c r="BJ190" s="289"/>
      <c r="BK190" s="289"/>
      <c r="BL190" s="289"/>
      <c r="BM190" s="289"/>
      <c r="BN190" s="289"/>
      <c r="BO190" s="289"/>
      <c r="BP190" s="273">
        <f t="shared" ref="BP190:BP195" si="52">+Z190+AC190+AF190+AI190+AL190+AO190+AR190+AU190+AX190+BA190+BD190+BG190+BJ190</f>
        <v>4621490244.0100002</v>
      </c>
      <c r="BQ190" s="273">
        <f t="shared" si="51"/>
        <v>3361086793.25</v>
      </c>
      <c r="BR190" s="273">
        <f t="shared" si="51"/>
        <v>3361086793.25</v>
      </c>
      <c r="BS190" s="246" t="s">
        <v>1654</v>
      </c>
      <c r="BT190" s="233"/>
    </row>
    <row r="191" spans="1:72" s="27" customFormat="1" ht="135" customHeight="1" x14ac:dyDescent="0.2">
      <c r="A191" s="217">
        <v>316</v>
      </c>
      <c r="B191" s="216" t="s">
        <v>1627</v>
      </c>
      <c r="C191" s="213">
        <v>2</v>
      </c>
      <c r="D191" s="216" t="s">
        <v>1621</v>
      </c>
      <c r="E191" s="213">
        <v>17</v>
      </c>
      <c r="F191" s="216" t="s">
        <v>451</v>
      </c>
      <c r="G191" s="213">
        <v>1702</v>
      </c>
      <c r="H191" s="216" t="s">
        <v>452</v>
      </c>
      <c r="I191" s="213">
        <v>1702</v>
      </c>
      <c r="J191" s="216" t="s">
        <v>1575</v>
      </c>
      <c r="K191" s="216" t="s">
        <v>925</v>
      </c>
      <c r="L191" s="304">
        <v>1702011</v>
      </c>
      <c r="M191" s="216" t="s">
        <v>926</v>
      </c>
      <c r="N191" s="304">
        <v>1702011</v>
      </c>
      <c r="O191" s="216" t="s">
        <v>926</v>
      </c>
      <c r="P191" s="74" t="s">
        <v>927</v>
      </c>
      <c r="Q191" s="311" t="s">
        <v>928</v>
      </c>
      <c r="R191" s="74" t="s">
        <v>927</v>
      </c>
      <c r="S191" s="311" t="s">
        <v>928</v>
      </c>
      <c r="T191" s="236" t="s">
        <v>1673</v>
      </c>
      <c r="U191" s="76">
        <v>4</v>
      </c>
      <c r="V191" s="76">
        <v>4</v>
      </c>
      <c r="W191" s="236" t="s">
        <v>929</v>
      </c>
      <c r="X191" s="216" t="s">
        <v>930</v>
      </c>
      <c r="Y191" s="216" t="s">
        <v>931</v>
      </c>
      <c r="Z191" s="289"/>
      <c r="AA191" s="289"/>
      <c r="AB191" s="289"/>
      <c r="AC191" s="289"/>
      <c r="AD191" s="289"/>
      <c r="AE191" s="289"/>
      <c r="AF191" s="289"/>
      <c r="AG191" s="289"/>
      <c r="AH191" s="289"/>
      <c r="AI191" s="289"/>
      <c r="AJ191" s="289"/>
      <c r="AK191" s="289"/>
      <c r="AL191" s="289"/>
      <c r="AM191" s="289"/>
      <c r="AN191" s="289"/>
      <c r="AO191" s="289"/>
      <c r="AP191" s="289"/>
      <c r="AQ191" s="289"/>
      <c r="AR191" s="289"/>
      <c r="AS191" s="289"/>
      <c r="AT191" s="289"/>
      <c r="AU191" s="289"/>
      <c r="AV191" s="289"/>
      <c r="AW191" s="289"/>
      <c r="AX191" s="289"/>
      <c r="AY191" s="289"/>
      <c r="AZ191" s="289"/>
      <c r="BA191" s="289"/>
      <c r="BB191" s="289"/>
      <c r="BC191" s="289"/>
      <c r="BD191" s="294">
        <v>18000000</v>
      </c>
      <c r="BE191" s="294">
        <v>17310000</v>
      </c>
      <c r="BF191" s="294">
        <v>17310000</v>
      </c>
      <c r="BG191" s="289"/>
      <c r="BH191" s="289"/>
      <c r="BI191" s="289"/>
      <c r="BJ191" s="289"/>
      <c r="BK191" s="289"/>
      <c r="BL191" s="289"/>
      <c r="BM191" s="289"/>
      <c r="BN191" s="289"/>
      <c r="BO191" s="289"/>
      <c r="BP191" s="273">
        <f t="shared" si="52"/>
        <v>18000000</v>
      </c>
      <c r="BQ191" s="273">
        <f t="shared" ref="BQ191:BR193" si="53">+AA191+AD191+AG191+AJ191+AM191+AP191+AS191+AV191+AY191+BB191+BE191+BH191+BK191</f>
        <v>17310000</v>
      </c>
      <c r="BR191" s="273">
        <f t="shared" si="53"/>
        <v>17310000</v>
      </c>
      <c r="BS191" s="246" t="s">
        <v>1654</v>
      </c>
      <c r="BT191" s="233"/>
    </row>
    <row r="192" spans="1:72" s="27" customFormat="1" ht="131.25" customHeight="1" x14ac:dyDescent="0.2">
      <c r="A192" s="217">
        <v>316</v>
      </c>
      <c r="B192" s="216" t="s">
        <v>1627</v>
      </c>
      <c r="C192" s="213">
        <v>2</v>
      </c>
      <c r="D192" s="216" t="s">
        <v>1621</v>
      </c>
      <c r="E192" s="213">
        <v>36</v>
      </c>
      <c r="F192" s="310" t="s">
        <v>433</v>
      </c>
      <c r="G192" s="213">
        <v>3604</v>
      </c>
      <c r="H192" s="216" t="s">
        <v>932</v>
      </c>
      <c r="I192" s="213">
        <v>3604</v>
      </c>
      <c r="J192" s="216" t="s">
        <v>1601</v>
      </c>
      <c r="K192" s="216" t="s">
        <v>933</v>
      </c>
      <c r="L192" s="213">
        <v>3604006</v>
      </c>
      <c r="M192" s="216" t="s">
        <v>934</v>
      </c>
      <c r="N192" s="213">
        <v>3604006</v>
      </c>
      <c r="O192" s="216" t="s">
        <v>934</v>
      </c>
      <c r="P192" s="74">
        <v>360400600</v>
      </c>
      <c r="Q192" s="291" t="s">
        <v>330</v>
      </c>
      <c r="R192" s="74">
        <v>360400600</v>
      </c>
      <c r="S192" s="291" t="s">
        <v>330</v>
      </c>
      <c r="T192" s="236" t="s">
        <v>1673</v>
      </c>
      <c r="U192" s="339">
        <v>200</v>
      </c>
      <c r="V192" s="339">
        <v>200</v>
      </c>
      <c r="W192" s="236" t="s">
        <v>935</v>
      </c>
      <c r="X192" s="298" t="s">
        <v>936</v>
      </c>
      <c r="Y192" s="298" t="s">
        <v>937</v>
      </c>
      <c r="Z192" s="289"/>
      <c r="AA192" s="289"/>
      <c r="AB192" s="289"/>
      <c r="AC192" s="289"/>
      <c r="AD192" s="289"/>
      <c r="AE192" s="289"/>
      <c r="AF192" s="289"/>
      <c r="AG192" s="289"/>
      <c r="AH192" s="289"/>
      <c r="AI192" s="289"/>
      <c r="AJ192" s="289"/>
      <c r="AK192" s="289"/>
      <c r="AL192" s="289"/>
      <c r="AM192" s="289"/>
      <c r="AN192" s="289"/>
      <c r="AO192" s="289"/>
      <c r="AP192" s="289"/>
      <c r="AQ192" s="289"/>
      <c r="AR192" s="289"/>
      <c r="AS192" s="289"/>
      <c r="AT192" s="289"/>
      <c r="AU192" s="289"/>
      <c r="AV192" s="289"/>
      <c r="AW192" s="289"/>
      <c r="AX192" s="289"/>
      <c r="AY192" s="289"/>
      <c r="AZ192" s="289"/>
      <c r="BA192" s="289"/>
      <c r="BB192" s="289"/>
      <c r="BC192" s="289"/>
      <c r="BD192" s="294">
        <f>18000000+20195000</f>
        <v>38195000</v>
      </c>
      <c r="BE192" s="294">
        <v>37695000</v>
      </c>
      <c r="BF192" s="294">
        <v>37695000</v>
      </c>
      <c r="BG192" s="289"/>
      <c r="BH192" s="289"/>
      <c r="BI192" s="289"/>
      <c r="BJ192" s="289"/>
      <c r="BK192" s="289"/>
      <c r="BL192" s="289"/>
      <c r="BM192" s="289"/>
      <c r="BN192" s="289"/>
      <c r="BO192" s="289"/>
      <c r="BP192" s="273">
        <f t="shared" si="52"/>
        <v>38195000</v>
      </c>
      <c r="BQ192" s="273">
        <f t="shared" si="53"/>
        <v>37695000</v>
      </c>
      <c r="BR192" s="273">
        <f t="shared" si="53"/>
        <v>37695000</v>
      </c>
      <c r="BS192" s="246" t="s">
        <v>1654</v>
      </c>
      <c r="BT192" s="233"/>
    </row>
    <row r="193" spans="1:73" s="27" customFormat="1" ht="122.25" customHeight="1" x14ac:dyDescent="0.2">
      <c r="A193" s="217">
        <v>316</v>
      </c>
      <c r="B193" s="216" t="s">
        <v>1627</v>
      </c>
      <c r="C193" s="213">
        <v>4</v>
      </c>
      <c r="D193" s="216" t="s">
        <v>1612</v>
      </c>
      <c r="E193" s="213">
        <v>45</v>
      </c>
      <c r="F193" s="216" t="s">
        <v>938</v>
      </c>
      <c r="G193" s="213">
        <v>4502</v>
      </c>
      <c r="H193" s="216" t="s">
        <v>1566</v>
      </c>
      <c r="I193" s="213">
        <v>4502</v>
      </c>
      <c r="J193" s="216" t="s">
        <v>1567</v>
      </c>
      <c r="K193" s="216" t="s">
        <v>939</v>
      </c>
      <c r="L193" s="304">
        <v>4502001</v>
      </c>
      <c r="M193" s="216" t="s">
        <v>72</v>
      </c>
      <c r="N193" s="304">
        <v>4502001</v>
      </c>
      <c r="O193" s="216" t="s">
        <v>72</v>
      </c>
      <c r="P193" s="213" t="s">
        <v>41</v>
      </c>
      <c r="Q193" s="311" t="s">
        <v>940</v>
      </c>
      <c r="R193" s="304">
        <v>450200108</v>
      </c>
      <c r="S193" s="311" t="s">
        <v>941</v>
      </c>
      <c r="T193" s="236" t="s">
        <v>1673</v>
      </c>
      <c r="U193" s="76">
        <v>1</v>
      </c>
      <c r="V193" s="76">
        <v>1</v>
      </c>
      <c r="W193" s="236" t="s">
        <v>942</v>
      </c>
      <c r="X193" s="216" t="s">
        <v>943</v>
      </c>
      <c r="Y193" s="216" t="s">
        <v>944</v>
      </c>
      <c r="Z193" s="289"/>
      <c r="AA193" s="289"/>
      <c r="AB193" s="289"/>
      <c r="AC193" s="289"/>
      <c r="AD193" s="289"/>
      <c r="AE193" s="289"/>
      <c r="AF193" s="289"/>
      <c r="AG193" s="289"/>
      <c r="AH193" s="289"/>
      <c r="AI193" s="289"/>
      <c r="AJ193" s="289"/>
      <c r="AK193" s="289"/>
      <c r="AL193" s="289"/>
      <c r="AM193" s="289"/>
      <c r="AN193" s="289"/>
      <c r="AO193" s="289"/>
      <c r="AP193" s="289"/>
      <c r="AQ193" s="289"/>
      <c r="AR193" s="289"/>
      <c r="AS193" s="289"/>
      <c r="AT193" s="289"/>
      <c r="AU193" s="289"/>
      <c r="AV193" s="289"/>
      <c r="AW193" s="289"/>
      <c r="AX193" s="289"/>
      <c r="AY193" s="289"/>
      <c r="AZ193" s="289"/>
      <c r="BA193" s="289"/>
      <c r="BB193" s="289"/>
      <c r="BC193" s="289"/>
      <c r="BD193" s="294">
        <v>18000000</v>
      </c>
      <c r="BE193" s="294">
        <v>16863999</v>
      </c>
      <c r="BF193" s="294">
        <v>16863999</v>
      </c>
      <c r="BG193" s="289"/>
      <c r="BH193" s="289"/>
      <c r="BI193" s="289"/>
      <c r="BJ193" s="289"/>
      <c r="BK193" s="289"/>
      <c r="BL193" s="289"/>
      <c r="BM193" s="289"/>
      <c r="BN193" s="289"/>
      <c r="BO193" s="289"/>
      <c r="BP193" s="273">
        <f t="shared" si="52"/>
        <v>18000000</v>
      </c>
      <c r="BQ193" s="273">
        <f t="shared" si="53"/>
        <v>16863999</v>
      </c>
      <c r="BR193" s="273">
        <f t="shared" si="53"/>
        <v>16863999</v>
      </c>
      <c r="BS193" s="246" t="s">
        <v>1654</v>
      </c>
      <c r="BT193" s="233"/>
    </row>
    <row r="194" spans="1:73" s="27" customFormat="1" ht="224.25" customHeight="1" x14ac:dyDescent="0.2">
      <c r="A194" s="217">
        <v>316</v>
      </c>
      <c r="B194" s="216" t="s">
        <v>1627</v>
      </c>
      <c r="C194" s="213">
        <v>4</v>
      </c>
      <c r="D194" s="216" t="s">
        <v>1612</v>
      </c>
      <c r="E194" s="213">
        <v>45</v>
      </c>
      <c r="F194" s="216" t="s">
        <v>938</v>
      </c>
      <c r="G194" s="213">
        <v>4502</v>
      </c>
      <c r="H194" s="216" t="s">
        <v>1566</v>
      </c>
      <c r="I194" s="213">
        <v>4502</v>
      </c>
      <c r="J194" s="216" t="s">
        <v>1567</v>
      </c>
      <c r="K194" s="216" t="s">
        <v>945</v>
      </c>
      <c r="L194" s="213" t="s">
        <v>41</v>
      </c>
      <c r="M194" s="216" t="s">
        <v>946</v>
      </c>
      <c r="N194" s="299">
        <v>4502038</v>
      </c>
      <c r="O194" s="216" t="s">
        <v>947</v>
      </c>
      <c r="P194" s="213" t="s">
        <v>41</v>
      </c>
      <c r="Q194" s="311" t="s">
        <v>948</v>
      </c>
      <c r="R194" s="292">
        <v>450203800</v>
      </c>
      <c r="S194" s="311" t="s">
        <v>949</v>
      </c>
      <c r="T194" s="236" t="s">
        <v>1671</v>
      </c>
      <c r="U194" s="76">
        <v>1</v>
      </c>
      <c r="V194" s="76">
        <v>1</v>
      </c>
      <c r="W194" s="236" t="s">
        <v>950</v>
      </c>
      <c r="X194" s="216" t="s">
        <v>951</v>
      </c>
      <c r="Y194" s="216" t="s">
        <v>952</v>
      </c>
      <c r="Z194" s="289"/>
      <c r="AA194" s="289"/>
      <c r="AB194" s="289"/>
      <c r="AC194" s="289"/>
      <c r="AD194" s="289"/>
      <c r="AE194" s="289"/>
      <c r="AF194" s="289"/>
      <c r="AG194" s="289"/>
      <c r="AH194" s="289"/>
      <c r="AI194" s="289"/>
      <c r="AJ194" s="289"/>
      <c r="AK194" s="289"/>
      <c r="AL194" s="289"/>
      <c r="AM194" s="289"/>
      <c r="AN194" s="289"/>
      <c r="AO194" s="289"/>
      <c r="AP194" s="289"/>
      <c r="AQ194" s="289"/>
      <c r="AR194" s="289"/>
      <c r="AS194" s="289"/>
      <c r="AT194" s="289"/>
      <c r="AU194" s="289"/>
      <c r="AV194" s="289"/>
      <c r="AW194" s="289"/>
      <c r="AX194" s="289"/>
      <c r="AY194" s="289"/>
      <c r="AZ194" s="289"/>
      <c r="BA194" s="289"/>
      <c r="BB194" s="289"/>
      <c r="BC194" s="289"/>
      <c r="BD194" s="294">
        <f>95000000-18000000</f>
        <v>77000000</v>
      </c>
      <c r="BE194" s="294">
        <v>73301546</v>
      </c>
      <c r="BF194" s="294">
        <v>73301546</v>
      </c>
      <c r="BG194" s="289"/>
      <c r="BH194" s="289"/>
      <c r="BI194" s="289"/>
      <c r="BJ194" s="289"/>
      <c r="BK194" s="289"/>
      <c r="BL194" s="289"/>
      <c r="BM194" s="289"/>
      <c r="BN194" s="289"/>
      <c r="BO194" s="289"/>
      <c r="BP194" s="273">
        <f t="shared" si="52"/>
        <v>77000000</v>
      </c>
      <c r="BQ194" s="273">
        <f t="shared" ref="BQ194:BR197" si="54">+AA194+AD194+AG194+AJ194+AM194+AP194+AS194+AV194+AY194+BB194+BE194+BH194+BK194</f>
        <v>73301546</v>
      </c>
      <c r="BR194" s="273">
        <f t="shared" si="54"/>
        <v>73301546</v>
      </c>
      <c r="BS194" s="246" t="s">
        <v>1654</v>
      </c>
      <c r="BT194" s="233"/>
    </row>
    <row r="195" spans="1:73" s="27" customFormat="1" ht="216" customHeight="1" x14ac:dyDescent="0.2">
      <c r="A195" s="217">
        <v>316</v>
      </c>
      <c r="B195" s="216" t="s">
        <v>1627</v>
      </c>
      <c r="C195" s="213">
        <v>4</v>
      </c>
      <c r="D195" s="216" t="s">
        <v>1612</v>
      </c>
      <c r="E195" s="213">
        <v>45</v>
      </c>
      <c r="F195" s="216" t="s">
        <v>938</v>
      </c>
      <c r="G195" s="213">
        <v>4502</v>
      </c>
      <c r="H195" s="216" t="s">
        <v>1566</v>
      </c>
      <c r="I195" s="213">
        <v>4502</v>
      </c>
      <c r="J195" s="216" t="s">
        <v>1567</v>
      </c>
      <c r="K195" s="216" t="s">
        <v>953</v>
      </c>
      <c r="L195" s="213" t="s">
        <v>41</v>
      </c>
      <c r="M195" s="216" t="s">
        <v>954</v>
      </c>
      <c r="N195" s="299">
        <v>4502038</v>
      </c>
      <c r="O195" s="216" t="s">
        <v>947</v>
      </c>
      <c r="P195" s="213" t="s">
        <v>41</v>
      </c>
      <c r="Q195" s="311" t="s">
        <v>955</v>
      </c>
      <c r="R195" s="292">
        <v>450203800</v>
      </c>
      <c r="S195" s="311" t="s">
        <v>949</v>
      </c>
      <c r="T195" s="236" t="s">
        <v>1671</v>
      </c>
      <c r="U195" s="76">
        <v>1</v>
      </c>
      <c r="V195" s="76">
        <v>1</v>
      </c>
      <c r="W195" s="236" t="s">
        <v>956</v>
      </c>
      <c r="X195" s="216" t="s">
        <v>957</v>
      </c>
      <c r="Y195" s="216" t="s">
        <v>958</v>
      </c>
      <c r="Z195" s="289"/>
      <c r="AA195" s="289"/>
      <c r="AB195" s="289"/>
      <c r="AC195" s="289"/>
      <c r="AD195" s="289"/>
      <c r="AE195" s="289"/>
      <c r="AF195" s="289"/>
      <c r="AG195" s="289"/>
      <c r="AH195" s="289"/>
      <c r="AI195" s="289"/>
      <c r="AJ195" s="289"/>
      <c r="AK195" s="289"/>
      <c r="AL195" s="289"/>
      <c r="AM195" s="289"/>
      <c r="AN195" s="289"/>
      <c r="AO195" s="289"/>
      <c r="AP195" s="289"/>
      <c r="AQ195" s="289"/>
      <c r="AR195" s="289"/>
      <c r="AS195" s="289"/>
      <c r="AT195" s="289"/>
      <c r="AU195" s="289"/>
      <c r="AV195" s="289"/>
      <c r="AW195" s="289"/>
      <c r="AX195" s="289"/>
      <c r="AY195" s="289"/>
      <c r="AZ195" s="289"/>
      <c r="BA195" s="289"/>
      <c r="BB195" s="289"/>
      <c r="BC195" s="289"/>
      <c r="BD195" s="294">
        <v>90000000</v>
      </c>
      <c r="BE195" s="294">
        <v>87541000</v>
      </c>
      <c r="BF195" s="294">
        <v>87541000</v>
      </c>
      <c r="BG195" s="289"/>
      <c r="BH195" s="289"/>
      <c r="BI195" s="289"/>
      <c r="BJ195" s="289"/>
      <c r="BK195" s="289"/>
      <c r="BL195" s="289"/>
      <c r="BM195" s="289"/>
      <c r="BN195" s="289"/>
      <c r="BO195" s="289"/>
      <c r="BP195" s="273">
        <f t="shared" si="52"/>
        <v>90000000</v>
      </c>
      <c r="BQ195" s="273">
        <f t="shared" si="54"/>
        <v>87541000</v>
      </c>
      <c r="BR195" s="273">
        <f t="shared" si="54"/>
        <v>87541000</v>
      </c>
      <c r="BS195" s="246" t="s">
        <v>1654</v>
      </c>
      <c r="BT195" s="233"/>
    </row>
    <row r="196" spans="1:73" s="27" customFormat="1" ht="180" customHeight="1" x14ac:dyDescent="0.2">
      <c r="A196" s="217">
        <v>316</v>
      </c>
      <c r="B196" s="216" t="s">
        <v>1627</v>
      </c>
      <c r="C196" s="213">
        <v>4</v>
      </c>
      <c r="D196" s="216" t="s">
        <v>1612</v>
      </c>
      <c r="E196" s="213">
        <v>45</v>
      </c>
      <c r="F196" s="216" t="s">
        <v>938</v>
      </c>
      <c r="G196" s="213">
        <v>4502</v>
      </c>
      <c r="H196" s="216" t="s">
        <v>1566</v>
      </c>
      <c r="I196" s="213">
        <v>4502</v>
      </c>
      <c r="J196" s="216" t="s">
        <v>1567</v>
      </c>
      <c r="K196" s="216" t="s">
        <v>959</v>
      </c>
      <c r="L196" s="304">
        <v>4501024</v>
      </c>
      <c r="M196" s="216" t="s">
        <v>341</v>
      </c>
      <c r="N196" s="304">
        <v>4502024</v>
      </c>
      <c r="O196" s="216" t="s">
        <v>341</v>
      </c>
      <c r="P196" s="213" t="s">
        <v>41</v>
      </c>
      <c r="Q196" s="216" t="s">
        <v>960</v>
      </c>
      <c r="R196" s="304">
        <v>450202401</v>
      </c>
      <c r="S196" s="216" t="s">
        <v>961</v>
      </c>
      <c r="T196" s="236" t="s">
        <v>1671</v>
      </c>
      <c r="U196" s="76">
        <v>1</v>
      </c>
      <c r="V196" s="76">
        <v>1</v>
      </c>
      <c r="W196" s="236" t="s">
        <v>962</v>
      </c>
      <c r="X196" s="216" t="s">
        <v>963</v>
      </c>
      <c r="Y196" s="216" t="s">
        <v>964</v>
      </c>
      <c r="Z196" s="289">
        <v>0</v>
      </c>
      <c r="AA196" s="289"/>
      <c r="AB196" s="289"/>
      <c r="AC196" s="289">
        <v>0</v>
      </c>
      <c r="AD196" s="289"/>
      <c r="AE196" s="289"/>
      <c r="AF196" s="289">
        <v>0</v>
      </c>
      <c r="AG196" s="289"/>
      <c r="AH196" s="289"/>
      <c r="AI196" s="289">
        <v>0</v>
      </c>
      <c r="AJ196" s="289"/>
      <c r="AK196" s="289"/>
      <c r="AL196" s="289">
        <v>0</v>
      </c>
      <c r="AM196" s="289"/>
      <c r="AN196" s="289"/>
      <c r="AO196" s="289">
        <v>0</v>
      </c>
      <c r="AP196" s="289"/>
      <c r="AQ196" s="289"/>
      <c r="AR196" s="289">
        <v>0</v>
      </c>
      <c r="AS196" s="289"/>
      <c r="AT196" s="289"/>
      <c r="AU196" s="289">
        <v>0</v>
      </c>
      <c r="AV196" s="289"/>
      <c r="AW196" s="289"/>
      <c r="AX196" s="289">
        <v>0</v>
      </c>
      <c r="AY196" s="289"/>
      <c r="AZ196" s="289"/>
      <c r="BA196" s="289">
        <v>0</v>
      </c>
      <c r="BB196" s="289"/>
      <c r="BC196" s="289"/>
      <c r="BD196" s="294">
        <v>33000000</v>
      </c>
      <c r="BE196" s="294">
        <v>26280000</v>
      </c>
      <c r="BF196" s="294">
        <v>26280000</v>
      </c>
      <c r="BG196" s="289"/>
      <c r="BH196" s="289"/>
      <c r="BI196" s="289"/>
      <c r="BJ196" s="289"/>
      <c r="BK196" s="289"/>
      <c r="BL196" s="289"/>
      <c r="BM196" s="289"/>
      <c r="BN196" s="289"/>
      <c r="BO196" s="289"/>
      <c r="BP196" s="273">
        <f t="shared" ref="BP196:BP202" si="55">+Z196+AC196+AF196+AI196+AL196+AO196+AR196+AU196+AX196+BA196+BD196+BG196+BJ196</f>
        <v>33000000</v>
      </c>
      <c r="BQ196" s="273">
        <f t="shared" si="54"/>
        <v>26280000</v>
      </c>
      <c r="BR196" s="273">
        <f t="shared" si="54"/>
        <v>26280000</v>
      </c>
      <c r="BS196" s="246" t="s">
        <v>1654</v>
      </c>
      <c r="BT196" s="233"/>
    </row>
    <row r="197" spans="1:73" s="27" customFormat="1" ht="178.5" customHeight="1" x14ac:dyDescent="0.2">
      <c r="A197" s="217">
        <v>316</v>
      </c>
      <c r="B197" s="216" t="s">
        <v>1627</v>
      </c>
      <c r="C197" s="213">
        <v>4</v>
      </c>
      <c r="D197" s="216" t="s">
        <v>1612</v>
      </c>
      <c r="E197" s="213">
        <v>45</v>
      </c>
      <c r="F197" s="216" t="s">
        <v>938</v>
      </c>
      <c r="G197" s="213">
        <v>4502</v>
      </c>
      <c r="H197" s="216" t="s">
        <v>1566</v>
      </c>
      <c r="I197" s="213">
        <v>4502</v>
      </c>
      <c r="J197" s="216" t="s">
        <v>1567</v>
      </c>
      <c r="K197" s="216" t="s">
        <v>959</v>
      </c>
      <c r="L197" s="304">
        <v>4501024</v>
      </c>
      <c r="M197" s="216" t="s">
        <v>341</v>
      </c>
      <c r="N197" s="304">
        <v>4502024</v>
      </c>
      <c r="O197" s="216" t="s">
        <v>341</v>
      </c>
      <c r="P197" s="213" t="s">
        <v>41</v>
      </c>
      <c r="Q197" s="216" t="s">
        <v>965</v>
      </c>
      <c r="R197" s="304">
        <v>450202401</v>
      </c>
      <c r="S197" s="216" t="s">
        <v>961</v>
      </c>
      <c r="T197" s="236" t="s">
        <v>1671</v>
      </c>
      <c r="U197" s="76">
        <v>1</v>
      </c>
      <c r="V197" s="76">
        <v>0.9</v>
      </c>
      <c r="W197" s="236" t="s">
        <v>966</v>
      </c>
      <c r="X197" s="216" t="s">
        <v>967</v>
      </c>
      <c r="Y197" s="216" t="s">
        <v>968</v>
      </c>
      <c r="Z197" s="289"/>
      <c r="AA197" s="289"/>
      <c r="AB197" s="289"/>
      <c r="AC197" s="289"/>
      <c r="AD197" s="289"/>
      <c r="AE197" s="289"/>
      <c r="AF197" s="289"/>
      <c r="AG197" s="289"/>
      <c r="AH197" s="289"/>
      <c r="AI197" s="289"/>
      <c r="AJ197" s="289"/>
      <c r="AK197" s="289"/>
      <c r="AL197" s="289"/>
      <c r="AM197" s="289"/>
      <c r="AN197" s="289"/>
      <c r="AO197" s="289"/>
      <c r="AP197" s="289"/>
      <c r="AQ197" s="289"/>
      <c r="AR197" s="289"/>
      <c r="AS197" s="289"/>
      <c r="AT197" s="289"/>
      <c r="AU197" s="289"/>
      <c r="AV197" s="289"/>
      <c r="AW197" s="289"/>
      <c r="AX197" s="289"/>
      <c r="AY197" s="289"/>
      <c r="AZ197" s="289"/>
      <c r="BA197" s="289"/>
      <c r="BB197" s="289"/>
      <c r="BC197" s="289"/>
      <c r="BD197" s="371">
        <f>33000000+15000000</f>
        <v>48000000</v>
      </c>
      <c r="BE197" s="294">
        <v>34148219</v>
      </c>
      <c r="BF197" s="294">
        <v>34148219</v>
      </c>
      <c r="BG197" s="289"/>
      <c r="BH197" s="289"/>
      <c r="BI197" s="289"/>
      <c r="BJ197" s="289"/>
      <c r="BK197" s="289"/>
      <c r="BL197" s="289"/>
      <c r="BM197" s="289"/>
      <c r="BN197" s="289"/>
      <c r="BO197" s="289"/>
      <c r="BP197" s="273">
        <f t="shared" si="55"/>
        <v>48000000</v>
      </c>
      <c r="BQ197" s="273">
        <f t="shared" si="54"/>
        <v>34148219</v>
      </c>
      <c r="BR197" s="273">
        <f t="shared" si="54"/>
        <v>34148219</v>
      </c>
      <c r="BS197" s="246" t="s">
        <v>1654</v>
      </c>
      <c r="BT197" s="233"/>
    </row>
    <row r="198" spans="1:73" s="27" customFormat="1" ht="207" customHeight="1" x14ac:dyDescent="0.2">
      <c r="A198" s="217">
        <v>316</v>
      </c>
      <c r="B198" s="216" t="s">
        <v>1627</v>
      </c>
      <c r="C198" s="213">
        <v>4</v>
      </c>
      <c r="D198" s="216" t="s">
        <v>1612</v>
      </c>
      <c r="E198" s="213">
        <v>45</v>
      </c>
      <c r="F198" s="216" t="s">
        <v>938</v>
      </c>
      <c r="G198" s="213" t="s">
        <v>41</v>
      </c>
      <c r="H198" s="216" t="s">
        <v>1570</v>
      </c>
      <c r="I198" s="213">
        <v>4599</v>
      </c>
      <c r="J198" s="216" t="s">
        <v>1571</v>
      </c>
      <c r="K198" s="216" t="s">
        <v>969</v>
      </c>
      <c r="L198" s="213" t="s">
        <v>41</v>
      </c>
      <c r="M198" s="298" t="s">
        <v>970</v>
      </c>
      <c r="N198" s="350" t="s">
        <v>971</v>
      </c>
      <c r="O198" s="298" t="s">
        <v>356</v>
      </c>
      <c r="P198" s="213" t="s">
        <v>41</v>
      </c>
      <c r="Q198" s="348" t="s">
        <v>972</v>
      </c>
      <c r="R198" s="350" t="s">
        <v>973</v>
      </c>
      <c r="S198" s="348" t="s">
        <v>974</v>
      </c>
      <c r="T198" s="236" t="s">
        <v>1671</v>
      </c>
      <c r="U198" s="76">
        <v>1</v>
      </c>
      <c r="V198" s="76">
        <v>0.7</v>
      </c>
      <c r="W198" s="236" t="s">
        <v>975</v>
      </c>
      <c r="X198" s="298" t="s">
        <v>1485</v>
      </c>
      <c r="Y198" s="216" t="s">
        <v>1486</v>
      </c>
      <c r="Z198" s="289"/>
      <c r="AA198" s="289"/>
      <c r="AB198" s="289"/>
      <c r="AC198" s="289"/>
      <c r="AD198" s="289"/>
      <c r="AE198" s="289"/>
      <c r="AF198" s="289"/>
      <c r="AG198" s="289"/>
      <c r="AH198" s="289"/>
      <c r="AI198" s="289"/>
      <c r="AJ198" s="289"/>
      <c r="AK198" s="289"/>
      <c r="AL198" s="289"/>
      <c r="AM198" s="289"/>
      <c r="AN198" s="289"/>
      <c r="AO198" s="289"/>
      <c r="AP198" s="289"/>
      <c r="AQ198" s="289"/>
      <c r="AR198" s="289"/>
      <c r="AS198" s="289"/>
      <c r="AT198" s="289"/>
      <c r="AU198" s="289"/>
      <c r="AV198" s="289"/>
      <c r="AW198" s="289"/>
      <c r="AX198" s="289"/>
      <c r="AY198" s="289"/>
      <c r="AZ198" s="289"/>
      <c r="BA198" s="289"/>
      <c r="BB198" s="289"/>
      <c r="BC198" s="289"/>
      <c r="BD198" s="294">
        <v>50000000</v>
      </c>
      <c r="BE198" s="294">
        <v>32713510</v>
      </c>
      <c r="BF198" s="294">
        <v>32713510</v>
      </c>
      <c r="BG198" s="289"/>
      <c r="BH198" s="289"/>
      <c r="BI198" s="289"/>
      <c r="BJ198" s="289"/>
      <c r="BK198" s="289"/>
      <c r="BL198" s="289"/>
      <c r="BM198" s="289"/>
      <c r="BN198" s="289"/>
      <c r="BO198" s="289"/>
      <c r="BP198" s="273">
        <f t="shared" si="55"/>
        <v>50000000</v>
      </c>
      <c r="BQ198" s="273">
        <f t="shared" ref="BQ198:BR200" si="56">+AA198+AD198+AG198+AJ198+AM198+AP198+AS198+AV198+AY198+BB198+BE198+BH198+BK198</f>
        <v>32713510</v>
      </c>
      <c r="BR198" s="273">
        <f t="shared" si="56"/>
        <v>32713510</v>
      </c>
      <c r="BS198" s="246" t="s">
        <v>1654</v>
      </c>
      <c r="BT198" s="233"/>
    </row>
    <row r="199" spans="1:73" s="27" customFormat="1" ht="237" customHeight="1" x14ac:dyDescent="0.2">
      <c r="A199" s="217">
        <v>316</v>
      </c>
      <c r="B199" s="216" t="s">
        <v>1627</v>
      </c>
      <c r="C199" s="213">
        <v>4</v>
      </c>
      <c r="D199" s="216" t="s">
        <v>1612</v>
      </c>
      <c r="E199" s="213">
        <v>45</v>
      </c>
      <c r="F199" s="216" t="s">
        <v>938</v>
      </c>
      <c r="G199" s="213" t="s">
        <v>41</v>
      </c>
      <c r="H199" s="216" t="s">
        <v>1570</v>
      </c>
      <c r="I199" s="213">
        <v>4599</v>
      </c>
      <c r="J199" s="216" t="s">
        <v>1571</v>
      </c>
      <c r="K199" s="216" t="s">
        <v>945</v>
      </c>
      <c r="L199" s="213" t="s">
        <v>41</v>
      </c>
      <c r="M199" s="216" t="s">
        <v>976</v>
      </c>
      <c r="N199" s="350" t="s">
        <v>971</v>
      </c>
      <c r="O199" s="298" t="s">
        <v>356</v>
      </c>
      <c r="P199" s="213" t="s">
        <v>41</v>
      </c>
      <c r="Q199" s="311" t="s">
        <v>977</v>
      </c>
      <c r="R199" s="350" t="s">
        <v>973</v>
      </c>
      <c r="S199" s="348" t="s">
        <v>974</v>
      </c>
      <c r="T199" s="236" t="s">
        <v>1671</v>
      </c>
      <c r="U199" s="76">
        <v>1</v>
      </c>
      <c r="V199" s="76">
        <v>1</v>
      </c>
      <c r="W199" s="236" t="s">
        <v>978</v>
      </c>
      <c r="X199" s="216" t="s">
        <v>979</v>
      </c>
      <c r="Y199" s="216" t="s">
        <v>952</v>
      </c>
      <c r="Z199" s="289"/>
      <c r="AA199" s="289"/>
      <c r="AB199" s="289"/>
      <c r="AC199" s="289"/>
      <c r="AD199" s="289"/>
      <c r="AE199" s="289"/>
      <c r="AF199" s="289"/>
      <c r="AG199" s="289"/>
      <c r="AH199" s="289"/>
      <c r="AI199" s="289"/>
      <c r="AJ199" s="289"/>
      <c r="AK199" s="289"/>
      <c r="AL199" s="289"/>
      <c r="AM199" s="289"/>
      <c r="AN199" s="289"/>
      <c r="AO199" s="289"/>
      <c r="AP199" s="289"/>
      <c r="AQ199" s="289"/>
      <c r="AR199" s="289"/>
      <c r="AS199" s="289"/>
      <c r="AT199" s="289"/>
      <c r="AU199" s="289"/>
      <c r="AV199" s="289"/>
      <c r="AW199" s="289"/>
      <c r="AX199" s="289"/>
      <c r="AY199" s="289"/>
      <c r="AZ199" s="289"/>
      <c r="BA199" s="289"/>
      <c r="BB199" s="289"/>
      <c r="BC199" s="289"/>
      <c r="BD199" s="294">
        <f>95000000-36000000-41000000</f>
        <v>18000000</v>
      </c>
      <c r="BE199" s="294">
        <v>18000000</v>
      </c>
      <c r="BF199" s="294">
        <v>18000000</v>
      </c>
      <c r="BG199" s="289"/>
      <c r="BH199" s="289"/>
      <c r="BI199" s="289"/>
      <c r="BJ199" s="289"/>
      <c r="BK199" s="289"/>
      <c r="BL199" s="289"/>
      <c r="BM199" s="289"/>
      <c r="BN199" s="289"/>
      <c r="BO199" s="289"/>
      <c r="BP199" s="273">
        <f t="shared" si="55"/>
        <v>18000000</v>
      </c>
      <c r="BQ199" s="273">
        <f t="shared" si="56"/>
        <v>18000000</v>
      </c>
      <c r="BR199" s="273">
        <f t="shared" si="56"/>
        <v>18000000</v>
      </c>
      <c r="BS199" s="246" t="s">
        <v>1654</v>
      </c>
      <c r="BT199" s="233"/>
    </row>
    <row r="200" spans="1:73" s="27" customFormat="1" ht="189" customHeight="1" x14ac:dyDescent="0.2">
      <c r="A200" s="217">
        <v>316</v>
      </c>
      <c r="B200" s="216" t="s">
        <v>1627</v>
      </c>
      <c r="C200" s="213">
        <v>4</v>
      </c>
      <c r="D200" s="216" t="s">
        <v>1612</v>
      </c>
      <c r="E200" s="213">
        <v>45</v>
      </c>
      <c r="F200" s="216" t="s">
        <v>938</v>
      </c>
      <c r="G200" s="213" t="s">
        <v>41</v>
      </c>
      <c r="H200" s="216" t="s">
        <v>1570</v>
      </c>
      <c r="I200" s="213">
        <v>4599</v>
      </c>
      <c r="J200" s="216" t="s">
        <v>1571</v>
      </c>
      <c r="K200" s="216" t="s">
        <v>980</v>
      </c>
      <c r="L200" s="213" t="s">
        <v>41</v>
      </c>
      <c r="M200" s="298" t="s">
        <v>981</v>
      </c>
      <c r="N200" s="350" t="s">
        <v>971</v>
      </c>
      <c r="O200" s="298" t="s">
        <v>356</v>
      </c>
      <c r="P200" s="213" t="s">
        <v>41</v>
      </c>
      <c r="Q200" s="311" t="s">
        <v>982</v>
      </c>
      <c r="R200" s="350" t="s">
        <v>973</v>
      </c>
      <c r="S200" s="348" t="s">
        <v>974</v>
      </c>
      <c r="T200" s="236" t="s">
        <v>1671</v>
      </c>
      <c r="U200" s="76">
        <v>1</v>
      </c>
      <c r="V200" s="76">
        <v>1</v>
      </c>
      <c r="W200" s="236" t="s">
        <v>983</v>
      </c>
      <c r="X200" s="216" t="s">
        <v>984</v>
      </c>
      <c r="Y200" s="216" t="s">
        <v>985</v>
      </c>
      <c r="Z200" s="289"/>
      <c r="AA200" s="289"/>
      <c r="AB200" s="289"/>
      <c r="AC200" s="289"/>
      <c r="AD200" s="289"/>
      <c r="AE200" s="289"/>
      <c r="AF200" s="289"/>
      <c r="AG200" s="289"/>
      <c r="AH200" s="289"/>
      <c r="AI200" s="289"/>
      <c r="AJ200" s="289"/>
      <c r="AK200" s="289"/>
      <c r="AL200" s="289"/>
      <c r="AM200" s="289"/>
      <c r="AN200" s="289"/>
      <c r="AO200" s="289"/>
      <c r="AP200" s="289"/>
      <c r="AQ200" s="289"/>
      <c r="AR200" s="289"/>
      <c r="AS200" s="289"/>
      <c r="AT200" s="289"/>
      <c r="AU200" s="289"/>
      <c r="AV200" s="289"/>
      <c r="AW200" s="289"/>
      <c r="AX200" s="289"/>
      <c r="AY200" s="289"/>
      <c r="AZ200" s="289"/>
      <c r="BA200" s="289"/>
      <c r="BB200" s="289"/>
      <c r="BC200" s="289"/>
      <c r="BD200" s="294">
        <f>36000000+109894503-2800000</f>
        <v>143094503</v>
      </c>
      <c r="BE200" s="294">
        <v>121765134</v>
      </c>
      <c r="BF200" s="294">
        <v>121765134</v>
      </c>
      <c r="BG200" s="289"/>
      <c r="BH200" s="289"/>
      <c r="BI200" s="289"/>
      <c r="BJ200" s="289"/>
      <c r="BK200" s="289"/>
      <c r="BL200" s="289"/>
      <c r="BM200" s="289"/>
      <c r="BN200" s="289"/>
      <c r="BO200" s="289"/>
      <c r="BP200" s="273">
        <f t="shared" si="55"/>
        <v>143094503</v>
      </c>
      <c r="BQ200" s="273">
        <f t="shared" si="56"/>
        <v>121765134</v>
      </c>
      <c r="BR200" s="273">
        <f t="shared" si="56"/>
        <v>121765134</v>
      </c>
      <c r="BS200" s="246" t="s">
        <v>1654</v>
      </c>
      <c r="BT200" s="233"/>
    </row>
    <row r="201" spans="1:73" s="27" customFormat="1" ht="108" customHeight="1" x14ac:dyDescent="0.2">
      <c r="A201" s="217">
        <v>318</v>
      </c>
      <c r="B201" s="310" t="s">
        <v>1628</v>
      </c>
      <c r="C201" s="213">
        <v>1</v>
      </c>
      <c r="D201" s="287" t="s">
        <v>1614</v>
      </c>
      <c r="E201" s="213">
        <v>19</v>
      </c>
      <c r="F201" s="216" t="s">
        <v>147</v>
      </c>
      <c r="G201" s="213">
        <v>1903</v>
      </c>
      <c r="H201" s="216" t="s">
        <v>1584</v>
      </c>
      <c r="I201" s="213">
        <v>1903</v>
      </c>
      <c r="J201" s="216" t="s">
        <v>1585</v>
      </c>
      <c r="K201" s="216" t="s">
        <v>988</v>
      </c>
      <c r="L201" s="213">
        <v>1903009</v>
      </c>
      <c r="M201" s="216" t="s">
        <v>989</v>
      </c>
      <c r="N201" s="213">
        <v>1903009</v>
      </c>
      <c r="O201" s="216" t="s">
        <v>990</v>
      </c>
      <c r="P201" s="292">
        <v>190300900</v>
      </c>
      <c r="Q201" s="311" t="s">
        <v>991</v>
      </c>
      <c r="R201" s="292">
        <v>190300900</v>
      </c>
      <c r="S201" s="311" t="s">
        <v>1510</v>
      </c>
      <c r="T201" s="236" t="s">
        <v>1673</v>
      </c>
      <c r="U201" s="76">
        <f>600+28</f>
        <v>628</v>
      </c>
      <c r="V201" s="76">
        <v>838</v>
      </c>
      <c r="W201" s="236" t="s">
        <v>992</v>
      </c>
      <c r="X201" s="216" t="s">
        <v>993</v>
      </c>
      <c r="Y201" s="216" t="s">
        <v>994</v>
      </c>
      <c r="Z201" s="289"/>
      <c r="AA201" s="289"/>
      <c r="AB201" s="289"/>
      <c r="AC201" s="289"/>
      <c r="AD201" s="289"/>
      <c r="AE201" s="289"/>
      <c r="AF201" s="289"/>
      <c r="AG201" s="289"/>
      <c r="AH201" s="289"/>
      <c r="AI201" s="289"/>
      <c r="AJ201" s="289"/>
      <c r="AK201" s="289"/>
      <c r="AL201" s="289">
        <v>65489500</v>
      </c>
      <c r="AM201" s="125">
        <v>47104832</v>
      </c>
      <c r="AN201" s="125">
        <v>47104832</v>
      </c>
      <c r="AO201" s="289"/>
      <c r="AP201" s="289"/>
      <c r="AQ201" s="289"/>
      <c r="AR201" s="289"/>
      <c r="AS201" s="289"/>
      <c r="AT201" s="289"/>
      <c r="AU201" s="289"/>
      <c r="AV201" s="289"/>
      <c r="AW201" s="289"/>
      <c r="AX201" s="289"/>
      <c r="AY201" s="289"/>
      <c r="AZ201" s="289"/>
      <c r="BA201" s="289"/>
      <c r="BB201" s="289"/>
      <c r="BC201" s="289"/>
      <c r="BD201" s="294">
        <f>40000000-40000000</f>
        <v>0</v>
      </c>
      <c r="BE201" s="294"/>
      <c r="BF201" s="294"/>
      <c r="BG201" s="289"/>
      <c r="BH201" s="289"/>
      <c r="BI201" s="289"/>
      <c r="BJ201" s="289"/>
      <c r="BK201" s="289"/>
      <c r="BL201" s="289"/>
      <c r="BM201" s="289"/>
      <c r="BN201" s="289"/>
      <c r="BO201" s="289"/>
      <c r="BP201" s="273">
        <f>+Z201+AC201+AF201+AI201+AL201+AO201+AR201+AU201+AX201+BA201+BD201+BG201+BJ201</f>
        <v>65489500</v>
      </c>
      <c r="BQ201" s="273">
        <f t="shared" ref="BQ201:BQ222" si="57">+AA201+AD201+AG201+AJ201+AM201+AP201+AS201+AV201+AY201+BB201+BE201+BH201+BK201</f>
        <v>47104832</v>
      </c>
      <c r="BR201" s="273">
        <f>+AB201+AE201+AH201+AK201+AN201+AQ201+AT201+AW201+AZ201+BC201+BF201+BI201+BL201</f>
        <v>47104832</v>
      </c>
      <c r="BS201" s="246" t="s">
        <v>1655</v>
      </c>
      <c r="BT201" s="233"/>
      <c r="BU201" s="558"/>
    </row>
    <row r="202" spans="1:73" s="27" customFormat="1" ht="85.5" customHeight="1" x14ac:dyDescent="0.2">
      <c r="A202" s="217">
        <v>318</v>
      </c>
      <c r="B202" s="310" t="s">
        <v>1628</v>
      </c>
      <c r="C202" s="213">
        <v>1</v>
      </c>
      <c r="D202" s="287" t="s">
        <v>1614</v>
      </c>
      <c r="E202" s="213">
        <v>19</v>
      </c>
      <c r="F202" s="216" t="s">
        <v>147</v>
      </c>
      <c r="G202" s="213">
        <v>1903</v>
      </c>
      <c r="H202" s="216" t="s">
        <v>1584</v>
      </c>
      <c r="I202" s="213">
        <v>1903</v>
      </c>
      <c r="J202" s="216" t="s">
        <v>1585</v>
      </c>
      <c r="K202" s="216" t="s">
        <v>995</v>
      </c>
      <c r="L202" s="213">
        <v>1903031</v>
      </c>
      <c r="M202" s="216" t="s">
        <v>989</v>
      </c>
      <c r="N202" s="213">
        <v>1903031</v>
      </c>
      <c r="O202" s="216" t="s">
        <v>996</v>
      </c>
      <c r="P202" s="292">
        <v>190303100</v>
      </c>
      <c r="Q202" s="311" t="s">
        <v>997</v>
      </c>
      <c r="R202" s="292">
        <v>190303100</v>
      </c>
      <c r="S202" s="311" t="s">
        <v>997</v>
      </c>
      <c r="T202" s="236" t="s">
        <v>1671</v>
      </c>
      <c r="U202" s="76">
        <v>12</v>
      </c>
      <c r="V202" s="76">
        <v>12</v>
      </c>
      <c r="W202" s="236" t="s">
        <v>992</v>
      </c>
      <c r="X202" s="216" t="s">
        <v>993</v>
      </c>
      <c r="Y202" s="216" t="s">
        <v>994</v>
      </c>
      <c r="Z202" s="289"/>
      <c r="AA202" s="289"/>
      <c r="AB202" s="289"/>
      <c r="AC202" s="289"/>
      <c r="AD202" s="289"/>
      <c r="AE202" s="289"/>
      <c r="AF202" s="289"/>
      <c r="AG202" s="289"/>
      <c r="AH202" s="289"/>
      <c r="AI202" s="289"/>
      <c r="AJ202" s="289"/>
      <c r="AK202" s="289"/>
      <c r="AL202" s="322">
        <v>74000000</v>
      </c>
      <c r="AM202" s="322">
        <v>61782500</v>
      </c>
      <c r="AN202" s="322">
        <v>61782500</v>
      </c>
      <c r="AO202" s="289"/>
      <c r="AP202" s="289"/>
      <c r="AQ202" s="289"/>
      <c r="AR202" s="289"/>
      <c r="AS202" s="289"/>
      <c r="AT202" s="289"/>
      <c r="AU202" s="289"/>
      <c r="AV202" s="289"/>
      <c r="AW202" s="289"/>
      <c r="AX202" s="289"/>
      <c r="AY202" s="289"/>
      <c r="AZ202" s="289"/>
      <c r="BA202" s="289"/>
      <c r="BB202" s="289"/>
      <c r="BC202" s="289"/>
      <c r="BD202" s="294"/>
      <c r="BE202" s="294"/>
      <c r="BF202" s="294"/>
      <c r="BG202" s="289"/>
      <c r="BH202" s="289"/>
      <c r="BI202" s="289"/>
      <c r="BJ202" s="289"/>
      <c r="BK202" s="289"/>
      <c r="BL202" s="289"/>
      <c r="BM202" s="289"/>
      <c r="BN202" s="289"/>
      <c r="BO202" s="289"/>
      <c r="BP202" s="273">
        <f t="shared" si="55"/>
        <v>74000000</v>
      </c>
      <c r="BQ202" s="273">
        <f t="shared" si="57"/>
        <v>61782500</v>
      </c>
      <c r="BR202" s="273">
        <f t="shared" ref="BR202:BR222" si="58">+AB202+AE202+AH202+AK202+AN202+AQ202+AT202+AW202+AZ202+BC202+BF202+BI202+BL202</f>
        <v>61782500</v>
      </c>
      <c r="BS202" s="246" t="s">
        <v>1655</v>
      </c>
      <c r="BT202" s="233"/>
    </row>
    <row r="203" spans="1:73" s="27" customFormat="1" ht="83.25" customHeight="1" x14ac:dyDescent="0.2">
      <c r="A203" s="217">
        <v>318</v>
      </c>
      <c r="B203" s="310" t="s">
        <v>1628</v>
      </c>
      <c r="C203" s="213">
        <v>1</v>
      </c>
      <c r="D203" s="287" t="s">
        <v>1614</v>
      </c>
      <c r="E203" s="213">
        <v>19</v>
      </c>
      <c r="F203" s="216" t="s">
        <v>147</v>
      </c>
      <c r="G203" s="213">
        <v>1903</v>
      </c>
      <c r="H203" s="216" t="s">
        <v>1584</v>
      </c>
      <c r="I203" s="213">
        <v>1903</v>
      </c>
      <c r="J203" s="216" t="s">
        <v>1585</v>
      </c>
      <c r="K203" s="216" t="s">
        <v>998</v>
      </c>
      <c r="L203" s="213">
        <v>1903023</v>
      </c>
      <c r="M203" s="216" t="s">
        <v>989</v>
      </c>
      <c r="N203" s="213">
        <v>1903023</v>
      </c>
      <c r="O203" s="216" t="s">
        <v>999</v>
      </c>
      <c r="P203" s="292">
        <v>190302300</v>
      </c>
      <c r="Q203" s="216" t="s">
        <v>1000</v>
      </c>
      <c r="R203" s="292">
        <v>190302300</v>
      </c>
      <c r="S203" s="216" t="s">
        <v>1000</v>
      </c>
      <c r="T203" s="236" t="s">
        <v>1671</v>
      </c>
      <c r="U203" s="76">
        <v>12</v>
      </c>
      <c r="V203" s="76">
        <v>11</v>
      </c>
      <c r="W203" s="236" t="s">
        <v>992</v>
      </c>
      <c r="X203" s="216" t="s">
        <v>993</v>
      </c>
      <c r="Y203" s="216" t="s">
        <v>994</v>
      </c>
      <c r="Z203" s="289"/>
      <c r="AA203" s="289"/>
      <c r="AB203" s="289"/>
      <c r="AC203" s="289"/>
      <c r="AD203" s="289"/>
      <c r="AE203" s="289"/>
      <c r="AF203" s="289"/>
      <c r="AG203" s="289"/>
      <c r="AH203" s="289"/>
      <c r="AI203" s="289"/>
      <c r="AJ203" s="289"/>
      <c r="AK203" s="289"/>
      <c r="AL203" s="322">
        <v>25676500</v>
      </c>
      <c r="AM203" s="289">
        <v>25676500</v>
      </c>
      <c r="AN203" s="289">
        <v>25676500</v>
      </c>
      <c r="AO203" s="289"/>
      <c r="AP203" s="289"/>
      <c r="AQ203" s="289"/>
      <c r="AR203" s="289"/>
      <c r="AS203" s="289"/>
      <c r="AT203" s="289"/>
      <c r="AU203" s="289"/>
      <c r="AV203" s="289"/>
      <c r="AW203" s="289"/>
      <c r="AX203" s="289"/>
      <c r="AY203" s="289"/>
      <c r="AZ203" s="289"/>
      <c r="BA203" s="289"/>
      <c r="BB203" s="289"/>
      <c r="BC203" s="289"/>
      <c r="BD203" s="351"/>
      <c r="BE203" s="351"/>
      <c r="BF203" s="351"/>
      <c r="BG203" s="289"/>
      <c r="BH203" s="289"/>
      <c r="BI203" s="289"/>
      <c r="BJ203" s="289"/>
      <c r="BK203" s="289"/>
      <c r="BL203" s="289"/>
      <c r="BM203" s="289"/>
      <c r="BN203" s="289"/>
      <c r="BO203" s="289"/>
      <c r="BP203" s="273">
        <f t="shared" ref="BP203:BP256" si="59">+Z203+AC203+AF203+AI203+AL203+AO203+AR203+AU203+AX203+BA203+BD203+BG203+BJ203</f>
        <v>25676500</v>
      </c>
      <c r="BQ203" s="273">
        <f t="shared" si="57"/>
        <v>25676500</v>
      </c>
      <c r="BR203" s="273">
        <f t="shared" si="58"/>
        <v>25676500</v>
      </c>
      <c r="BS203" s="246" t="s">
        <v>1655</v>
      </c>
      <c r="BT203" s="233"/>
    </row>
    <row r="204" spans="1:73" s="27" customFormat="1" ht="175.5" customHeight="1" x14ac:dyDescent="0.2">
      <c r="A204" s="217">
        <v>318</v>
      </c>
      <c r="B204" s="310" t="s">
        <v>1628</v>
      </c>
      <c r="C204" s="213">
        <v>1</v>
      </c>
      <c r="D204" s="287" t="s">
        <v>1614</v>
      </c>
      <c r="E204" s="213">
        <v>19</v>
      </c>
      <c r="F204" s="216" t="s">
        <v>147</v>
      </c>
      <c r="G204" s="213">
        <v>1903</v>
      </c>
      <c r="H204" s="216" t="s">
        <v>1584</v>
      </c>
      <c r="I204" s="213">
        <v>1903</v>
      </c>
      <c r="J204" s="216" t="s">
        <v>1585</v>
      </c>
      <c r="K204" s="216" t="s">
        <v>1001</v>
      </c>
      <c r="L204" s="213" t="s">
        <v>41</v>
      </c>
      <c r="M204" s="216" t="s">
        <v>989</v>
      </c>
      <c r="N204" s="213">
        <v>1903050</v>
      </c>
      <c r="O204" s="216" t="s">
        <v>1002</v>
      </c>
      <c r="P204" s="213" t="s">
        <v>41</v>
      </c>
      <c r="Q204" s="311" t="s">
        <v>1003</v>
      </c>
      <c r="R204" s="292">
        <v>190305000</v>
      </c>
      <c r="S204" s="311" t="s">
        <v>1004</v>
      </c>
      <c r="T204" s="236" t="s">
        <v>1671</v>
      </c>
      <c r="U204" s="76">
        <v>12</v>
      </c>
      <c r="V204" s="76">
        <v>12</v>
      </c>
      <c r="W204" s="236" t="s">
        <v>992</v>
      </c>
      <c r="X204" s="216" t="s">
        <v>993</v>
      </c>
      <c r="Y204" s="216" t="s">
        <v>994</v>
      </c>
      <c r="Z204" s="289"/>
      <c r="AA204" s="289"/>
      <c r="AB204" s="289"/>
      <c r="AC204" s="289"/>
      <c r="AD204" s="289"/>
      <c r="AE204" s="289"/>
      <c r="AF204" s="289"/>
      <c r="AG204" s="289"/>
      <c r="AH204" s="289"/>
      <c r="AI204" s="289"/>
      <c r="AJ204" s="289"/>
      <c r="AK204" s="289"/>
      <c r="AL204" s="289">
        <v>27216500</v>
      </c>
      <c r="AM204" s="125">
        <v>24523833</v>
      </c>
      <c r="AN204" s="125">
        <v>24523833</v>
      </c>
      <c r="AO204" s="352"/>
      <c r="AP204" s="352"/>
      <c r="AQ204" s="352"/>
      <c r="AR204" s="289"/>
      <c r="AS204" s="289"/>
      <c r="AT204" s="289"/>
      <c r="AU204" s="289"/>
      <c r="AV204" s="289"/>
      <c r="AW204" s="289"/>
      <c r="AX204" s="289"/>
      <c r="AY204" s="289"/>
      <c r="AZ204" s="289"/>
      <c r="BA204" s="289"/>
      <c r="BB204" s="289"/>
      <c r="BC204" s="289"/>
      <c r="BD204" s="351"/>
      <c r="BE204" s="351"/>
      <c r="BF204" s="351"/>
      <c r="BG204" s="289"/>
      <c r="BH204" s="289"/>
      <c r="BI204" s="289"/>
      <c r="BJ204" s="289"/>
      <c r="BK204" s="289"/>
      <c r="BL204" s="289"/>
      <c r="BM204" s="289"/>
      <c r="BN204" s="289"/>
      <c r="BO204" s="289"/>
      <c r="BP204" s="273">
        <f>+Z204+AC204+AF204+AI204+AL204+AO204+AR204+AU204+AX204+BA204+BD204+BG204+BJ204</f>
        <v>27216500</v>
      </c>
      <c r="BQ204" s="273">
        <f t="shared" si="57"/>
        <v>24523833</v>
      </c>
      <c r="BR204" s="273">
        <f t="shared" si="58"/>
        <v>24523833</v>
      </c>
      <c r="BS204" s="246" t="s">
        <v>1655</v>
      </c>
      <c r="BT204" s="233"/>
    </row>
    <row r="205" spans="1:73" s="27" customFormat="1" ht="144" customHeight="1" x14ac:dyDescent="0.2">
      <c r="A205" s="217">
        <v>318</v>
      </c>
      <c r="B205" s="310" t="s">
        <v>1628</v>
      </c>
      <c r="C205" s="213">
        <v>1</v>
      </c>
      <c r="D205" s="287" t="s">
        <v>1614</v>
      </c>
      <c r="E205" s="213">
        <v>19</v>
      </c>
      <c r="F205" s="216" t="s">
        <v>147</v>
      </c>
      <c r="G205" s="213">
        <v>1903</v>
      </c>
      <c r="H205" s="216" t="s">
        <v>1584</v>
      </c>
      <c r="I205" s="213">
        <v>1903</v>
      </c>
      <c r="J205" s="216" t="s">
        <v>1585</v>
      </c>
      <c r="K205" s="216" t="s">
        <v>988</v>
      </c>
      <c r="L205" s="213" t="s">
        <v>41</v>
      </c>
      <c r="M205" s="216" t="s">
        <v>989</v>
      </c>
      <c r="N205" s="213">
        <v>1903038</v>
      </c>
      <c r="O205" s="216" t="s">
        <v>1005</v>
      </c>
      <c r="P205" s="213" t="s">
        <v>41</v>
      </c>
      <c r="Q205" s="216" t="s">
        <v>1006</v>
      </c>
      <c r="R205" s="213">
        <v>190303801</v>
      </c>
      <c r="S205" s="216" t="s">
        <v>1007</v>
      </c>
      <c r="T205" s="236" t="s">
        <v>1671</v>
      </c>
      <c r="U205" s="213">
        <v>1</v>
      </c>
      <c r="V205" s="213">
        <v>1</v>
      </c>
      <c r="W205" s="236" t="s">
        <v>992</v>
      </c>
      <c r="X205" s="216" t="s">
        <v>993</v>
      </c>
      <c r="Y205" s="216" t="s">
        <v>994</v>
      </c>
      <c r="Z205" s="289"/>
      <c r="AA205" s="289"/>
      <c r="AB205" s="289"/>
      <c r="AC205" s="289"/>
      <c r="AD205" s="289"/>
      <c r="AE205" s="289"/>
      <c r="AF205" s="289"/>
      <c r="AG205" s="289"/>
      <c r="AH205" s="289"/>
      <c r="AI205" s="289"/>
      <c r="AJ205" s="289"/>
      <c r="AK205" s="289"/>
      <c r="AL205" s="289">
        <f>48000000-47618500</f>
        <v>381500</v>
      </c>
      <c r="AM205" s="289"/>
      <c r="AN205" s="289"/>
      <c r="AO205" s="289"/>
      <c r="AP205" s="289"/>
      <c r="AQ205" s="289"/>
      <c r="AR205" s="289"/>
      <c r="AS205" s="289"/>
      <c r="AT205" s="289"/>
      <c r="AU205" s="289"/>
      <c r="AV205" s="289"/>
      <c r="AW205" s="289"/>
      <c r="AX205" s="289"/>
      <c r="AY205" s="289"/>
      <c r="AZ205" s="289"/>
      <c r="BA205" s="289"/>
      <c r="BB205" s="289"/>
      <c r="BC205" s="289"/>
      <c r="BD205" s="351"/>
      <c r="BE205" s="351"/>
      <c r="BF205" s="351"/>
      <c r="BG205" s="289"/>
      <c r="BH205" s="289"/>
      <c r="BI205" s="289"/>
      <c r="BJ205" s="239">
        <f>842700000+2000000+571581421.21</f>
        <v>1416281421.21</v>
      </c>
      <c r="BK205" s="239">
        <v>621878142.65999997</v>
      </c>
      <c r="BL205" s="239">
        <v>621878142.65999997</v>
      </c>
      <c r="BM205" s="239"/>
      <c r="BN205" s="239"/>
      <c r="BO205" s="239"/>
      <c r="BP205" s="273">
        <f t="shared" si="59"/>
        <v>1416662921.21</v>
      </c>
      <c r="BQ205" s="273">
        <f t="shared" si="57"/>
        <v>621878142.65999997</v>
      </c>
      <c r="BR205" s="273">
        <f t="shared" si="58"/>
        <v>621878142.65999997</v>
      </c>
      <c r="BS205" s="246" t="s">
        <v>1655</v>
      </c>
      <c r="BT205" s="233"/>
    </row>
    <row r="206" spans="1:73" s="27" customFormat="1" ht="120.75" customHeight="1" x14ac:dyDescent="0.2">
      <c r="A206" s="217">
        <v>318</v>
      </c>
      <c r="B206" s="310" t="s">
        <v>1628</v>
      </c>
      <c r="C206" s="213">
        <v>1</v>
      </c>
      <c r="D206" s="287" t="s">
        <v>1614</v>
      </c>
      <c r="E206" s="213">
        <v>19</v>
      </c>
      <c r="F206" s="216" t="s">
        <v>147</v>
      </c>
      <c r="G206" s="213">
        <v>1903</v>
      </c>
      <c r="H206" s="216" t="s">
        <v>1584</v>
      </c>
      <c r="I206" s="213">
        <v>1903</v>
      </c>
      <c r="J206" s="216" t="s">
        <v>1585</v>
      </c>
      <c r="K206" s="216" t="s">
        <v>1008</v>
      </c>
      <c r="L206" s="213">
        <v>1903038</v>
      </c>
      <c r="M206" s="216" t="s">
        <v>989</v>
      </c>
      <c r="N206" s="213">
        <v>1903038</v>
      </c>
      <c r="O206" s="216" t="s">
        <v>1005</v>
      </c>
      <c r="P206" s="292">
        <v>190303801</v>
      </c>
      <c r="Q206" s="216" t="s">
        <v>1009</v>
      </c>
      <c r="R206" s="292">
        <v>190303801</v>
      </c>
      <c r="S206" s="216" t="s">
        <v>1009</v>
      </c>
      <c r="T206" s="236" t="s">
        <v>1671</v>
      </c>
      <c r="U206" s="76">
        <v>11</v>
      </c>
      <c r="V206" s="76">
        <v>11</v>
      </c>
      <c r="W206" s="236" t="s">
        <v>992</v>
      </c>
      <c r="X206" s="216" t="s">
        <v>993</v>
      </c>
      <c r="Y206" s="216" t="s">
        <v>994</v>
      </c>
      <c r="Z206" s="289"/>
      <c r="AA206" s="289"/>
      <c r="AB206" s="289"/>
      <c r="AC206" s="289"/>
      <c r="AD206" s="289"/>
      <c r="AE206" s="289"/>
      <c r="AF206" s="289"/>
      <c r="AG206" s="289"/>
      <c r="AH206" s="289"/>
      <c r="AI206" s="289"/>
      <c r="AJ206" s="289"/>
      <c r="AK206" s="289"/>
      <c r="AL206" s="239">
        <v>28050000</v>
      </c>
      <c r="AM206" s="239">
        <v>22410000</v>
      </c>
      <c r="AN206" s="239">
        <v>22410000</v>
      </c>
      <c r="AO206" s="289"/>
      <c r="AP206" s="289"/>
      <c r="AQ206" s="289"/>
      <c r="AR206" s="289"/>
      <c r="AS206" s="289"/>
      <c r="AT206" s="289"/>
      <c r="AU206" s="289"/>
      <c r="AV206" s="289"/>
      <c r="AW206" s="289"/>
      <c r="AX206" s="289"/>
      <c r="AY206" s="289"/>
      <c r="AZ206" s="289"/>
      <c r="BA206" s="289"/>
      <c r="BB206" s="289"/>
      <c r="BC206" s="289"/>
      <c r="BD206" s="351"/>
      <c r="BE206" s="351"/>
      <c r="BF206" s="351"/>
      <c r="BG206" s="289"/>
      <c r="BH206" s="289"/>
      <c r="BI206" s="289"/>
      <c r="BJ206" s="289"/>
      <c r="BK206" s="289"/>
      <c r="BL206" s="289"/>
      <c r="BM206" s="289"/>
      <c r="BN206" s="289"/>
      <c r="BO206" s="289"/>
      <c r="BP206" s="273">
        <f>+Z206+AC206+AF206+AI206+AL206+AO206+AR206+AU206+AX206+BA206+BD206+BG206+BJ206</f>
        <v>28050000</v>
      </c>
      <c r="BQ206" s="273">
        <f t="shared" si="57"/>
        <v>22410000</v>
      </c>
      <c r="BR206" s="273">
        <f t="shared" si="58"/>
        <v>22410000</v>
      </c>
      <c r="BS206" s="246" t="s">
        <v>1655</v>
      </c>
      <c r="BT206" s="233"/>
    </row>
    <row r="207" spans="1:73" s="27" customFormat="1" ht="78.75" customHeight="1" x14ac:dyDescent="0.2">
      <c r="A207" s="217">
        <v>318</v>
      </c>
      <c r="B207" s="310" t="s">
        <v>1628</v>
      </c>
      <c r="C207" s="213">
        <v>1</v>
      </c>
      <c r="D207" s="287" t="s">
        <v>1614</v>
      </c>
      <c r="E207" s="213">
        <v>19</v>
      </c>
      <c r="F207" s="216" t="s">
        <v>147</v>
      </c>
      <c r="G207" s="213">
        <v>1903</v>
      </c>
      <c r="H207" s="216" t="s">
        <v>1584</v>
      </c>
      <c r="I207" s="213">
        <v>1903</v>
      </c>
      <c r="J207" s="216" t="s">
        <v>1585</v>
      </c>
      <c r="K207" s="216" t="s">
        <v>995</v>
      </c>
      <c r="L207" s="213">
        <v>1903027</v>
      </c>
      <c r="M207" s="216" t="s">
        <v>989</v>
      </c>
      <c r="N207" s="213">
        <v>1903027</v>
      </c>
      <c r="O207" s="216" t="s">
        <v>1010</v>
      </c>
      <c r="P207" s="292">
        <v>190302700</v>
      </c>
      <c r="Q207" s="311" t="s">
        <v>1011</v>
      </c>
      <c r="R207" s="292">
        <v>190302700</v>
      </c>
      <c r="S207" s="216" t="s">
        <v>1011</v>
      </c>
      <c r="T207" s="236" t="s">
        <v>1671</v>
      </c>
      <c r="U207" s="76">
        <v>5</v>
      </c>
      <c r="V207" s="76">
        <v>5</v>
      </c>
      <c r="W207" s="236" t="s">
        <v>992</v>
      </c>
      <c r="X207" s="216" t="s">
        <v>993</v>
      </c>
      <c r="Y207" s="216" t="s">
        <v>994</v>
      </c>
      <c r="Z207" s="289"/>
      <c r="AA207" s="289"/>
      <c r="AB207" s="289"/>
      <c r="AC207" s="289"/>
      <c r="AD207" s="289"/>
      <c r="AE207" s="289"/>
      <c r="AF207" s="289"/>
      <c r="AG207" s="289"/>
      <c r="AH207" s="289"/>
      <c r="AI207" s="289"/>
      <c r="AJ207" s="289"/>
      <c r="AK207" s="289"/>
      <c r="AL207" s="239">
        <f>19000000-7460000</f>
        <v>11540000</v>
      </c>
      <c r="AM207" s="239">
        <v>11540000</v>
      </c>
      <c r="AN207" s="239">
        <v>11540000</v>
      </c>
      <c r="AO207" s="289"/>
      <c r="AP207" s="289"/>
      <c r="AQ207" s="289"/>
      <c r="AR207" s="289"/>
      <c r="AS207" s="289"/>
      <c r="AT207" s="289"/>
      <c r="AU207" s="289"/>
      <c r="AV207" s="289"/>
      <c r="AW207" s="289"/>
      <c r="AX207" s="289"/>
      <c r="AY207" s="289"/>
      <c r="AZ207" s="289"/>
      <c r="BA207" s="289"/>
      <c r="BB207" s="289"/>
      <c r="BC207" s="289"/>
      <c r="BD207" s="351"/>
      <c r="BE207" s="351"/>
      <c r="BF207" s="351"/>
      <c r="BG207" s="289"/>
      <c r="BH207" s="289"/>
      <c r="BI207" s="289"/>
      <c r="BJ207" s="289"/>
      <c r="BK207" s="289"/>
      <c r="BL207" s="289"/>
      <c r="BM207" s="289"/>
      <c r="BN207" s="289"/>
      <c r="BO207" s="289"/>
      <c r="BP207" s="273">
        <f t="shared" si="59"/>
        <v>11540000</v>
      </c>
      <c r="BQ207" s="273">
        <f t="shared" si="57"/>
        <v>11540000</v>
      </c>
      <c r="BR207" s="273">
        <f t="shared" si="58"/>
        <v>11540000</v>
      </c>
      <c r="BS207" s="246" t="s">
        <v>1655</v>
      </c>
      <c r="BT207" s="233"/>
    </row>
    <row r="208" spans="1:73" s="27" customFormat="1" ht="96.75" customHeight="1" x14ac:dyDescent="0.2">
      <c r="A208" s="217">
        <v>318</v>
      </c>
      <c r="B208" s="310" t="s">
        <v>1628</v>
      </c>
      <c r="C208" s="213">
        <v>1</v>
      </c>
      <c r="D208" s="287" t="s">
        <v>1614</v>
      </c>
      <c r="E208" s="213">
        <v>19</v>
      </c>
      <c r="F208" s="216" t="s">
        <v>147</v>
      </c>
      <c r="G208" s="213">
        <v>1903</v>
      </c>
      <c r="H208" s="216" t="s">
        <v>1584</v>
      </c>
      <c r="I208" s="213">
        <v>1903</v>
      </c>
      <c r="J208" s="216" t="s">
        <v>1585</v>
      </c>
      <c r="K208" s="216" t="s">
        <v>1012</v>
      </c>
      <c r="L208" s="213">
        <v>1903011</v>
      </c>
      <c r="M208" s="216" t="s">
        <v>989</v>
      </c>
      <c r="N208" s="213">
        <v>1903011</v>
      </c>
      <c r="O208" s="216" t="s">
        <v>1013</v>
      </c>
      <c r="P208" s="292">
        <v>190301100</v>
      </c>
      <c r="Q208" s="216" t="s">
        <v>1014</v>
      </c>
      <c r="R208" s="292">
        <v>190301100</v>
      </c>
      <c r="S208" s="216" t="s">
        <v>1015</v>
      </c>
      <c r="T208" s="236" t="s">
        <v>1671</v>
      </c>
      <c r="U208" s="76">
        <v>140</v>
      </c>
      <c r="V208" s="76">
        <v>140</v>
      </c>
      <c r="W208" s="236" t="s">
        <v>992</v>
      </c>
      <c r="X208" s="216" t="s">
        <v>993</v>
      </c>
      <c r="Y208" s="216" t="s">
        <v>994</v>
      </c>
      <c r="Z208" s="289"/>
      <c r="AA208" s="289"/>
      <c r="AB208" s="289"/>
      <c r="AC208" s="289"/>
      <c r="AD208" s="289"/>
      <c r="AE208" s="289"/>
      <c r="AF208" s="289"/>
      <c r="AG208" s="289"/>
      <c r="AH208" s="289"/>
      <c r="AI208" s="289"/>
      <c r="AJ208" s="289"/>
      <c r="AK208" s="289"/>
      <c r="AL208" s="289">
        <v>40646000</v>
      </c>
      <c r="AM208" s="289">
        <v>27057499</v>
      </c>
      <c r="AN208" s="289">
        <v>27057499</v>
      </c>
      <c r="AO208" s="289"/>
      <c r="AP208" s="289"/>
      <c r="AQ208" s="289"/>
      <c r="AR208" s="289"/>
      <c r="AS208" s="289"/>
      <c r="AT208" s="289"/>
      <c r="AU208" s="289"/>
      <c r="AV208" s="289"/>
      <c r="AW208" s="289"/>
      <c r="AX208" s="289"/>
      <c r="AY208" s="289"/>
      <c r="AZ208" s="289"/>
      <c r="BA208" s="289"/>
      <c r="BB208" s="289"/>
      <c r="BC208" s="289"/>
      <c r="BD208" s="351"/>
      <c r="BE208" s="351"/>
      <c r="BF208" s="351"/>
      <c r="BG208" s="289"/>
      <c r="BH208" s="289"/>
      <c r="BI208" s="289"/>
      <c r="BJ208" s="289"/>
      <c r="BK208" s="289"/>
      <c r="BL208" s="289"/>
      <c r="BM208" s="289"/>
      <c r="BN208" s="289"/>
      <c r="BO208" s="289"/>
      <c r="BP208" s="273">
        <f t="shared" si="59"/>
        <v>40646000</v>
      </c>
      <c r="BQ208" s="273">
        <f t="shared" si="57"/>
        <v>27057499</v>
      </c>
      <c r="BR208" s="273">
        <f t="shared" si="58"/>
        <v>27057499</v>
      </c>
      <c r="BS208" s="246" t="s">
        <v>1655</v>
      </c>
      <c r="BT208" s="233"/>
    </row>
    <row r="209" spans="1:72" s="27" customFormat="1" ht="110.25" customHeight="1" x14ac:dyDescent="0.2">
      <c r="A209" s="217">
        <v>318</v>
      </c>
      <c r="B209" s="310" t="s">
        <v>1628</v>
      </c>
      <c r="C209" s="213">
        <v>1</v>
      </c>
      <c r="D209" s="287" t="s">
        <v>1614</v>
      </c>
      <c r="E209" s="213">
        <v>19</v>
      </c>
      <c r="F209" s="216" t="s">
        <v>147</v>
      </c>
      <c r="G209" s="213">
        <v>1903</v>
      </c>
      <c r="H209" s="216" t="s">
        <v>1584</v>
      </c>
      <c r="I209" s="213">
        <v>1903</v>
      </c>
      <c r="J209" s="216" t="s">
        <v>1585</v>
      </c>
      <c r="K209" s="216" t="s">
        <v>1016</v>
      </c>
      <c r="L209" s="213">
        <v>1903001</v>
      </c>
      <c r="M209" s="216" t="s">
        <v>84</v>
      </c>
      <c r="N209" s="213">
        <v>1903001</v>
      </c>
      <c r="O209" s="216" t="s">
        <v>84</v>
      </c>
      <c r="P209" s="292">
        <v>190300100</v>
      </c>
      <c r="Q209" s="311" t="s">
        <v>1017</v>
      </c>
      <c r="R209" s="292">
        <v>190300100</v>
      </c>
      <c r="S209" s="311" t="s">
        <v>1017</v>
      </c>
      <c r="T209" s="236" t="s">
        <v>1671</v>
      </c>
      <c r="U209" s="76">
        <v>1</v>
      </c>
      <c r="V209" s="76">
        <v>1</v>
      </c>
      <c r="W209" s="236" t="s">
        <v>1018</v>
      </c>
      <c r="X209" s="216" t="s">
        <v>1019</v>
      </c>
      <c r="Y209" s="216" t="s">
        <v>1020</v>
      </c>
      <c r="Z209" s="289"/>
      <c r="AA209" s="289"/>
      <c r="AB209" s="289"/>
      <c r="AC209" s="289"/>
      <c r="AD209" s="289"/>
      <c r="AE209" s="289"/>
      <c r="AF209" s="289"/>
      <c r="AG209" s="289"/>
      <c r="AH209" s="289"/>
      <c r="AI209" s="289"/>
      <c r="AJ209" s="289"/>
      <c r="AK209" s="289"/>
      <c r="AL209" s="289">
        <v>81470000</v>
      </c>
      <c r="AM209" s="289">
        <v>81470000</v>
      </c>
      <c r="AN209" s="289">
        <v>81470000</v>
      </c>
      <c r="AO209" s="289"/>
      <c r="AP209" s="289"/>
      <c r="AQ209" s="289"/>
      <c r="AR209" s="289"/>
      <c r="AS209" s="289"/>
      <c r="AT209" s="289"/>
      <c r="AU209" s="289"/>
      <c r="AV209" s="289"/>
      <c r="AW209" s="289"/>
      <c r="AX209" s="289"/>
      <c r="AY209" s="289"/>
      <c r="AZ209" s="289"/>
      <c r="BA209" s="289"/>
      <c r="BB209" s="289"/>
      <c r="BC209" s="289"/>
      <c r="BD209" s="294"/>
      <c r="BE209" s="294"/>
      <c r="BF209" s="294"/>
      <c r="BG209" s="289"/>
      <c r="BH209" s="289"/>
      <c r="BI209" s="289"/>
      <c r="BJ209" s="289"/>
      <c r="BK209" s="289"/>
      <c r="BL209" s="289"/>
      <c r="BM209" s="289"/>
      <c r="BN209" s="289"/>
      <c r="BO209" s="289"/>
      <c r="BP209" s="273">
        <f t="shared" si="59"/>
        <v>81470000</v>
      </c>
      <c r="BQ209" s="273">
        <f t="shared" si="57"/>
        <v>81470000</v>
      </c>
      <c r="BR209" s="273">
        <f t="shared" si="58"/>
        <v>81470000</v>
      </c>
      <c r="BS209" s="246" t="s">
        <v>1655</v>
      </c>
      <c r="BT209" s="233"/>
    </row>
    <row r="210" spans="1:72" s="27" customFormat="1" ht="81.75" customHeight="1" x14ac:dyDescent="0.2">
      <c r="A210" s="217">
        <v>318</v>
      </c>
      <c r="B210" s="310" t="s">
        <v>1628</v>
      </c>
      <c r="C210" s="213">
        <v>1</v>
      </c>
      <c r="D210" s="287" t="s">
        <v>1614</v>
      </c>
      <c r="E210" s="213">
        <v>19</v>
      </c>
      <c r="F210" s="216" t="s">
        <v>147</v>
      </c>
      <c r="G210" s="213">
        <v>1903</v>
      </c>
      <c r="H210" s="216" t="s">
        <v>1584</v>
      </c>
      <c r="I210" s="213">
        <v>1903</v>
      </c>
      <c r="J210" s="216" t="s">
        <v>1585</v>
      </c>
      <c r="K210" s="216" t="s">
        <v>1021</v>
      </c>
      <c r="L210" s="213">
        <v>1903015</v>
      </c>
      <c r="M210" s="216" t="s">
        <v>1022</v>
      </c>
      <c r="N210" s="213">
        <v>1903015</v>
      </c>
      <c r="O210" s="216" t="s">
        <v>1022</v>
      </c>
      <c r="P210" s="292">
        <v>190301500</v>
      </c>
      <c r="Q210" s="216" t="s">
        <v>1023</v>
      </c>
      <c r="R210" s="292">
        <v>190301500</v>
      </c>
      <c r="S210" s="216" t="s">
        <v>1023</v>
      </c>
      <c r="T210" s="236" t="s">
        <v>1671</v>
      </c>
      <c r="U210" s="76">
        <v>12</v>
      </c>
      <c r="V210" s="76">
        <v>12</v>
      </c>
      <c r="W210" s="236" t="s">
        <v>1018</v>
      </c>
      <c r="X210" s="216" t="s">
        <v>1019</v>
      </c>
      <c r="Y210" s="216" t="s">
        <v>1020</v>
      </c>
      <c r="Z210" s="289"/>
      <c r="AA210" s="289"/>
      <c r="AB210" s="289"/>
      <c r="AC210" s="289"/>
      <c r="AD210" s="289"/>
      <c r="AE210" s="289"/>
      <c r="AF210" s="289"/>
      <c r="AG210" s="289"/>
      <c r="AH210" s="289"/>
      <c r="AI210" s="289"/>
      <c r="AJ210" s="289"/>
      <c r="AK210" s="289"/>
      <c r="AL210" s="289">
        <v>211530000</v>
      </c>
      <c r="AM210" s="289">
        <v>181676999</v>
      </c>
      <c r="AN210" s="289">
        <v>181676999</v>
      </c>
      <c r="AO210" s="289"/>
      <c r="AP210" s="289"/>
      <c r="AQ210" s="289"/>
      <c r="AR210" s="289"/>
      <c r="AS210" s="289"/>
      <c r="AT210" s="289"/>
      <c r="AU210" s="289"/>
      <c r="AV210" s="289"/>
      <c r="AW210" s="289"/>
      <c r="AX210" s="289"/>
      <c r="AY210" s="289"/>
      <c r="AZ210" s="289"/>
      <c r="BA210" s="289"/>
      <c r="BB210" s="289"/>
      <c r="BC210" s="289"/>
      <c r="BD210" s="294"/>
      <c r="BE210" s="294"/>
      <c r="BF210" s="294"/>
      <c r="BG210" s="289"/>
      <c r="BH210" s="289"/>
      <c r="BI210" s="289"/>
      <c r="BJ210" s="289"/>
      <c r="BK210" s="289"/>
      <c r="BL210" s="289"/>
      <c r="BM210" s="289"/>
      <c r="BN210" s="289"/>
      <c r="BO210" s="289"/>
      <c r="BP210" s="273">
        <f t="shared" si="59"/>
        <v>211530000</v>
      </c>
      <c r="BQ210" s="273">
        <f t="shared" si="57"/>
        <v>181676999</v>
      </c>
      <c r="BR210" s="273">
        <f t="shared" si="58"/>
        <v>181676999</v>
      </c>
      <c r="BS210" s="246" t="s">
        <v>1655</v>
      </c>
      <c r="BT210" s="233"/>
    </row>
    <row r="211" spans="1:72" s="27" customFormat="1" ht="134.25" customHeight="1" x14ac:dyDescent="0.2">
      <c r="A211" s="217">
        <v>318</v>
      </c>
      <c r="B211" s="310" t="s">
        <v>1628</v>
      </c>
      <c r="C211" s="213">
        <v>1</v>
      </c>
      <c r="D211" s="287" t="s">
        <v>1614</v>
      </c>
      <c r="E211" s="213">
        <v>19</v>
      </c>
      <c r="F211" s="216" t="s">
        <v>147</v>
      </c>
      <c r="G211" s="213">
        <v>1903</v>
      </c>
      <c r="H211" s="216" t="s">
        <v>1584</v>
      </c>
      <c r="I211" s="213">
        <v>1903</v>
      </c>
      <c r="J211" s="216" t="s">
        <v>1585</v>
      </c>
      <c r="K211" s="216" t="s">
        <v>1024</v>
      </c>
      <c r="L211" s="213">
        <v>1903012</v>
      </c>
      <c r="M211" s="216" t="s">
        <v>1025</v>
      </c>
      <c r="N211" s="213">
        <v>1903012</v>
      </c>
      <c r="O211" s="216" t="s">
        <v>1025</v>
      </c>
      <c r="P211" s="292">
        <v>190301200</v>
      </c>
      <c r="Q211" s="216" t="s">
        <v>1026</v>
      </c>
      <c r="R211" s="292">
        <v>190301200</v>
      </c>
      <c r="S211" s="216" t="s">
        <v>1026</v>
      </c>
      <c r="T211" s="236" t="s">
        <v>1671</v>
      </c>
      <c r="U211" s="76">
        <v>4000</v>
      </c>
      <c r="V211" s="76">
        <v>3990</v>
      </c>
      <c r="W211" s="236" t="s">
        <v>1027</v>
      </c>
      <c r="X211" s="216" t="s">
        <v>1028</v>
      </c>
      <c r="Y211" s="216" t="s">
        <v>1029</v>
      </c>
      <c r="Z211" s="289"/>
      <c r="AA211" s="289"/>
      <c r="AB211" s="289"/>
      <c r="AC211" s="289"/>
      <c r="AD211" s="289"/>
      <c r="AE211" s="289"/>
      <c r="AF211" s="289"/>
      <c r="AG211" s="289"/>
      <c r="AH211" s="289"/>
      <c r="AI211" s="289">
        <f>100000000-100000000</f>
        <v>0</v>
      </c>
      <c r="AJ211" s="289"/>
      <c r="AK211" s="289"/>
      <c r="AL211" s="322">
        <v>605090036</v>
      </c>
      <c r="AM211" s="322">
        <v>567542047</v>
      </c>
      <c r="AN211" s="322">
        <v>567542047</v>
      </c>
      <c r="AO211" s="322"/>
      <c r="AP211" s="322"/>
      <c r="AQ211" s="322"/>
      <c r="AR211" s="289"/>
      <c r="AS211" s="289"/>
      <c r="AT211" s="289"/>
      <c r="AU211" s="289"/>
      <c r="AV211" s="289"/>
      <c r="AW211" s="289"/>
      <c r="AX211" s="289"/>
      <c r="AY211" s="289"/>
      <c r="AZ211" s="289"/>
      <c r="BA211" s="289"/>
      <c r="BB211" s="289"/>
      <c r="BC211" s="289"/>
      <c r="BD211" s="294">
        <f>243062000-243062000+90734569</f>
        <v>90734569</v>
      </c>
      <c r="BE211" s="294">
        <v>90734569</v>
      </c>
      <c r="BF211" s="294">
        <v>90734569</v>
      </c>
      <c r="BG211" s="289"/>
      <c r="BH211" s="289"/>
      <c r="BI211" s="289"/>
      <c r="BJ211" s="235">
        <v>33078292</v>
      </c>
      <c r="BK211" s="235">
        <v>33078292</v>
      </c>
      <c r="BL211" s="235">
        <v>33078292</v>
      </c>
      <c r="BM211" s="235"/>
      <c r="BN211" s="235"/>
      <c r="BO211" s="235"/>
      <c r="BP211" s="273">
        <f t="shared" si="59"/>
        <v>728902897</v>
      </c>
      <c r="BQ211" s="273">
        <f t="shared" si="57"/>
        <v>691354908</v>
      </c>
      <c r="BR211" s="273">
        <f t="shared" si="58"/>
        <v>691354908</v>
      </c>
      <c r="BS211" s="246" t="s">
        <v>1655</v>
      </c>
      <c r="BT211" s="233"/>
    </row>
    <row r="212" spans="1:72" s="27" customFormat="1" ht="77.25" customHeight="1" x14ac:dyDescent="0.2">
      <c r="A212" s="217">
        <v>318</v>
      </c>
      <c r="B212" s="310" t="s">
        <v>1628</v>
      </c>
      <c r="C212" s="213">
        <v>1</v>
      </c>
      <c r="D212" s="287" t="s">
        <v>1614</v>
      </c>
      <c r="E212" s="213">
        <v>19</v>
      </c>
      <c r="F212" s="216" t="s">
        <v>147</v>
      </c>
      <c r="G212" s="213">
        <v>1903</v>
      </c>
      <c r="H212" s="216" t="s">
        <v>1584</v>
      </c>
      <c r="I212" s="213">
        <v>1903</v>
      </c>
      <c r="J212" s="216" t="s">
        <v>1585</v>
      </c>
      <c r="K212" s="216" t="s">
        <v>1030</v>
      </c>
      <c r="L212" s="213">
        <v>1903016</v>
      </c>
      <c r="M212" s="216" t="s">
        <v>1031</v>
      </c>
      <c r="N212" s="213">
        <v>1903016</v>
      </c>
      <c r="O212" s="216" t="s">
        <v>1031</v>
      </c>
      <c r="P212" s="292">
        <v>190301600</v>
      </c>
      <c r="Q212" s="311" t="s">
        <v>1032</v>
      </c>
      <c r="R212" s="292">
        <v>190301600</v>
      </c>
      <c r="S212" s="311" t="s">
        <v>1032</v>
      </c>
      <c r="T212" s="236" t="s">
        <v>1671</v>
      </c>
      <c r="U212" s="76">
        <v>240</v>
      </c>
      <c r="V212" s="76">
        <v>235</v>
      </c>
      <c r="W212" s="236" t="s">
        <v>1027</v>
      </c>
      <c r="X212" s="216" t="s">
        <v>1028</v>
      </c>
      <c r="Y212" s="216" t="s">
        <v>1029</v>
      </c>
      <c r="Z212" s="289"/>
      <c r="AA212" s="289"/>
      <c r="AB212" s="289"/>
      <c r="AC212" s="289"/>
      <c r="AD212" s="289"/>
      <c r="AE212" s="289"/>
      <c r="AF212" s="289"/>
      <c r="AG212" s="289"/>
      <c r="AH212" s="289"/>
      <c r="AI212" s="289"/>
      <c r="AJ212" s="289"/>
      <c r="AK212" s="289"/>
      <c r="AL212" s="322">
        <v>94000000</v>
      </c>
      <c r="AM212" s="322">
        <v>93920000</v>
      </c>
      <c r="AN212" s="322">
        <v>93920000</v>
      </c>
      <c r="AO212" s="289"/>
      <c r="AP212" s="289"/>
      <c r="AQ212" s="289"/>
      <c r="AR212" s="289"/>
      <c r="AS212" s="289"/>
      <c r="AT212" s="289"/>
      <c r="AU212" s="289"/>
      <c r="AV212" s="289"/>
      <c r="AW212" s="289"/>
      <c r="AX212" s="289"/>
      <c r="AY212" s="289"/>
      <c r="AZ212" s="289"/>
      <c r="BA212" s="289"/>
      <c r="BB212" s="289"/>
      <c r="BC212" s="289"/>
      <c r="BD212" s="294"/>
      <c r="BE212" s="294"/>
      <c r="BF212" s="294"/>
      <c r="BG212" s="289"/>
      <c r="BH212" s="289"/>
      <c r="BI212" s="289"/>
      <c r="BJ212" s="289"/>
      <c r="BK212" s="289"/>
      <c r="BL212" s="289"/>
      <c r="BM212" s="289"/>
      <c r="BN212" s="289"/>
      <c r="BO212" s="289"/>
      <c r="BP212" s="273">
        <f t="shared" si="59"/>
        <v>94000000</v>
      </c>
      <c r="BQ212" s="273">
        <f t="shared" si="57"/>
        <v>93920000</v>
      </c>
      <c r="BR212" s="273">
        <f t="shared" si="58"/>
        <v>93920000</v>
      </c>
      <c r="BS212" s="246" t="s">
        <v>1655</v>
      </c>
      <c r="BT212" s="233"/>
    </row>
    <row r="213" spans="1:72" s="27" customFormat="1" ht="75" customHeight="1" x14ac:dyDescent="0.2">
      <c r="A213" s="217">
        <v>318</v>
      </c>
      <c r="B213" s="310" t="s">
        <v>1628</v>
      </c>
      <c r="C213" s="213">
        <v>1</v>
      </c>
      <c r="D213" s="287" t="s">
        <v>1614</v>
      </c>
      <c r="E213" s="213">
        <v>19</v>
      </c>
      <c r="F213" s="216" t="s">
        <v>147</v>
      </c>
      <c r="G213" s="213">
        <v>1903</v>
      </c>
      <c r="H213" s="216" t="s">
        <v>1584</v>
      </c>
      <c r="I213" s="213">
        <v>1903</v>
      </c>
      <c r="J213" s="216" t="s">
        <v>1585</v>
      </c>
      <c r="K213" s="216" t="s">
        <v>1012</v>
      </c>
      <c r="L213" s="213">
        <v>1903011</v>
      </c>
      <c r="M213" s="216" t="s">
        <v>1013</v>
      </c>
      <c r="N213" s="213">
        <v>1903011</v>
      </c>
      <c r="O213" s="216" t="s">
        <v>1013</v>
      </c>
      <c r="P213" s="292">
        <v>190301101</v>
      </c>
      <c r="Q213" s="216" t="s">
        <v>1033</v>
      </c>
      <c r="R213" s="292">
        <v>190301101</v>
      </c>
      <c r="S213" s="216" t="s">
        <v>1033</v>
      </c>
      <c r="T213" s="236" t="s">
        <v>1671</v>
      </c>
      <c r="U213" s="76">
        <v>12</v>
      </c>
      <c r="V213" s="76">
        <v>12</v>
      </c>
      <c r="W213" s="236" t="s">
        <v>1027</v>
      </c>
      <c r="X213" s="216" t="s">
        <v>1028</v>
      </c>
      <c r="Y213" s="216" t="s">
        <v>1029</v>
      </c>
      <c r="Z213" s="289"/>
      <c r="AA213" s="289"/>
      <c r="AB213" s="289"/>
      <c r="AC213" s="289"/>
      <c r="AD213" s="289"/>
      <c r="AE213" s="289"/>
      <c r="AF213" s="289"/>
      <c r="AG213" s="289"/>
      <c r="AH213" s="289"/>
      <c r="AI213" s="289"/>
      <c r="AJ213" s="289"/>
      <c r="AK213" s="289"/>
      <c r="AL213" s="322">
        <v>124811412</v>
      </c>
      <c r="AM213" s="322">
        <v>100445748</v>
      </c>
      <c r="AN213" s="322">
        <v>100445748</v>
      </c>
      <c r="AO213" s="289"/>
      <c r="AP213" s="289"/>
      <c r="AQ213" s="289"/>
      <c r="AR213" s="289"/>
      <c r="AS213" s="289"/>
      <c r="AT213" s="289"/>
      <c r="AU213" s="289"/>
      <c r="AV213" s="289"/>
      <c r="AW213" s="289"/>
      <c r="AX213" s="289"/>
      <c r="AY213" s="289"/>
      <c r="AZ213" s="289"/>
      <c r="BA213" s="289"/>
      <c r="BB213" s="289"/>
      <c r="BC213" s="289"/>
      <c r="BD213" s="294"/>
      <c r="BE213" s="294"/>
      <c r="BF213" s="294"/>
      <c r="BG213" s="289"/>
      <c r="BH213" s="289"/>
      <c r="BI213" s="289"/>
      <c r="BJ213" s="289"/>
      <c r="BK213" s="289"/>
      <c r="BL213" s="289"/>
      <c r="BM213" s="289"/>
      <c r="BN213" s="289"/>
      <c r="BO213" s="289"/>
      <c r="BP213" s="273">
        <f t="shared" si="59"/>
        <v>124811412</v>
      </c>
      <c r="BQ213" s="273">
        <f t="shared" si="57"/>
        <v>100445748</v>
      </c>
      <c r="BR213" s="273">
        <f t="shared" si="58"/>
        <v>100445748</v>
      </c>
      <c r="BS213" s="246" t="s">
        <v>1655</v>
      </c>
      <c r="BT213" s="233"/>
    </row>
    <row r="214" spans="1:72" s="27" customFormat="1" ht="86.25" customHeight="1" x14ac:dyDescent="0.2">
      <c r="A214" s="217">
        <v>318</v>
      </c>
      <c r="B214" s="310" t="s">
        <v>1628</v>
      </c>
      <c r="C214" s="213">
        <v>1</v>
      </c>
      <c r="D214" s="287" t="s">
        <v>1614</v>
      </c>
      <c r="E214" s="213">
        <v>19</v>
      </c>
      <c r="F214" s="216" t="s">
        <v>147</v>
      </c>
      <c r="G214" s="213">
        <v>1903</v>
      </c>
      <c r="H214" s="216" t="s">
        <v>1584</v>
      </c>
      <c r="I214" s="213">
        <v>1903</v>
      </c>
      <c r="J214" s="216" t="s">
        <v>1585</v>
      </c>
      <c r="K214" s="216" t="s">
        <v>1012</v>
      </c>
      <c r="L214" s="213">
        <v>1903034</v>
      </c>
      <c r="M214" s="216" t="s">
        <v>103</v>
      </c>
      <c r="N214" s="213">
        <v>1903034</v>
      </c>
      <c r="O214" s="216" t="s">
        <v>103</v>
      </c>
      <c r="P214" s="292">
        <v>190303400</v>
      </c>
      <c r="Q214" s="216" t="s">
        <v>1034</v>
      </c>
      <c r="R214" s="292">
        <v>190303400</v>
      </c>
      <c r="S214" s="216" t="s">
        <v>1034</v>
      </c>
      <c r="T214" s="236" t="s">
        <v>1671</v>
      </c>
      <c r="U214" s="76">
        <v>12</v>
      </c>
      <c r="V214" s="76">
        <v>12</v>
      </c>
      <c r="W214" s="236" t="s">
        <v>1035</v>
      </c>
      <c r="X214" s="214" t="s">
        <v>1036</v>
      </c>
      <c r="Y214" s="214" t="s">
        <v>1037</v>
      </c>
      <c r="Z214" s="289"/>
      <c r="AA214" s="289"/>
      <c r="AB214" s="289"/>
      <c r="AC214" s="289"/>
      <c r="AD214" s="289"/>
      <c r="AE214" s="289"/>
      <c r="AF214" s="289"/>
      <c r="AG214" s="289"/>
      <c r="AH214" s="289"/>
      <c r="AI214" s="289"/>
      <c r="AJ214" s="289"/>
      <c r="AK214" s="289"/>
      <c r="AL214" s="289"/>
      <c r="AM214" s="289"/>
      <c r="AN214" s="289"/>
      <c r="AO214" s="322"/>
      <c r="AP214" s="322"/>
      <c r="AQ214" s="322"/>
      <c r="AR214" s="289"/>
      <c r="AS214" s="289"/>
      <c r="AT214" s="289"/>
      <c r="AU214" s="289"/>
      <c r="AV214" s="289"/>
      <c r="AW214" s="289"/>
      <c r="AX214" s="289"/>
      <c r="AY214" s="289"/>
      <c r="AZ214" s="289"/>
      <c r="BA214" s="289"/>
      <c r="BB214" s="289"/>
      <c r="BC214" s="289"/>
      <c r="BD214" s="294">
        <v>96954000</v>
      </c>
      <c r="BE214" s="294">
        <v>54110832</v>
      </c>
      <c r="BF214" s="294">
        <v>54110832</v>
      </c>
      <c r="BG214" s="289"/>
      <c r="BH214" s="289"/>
      <c r="BI214" s="289"/>
      <c r="BJ214" s="289"/>
      <c r="BK214" s="289"/>
      <c r="BL214" s="289"/>
      <c r="BM214" s="289"/>
      <c r="BN214" s="289"/>
      <c r="BO214" s="289"/>
      <c r="BP214" s="273">
        <f t="shared" si="59"/>
        <v>96954000</v>
      </c>
      <c r="BQ214" s="273">
        <f t="shared" si="57"/>
        <v>54110832</v>
      </c>
      <c r="BR214" s="273">
        <f t="shared" si="58"/>
        <v>54110832</v>
      </c>
      <c r="BS214" s="246" t="s">
        <v>1655</v>
      </c>
      <c r="BT214" s="233"/>
    </row>
    <row r="215" spans="1:72" s="27" customFormat="1" ht="75" customHeight="1" x14ac:dyDescent="0.2">
      <c r="A215" s="217">
        <v>318</v>
      </c>
      <c r="B215" s="310" t="s">
        <v>1628</v>
      </c>
      <c r="C215" s="213">
        <v>1</v>
      </c>
      <c r="D215" s="287" t="s">
        <v>1614</v>
      </c>
      <c r="E215" s="213">
        <v>19</v>
      </c>
      <c r="F215" s="216" t="s">
        <v>147</v>
      </c>
      <c r="G215" s="213">
        <v>1903</v>
      </c>
      <c r="H215" s="216" t="s">
        <v>1584</v>
      </c>
      <c r="I215" s="213">
        <v>1903</v>
      </c>
      <c r="J215" s="216" t="s">
        <v>1585</v>
      </c>
      <c r="K215" s="216" t="s">
        <v>1038</v>
      </c>
      <c r="L215" s="213">
        <v>1903045</v>
      </c>
      <c r="M215" s="216" t="s">
        <v>1039</v>
      </c>
      <c r="N215" s="213">
        <v>1903045</v>
      </c>
      <c r="O215" s="216" t="s">
        <v>1039</v>
      </c>
      <c r="P215" s="292">
        <v>190304500</v>
      </c>
      <c r="Q215" s="311" t="s">
        <v>1040</v>
      </c>
      <c r="R215" s="292">
        <v>190304500</v>
      </c>
      <c r="S215" s="311" t="s">
        <v>1040</v>
      </c>
      <c r="T215" s="236" t="s">
        <v>1673</v>
      </c>
      <c r="U215" s="76">
        <f>725+3</f>
        <v>728</v>
      </c>
      <c r="V215" s="76">
        <v>492</v>
      </c>
      <c r="W215" s="236" t="s">
        <v>1041</v>
      </c>
      <c r="X215" s="214" t="s">
        <v>1042</v>
      </c>
      <c r="Y215" s="214" t="s">
        <v>1043</v>
      </c>
      <c r="Z215" s="289"/>
      <c r="AA215" s="289"/>
      <c r="AB215" s="289"/>
      <c r="AC215" s="289"/>
      <c r="AD215" s="289"/>
      <c r="AE215" s="289"/>
      <c r="AF215" s="289"/>
      <c r="AG215" s="289"/>
      <c r="AH215" s="289"/>
      <c r="AI215" s="289"/>
      <c r="AJ215" s="289"/>
      <c r="AK215" s="289"/>
      <c r="AL215" s="289"/>
      <c r="AM215" s="289"/>
      <c r="AN215" s="289"/>
      <c r="AO215" s="322"/>
      <c r="AP215" s="322"/>
      <c r="AQ215" s="322"/>
      <c r="AR215" s="289"/>
      <c r="AS215" s="289"/>
      <c r="AT215" s="289"/>
      <c r="AU215" s="289"/>
      <c r="AV215" s="289"/>
      <c r="AW215" s="289"/>
      <c r="AX215" s="289"/>
      <c r="AY215" s="289"/>
      <c r="AZ215" s="289"/>
      <c r="BA215" s="289"/>
      <c r="BB215" s="289"/>
      <c r="BC215" s="289"/>
      <c r="BD215" s="294">
        <v>19636000</v>
      </c>
      <c r="BE215" s="294">
        <v>19636000</v>
      </c>
      <c r="BF215" s="294">
        <v>19636000</v>
      </c>
      <c r="BG215" s="289"/>
      <c r="BH215" s="289"/>
      <c r="BI215" s="289"/>
      <c r="BJ215" s="289"/>
      <c r="BK215" s="289"/>
      <c r="BL215" s="289"/>
      <c r="BM215" s="289"/>
      <c r="BN215" s="289"/>
      <c r="BO215" s="289"/>
      <c r="BP215" s="273">
        <f t="shared" si="59"/>
        <v>19636000</v>
      </c>
      <c r="BQ215" s="273">
        <f t="shared" si="57"/>
        <v>19636000</v>
      </c>
      <c r="BR215" s="273">
        <f t="shared" si="58"/>
        <v>19636000</v>
      </c>
      <c r="BS215" s="246" t="s">
        <v>1655</v>
      </c>
      <c r="BT215" s="233"/>
    </row>
    <row r="216" spans="1:72" s="27" customFormat="1" ht="95.25" customHeight="1" x14ac:dyDescent="0.2">
      <c r="A216" s="217">
        <v>318</v>
      </c>
      <c r="B216" s="310" t="s">
        <v>1628</v>
      </c>
      <c r="C216" s="213">
        <v>1</v>
      </c>
      <c r="D216" s="287" t="s">
        <v>1614</v>
      </c>
      <c r="E216" s="213">
        <v>19</v>
      </c>
      <c r="F216" s="216" t="s">
        <v>147</v>
      </c>
      <c r="G216" s="213">
        <v>1903</v>
      </c>
      <c r="H216" s="216" t="s">
        <v>1584</v>
      </c>
      <c r="I216" s="213">
        <v>1903</v>
      </c>
      <c r="J216" s="216" t="s">
        <v>1585</v>
      </c>
      <c r="K216" s="216" t="s">
        <v>1016</v>
      </c>
      <c r="L216" s="213">
        <v>1903001</v>
      </c>
      <c r="M216" s="216" t="s">
        <v>84</v>
      </c>
      <c r="N216" s="213">
        <v>1903001</v>
      </c>
      <c r="O216" s="216" t="s">
        <v>84</v>
      </c>
      <c r="P216" s="292">
        <v>190300100</v>
      </c>
      <c r="Q216" s="311" t="s">
        <v>1017</v>
      </c>
      <c r="R216" s="292">
        <v>190300100</v>
      </c>
      <c r="S216" s="311" t="s">
        <v>1017</v>
      </c>
      <c r="T216" s="236" t="s">
        <v>1671</v>
      </c>
      <c r="U216" s="213">
        <v>1</v>
      </c>
      <c r="V216" s="213">
        <v>1</v>
      </c>
      <c r="W216" s="236" t="s">
        <v>1041</v>
      </c>
      <c r="X216" s="214" t="s">
        <v>1042</v>
      </c>
      <c r="Y216" s="214" t="s">
        <v>1043</v>
      </c>
      <c r="Z216" s="289"/>
      <c r="AA216" s="289"/>
      <c r="AB216" s="289"/>
      <c r="AC216" s="289"/>
      <c r="AD216" s="289"/>
      <c r="AE216" s="289"/>
      <c r="AF216" s="289"/>
      <c r="AG216" s="289"/>
      <c r="AH216" s="289"/>
      <c r="AI216" s="289"/>
      <c r="AJ216" s="289"/>
      <c r="AK216" s="289"/>
      <c r="AL216" s="289"/>
      <c r="AM216" s="289"/>
      <c r="AN216" s="289"/>
      <c r="AO216" s="322"/>
      <c r="AP216" s="322"/>
      <c r="AQ216" s="322"/>
      <c r="AR216" s="289"/>
      <c r="AS216" s="289"/>
      <c r="AT216" s="289"/>
      <c r="AU216" s="289"/>
      <c r="AV216" s="289"/>
      <c r="AW216" s="289"/>
      <c r="AX216" s="289"/>
      <c r="AY216" s="289"/>
      <c r="AZ216" s="289"/>
      <c r="BA216" s="289"/>
      <c r="BB216" s="289"/>
      <c r="BC216" s="289"/>
      <c r="BD216" s="294">
        <v>15000000</v>
      </c>
      <c r="BE216" s="294">
        <v>15000000</v>
      </c>
      <c r="BF216" s="294">
        <v>15000000</v>
      </c>
      <c r="BG216" s="289"/>
      <c r="BH216" s="289"/>
      <c r="BI216" s="289"/>
      <c r="BJ216" s="289"/>
      <c r="BK216" s="289"/>
      <c r="BL216" s="289"/>
      <c r="BM216" s="289"/>
      <c r="BN216" s="289"/>
      <c r="BO216" s="289"/>
      <c r="BP216" s="273">
        <f t="shared" si="59"/>
        <v>15000000</v>
      </c>
      <c r="BQ216" s="273">
        <f t="shared" si="57"/>
        <v>15000000</v>
      </c>
      <c r="BR216" s="273">
        <f t="shared" si="58"/>
        <v>15000000</v>
      </c>
      <c r="BS216" s="246" t="s">
        <v>1655</v>
      </c>
      <c r="BT216" s="233"/>
    </row>
    <row r="217" spans="1:72" s="27" customFormat="1" ht="71.25" customHeight="1" x14ac:dyDescent="0.2">
      <c r="A217" s="217">
        <v>318</v>
      </c>
      <c r="B217" s="310" t="s">
        <v>1628</v>
      </c>
      <c r="C217" s="213">
        <v>1</v>
      </c>
      <c r="D217" s="287" t="s">
        <v>1614</v>
      </c>
      <c r="E217" s="213">
        <v>19</v>
      </c>
      <c r="F217" s="216" t="s">
        <v>147</v>
      </c>
      <c r="G217" s="213">
        <v>1903</v>
      </c>
      <c r="H217" s="216" t="s">
        <v>1584</v>
      </c>
      <c r="I217" s="213">
        <v>1903</v>
      </c>
      <c r="J217" s="216" t="s">
        <v>1585</v>
      </c>
      <c r="K217" s="311" t="s">
        <v>1044</v>
      </c>
      <c r="L217" s="292">
        <v>1903010</v>
      </c>
      <c r="M217" s="353" t="s">
        <v>1045</v>
      </c>
      <c r="N217" s="292">
        <v>1903010</v>
      </c>
      <c r="O217" s="353" t="s">
        <v>1045</v>
      </c>
      <c r="P217" s="292">
        <v>190301000</v>
      </c>
      <c r="Q217" s="311" t="s">
        <v>1046</v>
      </c>
      <c r="R217" s="292">
        <v>190301000</v>
      </c>
      <c r="S217" s="311" t="s">
        <v>1046</v>
      </c>
      <c r="T217" s="236" t="s">
        <v>1671</v>
      </c>
      <c r="U217" s="76">
        <v>12</v>
      </c>
      <c r="V217" s="76">
        <v>12</v>
      </c>
      <c r="W217" s="236" t="s">
        <v>1041</v>
      </c>
      <c r="X217" s="214" t="s">
        <v>1042</v>
      </c>
      <c r="Y217" s="214" t="s">
        <v>1043</v>
      </c>
      <c r="Z217" s="289"/>
      <c r="AA217" s="289"/>
      <c r="AB217" s="289"/>
      <c r="AC217" s="289"/>
      <c r="AD217" s="289"/>
      <c r="AE217" s="289"/>
      <c r="AF217" s="289"/>
      <c r="AG217" s="289"/>
      <c r="AH217" s="289"/>
      <c r="AI217" s="289"/>
      <c r="AJ217" s="289"/>
      <c r="AK217" s="289"/>
      <c r="AL217" s="289"/>
      <c r="AM217" s="289"/>
      <c r="AN217" s="289"/>
      <c r="AO217" s="322"/>
      <c r="AP217" s="322"/>
      <c r="AQ217" s="322"/>
      <c r="AR217" s="289"/>
      <c r="AS217" s="289"/>
      <c r="AT217" s="289"/>
      <c r="AU217" s="289"/>
      <c r="AV217" s="289"/>
      <c r="AW217" s="289"/>
      <c r="AX217" s="289"/>
      <c r="AY217" s="289"/>
      <c r="AZ217" s="289"/>
      <c r="BA217" s="289"/>
      <c r="BB217" s="289"/>
      <c r="BC217" s="289"/>
      <c r="BD217" s="294">
        <v>15000000</v>
      </c>
      <c r="BE217" s="294">
        <v>15000000</v>
      </c>
      <c r="BF217" s="294">
        <v>15000000</v>
      </c>
      <c r="BG217" s="289"/>
      <c r="BH217" s="289"/>
      <c r="BI217" s="289"/>
      <c r="BJ217" s="289"/>
      <c r="BK217" s="289"/>
      <c r="BL217" s="289"/>
      <c r="BM217" s="289"/>
      <c r="BN217" s="289"/>
      <c r="BO217" s="289"/>
      <c r="BP217" s="273">
        <f t="shared" si="59"/>
        <v>15000000</v>
      </c>
      <c r="BQ217" s="273">
        <f t="shared" si="57"/>
        <v>15000000</v>
      </c>
      <c r="BR217" s="273">
        <f t="shared" si="58"/>
        <v>15000000</v>
      </c>
      <c r="BS217" s="246" t="s">
        <v>1655</v>
      </c>
      <c r="BT217" s="233"/>
    </row>
    <row r="218" spans="1:72" s="27" customFormat="1" ht="76.5" customHeight="1" x14ac:dyDescent="0.2">
      <c r="A218" s="217">
        <v>318</v>
      </c>
      <c r="B218" s="310" t="s">
        <v>1628</v>
      </c>
      <c r="C218" s="213">
        <v>1</v>
      </c>
      <c r="D218" s="287" t="s">
        <v>1614</v>
      </c>
      <c r="E218" s="213">
        <v>19</v>
      </c>
      <c r="F218" s="216" t="s">
        <v>147</v>
      </c>
      <c r="G218" s="213">
        <v>1903</v>
      </c>
      <c r="H218" s="216" t="s">
        <v>1584</v>
      </c>
      <c r="I218" s="213">
        <v>1903</v>
      </c>
      <c r="J218" s="216" t="s">
        <v>1585</v>
      </c>
      <c r="K218" s="216" t="s">
        <v>1047</v>
      </c>
      <c r="L218" s="213">
        <v>1903011</v>
      </c>
      <c r="M218" s="216" t="s">
        <v>1013</v>
      </c>
      <c r="N218" s="213">
        <v>1903011</v>
      </c>
      <c r="O218" s="216" t="s">
        <v>1013</v>
      </c>
      <c r="P218" s="292">
        <v>190301101</v>
      </c>
      <c r="Q218" s="216" t="s">
        <v>1033</v>
      </c>
      <c r="R218" s="292">
        <v>190301101</v>
      </c>
      <c r="S218" s="216" t="s">
        <v>1033</v>
      </c>
      <c r="T218" s="236" t="s">
        <v>1671</v>
      </c>
      <c r="U218" s="76">
        <v>12</v>
      </c>
      <c r="V218" s="76">
        <v>15</v>
      </c>
      <c r="W218" s="236" t="s">
        <v>1041</v>
      </c>
      <c r="X218" s="214" t="s">
        <v>1042</v>
      </c>
      <c r="Y218" s="214" t="s">
        <v>1043</v>
      </c>
      <c r="Z218" s="289"/>
      <c r="AA218" s="289"/>
      <c r="AB218" s="289"/>
      <c r="AC218" s="289"/>
      <c r="AD218" s="289"/>
      <c r="AE218" s="289"/>
      <c r="AF218" s="289"/>
      <c r="AG218" s="289"/>
      <c r="AH218" s="289"/>
      <c r="AI218" s="289"/>
      <c r="AJ218" s="289"/>
      <c r="AK218" s="289"/>
      <c r="AL218" s="289"/>
      <c r="AM218" s="289"/>
      <c r="AN218" s="289"/>
      <c r="AO218" s="322"/>
      <c r="AP218" s="322"/>
      <c r="AQ218" s="322"/>
      <c r="AR218" s="289"/>
      <c r="AS218" s="289"/>
      <c r="AT218" s="289"/>
      <c r="AU218" s="289"/>
      <c r="AV218" s="289"/>
      <c r="AW218" s="289"/>
      <c r="AX218" s="289"/>
      <c r="AY218" s="289"/>
      <c r="AZ218" s="289"/>
      <c r="BA218" s="289"/>
      <c r="BB218" s="289"/>
      <c r="BC218" s="289"/>
      <c r="BD218" s="294">
        <v>15000000</v>
      </c>
      <c r="BE218" s="294">
        <v>15000000</v>
      </c>
      <c r="BF218" s="294">
        <v>15000000</v>
      </c>
      <c r="BG218" s="289"/>
      <c r="BH218" s="289"/>
      <c r="BI218" s="289"/>
      <c r="BJ218" s="289"/>
      <c r="BK218" s="289"/>
      <c r="BL218" s="289"/>
      <c r="BM218" s="289"/>
      <c r="BN218" s="289"/>
      <c r="BO218" s="289"/>
      <c r="BP218" s="273">
        <f t="shared" si="59"/>
        <v>15000000</v>
      </c>
      <c r="BQ218" s="273">
        <f t="shared" si="57"/>
        <v>15000000</v>
      </c>
      <c r="BR218" s="273">
        <f t="shared" si="58"/>
        <v>15000000</v>
      </c>
      <c r="BS218" s="246" t="s">
        <v>1655</v>
      </c>
      <c r="BT218" s="233"/>
    </row>
    <row r="219" spans="1:72" s="27" customFormat="1" ht="58.5" customHeight="1" x14ac:dyDescent="0.2">
      <c r="A219" s="217">
        <v>318</v>
      </c>
      <c r="B219" s="310" t="s">
        <v>1628</v>
      </c>
      <c r="C219" s="213">
        <v>1</v>
      </c>
      <c r="D219" s="287" t="s">
        <v>1614</v>
      </c>
      <c r="E219" s="213">
        <v>19</v>
      </c>
      <c r="F219" s="216" t="s">
        <v>147</v>
      </c>
      <c r="G219" s="213">
        <v>1903</v>
      </c>
      <c r="H219" s="216" t="s">
        <v>1584</v>
      </c>
      <c r="I219" s="213">
        <v>1903</v>
      </c>
      <c r="J219" s="216" t="s">
        <v>1585</v>
      </c>
      <c r="K219" s="216" t="s">
        <v>1048</v>
      </c>
      <c r="L219" s="213">
        <v>1903047</v>
      </c>
      <c r="M219" s="216" t="s">
        <v>1049</v>
      </c>
      <c r="N219" s="213">
        <v>1903047</v>
      </c>
      <c r="O219" s="216" t="s">
        <v>1049</v>
      </c>
      <c r="P219" s="292">
        <v>190304701</v>
      </c>
      <c r="Q219" s="311" t="s">
        <v>1050</v>
      </c>
      <c r="R219" s="292">
        <v>190304701</v>
      </c>
      <c r="S219" s="311" t="s">
        <v>1050</v>
      </c>
      <c r="T219" s="236" t="s">
        <v>1671</v>
      </c>
      <c r="U219" s="76">
        <v>1</v>
      </c>
      <c r="V219" s="76">
        <v>2</v>
      </c>
      <c r="W219" s="236" t="s">
        <v>1051</v>
      </c>
      <c r="X219" s="214" t="s">
        <v>1052</v>
      </c>
      <c r="Y219" s="214" t="s">
        <v>1053</v>
      </c>
      <c r="Z219" s="289"/>
      <c r="AA219" s="289"/>
      <c r="AB219" s="289"/>
      <c r="AC219" s="289"/>
      <c r="AD219" s="289"/>
      <c r="AE219" s="289"/>
      <c r="AF219" s="289"/>
      <c r="AG219" s="289"/>
      <c r="AH219" s="289"/>
      <c r="AI219" s="289"/>
      <c r="AJ219" s="289"/>
      <c r="AK219" s="289"/>
      <c r="AL219" s="289"/>
      <c r="AM219" s="289"/>
      <c r="AN219" s="289"/>
      <c r="AO219" s="266">
        <v>10000000</v>
      </c>
      <c r="AP219" s="354">
        <v>6093833</v>
      </c>
      <c r="AQ219" s="354">
        <v>6093833</v>
      </c>
      <c r="AR219" s="289"/>
      <c r="AS219" s="289"/>
      <c r="AT219" s="289"/>
      <c r="AU219" s="289"/>
      <c r="AV219" s="289"/>
      <c r="AW219" s="289"/>
      <c r="AX219" s="289"/>
      <c r="AY219" s="289"/>
      <c r="AZ219" s="289"/>
      <c r="BA219" s="289"/>
      <c r="BB219" s="289"/>
      <c r="BC219" s="289"/>
      <c r="BD219" s="294"/>
      <c r="BE219" s="294"/>
      <c r="BF219" s="294"/>
      <c r="BG219" s="289"/>
      <c r="BH219" s="289"/>
      <c r="BI219" s="289"/>
      <c r="BJ219" s="289"/>
      <c r="BK219" s="289"/>
      <c r="BL219" s="289"/>
      <c r="BM219" s="289"/>
      <c r="BN219" s="289"/>
      <c r="BO219" s="289"/>
      <c r="BP219" s="273">
        <f t="shared" si="59"/>
        <v>10000000</v>
      </c>
      <c r="BQ219" s="273">
        <f t="shared" si="57"/>
        <v>6093833</v>
      </c>
      <c r="BR219" s="273">
        <f t="shared" si="58"/>
        <v>6093833</v>
      </c>
      <c r="BS219" s="246" t="s">
        <v>1655</v>
      </c>
      <c r="BT219" s="233"/>
    </row>
    <row r="220" spans="1:72" s="27" customFormat="1" ht="90.75" customHeight="1" x14ac:dyDescent="0.2">
      <c r="A220" s="217">
        <v>318</v>
      </c>
      <c r="B220" s="310" t="s">
        <v>1628</v>
      </c>
      <c r="C220" s="213">
        <v>1</v>
      </c>
      <c r="D220" s="287" t="s">
        <v>1614</v>
      </c>
      <c r="E220" s="213">
        <v>19</v>
      </c>
      <c r="F220" s="216" t="s">
        <v>147</v>
      </c>
      <c r="G220" s="213">
        <v>1903</v>
      </c>
      <c r="H220" s="216" t="s">
        <v>1584</v>
      </c>
      <c r="I220" s="213">
        <v>1903</v>
      </c>
      <c r="J220" s="216" t="s">
        <v>1585</v>
      </c>
      <c r="K220" s="216" t="s">
        <v>1054</v>
      </c>
      <c r="L220" s="213">
        <v>1903019</v>
      </c>
      <c r="M220" s="216" t="s">
        <v>1055</v>
      </c>
      <c r="N220" s="213">
        <v>1903019</v>
      </c>
      <c r="O220" s="216" t="s">
        <v>1055</v>
      </c>
      <c r="P220" s="292">
        <v>190301900</v>
      </c>
      <c r="Q220" s="216" t="s">
        <v>1056</v>
      </c>
      <c r="R220" s="292">
        <v>190301900</v>
      </c>
      <c r="S220" s="216" t="s">
        <v>1056</v>
      </c>
      <c r="T220" s="236" t="s">
        <v>1671</v>
      </c>
      <c r="U220" s="76">
        <v>75</v>
      </c>
      <c r="V220" s="76">
        <v>30</v>
      </c>
      <c r="W220" s="236" t="s">
        <v>1051</v>
      </c>
      <c r="X220" s="214" t="s">
        <v>1052</v>
      </c>
      <c r="Y220" s="214" t="s">
        <v>1053</v>
      </c>
      <c r="Z220" s="289"/>
      <c r="AA220" s="289"/>
      <c r="AB220" s="289"/>
      <c r="AC220" s="289"/>
      <c r="AD220" s="289"/>
      <c r="AE220" s="289"/>
      <c r="AF220" s="289"/>
      <c r="AG220" s="289"/>
      <c r="AH220" s="289"/>
      <c r="AI220" s="289"/>
      <c r="AJ220" s="289"/>
      <c r="AK220" s="289"/>
      <c r="AL220" s="289"/>
      <c r="AM220" s="289"/>
      <c r="AN220" s="289"/>
      <c r="AO220" s="239">
        <f>55000000-27918995</f>
        <v>27081005</v>
      </c>
      <c r="AP220" s="354"/>
      <c r="AQ220" s="354"/>
      <c r="AR220" s="355"/>
      <c r="AS220" s="355"/>
      <c r="AT220" s="355"/>
      <c r="AU220" s="289"/>
      <c r="AV220" s="289"/>
      <c r="AW220" s="289"/>
      <c r="AX220" s="289"/>
      <c r="AY220" s="289"/>
      <c r="AZ220" s="289"/>
      <c r="BA220" s="289"/>
      <c r="BB220" s="289"/>
      <c r="BC220" s="289"/>
      <c r="BD220" s="294"/>
      <c r="BE220" s="294"/>
      <c r="BF220" s="294"/>
      <c r="BG220" s="289"/>
      <c r="BH220" s="289"/>
      <c r="BI220" s="289"/>
      <c r="BJ220" s="289"/>
      <c r="BK220" s="289"/>
      <c r="BL220" s="289"/>
      <c r="BM220" s="289"/>
      <c r="BN220" s="289"/>
      <c r="BO220" s="289"/>
      <c r="BP220" s="273">
        <f t="shared" si="59"/>
        <v>27081005</v>
      </c>
      <c r="BQ220" s="273">
        <f t="shared" si="57"/>
        <v>0</v>
      </c>
      <c r="BR220" s="273">
        <f t="shared" si="58"/>
        <v>0</v>
      </c>
      <c r="BS220" s="246" t="s">
        <v>1655</v>
      </c>
      <c r="BT220" s="233"/>
    </row>
    <row r="221" spans="1:72" s="27" customFormat="1" ht="88.5" customHeight="1" x14ac:dyDescent="0.2">
      <c r="A221" s="217">
        <v>318</v>
      </c>
      <c r="B221" s="310" t="s">
        <v>1628</v>
      </c>
      <c r="C221" s="213">
        <v>1</v>
      </c>
      <c r="D221" s="287" t="s">
        <v>1614</v>
      </c>
      <c r="E221" s="213">
        <v>19</v>
      </c>
      <c r="F221" s="216" t="s">
        <v>147</v>
      </c>
      <c r="G221" s="213">
        <v>1903</v>
      </c>
      <c r="H221" s="216" t="s">
        <v>1584</v>
      </c>
      <c r="I221" s="213">
        <v>1903</v>
      </c>
      <c r="J221" s="216" t="s">
        <v>1585</v>
      </c>
      <c r="K221" s="216" t="s">
        <v>1057</v>
      </c>
      <c r="L221" s="213">
        <v>1903028</v>
      </c>
      <c r="M221" s="216" t="s">
        <v>1058</v>
      </c>
      <c r="N221" s="213">
        <v>1903028</v>
      </c>
      <c r="O221" s="216" t="s">
        <v>1058</v>
      </c>
      <c r="P221" s="292">
        <v>190302800</v>
      </c>
      <c r="Q221" s="216" t="s">
        <v>1059</v>
      </c>
      <c r="R221" s="292">
        <v>190302800</v>
      </c>
      <c r="S221" s="216" t="s">
        <v>1059</v>
      </c>
      <c r="T221" s="236" t="s">
        <v>1671</v>
      </c>
      <c r="U221" s="76">
        <v>250</v>
      </c>
      <c r="V221" s="76">
        <v>210</v>
      </c>
      <c r="W221" s="236" t="s">
        <v>1051</v>
      </c>
      <c r="X221" s="214" t="s">
        <v>1052</v>
      </c>
      <c r="Y221" s="214" t="s">
        <v>1053</v>
      </c>
      <c r="Z221" s="289"/>
      <c r="AA221" s="289"/>
      <c r="AB221" s="289"/>
      <c r="AC221" s="289"/>
      <c r="AD221" s="289"/>
      <c r="AE221" s="289"/>
      <c r="AF221" s="289"/>
      <c r="AG221" s="289"/>
      <c r="AH221" s="289"/>
      <c r="AI221" s="289"/>
      <c r="AJ221" s="289"/>
      <c r="AK221" s="289"/>
      <c r="AL221" s="289"/>
      <c r="AM221" s="289"/>
      <c r="AN221" s="289"/>
      <c r="AO221" s="239">
        <v>14000000</v>
      </c>
      <c r="AP221" s="354">
        <v>14000000</v>
      </c>
      <c r="AQ221" s="354">
        <v>14000000</v>
      </c>
      <c r="AR221" s="289"/>
      <c r="AS221" s="289"/>
      <c r="AT221" s="289"/>
      <c r="AU221" s="289"/>
      <c r="AV221" s="289"/>
      <c r="AW221" s="289"/>
      <c r="AX221" s="289"/>
      <c r="AY221" s="289"/>
      <c r="AZ221" s="289"/>
      <c r="BA221" s="289"/>
      <c r="BB221" s="289"/>
      <c r="BC221" s="289"/>
      <c r="BD221" s="294"/>
      <c r="BE221" s="294"/>
      <c r="BF221" s="294"/>
      <c r="BG221" s="289"/>
      <c r="BH221" s="289"/>
      <c r="BI221" s="289"/>
      <c r="BJ221" s="289"/>
      <c r="BK221" s="289"/>
      <c r="BL221" s="289"/>
      <c r="BM221" s="289"/>
      <c r="BN221" s="289"/>
      <c r="BO221" s="289"/>
      <c r="BP221" s="273">
        <f t="shared" si="59"/>
        <v>14000000</v>
      </c>
      <c r="BQ221" s="273">
        <f t="shared" si="57"/>
        <v>14000000</v>
      </c>
      <c r="BR221" s="273">
        <f t="shared" si="58"/>
        <v>14000000</v>
      </c>
      <c r="BS221" s="246" t="s">
        <v>1655</v>
      </c>
      <c r="BT221" s="233"/>
    </row>
    <row r="222" spans="1:72" s="27" customFormat="1" ht="85.5" customHeight="1" x14ac:dyDescent="0.2">
      <c r="A222" s="217">
        <v>318</v>
      </c>
      <c r="B222" s="310" t="s">
        <v>1628</v>
      </c>
      <c r="C222" s="213">
        <v>1</v>
      </c>
      <c r="D222" s="287" t="s">
        <v>1614</v>
      </c>
      <c r="E222" s="213">
        <v>19</v>
      </c>
      <c r="F222" s="216" t="s">
        <v>147</v>
      </c>
      <c r="G222" s="213">
        <v>1903</v>
      </c>
      <c r="H222" s="216" t="s">
        <v>1584</v>
      </c>
      <c r="I222" s="213">
        <v>1903</v>
      </c>
      <c r="J222" s="216" t="s">
        <v>1585</v>
      </c>
      <c r="K222" s="216" t="s">
        <v>1021</v>
      </c>
      <c r="L222" s="213">
        <v>1903025</v>
      </c>
      <c r="M222" s="239" t="s">
        <v>1060</v>
      </c>
      <c r="N222" s="213">
        <v>1903025</v>
      </c>
      <c r="O222" s="216" t="s">
        <v>1060</v>
      </c>
      <c r="P222" s="292">
        <v>190302500</v>
      </c>
      <c r="Q222" s="239" t="s">
        <v>1061</v>
      </c>
      <c r="R222" s="292">
        <v>190302500</v>
      </c>
      <c r="S222" s="216" t="s">
        <v>1061</v>
      </c>
      <c r="T222" s="236" t="s">
        <v>1671</v>
      </c>
      <c r="U222" s="76">
        <v>12</v>
      </c>
      <c r="V222" s="76">
        <v>12</v>
      </c>
      <c r="W222" s="236" t="s">
        <v>1051</v>
      </c>
      <c r="X222" s="214" t="s">
        <v>1052</v>
      </c>
      <c r="Y222" s="214" t="s">
        <v>1053</v>
      </c>
      <c r="Z222" s="289"/>
      <c r="AA222" s="289"/>
      <c r="AB222" s="289"/>
      <c r="AC222" s="289"/>
      <c r="AD222" s="289"/>
      <c r="AE222" s="289"/>
      <c r="AF222" s="289"/>
      <c r="AG222" s="289"/>
      <c r="AH222" s="289"/>
      <c r="AI222" s="239"/>
      <c r="AJ222" s="239"/>
      <c r="AK222" s="239"/>
      <c r="AL222" s="239"/>
      <c r="AM222" s="239"/>
      <c r="AN222" s="239"/>
      <c r="AO222" s="239">
        <v>40000000</v>
      </c>
      <c r="AP222" s="239">
        <v>40000000</v>
      </c>
      <c r="AQ222" s="354">
        <v>40000000</v>
      </c>
      <c r="AR222" s="289"/>
      <c r="AS222" s="289"/>
      <c r="AT222" s="289"/>
      <c r="AU222" s="289"/>
      <c r="AV222" s="289"/>
      <c r="AW222" s="289"/>
      <c r="AX222" s="289"/>
      <c r="AY222" s="289"/>
      <c r="AZ222" s="289"/>
      <c r="BA222" s="289"/>
      <c r="BB222" s="289"/>
      <c r="BC222" s="289"/>
      <c r="BD222" s="294"/>
      <c r="BE222" s="294"/>
      <c r="BF222" s="294"/>
      <c r="BG222" s="289"/>
      <c r="BH222" s="289"/>
      <c r="BI222" s="289"/>
      <c r="BJ222" s="289"/>
      <c r="BK222" s="289"/>
      <c r="BL222" s="289"/>
      <c r="BM222" s="289"/>
      <c r="BN222" s="289"/>
      <c r="BO222" s="289"/>
      <c r="BP222" s="273">
        <f t="shared" si="59"/>
        <v>40000000</v>
      </c>
      <c r="BQ222" s="273">
        <f t="shared" si="57"/>
        <v>40000000</v>
      </c>
      <c r="BR222" s="273">
        <f t="shared" si="58"/>
        <v>40000000</v>
      </c>
      <c r="BS222" s="246" t="s">
        <v>1655</v>
      </c>
      <c r="BT222" s="233"/>
    </row>
    <row r="223" spans="1:72" s="27" customFormat="1" ht="159.75" customHeight="1" x14ac:dyDescent="0.2">
      <c r="A223" s="217">
        <v>318</v>
      </c>
      <c r="B223" s="310" t="s">
        <v>1628</v>
      </c>
      <c r="C223" s="213">
        <v>1</v>
      </c>
      <c r="D223" s="287" t="s">
        <v>1614</v>
      </c>
      <c r="E223" s="213">
        <v>19</v>
      </c>
      <c r="F223" s="216" t="s">
        <v>147</v>
      </c>
      <c r="G223" s="213">
        <v>1905</v>
      </c>
      <c r="H223" s="216" t="s">
        <v>768</v>
      </c>
      <c r="I223" s="213">
        <v>1905</v>
      </c>
      <c r="J223" s="216" t="s">
        <v>1586</v>
      </c>
      <c r="K223" s="216" t="s">
        <v>998</v>
      </c>
      <c r="L223" s="213">
        <v>1905028</v>
      </c>
      <c r="M223" s="216" t="s">
        <v>1062</v>
      </c>
      <c r="N223" s="213">
        <v>1905028</v>
      </c>
      <c r="O223" s="216" t="s">
        <v>1062</v>
      </c>
      <c r="P223" s="292">
        <v>190502800</v>
      </c>
      <c r="Q223" s="216" t="s">
        <v>1063</v>
      </c>
      <c r="R223" s="292">
        <v>190502800</v>
      </c>
      <c r="S223" s="216" t="s">
        <v>1063</v>
      </c>
      <c r="T223" s="236" t="s">
        <v>1671</v>
      </c>
      <c r="U223" s="76">
        <v>12</v>
      </c>
      <c r="V223" s="76">
        <v>12</v>
      </c>
      <c r="W223" s="236" t="s">
        <v>1064</v>
      </c>
      <c r="X223" s="214" t="s">
        <v>1065</v>
      </c>
      <c r="Y223" s="214" t="s">
        <v>1066</v>
      </c>
      <c r="Z223" s="289"/>
      <c r="AA223" s="289"/>
      <c r="AB223" s="289"/>
      <c r="AC223" s="289"/>
      <c r="AD223" s="289"/>
      <c r="AE223" s="289"/>
      <c r="AF223" s="289"/>
      <c r="AG223" s="289"/>
      <c r="AH223" s="289"/>
      <c r="AI223" s="289"/>
      <c r="AJ223" s="289"/>
      <c r="AK223" s="289"/>
      <c r="AL223" s="289">
        <v>38000000</v>
      </c>
      <c r="AM223" s="289">
        <v>38000000</v>
      </c>
      <c r="AN223" s="289">
        <v>38000000</v>
      </c>
      <c r="AO223" s="289"/>
      <c r="AP223" s="289"/>
      <c r="AQ223" s="289"/>
      <c r="AR223" s="289"/>
      <c r="AS223" s="289"/>
      <c r="AT223" s="289"/>
      <c r="AU223" s="289"/>
      <c r="AV223" s="289"/>
      <c r="AW223" s="289"/>
      <c r="AX223" s="289"/>
      <c r="AY223" s="289"/>
      <c r="AZ223" s="289"/>
      <c r="BA223" s="289"/>
      <c r="BB223" s="289"/>
      <c r="BC223" s="289"/>
      <c r="BD223" s="294"/>
      <c r="BE223" s="294"/>
      <c r="BF223" s="294"/>
      <c r="BG223" s="289"/>
      <c r="BH223" s="289"/>
      <c r="BI223" s="289"/>
      <c r="BJ223" s="289"/>
      <c r="BK223" s="289"/>
      <c r="BL223" s="289"/>
      <c r="BM223" s="289"/>
      <c r="BN223" s="289"/>
      <c r="BO223" s="289"/>
      <c r="BP223" s="273">
        <f t="shared" si="59"/>
        <v>38000000</v>
      </c>
      <c r="BQ223" s="273">
        <f t="shared" ref="BQ223:BQ251" si="60">+AA223+AD223+AG223+AJ223+AM223+AP223+AS223+AV223+AY223+BB223+BE223+BH223+BK223</f>
        <v>38000000</v>
      </c>
      <c r="BR223" s="273">
        <f t="shared" ref="BR223:BR251" si="61">+AB223+AE223+AH223+AK223+AN223+AQ223+AT223+AW223+AZ223+BC223+BF223+BI223+BL223</f>
        <v>38000000</v>
      </c>
      <c r="BS223" s="246" t="s">
        <v>1655</v>
      </c>
      <c r="BT223" s="233"/>
    </row>
    <row r="224" spans="1:72" s="27" customFormat="1" ht="114.75" customHeight="1" x14ac:dyDescent="0.2">
      <c r="A224" s="217">
        <v>318</v>
      </c>
      <c r="B224" s="310" t="s">
        <v>1628</v>
      </c>
      <c r="C224" s="213">
        <v>1</v>
      </c>
      <c r="D224" s="287" t="s">
        <v>1614</v>
      </c>
      <c r="E224" s="213">
        <v>19</v>
      </c>
      <c r="F224" s="216" t="s">
        <v>147</v>
      </c>
      <c r="G224" s="213">
        <v>1905</v>
      </c>
      <c r="H224" s="216" t="s">
        <v>768</v>
      </c>
      <c r="I224" s="213">
        <v>1905</v>
      </c>
      <c r="J224" s="216" t="s">
        <v>1586</v>
      </c>
      <c r="K224" s="216" t="s">
        <v>998</v>
      </c>
      <c r="L224" s="213">
        <v>1905031</v>
      </c>
      <c r="M224" s="216" t="s">
        <v>1067</v>
      </c>
      <c r="N224" s="213">
        <v>1905031</v>
      </c>
      <c r="O224" s="216" t="s">
        <v>1067</v>
      </c>
      <c r="P224" s="213">
        <v>190503100</v>
      </c>
      <c r="Q224" s="216" t="s">
        <v>1068</v>
      </c>
      <c r="R224" s="213">
        <v>190503100</v>
      </c>
      <c r="S224" s="216" t="s">
        <v>1068</v>
      </c>
      <c r="T224" s="236" t="s">
        <v>1671</v>
      </c>
      <c r="U224" s="76">
        <v>12</v>
      </c>
      <c r="V224" s="76">
        <v>10</v>
      </c>
      <c r="W224" s="236" t="s">
        <v>1064</v>
      </c>
      <c r="X224" s="214" t="s">
        <v>1065</v>
      </c>
      <c r="Y224" s="214" t="s">
        <v>1066</v>
      </c>
      <c r="Z224" s="289"/>
      <c r="AA224" s="289"/>
      <c r="AB224" s="289"/>
      <c r="AC224" s="289"/>
      <c r="AD224" s="289"/>
      <c r="AE224" s="289"/>
      <c r="AF224" s="289"/>
      <c r="AG224" s="289"/>
      <c r="AH224" s="289"/>
      <c r="AI224" s="289"/>
      <c r="AJ224" s="289"/>
      <c r="AK224" s="289"/>
      <c r="AL224" s="289">
        <v>38000000</v>
      </c>
      <c r="AM224" s="289">
        <v>38000000</v>
      </c>
      <c r="AN224" s="289">
        <v>38000000</v>
      </c>
      <c r="AO224" s="289"/>
      <c r="AP224" s="289"/>
      <c r="AQ224" s="289"/>
      <c r="AR224" s="289"/>
      <c r="AS224" s="289"/>
      <c r="AT224" s="289"/>
      <c r="AU224" s="289"/>
      <c r="AV224" s="289"/>
      <c r="AW224" s="289"/>
      <c r="AX224" s="289"/>
      <c r="AY224" s="289"/>
      <c r="AZ224" s="289"/>
      <c r="BA224" s="289"/>
      <c r="BB224" s="289"/>
      <c r="BC224" s="289"/>
      <c r="BD224" s="294"/>
      <c r="BE224" s="294"/>
      <c r="BF224" s="294"/>
      <c r="BG224" s="289"/>
      <c r="BH224" s="289"/>
      <c r="BI224" s="289"/>
      <c r="BJ224" s="289"/>
      <c r="BK224" s="289"/>
      <c r="BL224" s="289"/>
      <c r="BM224" s="289"/>
      <c r="BN224" s="289"/>
      <c r="BO224" s="289"/>
      <c r="BP224" s="273">
        <f t="shared" si="59"/>
        <v>38000000</v>
      </c>
      <c r="BQ224" s="273">
        <f t="shared" si="60"/>
        <v>38000000</v>
      </c>
      <c r="BR224" s="273">
        <f t="shared" si="61"/>
        <v>38000000</v>
      </c>
      <c r="BS224" s="246" t="s">
        <v>1655</v>
      </c>
      <c r="BT224" s="233"/>
    </row>
    <row r="225" spans="1:72" s="27" customFormat="1" ht="73.5" customHeight="1" x14ac:dyDescent="0.2">
      <c r="A225" s="217">
        <v>318</v>
      </c>
      <c r="B225" s="310" t="s">
        <v>1628</v>
      </c>
      <c r="C225" s="213">
        <v>1</v>
      </c>
      <c r="D225" s="287" t="s">
        <v>1614</v>
      </c>
      <c r="E225" s="213">
        <v>19</v>
      </c>
      <c r="F225" s="216" t="s">
        <v>147</v>
      </c>
      <c r="G225" s="213">
        <v>1905</v>
      </c>
      <c r="H225" s="216" t="s">
        <v>768</v>
      </c>
      <c r="I225" s="213">
        <v>1905</v>
      </c>
      <c r="J225" s="216" t="s">
        <v>1586</v>
      </c>
      <c r="K225" s="216" t="s">
        <v>1069</v>
      </c>
      <c r="L225" s="213">
        <v>1905019</v>
      </c>
      <c r="M225" s="216" t="s">
        <v>1070</v>
      </c>
      <c r="N225" s="213">
        <v>1905019</v>
      </c>
      <c r="O225" s="216" t="s">
        <v>1070</v>
      </c>
      <c r="P225" s="213">
        <v>190501900</v>
      </c>
      <c r="Q225" s="216" t="s">
        <v>330</v>
      </c>
      <c r="R225" s="213">
        <v>190501900</v>
      </c>
      <c r="S225" s="216" t="s">
        <v>330</v>
      </c>
      <c r="T225" s="236" t="s">
        <v>1671</v>
      </c>
      <c r="U225" s="76">
        <v>60</v>
      </c>
      <c r="V225" s="76">
        <v>805</v>
      </c>
      <c r="W225" s="236" t="s">
        <v>1071</v>
      </c>
      <c r="X225" s="214" t="s">
        <v>1072</v>
      </c>
      <c r="Y225" s="214" t="s">
        <v>1073</v>
      </c>
      <c r="Z225" s="289"/>
      <c r="AA225" s="289"/>
      <c r="AB225" s="289"/>
      <c r="AC225" s="289"/>
      <c r="AD225" s="289"/>
      <c r="AE225" s="289"/>
      <c r="AF225" s="289"/>
      <c r="AG225" s="289"/>
      <c r="AH225" s="289"/>
      <c r="AI225" s="289"/>
      <c r="AJ225" s="289"/>
      <c r="AK225" s="289"/>
      <c r="AL225" s="356">
        <v>20000000</v>
      </c>
      <c r="AM225" s="356">
        <v>14614667</v>
      </c>
      <c r="AN225" s="356">
        <v>14614667</v>
      </c>
      <c r="AO225" s="289"/>
      <c r="AP225" s="289"/>
      <c r="AQ225" s="289"/>
      <c r="AR225" s="289"/>
      <c r="AS225" s="289"/>
      <c r="AT225" s="289"/>
      <c r="AU225" s="289"/>
      <c r="AV225" s="289"/>
      <c r="AW225" s="289"/>
      <c r="AX225" s="289"/>
      <c r="AY225" s="289"/>
      <c r="AZ225" s="289"/>
      <c r="BA225" s="289"/>
      <c r="BB225" s="289"/>
      <c r="BC225" s="289"/>
      <c r="BD225" s="294"/>
      <c r="BE225" s="294"/>
      <c r="BF225" s="294"/>
      <c r="BG225" s="289"/>
      <c r="BH225" s="289"/>
      <c r="BI225" s="289"/>
      <c r="BJ225" s="289"/>
      <c r="BK225" s="289"/>
      <c r="BL225" s="289"/>
      <c r="BM225" s="289"/>
      <c r="BN225" s="289"/>
      <c r="BO225" s="289"/>
      <c r="BP225" s="273">
        <f t="shared" si="59"/>
        <v>20000000</v>
      </c>
      <c r="BQ225" s="273">
        <f t="shared" si="60"/>
        <v>14614667</v>
      </c>
      <c r="BR225" s="273">
        <f t="shared" si="61"/>
        <v>14614667</v>
      </c>
      <c r="BS225" s="246" t="s">
        <v>1655</v>
      </c>
      <c r="BT225" s="233"/>
    </row>
    <row r="226" spans="1:72" s="27" customFormat="1" ht="152.25" customHeight="1" x14ac:dyDescent="0.2">
      <c r="A226" s="217">
        <v>318</v>
      </c>
      <c r="B226" s="310" t="s">
        <v>1628</v>
      </c>
      <c r="C226" s="213">
        <v>1</v>
      </c>
      <c r="D226" s="287" t="s">
        <v>1614</v>
      </c>
      <c r="E226" s="213">
        <v>19</v>
      </c>
      <c r="F226" s="216" t="s">
        <v>147</v>
      </c>
      <c r="G226" s="213">
        <v>1905</v>
      </c>
      <c r="H226" s="216" t="s">
        <v>768</v>
      </c>
      <c r="I226" s="213">
        <v>1905</v>
      </c>
      <c r="J226" s="216" t="s">
        <v>1586</v>
      </c>
      <c r="K226" s="216" t="s">
        <v>1074</v>
      </c>
      <c r="L226" s="213" t="s">
        <v>1075</v>
      </c>
      <c r="M226" s="216" t="s">
        <v>1076</v>
      </c>
      <c r="N226" s="213">
        <v>1905031</v>
      </c>
      <c r="O226" s="216" t="s">
        <v>1077</v>
      </c>
      <c r="P226" s="213" t="s">
        <v>41</v>
      </c>
      <c r="Q226" s="216" t="s">
        <v>1078</v>
      </c>
      <c r="R226" s="213">
        <v>190503100</v>
      </c>
      <c r="S226" s="216" t="s">
        <v>1678</v>
      </c>
      <c r="T226" s="236" t="s">
        <v>1671</v>
      </c>
      <c r="U226" s="76">
        <v>11</v>
      </c>
      <c r="V226" s="76">
        <v>9</v>
      </c>
      <c r="W226" s="236" t="s">
        <v>1071</v>
      </c>
      <c r="X226" s="214" t="s">
        <v>1072</v>
      </c>
      <c r="Y226" s="214" t="s">
        <v>1073</v>
      </c>
      <c r="Z226" s="289"/>
      <c r="AA226" s="289"/>
      <c r="AB226" s="289"/>
      <c r="AC226" s="289"/>
      <c r="AD226" s="289"/>
      <c r="AE226" s="289"/>
      <c r="AF226" s="289"/>
      <c r="AG226" s="289"/>
      <c r="AH226" s="289"/>
      <c r="AI226" s="289"/>
      <c r="AJ226" s="289"/>
      <c r="AK226" s="289"/>
      <c r="AL226" s="356">
        <v>20000000</v>
      </c>
      <c r="AM226" s="356">
        <v>20000000</v>
      </c>
      <c r="AN226" s="356">
        <v>20000000</v>
      </c>
      <c r="AO226" s="289"/>
      <c r="AP226" s="289"/>
      <c r="AQ226" s="289"/>
      <c r="AR226" s="289"/>
      <c r="AS226" s="289"/>
      <c r="AT226" s="289"/>
      <c r="AU226" s="289"/>
      <c r="AV226" s="289"/>
      <c r="AW226" s="289"/>
      <c r="AX226" s="289"/>
      <c r="AY226" s="289"/>
      <c r="AZ226" s="289"/>
      <c r="BA226" s="289"/>
      <c r="BB226" s="289"/>
      <c r="BC226" s="289"/>
      <c r="BD226" s="294"/>
      <c r="BE226" s="294"/>
      <c r="BF226" s="294"/>
      <c r="BG226" s="289"/>
      <c r="BH226" s="289"/>
      <c r="BI226" s="289"/>
      <c r="BJ226" s="289"/>
      <c r="BK226" s="289"/>
      <c r="BL226" s="289"/>
      <c r="BM226" s="289"/>
      <c r="BN226" s="289"/>
      <c r="BO226" s="289"/>
      <c r="BP226" s="273">
        <f t="shared" si="59"/>
        <v>20000000</v>
      </c>
      <c r="BQ226" s="273">
        <f t="shared" si="60"/>
        <v>20000000</v>
      </c>
      <c r="BR226" s="273">
        <f t="shared" si="61"/>
        <v>20000000</v>
      </c>
      <c r="BS226" s="246" t="s">
        <v>1655</v>
      </c>
      <c r="BT226" s="233"/>
    </row>
    <row r="227" spans="1:72" s="27" customFormat="1" ht="112.5" customHeight="1" x14ac:dyDescent="0.2">
      <c r="A227" s="217">
        <v>318</v>
      </c>
      <c r="B227" s="310" t="s">
        <v>1628</v>
      </c>
      <c r="C227" s="213">
        <v>1</v>
      </c>
      <c r="D227" s="287" t="s">
        <v>1614</v>
      </c>
      <c r="E227" s="213">
        <v>19</v>
      </c>
      <c r="F227" s="216" t="s">
        <v>147</v>
      </c>
      <c r="G227" s="213">
        <v>1905</v>
      </c>
      <c r="H227" s="216" t="s">
        <v>768</v>
      </c>
      <c r="I227" s="213">
        <v>1905</v>
      </c>
      <c r="J227" s="216" t="s">
        <v>1586</v>
      </c>
      <c r="K227" s="216" t="s">
        <v>1079</v>
      </c>
      <c r="L227" s="213" t="s">
        <v>41</v>
      </c>
      <c r="M227" s="216" t="s">
        <v>1670</v>
      </c>
      <c r="N227" s="213">
        <v>1905015</v>
      </c>
      <c r="O227" s="216" t="s">
        <v>233</v>
      </c>
      <c r="P227" s="213" t="s">
        <v>41</v>
      </c>
      <c r="Q227" s="216" t="s">
        <v>1080</v>
      </c>
      <c r="R227" s="213">
        <v>190501500</v>
      </c>
      <c r="S227" s="216" t="s">
        <v>235</v>
      </c>
      <c r="T227" s="236" t="s">
        <v>1671</v>
      </c>
      <c r="U227" s="76">
        <v>1</v>
      </c>
      <c r="V227" s="76">
        <v>1</v>
      </c>
      <c r="W227" s="236" t="s">
        <v>1071</v>
      </c>
      <c r="X227" s="214" t="s">
        <v>1072</v>
      </c>
      <c r="Y227" s="214" t="s">
        <v>1073</v>
      </c>
      <c r="Z227" s="289"/>
      <c r="AA227" s="289"/>
      <c r="AB227" s="289"/>
      <c r="AC227" s="289"/>
      <c r="AD227" s="289"/>
      <c r="AE227" s="289"/>
      <c r="AF227" s="289"/>
      <c r="AG227" s="289"/>
      <c r="AH227" s="289"/>
      <c r="AI227" s="289"/>
      <c r="AJ227" s="289"/>
      <c r="AK227" s="289"/>
      <c r="AL227" s="356">
        <v>20000000</v>
      </c>
      <c r="AM227" s="356">
        <v>20000000</v>
      </c>
      <c r="AN227" s="356">
        <v>20000000</v>
      </c>
      <c r="AO227" s="289"/>
      <c r="AP227" s="289"/>
      <c r="AQ227" s="289"/>
      <c r="AR227" s="289"/>
      <c r="AS227" s="289"/>
      <c r="AT227" s="289"/>
      <c r="AU227" s="289"/>
      <c r="AV227" s="289"/>
      <c r="AW227" s="289"/>
      <c r="AX227" s="289"/>
      <c r="AY227" s="289"/>
      <c r="AZ227" s="289"/>
      <c r="BA227" s="289"/>
      <c r="BB227" s="289"/>
      <c r="BC227" s="289"/>
      <c r="BD227" s="294"/>
      <c r="BE227" s="294"/>
      <c r="BF227" s="294"/>
      <c r="BG227" s="289"/>
      <c r="BH227" s="289"/>
      <c r="BI227" s="289"/>
      <c r="BJ227" s="289"/>
      <c r="BK227" s="289"/>
      <c r="BL227" s="289"/>
      <c r="BM227" s="289"/>
      <c r="BN227" s="289"/>
      <c r="BO227" s="289"/>
      <c r="BP227" s="273">
        <f t="shared" si="59"/>
        <v>20000000</v>
      </c>
      <c r="BQ227" s="273">
        <f t="shared" si="60"/>
        <v>20000000</v>
      </c>
      <c r="BR227" s="273">
        <f t="shared" si="61"/>
        <v>20000000</v>
      </c>
      <c r="BS227" s="246" t="s">
        <v>1655</v>
      </c>
      <c r="BT227" s="233"/>
    </row>
    <row r="228" spans="1:72" s="27" customFormat="1" ht="120.75" customHeight="1" x14ac:dyDescent="0.2">
      <c r="A228" s="217">
        <v>318</v>
      </c>
      <c r="B228" s="310" t="s">
        <v>1628</v>
      </c>
      <c r="C228" s="213">
        <v>1</v>
      </c>
      <c r="D228" s="287" t="s">
        <v>1614</v>
      </c>
      <c r="E228" s="213">
        <v>19</v>
      </c>
      <c r="F228" s="216" t="s">
        <v>147</v>
      </c>
      <c r="G228" s="213">
        <v>1905</v>
      </c>
      <c r="H228" s="216" t="s">
        <v>768</v>
      </c>
      <c r="I228" s="213">
        <v>1905</v>
      </c>
      <c r="J228" s="216" t="s">
        <v>1586</v>
      </c>
      <c r="K228" s="216" t="s">
        <v>1001</v>
      </c>
      <c r="L228" s="213" t="s">
        <v>41</v>
      </c>
      <c r="M228" s="216" t="s">
        <v>1081</v>
      </c>
      <c r="N228" s="213">
        <v>1905024</v>
      </c>
      <c r="O228" s="216" t="s">
        <v>1082</v>
      </c>
      <c r="P228" s="213" t="s">
        <v>41</v>
      </c>
      <c r="Q228" s="216" t="s">
        <v>1083</v>
      </c>
      <c r="R228" s="213">
        <v>190502400</v>
      </c>
      <c r="S228" s="311" t="s">
        <v>1084</v>
      </c>
      <c r="T228" s="236" t="s">
        <v>1673</v>
      </c>
      <c r="U228" s="76">
        <f>3</f>
        <v>3</v>
      </c>
      <c r="V228" s="76">
        <v>3</v>
      </c>
      <c r="W228" s="236" t="s">
        <v>1071</v>
      </c>
      <c r="X228" s="214" t="s">
        <v>1072</v>
      </c>
      <c r="Y228" s="214" t="s">
        <v>1073</v>
      </c>
      <c r="Z228" s="289"/>
      <c r="AA228" s="289"/>
      <c r="AB228" s="289"/>
      <c r="AC228" s="289"/>
      <c r="AD228" s="289"/>
      <c r="AE228" s="289"/>
      <c r="AF228" s="289"/>
      <c r="AG228" s="289"/>
      <c r="AH228" s="289"/>
      <c r="AI228" s="289"/>
      <c r="AJ228" s="289"/>
      <c r="AK228" s="289"/>
      <c r="AL228" s="356">
        <f>64000000+17000000</f>
        <v>81000000</v>
      </c>
      <c r="AM228" s="356">
        <v>78366165</v>
      </c>
      <c r="AN228" s="356">
        <v>78366165</v>
      </c>
      <c r="AO228" s="289"/>
      <c r="AP228" s="289"/>
      <c r="AQ228" s="289"/>
      <c r="AR228" s="289"/>
      <c r="AS228" s="289"/>
      <c r="AT228" s="289"/>
      <c r="AU228" s="289"/>
      <c r="AV228" s="289"/>
      <c r="AW228" s="289"/>
      <c r="AX228" s="289"/>
      <c r="AY228" s="289"/>
      <c r="AZ228" s="289"/>
      <c r="BA228" s="289"/>
      <c r="BB228" s="289"/>
      <c r="BC228" s="289"/>
      <c r="BD228" s="294"/>
      <c r="BE228" s="294"/>
      <c r="BF228" s="294"/>
      <c r="BG228" s="289"/>
      <c r="BH228" s="289"/>
      <c r="BI228" s="289"/>
      <c r="BJ228" s="289"/>
      <c r="BK228" s="289"/>
      <c r="BL228" s="289"/>
      <c r="BM228" s="289"/>
      <c r="BN228" s="289"/>
      <c r="BO228" s="289"/>
      <c r="BP228" s="273">
        <f t="shared" si="59"/>
        <v>81000000</v>
      </c>
      <c r="BQ228" s="273">
        <f t="shared" si="60"/>
        <v>78366165</v>
      </c>
      <c r="BR228" s="273">
        <f t="shared" si="61"/>
        <v>78366165</v>
      </c>
      <c r="BS228" s="246" t="s">
        <v>1655</v>
      </c>
      <c r="BT228" s="233"/>
    </row>
    <row r="229" spans="1:72" s="27" customFormat="1" ht="78" customHeight="1" x14ac:dyDescent="0.2">
      <c r="A229" s="217">
        <v>318</v>
      </c>
      <c r="B229" s="310" t="s">
        <v>1628</v>
      </c>
      <c r="C229" s="213">
        <v>1</v>
      </c>
      <c r="D229" s="287" t="s">
        <v>1614</v>
      </c>
      <c r="E229" s="213">
        <v>19</v>
      </c>
      <c r="F229" s="216" t="s">
        <v>147</v>
      </c>
      <c r="G229" s="213">
        <v>1905</v>
      </c>
      <c r="H229" s="216" t="s">
        <v>768</v>
      </c>
      <c r="I229" s="213">
        <v>1905</v>
      </c>
      <c r="J229" s="216" t="s">
        <v>1586</v>
      </c>
      <c r="K229" s="216" t="s">
        <v>1085</v>
      </c>
      <c r="L229" s="213" t="s">
        <v>41</v>
      </c>
      <c r="M229" s="216" t="s">
        <v>1086</v>
      </c>
      <c r="N229" s="213">
        <v>1905015</v>
      </c>
      <c r="O229" s="216" t="s">
        <v>233</v>
      </c>
      <c r="P229" s="213" t="s">
        <v>41</v>
      </c>
      <c r="Q229" s="216" t="s">
        <v>1087</v>
      </c>
      <c r="R229" s="213">
        <v>190501500</v>
      </c>
      <c r="S229" s="311" t="s">
        <v>235</v>
      </c>
      <c r="T229" s="236" t="s">
        <v>1673</v>
      </c>
      <c r="U229" s="76">
        <v>4</v>
      </c>
      <c r="V229" s="76">
        <v>2</v>
      </c>
      <c r="W229" s="236" t="s">
        <v>1071</v>
      </c>
      <c r="X229" s="214" t="s">
        <v>1072</v>
      </c>
      <c r="Y229" s="214" t="s">
        <v>1073</v>
      </c>
      <c r="Z229" s="289"/>
      <c r="AA229" s="289"/>
      <c r="AB229" s="289"/>
      <c r="AC229" s="289"/>
      <c r="AD229" s="289"/>
      <c r="AE229" s="289"/>
      <c r="AF229" s="289"/>
      <c r="AG229" s="289"/>
      <c r="AH229" s="289"/>
      <c r="AI229" s="289"/>
      <c r="AJ229" s="289"/>
      <c r="AK229" s="289"/>
      <c r="AL229" s="356">
        <f>20000000-17000000</f>
        <v>3000000</v>
      </c>
      <c r="AM229" s="356"/>
      <c r="AN229" s="356"/>
      <c r="AO229" s="289"/>
      <c r="AP229" s="289"/>
      <c r="AQ229" s="289"/>
      <c r="AR229" s="289"/>
      <c r="AS229" s="289"/>
      <c r="AT229" s="289"/>
      <c r="AU229" s="289"/>
      <c r="AV229" s="289"/>
      <c r="AW229" s="289"/>
      <c r="AX229" s="289"/>
      <c r="AY229" s="289"/>
      <c r="AZ229" s="289"/>
      <c r="BA229" s="289"/>
      <c r="BB229" s="289"/>
      <c r="BC229" s="289"/>
      <c r="BD229" s="294"/>
      <c r="BE229" s="294"/>
      <c r="BF229" s="294"/>
      <c r="BG229" s="289"/>
      <c r="BH229" s="289"/>
      <c r="BI229" s="289"/>
      <c r="BJ229" s="289"/>
      <c r="BK229" s="289"/>
      <c r="BL229" s="289"/>
      <c r="BM229" s="289"/>
      <c r="BN229" s="289"/>
      <c r="BO229" s="289"/>
      <c r="BP229" s="273">
        <f t="shared" si="59"/>
        <v>3000000</v>
      </c>
      <c r="BQ229" s="273">
        <f t="shared" si="60"/>
        <v>0</v>
      </c>
      <c r="BR229" s="273">
        <f t="shared" si="61"/>
        <v>0</v>
      </c>
      <c r="BS229" s="246" t="s">
        <v>1655</v>
      </c>
      <c r="BT229" s="233"/>
    </row>
    <row r="230" spans="1:72" s="27" customFormat="1" ht="126.75" customHeight="1" x14ac:dyDescent="0.2">
      <c r="A230" s="217">
        <v>318</v>
      </c>
      <c r="B230" s="310" t="s">
        <v>1628</v>
      </c>
      <c r="C230" s="213">
        <v>1</v>
      </c>
      <c r="D230" s="287" t="s">
        <v>1614</v>
      </c>
      <c r="E230" s="213">
        <v>19</v>
      </c>
      <c r="F230" s="216" t="s">
        <v>147</v>
      </c>
      <c r="G230" s="213">
        <v>1905</v>
      </c>
      <c r="H230" s="216" t="s">
        <v>768</v>
      </c>
      <c r="I230" s="213">
        <v>1905</v>
      </c>
      <c r="J230" s="216" t="s">
        <v>1586</v>
      </c>
      <c r="K230" s="216" t="s">
        <v>1001</v>
      </c>
      <c r="L230" s="213" t="s">
        <v>41</v>
      </c>
      <c r="M230" s="216" t="s">
        <v>1088</v>
      </c>
      <c r="N230" s="213">
        <v>1905024</v>
      </c>
      <c r="O230" s="216" t="s">
        <v>1082</v>
      </c>
      <c r="P230" s="213" t="s">
        <v>41</v>
      </c>
      <c r="Q230" s="311" t="s">
        <v>1089</v>
      </c>
      <c r="R230" s="292">
        <v>190502400</v>
      </c>
      <c r="S230" s="311" t="s">
        <v>1084</v>
      </c>
      <c r="T230" s="236" t="s">
        <v>1671</v>
      </c>
      <c r="U230" s="76">
        <v>12</v>
      </c>
      <c r="V230" s="76">
        <v>12</v>
      </c>
      <c r="W230" s="236" t="s">
        <v>1071</v>
      </c>
      <c r="X230" s="214" t="s">
        <v>1072</v>
      </c>
      <c r="Y230" s="214" t="s">
        <v>1073</v>
      </c>
      <c r="Z230" s="289"/>
      <c r="AA230" s="289"/>
      <c r="AB230" s="289"/>
      <c r="AC230" s="289"/>
      <c r="AD230" s="289"/>
      <c r="AE230" s="289"/>
      <c r="AF230" s="289"/>
      <c r="AG230" s="289"/>
      <c r="AH230" s="289"/>
      <c r="AI230" s="289"/>
      <c r="AJ230" s="289"/>
      <c r="AK230" s="289"/>
      <c r="AL230" s="356">
        <v>28000000</v>
      </c>
      <c r="AM230" s="356">
        <v>20000000</v>
      </c>
      <c r="AN230" s="356">
        <v>20000000</v>
      </c>
      <c r="AO230" s="289"/>
      <c r="AP230" s="289"/>
      <c r="AQ230" s="289"/>
      <c r="AR230" s="289"/>
      <c r="AS230" s="289"/>
      <c r="AT230" s="289"/>
      <c r="AU230" s="289"/>
      <c r="AV230" s="289"/>
      <c r="AW230" s="289"/>
      <c r="AX230" s="289"/>
      <c r="AY230" s="289"/>
      <c r="AZ230" s="289"/>
      <c r="BA230" s="289"/>
      <c r="BB230" s="289"/>
      <c r="BC230" s="289"/>
      <c r="BD230" s="294"/>
      <c r="BE230" s="294"/>
      <c r="BF230" s="294"/>
      <c r="BG230" s="289"/>
      <c r="BH230" s="289"/>
      <c r="BI230" s="289"/>
      <c r="BJ230" s="289"/>
      <c r="BK230" s="289"/>
      <c r="BL230" s="289"/>
      <c r="BM230" s="289"/>
      <c r="BN230" s="289"/>
      <c r="BO230" s="289"/>
      <c r="BP230" s="273">
        <f t="shared" si="59"/>
        <v>28000000</v>
      </c>
      <c r="BQ230" s="273">
        <f t="shared" si="60"/>
        <v>20000000</v>
      </c>
      <c r="BR230" s="273">
        <f t="shared" si="61"/>
        <v>20000000</v>
      </c>
      <c r="BS230" s="246" t="s">
        <v>1655</v>
      </c>
      <c r="BT230" s="233"/>
    </row>
    <row r="231" spans="1:72" s="27" customFormat="1" ht="127.5" customHeight="1" x14ac:dyDescent="0.2">
      <c r="A231" s="217">
        <v>318</v>
      </c>
      <c r="B231" s="310" t="s">
        <v>1628</v>
      </c>
      <c r="C231" s="213">
        <v>1</v>
      </c>
      <c r="D231" s="287" t="s">
        <v>1614</v>
      </c>
      <c r="E231" s="213">
        <v>19</v>
      </c>
      <c r="F231" s="216" t="s">
        <v>147</v>
      </c>
      <c r="G231" s="213">
        <v>1905</v>
      </c>
      <c r="H231" s="216" t="s">
        <v>768</v>
      </c>
      <c r="I231" s="213">
        <v>1905</v>
      </c>
      <c r="J231" s="216" t="s">
        <v>1586</v>
      </c>
      <c r="K231" s="216" t="s">
        <v>1038</v>
      </c>
      <c r="L231" s="213" t="s">
        <v>41</v>
      </c>
      <c r="M231" s="216" t="s">
        <v>1090</v>
      </c>
      <c r="N231" s="213">
        <v>1905024</v>
      </c>
      <c r="O231" s="216" t="s">
        <v>1082</v>
      </c>
      <c r="P231" s="213" t="s">
        <v>41</v>
      </c>
      <c r="Q231" s="311" t="s">
        <v>1091</v>
      </c>
      <c r="R231" s="292">
        <v>190502401</v>
      </c>
      <c r="S231" s="311" t="s">
        <v>1092</v>
      </c>
      <c r="T231" s="236" t="s">
        <v>1673</v>
      </c>
      <c r="U231" s="76">
        <v>4</v>
      </c>
      <c r="V231" s="76">
        <v>4</v>
      </c>
      <c r="W231" s="236" t="s">
        <v>1071</v>
      </c>
      <c r="X231" s="214" t="s">
        <v>1072</v>
      </c>
      <c r="Y231" s="214" t="s">
        <v>1073</v>
      </c>
      <c r="Z231" s="289"/>
      <c r="AA231" s="289"/>
      <c r="AB231" s="289"/>
      <c r="AC231" s="289"/>
      <c r="AD231" s="289"/>
      <c r="AE231" s="289"/>
      <c r="AF231" s="289"/>
      <c r="AG231" s="289"/>
      <c r="AH231" s="289"/>
      <c r="AI231" s="289"/>
      <c r="AJ231" s="289"/>
      <c r="AK231" s="289"/>
      <c r="AL231" s="356">
        <v>28000000</v>
      </c>
      <c r="AM231" s="356">
        <v>24925000</v>
      </c>
      <c r="AN231" s="356">
        <v>24925000</v>
      </c>
      <c r="AO231" s="289"/>
      <c r="AP231" s="289"/>
      <c r="AQ231" s="289"/>
      <c r="AR231" s="289"/>
      <c r="AS231" s="289"/>
      <c r="AT231" s="289"/>
      <c r="AU231" s="289"/>
      <c r="AV231" s="289"/>
      <c r="AW231" s="289"/>
      <c r="AX231" s="289"/>
      <c r="AY231" s="289"/>
      <c r="AZ231" s="289"/>
      <c r="BA231" s="289"/>
      <c r="BB231" s="289"/>
      <c r="BC231" s="289"/>
      <c r="BD231" s="294"/>
      <c r="BE231" s="294"/>
      <c r="BF231" s="294"/>
      <c r="BG231" s="289"/>
      <c r="BH231" s="289"/>
      <c r="BI231" s="289"/>
      <c r="BJ231" s="289"/>
      <c r="BK231" s="289"/>
      <c r="BL231" s="289"/>
      <c r="BM231" s="289"/>
      <c r="BN231" s="289"/>
      <c r="BO231" s="289"/>
      <c r="BP231" s="273">
        <f t="shared" si="59"/>
        <v>28000000</v>
      </c>
      <c r="BQ231" s="273">
        <f t="shared" si="60"/>
        <v>24925000</v>
      </c>
      <c r="BR231" s="273">
        <f t="shared" si="61"/>
        <v>24925000</v>
      </c>
      <c r="BS231" s="246" t="s">
        <v>1655</v>
      </c>
      <c r="BT231" s="233"/>
    </row>
    <row r="232" spans="1:72" s="27" customFormat="1" ht="171" customHeight="1" x14ac:dyDescent="0.2">
      <c r="A232" s="217">
        <v>318</v>
      </c>
      <c r="B232" s="310" t="s">
        <v>1628</v>
      </c>
      <c r="C232" s="213">
        <v>1</v>
      </c>
      <c r="D232" s="287" t="s">
        <v>1614</v>
      </c>
      <c r="E232" s="213">
        <v>19</v>
      </c>
      <c r="F232" s="216" t="s">
        <v>147</v>
      </c>
      <c r="G232" s="213">
        <v>1905</v>
      </c>
      <c r="H232" s="216" t="s">
        <v>768</v>
      </c>
      <c r="I232" s="213">
        <v>1905</v>
      </c>
      <c r="J232" s="216" t="s">
        <v>1586</v>
      </c>
      <c r="K232" s="216" t="s">
        <v>769</v>
      </c>
      <c r="L232" s="213">
        <v>1905021</v>
      </c>
      <c r="M232" s="216" t="s">
        <v>770</v>
      </c>
      <c r="N232" s="213">
        <v>1905021</v>
      </c>
      <c r="O232" s="216" t="s">
        <v>770</v>
      </c>
      <c r="P232" s="292">
        <v>190502100</v>
      </c>
      <c r="Q232" s="311" t="s">
        <v>771</v>
      </c>
      <c r="R232" s="292">
        <v>190502100</v>
      </c>
      <c r="S232" s="311" t="s">
        <v>771</v>
      </c>
      <c r="T232" s="236" t="s">
        <v>1671</v>
      </c>
      <c r="U232" s="76">
        <v>12</v>
      </c>
      <c r="V232" s="76">
        <v>12</v>
      </c>
      <c r="W232" s="236" t="s">
        <v>1093</v>
      </c>
      <c r="X232" s="214" t="s">
        <v>1094</v>
      </c>
      <c r="Y232" s="214" t="s">
        <v>1095</v>
      </c>
      <c r="Z232" s="289"/>
      <c r="AA232" s="289"/>
      <c r="AB232" s="289"/>
      <c r="AC232" s="289"/>
      <c r="AD232" s="289"/>
      <c r="AE232" s="289"/>
      <c r="AF232" s="289"/>
      <c r="AG232" s="289"/>
      <c r="AH232" s="289"/>
      <c r="AI232" s="289"/>
      <c r="AJ232" s="289"/>
      <c r="AK232" s="289"/>
      <c r="AL232" s="356">
        <v>105000000</v>
      </c>
      <c r="AM232" s="356">
        <v>90637333</v>
      </c>
      <c r="AN232" s="356">
        <v>90637333</v>
      </c>
      <c r="AO232" s="289"/>
      <c r="AP232" s="289"/>
      <c r="AQ232" s="289"/>
      <c r="AR232" s="289"/>
      <c r="AS232" s="289"/>
      <c r="AT232" s="289"/>
      <c r="AU232" s="289"/>
      <c r="AV232" s="289"/>
      <c r="AW232" s="289"/>
      <c r="AX232" s="289"/>
      <c r="AY232" s="289"/>
      <c r="AZ232" s="289"/>
      <c r="BA232" s="289"/>
      <c r="BB232" s="289"/>
      <c r="BC232" s="289"/>
      <c r="BD232" s="294"/>
      <c r="BE232" s="294"/>
      <c r="BF232" s="294"/>
      <c r="BG232" s="289"/>
      <c r="BH232" s="289"/>
      <c r="BI232" s="289"/>
      <c r="BJ232" s="289"/>
      <c r="BK232" s="289"/>
      <c r="BL232" s="289"/>
      <c r="BM232" s="289"/>
      <c r="BN232" s="289"/>
      <c r="BO232" s="289"/>
      <c r="BP232" s="273">
        <f t="shared" si="59"/>
        <v>105000000</v>
      </c>
      <c r="BQ232" s="273">
        <f t="shared" si="60"/>
        <v>90637333</v>
      </c>
      <c r="BR232" s="273">
        <f>+AB232+AE232+AH232+AK232+AN232+AQ232+AT232+AW232+AZ232+BC232+BF232+BI232+BL232</f>
        <v>90637333</v>
      </c>
      <c r="BS232" s="246" t="s">
        <v>1655</v>
      </c>
      <c r="BT232" s="233"/>
    </row>
    <row r="233" spans="1:72" s="27" customFormat="1" ht="156" customHeight="1" x14ac:dyDescent="0.2">
      <c r="A233" s="217">
        <v>318</v>
      </c>
      <c r="B233" s="310" t="s">
        <v>1628</v>
      </c>
      <c r="C233" s="213">
        <v>1</v>
      </c>
      <c r="D233" s="287" t="s">
        <v>1614</v>
      </c>
      <c r="E233" s="213">
        <v>19</v>
      </c>
      <c r="F233" s="216" t="s">
        <v>147</v>
      </c>
      <c r="G233" s="213">
        <v>1905</v>
      </c>
      <c r="H233" s="216" t="s">
        <v>768</v>
      </c>
      <c r="I233" s="213">
        <v>1905</v>
      </c>
      <c r="J233" s="216" t="s">
        <v>1586</v>
      </c>
      <c r="K233" s="216" t="s">
        <v>1074</v>
      </c>
      <c r="L233" s="213" t="s">
        <v>41</v>
      </c>
      <c r="M233" s="216" t="s">
        <v>1096</v>
      </c>
      <c r="N233" s="213">
        <v>1905021</v>
      </c>
      <c r="O233" s="216" t="s">
        <v>1097</v>
      </c>
      <c r="P233" s="213" t="s">
        <v>41</v>
      </c>
      <c r="Q233" s="216" t="s">
        <v>1078</v>
      </c>
      <c r="R233" s="213">
        <v>190502100</v>
      </c>
      <c r="S233" s="216" t="s">
        <v>1098</v>
      </c>
      <c r="T233" s="236" t="s">
        <v>1671</v>
      </c>
      <c r="U233" s="76">
        <v>11</v>
      </c>
      <c r="V233" s="76">
        <v>11</v>
      </c>
      <c r="W233" s="236" t="s">
        <v>1093</v>
      </c>
      <c r="X233" s="214" t="s">
        <v>1094</v>
      </c>
      <c r="Y233" s="214" t="s">
        <v>1095</v>
      </c>
      <c r="Z233" s="289"/>
      <c r="AA233" s="289"/>
      <c r="AB233" s="289"/>
      <c r="AC233" s="289"/>
      <c r="AD233" s="289"/>
      <c r="AE233" s="289"/>
      <c r="AF233" s="289"/>
      <c r="AG233" s="289"/>
      <c r="AH233" s="289"/>
      <c r="AI233" s="289"/>
      <c r="AJ233" s="289"/>
      <c r="AK233" s="289"/>
      <c r="AL233" s="356">
        <v>56000000</v>
      </c>
      <c r="AM233" s="356">
        <v>50907500</v>
      </c>
      <c r="AN233" s="356">
        <v>50907500</v>
      </c>
      <c r="AO233" s="289"/>
      <c r="AP233" s="289"/>
      <c r="AQ233" s="289"/>
      <c r="AR233" s="289"/>
      <c r="AS233" s="289"/>
      <c r="AT233" s="289"/>
      <c r="AU233" s="289"/>
      <c r="AV233" s="289"/>
      <c r="AW233" s="289"/>
      <c r="AX233" s="289"/>
      <c r="AY233" s="289"/>
      <c r="AZ233" s="289"/>
      <c r="BA233" s="289"/>
      <c r="BB233" s="289"/>
      <c r="BC233" s="289"/>
      <c r="BD233" s="294"/>
      <c r="BE233" s="294"/>
      <c r="BF233" s="294"/>
      <c r="BG233" s="289"/>
      <c r="BH233" s="289"/>
      <c r="BI233" s="289"/>
      <c r="BJ233" s="289"/>
      <c r="BK233" s="289"/>
      <c r="BL233" s="289"/>
      <c r="BM233" s="289"/>
      <c r="BN233" s="289"/>
      <c r="BO233" s="289"/>
      <c r="BP233" s="273">
        <f t="shared" si="59"/>
        <v>56000000</v>
      </c>
      <c r="BQ233" s="273">
        <f t="shared" si="60"/>
        <v>50907500</v>
      </c>
      <c r="BR233" s="273">
        <f t="shared" si="61"/>
        <v>50907500</v>
      </c>
      <c r="BS233" s="246" t="s">
        <v>1655</v>
      </c>
      <c r="BT233" s="233"/>
    </row>
    <row r="234" spans="1:72" s="27" customFormat="1" ht="129.75" customHeight="1" x14ac:dyDescent="0.2">
      <c r="A234" s="217">
        <v>318</v>
      </c>
      <c r="B234" s="310" t="s">
        <v>1628</v>
      </c>
      <c r="C234" s="213">
        <v>1</v>
      </c>
      <c r="D234" s="287" t="s">
        <v>1614</v>
      </c>
      <c r="E234" s="213">
        <v>19</v>
      </c>
      <c r="F234" s="216" t="s">
        <v>147</v>
      </c>
      <c r="G234" s="213">
        <v>1905</v>
      </c>
      <c r="H234" s="216" t="s">
        <v>768</v>
      </c>
      <c r="I234" s="213">
        <v>1905</v>
      </c>
      <c r="J234" s="216" t="s">
        <v>1586</v>
      </c>
      <c r="K234" s="216" t="s">
        <v>1021</v>
      </c>
      <c r="L234" s="217">
        <v>1905020</v>
      </c>
      <c r="M234" s="216" t="s">
        <v>1099</v>
      </c>
      <c r="N234" s="217">
        <v>1905020</v>
      </c>
      <c r="O234" s="216" t="s">
        <v>1099</v>
      </c>
      <c r="P234" s="292">
        <v>190502000</v>
      </c>
      <c r="Q234" s="216" t="s">
        <v>1100</v>
      </c>
      <c r="R234" s="292">
        <v>190502000</v>
      </c>
      <c r="S234" s="216" t="s">
        <v>1100</v>
      </c>
      <c r="T234" s="236" t="s">
        <v>1671</v>
      </c>
      <c r="U234" s="76">
        <v>12</v>
      </c>
      <c r="V234" s="76">
        <v>12</v>
      </c>
      <c r="W234" s="236" t="s">
        <v>1101</v>
      </c>
      <c r="X234" s="214" t="s">
        <v>1102</v>
      </c>
      <c r="Y234" s="214" t="s">
        <v>1103</v>
      </c>
      <c r="Z234" s="289"/>
      <c r="AA234" s="289"/>
      <c r="AB234" s="289"/>
      <c r="AC234" s="289"/>
      <c r="AD234" s="289"/>
      <c r="AE234" s="289"/>
      <c r="AF234" s="289"/>
      <c r="AG234" s="289"/>
      <c r="AH234" s="289"/>
      <c r="AI234" s="289"/>
      <c r="AJ234" s="289"/>
      <c r="AK234" s="289"/>
      <c r="AL234" s="357">
        <v>38000000</v>
      </c>
      <c r="AM234" s="357">
        <v>37800000</v>
      </c>
      <c r="AN234" s="357">
        <v>37800000</v>
      </c>
      <c r="AO234" s="289"/>
      <c r="AP234" s="289"/>
      <c r="AQ234" s="289"/>
      <c r="AR234" s="289"/>
      <c r="AS234" s="289"/>
      <c r="AT234" s="289"/>
      <c r="AU234" s="289"/>
      <c r="AV234" s="289"/>
      <c r="AW234" s="289"/>
      <c r="AX234" s="289"/>
      <c r="AY234" s="289"/>
      <c r="AZ234" s="289"/>
      <c r="BA234" s="289"/>
      <c r="BB234" s="289"/>
      <c r="BC234" s="289"/>
      <c r="BD234" s="294"/>
      <c r="BE234" s="294"/>
      <c r="BF234" s="294"/>
      <c r="BG234" s="289"/>
      <c r="BH234" s="289"/>
      <c r="BI234" s="289"/>
      <c r="BJ234" s="289">
        <v>548597644</v>
      </c>
      <c r="BK234" s="289"/>
      <c r="BL234" s="289"/>
      <c r="BM234" s="289"/>
      <c r="BN234" s="289"/>
      <c r="BO234" s="289"/>
      <c r="BP234" s="273">
        <f t="shared" si="59"/>
        <v>586597644</v>
      </c>
      <c r="BQ234" s="273">
        <f t="shared" si="60"/>
        <v>37800000</v>
      </c>
      <c r="BR234" s="273">
        <f t="shared" si="61"/>
        <v>37800000</v>
      </c>
      <c r="BS234" s="246" t="s">
        <v>1655</v>
      </c>
      <c r="BT234" s="233"/>
    </row>
    <row r="235" spans="1:72" s="27" customFormat="1" ht="183" customHeight="1" x14ac:dyDescent="0.2">
      <c r="A235" s="217">
        <v>318</v>
      </c>
      <c r="B235" s="310" t="s">
        <v>1628</v>
      </c>
      <c r="C235" s="213">
        <v>1</v>
      </c>
      <c r="D235" s="287" t="s">
        <v>1614</v>
      </c>
      <c r="E235" s="213">
        <v>19</v>
      </c>
      <c r="F235" s="216" t="s">
        <v>147</v>
      </c>
      <c r="G235" s="213">
        <v>1905</v>
      </c>
      <c r="H235" s="216" t="s">
        <v>768</v>
      </c>
      <c r="I235" s="213">
        <v>1905</v>
      </c>
      <c r="J235" s="216" t="s">
        <v>1586</v>
      </c>
      <c r="K235" s="216" t="s">
        <v>775</v>
      </c>
      <c r="L235" s="217">
        <v>1905022</v>
      </c>
      <c r="M235" s="216" t="s">
        <v>776</v>
      </c>
      <c r="N235" s="217">
        <v>1905022</v>
      </c>
      <c r="O235" s="216" t="s">
        <v>776</v>
      </c>
      <c r="P235" s="292">
        <v>190502200</v>
      </c>
      <c r="Q235" s="311" t="s">
        <v>777</v>
      </c>
      <c r="R235" s="292">
        <v>190502200</v>
      </c>
      <c r="S235" s="311" t="s">
        <v>777</v>
      </c>
      <c r="T235" s="236" t="s">
        <v>1671</v>
      </c>
      <c r="U235" s="76">
        <v>12</v>
      </c>
      <c r="V235" s="76">
        <v>12</v>
      </c>
      <c r="W235" s="236" t="s">
        <v>1101</v>
      </c>
      <c r="X235" s="214" t="s">
        <v>1102</v>
      </c>
      <c r="Y235" s="214" t="s">
        <v>1103</v>
      </c>
      <c r="Z235" s="289"/>
      <c r="AA235" s="289"/>
      <c r="AB235" s="289"/>
      <c r="AC235" s="289"/>
      <c r="AD235" s="289"/>
      <c r="AE235" s="289"/>
      <c r="AF235" s="289"/>
      <c r="AG235" s="289"/>
      <c r="AH235" s="289"/>
      <c r="AI235" s="289"/>
      <c r="AJ235" s="289"/>
      <c r="AK235" s="289"/>
      <c r="AL235" s="357">
        <f>57000000+9700000</f>
        <v>66700000</v>
      </c>
      <c r="AM235" s="357">
        <v>47576996</v>
      </c>
      <c r="AN235" s="357">
        <v>47576996</v>
      </c>
      <c r="AO235" s="289"/>
      <c r="AP235" s="289"/>
      <c r="AQ235" s="289"/>
      <c r="AR235" s="289"/>
      <c r="AS235" s="289"/>
      <c r="AT235" s="289"/>
      <c r="AU235" s="289"/>
      <c r="AV235" s="289"/>
      <c r="AW235" s="289"/>
      <c r="AX235" s="289"/>
      <c r="AY235" s="289"/>
      <c r="AZ235" s="289"/>
      <c r="BA235" s="289"/>
      <c r="BB235" s="289"/>
      <c r="BC235" s="289"/>
      <c r="BD235" s="294"/>
      <c r="BE235" s="294"/>
      <c r="BF235" s="294"/>
      <c r="BG235" s="289"/>
      <c r="BH235" s="289"/>
      <c r="BI235" s="289"/>
      <c r="BJ235" s="289"/>
      <c r="BK235" s="289"/>
      <c r="BL235" s="289"/>
      <c r="BM235" s="289"/>
      <c r="BN235" s="289"/>
      <c r="BO235" s="289"/>
      <c r="BP235" s="273">
        <f t="shared" si="59"/>
        <v>66700000</v>
      </c>
      <c r="BQ235" s="273">
        <f t="shared" si="60"/>
        <v>47576996</v>
      </c>
      <c r="BR235" s="273">
        <f t="shared" si="61"/>
        <v>47576996</v>
      </c>
      <c r="BS235" s="246" t="s">
        <v>1655</v>
      </c>
      <c r="BT235" s="233"/>
    </row>
    <row r="236" spans="1:72" s="27" customFormat="1" ht="96" customHeight="1" x14ac:dyDescent="0.2">
      <c r="A236" s="217">
        <v>318</v>
      </c>
      <c r="B236" s="310" t="s">
        <v>1628</v>
      </c>
      <c r="C236" s="213">
        <v>1</v>
      </c>
      <c r="D236" s="287" t="s">
        <v>1614</v>
      </c>
      <c r="E236" s="213">
        <v>19</v>
      </c>
      <c r="F236" s="216" t="s">
        <v>147</v>
      </c>
      <c r="G236" s="213">
        <v>1905</v>
      </c>
      <c r="H236" s="216" t="s">
        <v>768</v>
      </c>
      <c r="I236" s="213">
        <v>1905</v>
      </c>
      <c r="J236" s="216" t="s">
        <v>1586</v>
      </c>
      <c r="K236" s="216" t="s">
        <v>1021</v>
      </c>
      <c r="L236" s="213" t="s">
        <v>41</v>
      </c>
      <c r="M236" s="216" t="s">
        <v>1104</v>
      </c>
      <c r="N236" s="213">
        <v>1905015</v>
      </c>
      <c r="O236" s="216" t="s">
        <v>233</v>
      </c>
      <c r="P236" s="213" t="s">
        <v>41</v>
      </c>
      <c r="Q236" s="311" t="s">
        <v>1105</v>
      </c>
      <c r="R236" s="213" t="s">
        <v>1106</v>
      </c>
      <c r="S236" s="311" t="s">
        <v>1107</v>
      </c>
      <c r="T236" s="236" t="s">
        <v>1671</v>
      </c>
      <c r="U236" s="76">
        <v>1</v>
      </c>
      <c r="V236" s="76">
        <v>1</v>
      </c>
      <c r="W236" s="236" t="s">
        <v>1101</v>
      </c>
      <c r="X236" s="214" t="s">
        <v>1102</v>
      </c>
      <c r="Y236" s="214" t="s">
        <v>1103</v>
      </c>
      <c r="Z236" s="289"/>
      <c r="AA236" s="289"/>
      <c r="AB236" s="289"/>
      <c r="AC236" s="289"/>
      <c r="AD236" s="289"/>
      <c r="AE236" s="289"/>
      <c r="AF236" s="289"/>
      <c r="AG236" s="289"/>
      <c r="AH236" s="289"/>
      <c r="AI236" s="289">
        <f>100000000-100000000</f>
        <v>0</v>
      </c>
      <c r="AJ236" s="289"/>
      <c r="AK236" s="289"/>
      <c r="AL236" s="357">
        <f>58000000-9700000</f>
        <v>48300000</v>
      </c>
      <c r="AM236" s="357">
        <v>34925499</v>
      </c>
      <c r="AN236" s="357">
        <v>34925499</v>
      </c>
      <c r="AO236" s="289"/>
      <c r="AP236" s="289"/>
      <c r="AQ236" s="289"/>
      <c r="AR236" s="289"/>
      <c r="AS236" s="289"/>
      <c r="AT236" s="289"/>
      <c r="AU236" s="289"/>
      <c r="AV236" s="289"/>
      <c r="AW236" s="289"/>
      <c r="AX236" s="289"/>
      <c r="AY236" s="289"/>
      <c r="AZ236" s="289"/>
      <c r="BA236" s="289"/>
      <c r="BB236" s="289"/>
      <c r="BC236" s="289"/>
      <c r="BD236" s="294"/>
      <c r="BE236" s="294"/>
      <c r="BF236" s="294"/>
      <c r="BG236" s="289"/>
      <c r="BH236" s="289"/>
      <c r="BI236" s="289"/>
      <c r="BJ236" s="289"/>
      <c r="BK236" s="289"/>
      <c r="BL236" s="289"/>
      <c r="BM236" s="289"/>
      <c r="BN236" s="289"/>
      <c r="BO236" s="289"/>
      <c r="BP236" s="273">
        <f t="shared" si="59"/>
        <v>48300000</v>
      </c>
      <c r="BQ236" s="273">
        <f t="shared" si="60"/>
        <v>34925499</v>
      </c>
      <c r="BR236" s="273">
        <f t="shared" si="61"/>
        <v>34925499</v>
      </c>
      <c r="BS236" s="246" t="s">
        <v>1655</v>
      </c>
      <c r="BT236" s="233"/>
    </row>
    <row r="237" spans="1:72" s="27" customFormat="1" ht="120" customHeight="1" x14ac:dyDescent="0.2">
      <c r="A237" s="217">
        <v>318</v>
      </c>
      <c r="B237" s="310" t="s">
        <v>1628</v>
      </c>
      <c r="C237" s="213">
        <v>1</v>
      </c>
      <c r="D237" s="287" t="s">
        <v>1614</v>
      </c>
      <c r="E237" s="213">
        <v>19</v>
      </c>
      <c r="F237" s="216" t="s">
        <v>147</v>
      </c>
      <c r="G237" s="213">
        <v>1905</v>
      </c>
      <c r="H237" s="216" t="s">
        <v>768</v>
      </c>
      <c r="I237" s="213">
        <v>1905</v>
      </c>
      <c r="J237" s="216" t="s">
        <v>1586</v>
      </c>
      <c r="K237" s="216" t="s">
        <v>1108</v>
      </c>
      <c r="L237" s="213">
        <v>1905023</v>
      </c>
      <c r="M237" s="216" t="s">
        <v>1109</v>
      </c>
      <c r="N237" s="213">
        <v>1905023</v>
      </c>
      <c r="O237" s="216" t="s">
        <v>1109</v>
      </c>
      <c r="P237" s="292">
        <v>190502300</v>
      </c>
      <c r="Q237" s="311" t="s">
        <v>1110</v>
      </c>
      <c r="R237" s="292">
        <v>190502300</v>
      </c>
      <c r="S237" s="311" t="s">
        <v>1110</v>
      </c>
      <c r="T237" s="236" t="s">
        <v>1671</v>
      </c>
      <c r="U237" s="76">
        <v>12</v>
      </c>
      <c r="V237" s="76">
        <v>12</v>
      </c>
      <c r="W237" s="236" t="s">
        <v>1111</v>
      </c>
      <c r="X237" s="214" t="s">
        <v>1112</v>
      </c>
      <c r="Y237" s="214" t="s">
        <v>1113</v>
      </c>
      <c r="Z237" s="289"/>
      <c r="AA237" s="289"/>
      <c r="AB237" s="289"/>
      <c r="AC237" s="289"/>
      <c r="AD237" s="289"/>
      <c r="AE237" s="289"/>
      <c r="AF237" s="289"/>
      <c r="AG237" s="289"/>
      <c r="AH237" s="289"/>
      <c r="AI237" s="289"/>
      <c r="AJ237" s="289"/>
      <c r="AK237" s="289"/>
      <c r="AL237" s="357">
        <v>105000000</v>
      </c>
      <c r="AM237" s="357">
        <v>105000000</v>
      </c>
      <c r="AN237" s="357">
        <v>105000000</v>
      </c>
      <c r="AO237" s="289"/>
      <c r="AP237" s="289"/>
      <c r="AQ237" s="289"/>
      <c r="AR237" s="289"/>
      <c r="AS237" s="289"/>
      <c r="AT237" s="289"/>
      <c r="AU237" s="289"/>
      <c r="AV237" s="289"/>
      <c r="AW237" s="289"/>
      <c r="AX237" s="289"/>
      <c r="AY237" s="289"/>
      <c r="AZ237" s="289"/>
      <c r="BA237" s="289"/>
      <c r="BB237" s="289"/>
      <c r="BC237" s="289"/>
      <c r="BD237" s="294"/>
      <c r="BE237" s="294"/>
      <c r="BF237" s="294"/>
      <c r="BG237" s="289"/>
      <c r="BH237" s="289"/>
      <c r="BI237" s="289"/>
      <c r="BJ237" s="289"/>
      <c r="BK237" s="289"/>
      <c r="BL237" s="289"/>
      <c r="BM237" s="289"/>
      <c r="BN237" s="289"/>
      <c r="BO237" s="289"/>
      <c r="BP237" s="273">
        <f t="shared" si="59"/>
        <v>105000000</v>
      </c>
      <c r="BQ237" s="273">
        <f t="shared" si="60"/>
        <v>105000000</v>
      </c>
      <c r="BR237" s="273">
        <f t="shared" si="61"/>
        <v>105000000</v>
      </c>
      <c r="BS237" s="246" t="s">
        <v>1655</v>
      </c>
      <c r="BT237" s="233"/>
    </row>
    <row r="238" spans="1:72" s="27" customFormat="1" ht="134.25" customHeight="1" x14ac:dyDescent="0.2">
      <c r="A238" s="217">
        <v>318</v>
      </c>
      <c r="B238" s="310" t="s">
        <v>1628</v>
      </c>
      <c r="C238" s="213">
        <v>1</v>
      </c>
      <c r="D238" s="287" t="s">
        <v>1614</v>
      </c>
      <c r="E238" s="213">
        <v>19</v>
      </c>
      <c r="F238" s="216" t="s">
        <v>147</v>
      </c>
      <c r="G238" s="213">
        <v>1905</v>
      </c>
      <c r="H238" s="216" t="s">
        <v>768</v>
      </c>
      <c r="I238" s="213">
        <v>1905</v>
      </c>
      <c r="J238" s="216" t="s">
        <v>1586</v>
      </c>
      <c r="K238" s="216" t="s">
        <v>998</v>
      </c>
      <c r="L238" s="213">
        <v>1905031</v>
      </c>
      <c r="M238" s="216" t="s">
        <v>1067</v>
      </c>
      <c r="N238" s="213">
        <v>1905031</v>
      </c>
      <c r="O238" s="216" t="s">
        <v>1067</v>
      </c>
      <c r="P238" s="213">
        <v>190503100</v>
      </c>
      <c r="Q238" s="214" t="s">
        <v>1068</v>
      </c>
      <c r="R238" s="213">
        <v>190503100</v>
      </c>
      <c r="S238" s="214" t="s">
        <v>1068</v>
      </c>
      <c r="T238" s="236" t="s">
        <v>1671</v>
      </c>
      <c r="U238" s="76">
        <v>12</v>
      </c>
      <c r="V238" s="76">
        <v>12</v>
      </c>
      <c r="W238" s="236" t="s">
        <v>1111</v>
      </c>
      <c r="X238" s="214" t="s">
        <v>1112</v>
      </c>
      <c r="Y238" s="214" t="s">
        <v>1113</v>
      </c>
      <c r="Z238" s="289"/>
      <c r="AA238" s="289"/>
      <c r="AB238" s="289"/>
      <c r="AC238" s="289"/>
      <c r="AD238" s="289"/>
      <c r="AE238" s="289"/>
      <c r="AF238" s="289"/>
      <c r="AG238" s="289"/>
      <c r="AH238" s="289"/>
      <c r="AI238" s="289"/>
      <c r="AJ238" s="289"/>
      <c r="AK238" s="289"/>
      <c r="AL238" s="357">
        <v>76000000</v>
      </c>
      <c r="AM238" s="357">
        <v>74846000</v>
      </c>
      <c r="AN238" s="357">
        <v>74846000</v>
      </c>
      <c r="AO238" s="289"/>
      <c r="AP238" s="289"/>
      <c r="AQ238" s="289"/>
      <c r="AR238" s="289"/>
      <c r="AS238" s="289"/>
      <c r="AT238" s="289"/>
      <c r="AU238" s="289"/>
      <c r="AV238" s="289"/>
      <c r="AW238" s="289"/>
      <c r="AX238" s="289"/>
      <c r="AY238" s="289"/>
      <c r="AZ238" s="289"/>
      <c r="BA238" s="289"/>
      <c r="BB238" s="289"/>
      <c r="BC238" s="289"/>
      <c r="BD238" s="294"/>
      <c r="BE238" s="294"/>
      <c r="BF238" s="294"/>
      <c r="BG238" s="289"/>
      <c r="BH238" s="289"/>
      <c r="BI238" s="289"/>
      <c r="BJ238" s="289"/>
      <c r="BK238" s="289"/>
      <c r="BL238" s="289"/>
      <c r="BM238" s="289"/>
      <c r="BN238" s="289"/>
      <c r="BO238" s="289"/>
      <c r="BP238" s="273">
        <f t="shared" si="59"/>
        <v>76000000</v>
      </c>
      <c r="BQ238" s="273">
        <f t="shared" si="60"/>
        <v>74846000</v>
      </c>
      <c r="BR238" s="273">
        <f t="shared" si="61"/>
        <v>74846000</v>
      </c>
      <c r="BS238" s="246" t="s">
        <v>1655</v>
      </c>
      <c r="BT238" s="233"/>
    </row>
    <row r="239" spans="1:72" s="27" customFormat="1" ht="122.25" customHeight="1" x14ac:dyDescent="0.2">
      <c r="A239" s="217">
        <v>318</v>
      </c>
      <c r="B239" s="310" t="s">
        <v>1628</v>
      </c>
      <c r="C239" s="213">
        <v>1</v>
      </c>
      <c r="D239" s="287" t="s">
        <v>1614</v>
      </c>
      <c r="E239" s="213">
        <v>19</v>
      </c>
      <c r="F239" s="216" t="s">
        <v>147</v>
      </c>
      <c r="G239" s="213">
        <v>1905</v>
      </c>
      <c r="H239" s="216" t="s">
        <v>768</v>
      </c>
      <c r="I239" s="213">
        <v>1905</v>
      </c>
      <c r="J239" s="216" t="s">
        <v>1586</v>
      </c>
      <c r="K239" s="216" t="s">
        <v>1114</v>
      </c>
      <c r="L239" s="213">
        <v>1905012</v>
      </c>
      <c r="M239" s="216" t="s">
        <v>1115</v>
      </c>
      <c r="N239" s="213">
        <v>1905012</v>
      </c>
      <c r="O239" s="216" t="s">
        <v>1115</v>
      </c>
      <c r="P239" s="292">
        <v>190501200</v>
      </c>
      <c r="Q239" s="214" t="s">
        <v>1115</v>
      </c>
      <c r="R239" s="292">
        <v>190501200</v>
      </c>
      <c r="S239" s="311" t="s">
        <v>1115</v>
      </c>
      <c r="T239" s="236" t="s">
        <v>1671</v>
      </c>
      <c r="U239" s="76">
        <v>1</v>
      </c>
      <c r="V239" s="76">
        <v>1</v>
      </c>
      <c r="W239" s="236" t="s">
        <v>1116</v>
      </c>
      <c r="X239" s="214" t="s">
        <v>1117</v>
      </c>
      <c r="Y239" s="214" t="s">
        <v>1118</v>
      </c>
      <c r="Z239" s="289"/>
      <c r="AA239" s="289"/>
      <c r="AB239" s="289"/>
      <c r="AC239" s="289"/>
      <c r="AD239" s="289"/>
      <c r="AE239" s="289"/>
      <c r="AF239" s="289"/>
      <c r="AG239" s="289"/>
      <c r="AH239" s="289"/>
      <c r="AI239" s="289"/>
      <c r="AJ239" s="289"/>
      <c r="AK239" s="289"/>
      <c r="AL239" s="289">
        <f>20000000+1146584216.27</f>
        <v>1166584216.27</v>
      </c>
      <c r="AM239" s="289">
        <v>27916232.759999998</v>
      </c>
      <c r="AN239" s="289">
        <v>27916232.759999998</v>
      </c>
      <c r="AO239" s="289"/>
      <c r="AP239" s="289"/>
      <c r="AQ239" s="289"/>
      <c r="AR239" s="289"/>
      <c r="AS239" s="289"/>
      <c r="AT239" s="289"/>
      <c r="AU239" s="289"/>
      <c r="AV239" s="289"/>
      <c r="AW239" s="289"/>
      <c r="AX239" s="289"/>
      <c r="AY239" s="289"/>
      <c r="AZ239" s="289"/>
      <c r="BA239" s="289"/>
      <c r="BB239" s="289"/>
      <c r="BC239" s="289"/>
      <c r="BD239" s="294"/>
      <c r="BE239" s="294"/>
      <c r="BF239" s="294"/>
      <c r="BG239" s="289"/>
      <c r="BH239" s="289"/>
      <c r="BI239" s="289"/>
      <c r="BJ239" s="323"/>
      <c r="BK239" s="323"/>
      <c r="BL239" s="323"/>
      <c r="BM239" s="323"/>
      <c r="BN239" s="323"/>
      <c r="BO239" s="323"/>
      <c r="BP239" s="273">
        <f t="shared" si="59"/>
        <v>1166584216.27</v>
      </c>
      <c r="BQ239" s="273">
        <f t="shared" si="60"/>
        <v>27916232.759999998</v>
      </c>
      <c r="BR239" s="273">
        <f t="shared" si="61"/>
        <v>27916232.759999998</v>
      </c>
      <c r="BS239" s="246" t="s">
        <v>1655</v>
      </c>
      <c r="BT239" s="233"/>
    </row>
    <row r="240" spans="1:72" s="27" customFormat="1" ht="180" customHeight="1" x14ac:dyDescent="0.2">
      <c r="A240" s="217">
        <v>318</v>
      </c>
      <c r="B240" s="310" t="s">
        <v>1628</v>
      </c>
      <c r="C240" s="213">
        <v>1</v>
      </c>
      <c r="D240" s="287" t="s">
        <v>1614</v>
      </c>
      <c r="E240" s="213">
        <v>19</v>
      </c>
      <c r="F240" s="216" t="s">
        <v>147</v>
      </c>
      <c r="G240" s="213">
        <v>1905</v>
      </c>
      <c r="H240" s="216" t="s">
        <v>768</v>
      </c>
      <c r="I240" s="213">
        <v>1905</v>
      </c>
      <c r="J240" s="216" t="s">
        <v>1586</v>
      </c>
      <c r="K240" s="216" t="s">
        <v>1119</v>
      </c>
      <c r="L240" s="213">
        <v>1905026</v>
      </c>
      <c r="M240" s="216" t="s">
        <v>1120</v>
      </c>
      <c r="N240" s="213">
        <v>1905026</v>
      </c>
      <c r="O240" s="216" t="s">
        <v>1120</v>
      </c>
      <c r="P240" s="292">
        <v>190502600</v>
      </c>
      <c r="Q240" s="311" t="s">
        <v>1121</v>
      </c>
      <c r="R240" s="292">
        <v>190502600</v>
      </c>
      <c r="S240" s="311" t="s">
        <v>1121</v>
      </c>
      <c r="T240" s="236" t="s">
        <v>1671</v>
      </c>
      <c r="U240" s="76">
        <v>12</v>
      </c>
      <c r="V240" s="76">
        <v>12</v>
      </c>
      <c r="W240" s="236" t="s">
        <v>1116</v>
      </c>
      <c r="X240" s="214" t="s">
        <v>1117</v>
      </c>
      <c r="Y240" s="214" t="s">
        <v>1118</v>
      </c>
      <c r="Z240" s="289"/>
      <c r="AA240" s="289"/>
      <c r="AB240" s="289"/>
      <c r="AC240" s="289"/>
      <c r="AD240" s="289"/>
      <c r="AE240" s="289"/>
      <c r="AF240" s="289"/>
      <c r="AG240" s="289"/>
      <c r="AH240" s="289"/>
      <c r="AI240" s="289"/>
      <c r="AJ240" s="289"/>
      <c r="AK240" s="289"/>
      <c r="AL240" s="289">
        <v>58000000</v>
      </c>
      <c r="AM240" s="289">
        <v>46460000</v>
      </c>
      <c r="AN240" s="289">
        <v>46460000</v>
      </c>
      <c r="AO240" s="289"/>
      <c r="AP240" s="289"/>
      <c r="AQ240" s="289"/>
      <c r="AR240" s="289"/>
      <c r="AS240" s="289"/>
      <c r="AT240" s="289"/>
      <c r="AU240" s="289"/>
      <c r="AV240" s="289"/>
      <c r="AW240" s="289"/>
      <c r="AX240" s="289"/>
      <c r="AY240" s="289"/>
      <c r="AZ240" s="289"/>
      <c r="BA240" s="289"/>
      <c r="BB240" s="289"/>
      <c r="BC240" s="289"/>
      <c r="BD240" s="294"/>
      <c r="BE240" s="294"/>
      <c r="BF240" s="294"/>
      <c r="BG240" s="289"/>
      <c r="BH240" s="289"/>
      <c r="BI240" s="289"/>
      <c r="BJ240" s="323"/>
      <c r="BK240" s="323"/>
      <c r="BL240" s="323"/>
      <c r="BM240" s="323"/>
      <c r="BN240" s="323"/>
      <c r="BO240" s="323"/>
      <c r="BP240" s="273">
        <f>+Z240+AC240+AF240+AI240+AL240+AO240+AR240+AU240+AX240+BA240+BD240+BG240+BJ240</f>
        <v>58000000</v>
      </c>
      <c r="BQ240" s="273">
        <f t="shared" si="60"/>
        <v>46460000</v>
      </c>
      <c r="BR240" s="273">
        <f t="shared" si="61"/>
        <v>46460000</v>
      </c>
      <c r="BS240" s="246" t="s">
        <v>1655</v>
      </c>
      <c r="BT240" s="233"/>
    </row>
    <row r="241" spans="1:72" s="27" customFormat="1" ht="150" customHeight="1" x14ac:dyDescent="0.2">
      <c r="A241" s="217">
        <v>318</v>
      </c>
      <c r="B241" s="310" t="s">
        <v>1628</v>
      </c>
      <c r="C241" s="213">
        <v>1</v>
      </c>
      <c r="D241" s="287" t="s">
        <v>1614</v>
      </c>
      <c r="E241" s="213">
        <v>19</v>
      </c>
      <c r="F241" s="216" t="s">
        <v>147</v>
      </c>
      <c r="G241" s="213">
        <v>1905</v>
      </c>
      <c r="H241" s="216" t="s">
        <v>768</v>
      </c>
      <c r="I241" s="213">
        <v>1905</v>
      </c>
      <c r="J241" s="216" t="s">
        <v>1586</v>
      </c>
      <c r="K241" s="216" t="s">
        <v>1114</v>
      </c>
      <c r="L241" s="213">
        <v>1905027</v>
      </c>
      <c r="M241" s="216" t="s">
        <v>1122</v>
      </c>
      <c r="N241" s="213">
        <v>1905027</v>
      </c>
      <c r="O241" s="216" t="s">
        <v>1122</v>
      </c>
      <c r="P241" s="292">
        <v>190502700</v>
      </c>
      <c r="Q241" s="214" t="s">
        <v>1123</v>
      </c>
      <c r="R241" s="292">
        <v>190502700</v>
      </c>
      <c r="S241" s="214" t="s">
        <v>1123</v>
      </c>
      <c r="T241" s="236" t="s">
        <v>1671</v>
      </c>
      <c r="U241" s="76">
        <v>12</v>
      </c>
      <c r="V241" s="76">
        <v>12</v>
      </c>
      <c r="W241" s="236" t="s">
        <v>1116</v>
      </c>
      <c r="X241" s="214" t="s">
        <v>1117</v>
      </c>
      <c r="Y241" s="214" t="s">
        <v>1118</v>
      </c>
      <c r="Z241" s="289"/>
      <c r="AA241" s="289"/>
      <c r="AB241" s="289"/>
      <c r="AC241" s="289"/>
      <c r="AD241" s="289"/>
      <c r="AE241" s="289"/>
      <c r="AF241" s="289"/>
      <c r="AG241" s="289"/>
      <c r="AH241" s="289"/>
      <c r="AI241" s="289"/>
      <c r="AJ241" s="289"/>
      <c r="AK241" s="289"/>
      <c r="AL241" s="289">
        <v>75000000</v>
      </c>
      <c r="AM241" s="289">
        <v>64111333</v>
      </c>
      <c r="AN241" s="289">
        <v>64111333</v>
      </c>
      <c r="AO241" s="297"/>
      <c r="AP241" s="297"/>
      <c r="AQ241" s="297"/>
      <c r="AR241" s="289"/>
      <c r="AS241" s="289"/>
      <c r="AT241" s="289"/>
      <c r="AU241" s="289"/>
      <c r="AV241" s="289"/>
      <c r="AW241" s="289"/>
      <c r="AX241" s="289"/>
      <c r="AY241" s="289"/>
      <c r="AZ241" s="289"/>
      <c r="BA241" s="289"/>
      <c r="BB241" s="289"/>
      <c r="BC241" s="289"/>
      <c r="BD241" s="294">
        <f>20000000-13438000-6562000</f>
        <v>0</v>
      </c>
      <c r="BE241" s="294"/>
      <c r="BF241" s="294"/>
      <c r="BG241" s="289"/>
      <c r="BH241" s="289"/>
      <c r="BI241" s="289"/>
      <c r="BJ241" s="289"/>
      <c r="BK241" s="289"/>
      <c r="BL241" s="289"/>
      <c r="BM241" s="289"/>
      <c r="BN241" s="289"/>
      <c r="BO241" s="289"/>
      <c r="BP241" s="273">
        <f t="shared" si="59"/>
        <v>75000000</v>
      </c>
      <c r="BQ241" s="273">
        <f t="shared" si="60"/>
        <v>64111333</v>
      </c>
      <c r="BR241" s="273">
        <f t="shared" si="61"/>
        <v>64111333</v>
      </c>
      <c r="BS241" s="246" t="s">
        <v>1655</v>
      </c>
      <c r="BT241" s="233"/>
    </row>
    <row r="242" spans="1:72" s="27" customFormat="1" ht="108.75" customHeight="1" x14ac:dyDescent="0.2">
      <c r="A242" s="217">
        <v>318</v>
      </c>
      <c r="B242" s="310" t="s">
        <v>1628</v>
      </c>
      <c r="C242" s="213">
        <v>1</v>
      </c>
      <c r="D242" s="287" t="s">
        <v>1614</v>
      </c>
      <c r="E242" s="213">
        <v>19</v>
      </c>
      <c r="F242" s="216" t="s">
        <v>147</v>
      </c>
      <c r="G242" s="213">
        <v>1905</v>
      </c>
      <c r="H242" s="216" t="s">
        <v>768</v>
      </c>
      <c r="I242" s="213">
        <v>1905</v>
      </c>
      <c r="J242" s="216" t="s">
        <v>1586</v>
      </c>
      <c r="K242" s="216" t="s">
        <v>1124</v>
      </c>
      <c r="L242" s="213" t="s">
        <v>41</v>
      </c>
      <c r="M242" s="216" t="s">
        <v>1086</v>
      </c>
      <c r="N242" s="213" t="s">
        <v>1125</v>
      </c>
      <c r="O242" s="216" t="s">
        <v>356</v>
      </c>
      <c r="P242" s="213" t="s">
        <v>41</v>
      </c>
      <c r="Q242" s="214" t="s">
        <v>1087</v>
      </c>
      <c r="R242" s="292">
        <v>190501500</v>
      </c>
      <c r="S242" s="311" t="s">
        <v>235</v>
      </c>
      <c r="T242" s="236" t="s">
        <v>1673</v>
      </c>
      <c r="U242" s="76">
        <v>4</v>
      </c>
      <c r="V242" s="76">
        <v>2</v>
      </c>
      <c r="W242" s="236" t="s">
        <v>1126</v>
      </c>
      <c r="X242" s="214" t="s">
        <v>1127</v>
      </c>
      <c r="Y242" s="214" t="s">
        <v>1128</v>
      </c>
      <c r="Z242" s="289"/>
      <c r="AA242" s="289"/>
      <c r="AB242" s="289"/>
      <c r="AC242" s="289"/>
      <c r="AD242" s="289"/>
      <c r="AE242" s="289"/>
      <c r="AF242" s="289"/>
      <c r="AG242" s="289"/>
      <c r="AH242" s="289"/>
      <c r="AI242" s="289"/>
      <c r="AJ242" s="289"/>
      <c r="AK242" s="289"/>
      <c r="AL242" s="289">
        <v>95000000</v>
      </c>
      <c r="AM242" s="289">
        <v>93045000</v>
      </c>
      <c r="AN242" s="289">
        <v>93045000</v>
      </c>
      <c r="AO242" s="289"/>
      <c r="AP242" s="289"/>
      <c r="AQ242" s="289"/>
      <c r="AR242" s="289"/>
      <c r="AS242" s="289"/>
      <c r="AT242" s="289"/>
      <c r="AU242" s="289"/>
      <c r="AV242" s="289"/>
      <c r="AW242" s="289"/>
      <c r="AX242" s="289"/>
      <c r="AY242" s="289"/>
      <c r="AZ242" s="289"/>
      <c r="BA242" s="289"/>
      <c r="BB242" s="289"/>
      <c r="BC242" s="289"/>
      <c r="BD242" s="294"/>
      <c r="BE242" s="294"/>
      <c r="BF242" s="294"/>
      <c r="BG242" s="289"/>
      <c r="BH242" s="289"/>
      <c r="BI242" s="289"/>
      <c r="BJ242" s="289"/>
      <c r="BK242" s="289"/>
      <c r="BL242" s="289"/>
      <c r="BM242" s="289"/>
      <c r="BN242" s="289"/>
      <c r="BO242" s="289"/>
      <c r="BP242" s="273">
        <f t="shared" si="59"/>
        <v>95000000</v>
      </c>
      <c r="BQ242" s="273">
        <f t="shared" si="60"/>
        <v>93045000</v>
      </c>
      <c r="BR242" s="273">
        <f t="shared" si="61"/>
        <v>93045000</v>
      </c>
      <c r="BS242" s="246" t="s">
        <v>1655</v>
      </c>
      <c r="BT242" s="233"/>
    </row>
    <row r="243" spans="1:72" s="27" customFormat="1" ht="187.5" customHeight="1" x14ac:dyDescent="0.2">
      <c r="A243" s="217">
        <v>318</v>
      </c>
      <c r="B243" s="310" t="s">
        <v>1628</v>
      </c>
      <c r="C243" s="213">
        <v>1</v>
      </c>
      <c r="D243" s="287" t="s">
        <v>1614</v>
      </c>
      <c r="E243" s="213">
        <v>19</v>
      </c>
      <c r="F243" s="216" t="s">
        <v>147</v>
      </c>
      <c r="G243" s="213">
        <v>1905</v>
      </c>
      <c r="H243" s="216" t="s">
        <v>768</v>
      </c>
      <c r="I243" s="213">
        <v>1905</v>
      </c>
      <c r="J243" s="216" t="s">
        <v>1586</v>
      </c>
      <c r="K243" s="216" t="s">
        <v>1119</v>
      </c>
      <c r="L243" s="213">
        <v>1905026</v>
      </c>
      <c r="M243" s="216" t="s">
        <v>1120</v>
      </c>
      <c r="N243" s="213">
        <v>1905026</v>
      </c>
      <c r="O243" s="216" t="s">
        <v>1120</v>
      </c>
      <c r="P243" s="292">
        <v>190502600</v>
      </c>
      <c r="Q243" s="214" t="s">
        <v>1121</v>
      </c>
      <c r="R243" s="292">
        <v>190502600</v>
      </c>
      <c r="S243" s="311" t="s">
        <v>1121</v>
      </c>
      <c r="T243" s="236" t="s">
        <v>1671</v>
      </c>
      <c r="U243" s="213">
        <v>12</v>
      </c>
      <c r="V243" s="213">
        <v>11</v>
      </c>
      <c r="W243" s="236" t="s">
        <v>1126</v>
      </c>
      <c r="X243" s="214" t="s">
        <v>1127</v>
      </c>
      <c r="Y243" s="214" t="s">
        <v>1128</v>
      </c>
      <c r="Z243" s="289"/>
      <c r="AA243" s="289"/>
      <c r="AB243" s="289"/>
      <c r="AC243" s="289"/>
      <c r="AD243" s="289"/>
      <c r="AE243" s="289"/>
      <c r="AF243" s="289"/>
      <c r="AG243" s="289"/>
      <c r="AH243" s="289"/>
      <c r="AI243" s="289"/>
      <c r="AJ243" s="289"/>
      <c r="AK243" s="289"/>
      <c r="AL243" s="289">
        <v>96000000</v>
      </c>
      <c r="AM243" s="289">
        <v>70788833</v>
      </c>
      <c r="AN243" s="289">
        <v>70788833</v>
      </c>
      <c r="AO243" s="289"/>
      <c r="AP243" s="289"/>
      <c r="AQ243" s="289"/>
      <c r="AR243" s="297"/>
      <c r="AS243" s="297"/>
      <c r="AT243" s="297"/>
      <c r="AU243" s="289"/>
      <c r="AV243" s="289"/>
      <c r="AW243" s="289"/>
      <c r="AX243" s="289"/>
      <c r="AY243" s="289"/>
      <c r="AZ243" s="289"/>
      <c r="BA243" s="289"/>
      <c r="BB243" s="289"/>
      <c r="BC243" s="289"/>
      <c r="BD243" s="289">
        <v>130000000</v>
      </c>
      <c r="BE243" s="289">
        <v>130000000</v>
      </c>
      <c r="BF243" s="289">
        <v>130000000</v>
      </c>
      <c r="BG243" s="289"/>
      <c r="BH243" s="289"/>
      <c r="BI243" s="289"/>
      <c r="BJ243" s="289">
        <f>210707393+12219756</f>
        <v>222927149</v>
      </c>
      <c r="BK243" s="289">
        <v>216088755</v>
      </c>
      <c r="BL243" s="289">
        <v>216088755</v>
      </c>
      <c r="BM243" s="289"/>
      <c r="BN243" s="289"/>
      <c r="BO243" s="289"/>
      <c r="BP243" s="273">
        <f>+Z243+AC243+AF243+AI243+AL243+AO243+AR243+AU243+AX243+BA243+BD243+BG243+BJ243</f>
        <v>448927149</v>
      </c>
      <c r="BQ243" s="273">
        <f t="shared" si="60"/>
        <v>416877588</v>
      </c>
      <c r="BR243" s="273">
        <f t="shared" si="61"/>
        <v>416877588</v>
      </c>
      <c r="BS243" s="246" t="s">
        <v>1655</v>
      </c>
      <c r="BT243" s="233"/>
    </row>
    <row r="244" spans="1:72" s="27" customFormat="1" ht="79.5" customHeight="1" x14ac:dyDescent="0.2">
      <c r="A244" s="217">
        <v>318</v>
      </c>
      <c r="B244" s="310" t="s">
        <v>1628</v>
      </c>
      <c r="C244" s="213">
        <v>1</v>
      </c>
      <c r="D244" s="287" t="s">
        <v>1614</v>
      </c>
      <c r="E244" s="213">
        <v>19</v>
      </c>
      <c r="F244" s="216" t="s">
        <v>147</v>
      </c>
      <c r="G244" s="213">
        <v>1905</v>
      </c>
      <c r="H244" s="216" t="s">
        <v>768</v>
      </c>
      <c r="I244" s="213">
        <v>1905</v>
      </c>
      <c r="J244" s="216" t="s">
        <v>1586</v>
      </c>
      <c r="K244" s="216" t="s">
        <v>1001</v>
      </c>
      <c r="L244" s="213">
        <v>1905014</v>
      </c>
      <c r="M244" s="216" t="s">
        <v>84</v>
      </c>
      <c r="N244" s="213">
        <v>1905014</v>
      </c>
      <c r="O244" s="216" t="s">
        <v>84</v>
      </c>
      <c r="P244" s="213">
        <v>190501400</v>
      </c>
      <c r="Q244" s="214" t="s">
        <v>532</v>
      </c>
      <c r="R244" s="213">
        <v>190501400</v>
      </c>
      <c r="S244" s="214" t="s">
        <v>532</v>
      </c>
      <c r="T244" s="236" t="s">
        <v>1671</v>
      </c>
      <c r="U244" s="76">
        <v>12</v>
      </c>
      <c r="V244" s="76">
        <v>12</v>
      </c>
      <c r="W244" s="236" t="s">
        <v>1129</v>
      </c>
      <c r="X244" s="214" t="s">
        <v>1130</v>
      </c>
      <c r="Y244" s="214" t="s">
        <v>1131</v>
      </c>
      <c r="Z244" s="289"/>
      <c r="AA244" s="289"/>
      <c r="AB244" s="289"/>
      <c r="AC244" s="289"/>
      <c r="AD244" s="289"/>
      <c r="AE244" s="289"/>
      <c r="AF244" s="289"/>
      <c r="AG244" s="289"/>
      <c r="AH244" s="289"/>
      <c r="AI244" s="289"/>
      <c r="AJ244" s="289"/>
      <c r="AK244" s="289"/>
      <c r="AL244" s="289">
        <v>43000000</v>
      </c>
      <c r="AM244" s="289">
        <v>42988636</v>
      </c>
      <c r="AN244" s="289">
        <v>42988636</v>
      </c>
      <c r="AO244" s="289"/>
      <c r="AP244" s="289"/>
      <c r="AQ244" s="289"/>
      <c r="AR244" s="289"/>
      <c r="AS244" s="289"/>
      <c r="AT244" s="289"/>
      <c r="AU244" s="289"/>
      <c r="AV244" s="289"/>
      <c r="AW244" s="289"/>
      <c r="AX244" s="289"/>
      <c r="AY244" s="289"/>
      <c r="AZ244" s="289"/>
      <c r="BA244" s="289"/>
      <c r="BB244" s="289"/>
      <c r="BC244" s="289"/>
      <c r="BD244" s="294"/>
      <c r="BE244" s="294"/>
      <c r="BF244" s="294"/>
      <c r="BG244" s="289"/>
      <c r="BH244" s="289"/>
      <c r="BI244" s="289"/>
      <c r="BJ244" s="289"/>
      <c r="BK244" s="289"/>
      <c r="BL244" s="289"/>
      <c r="BM244" s="289"/>
      <c r="BN244" s="289"/>
      <c r="BO244" s="289"/>
      <c r="BP244" s="273">
        <f t="shared" si="59"/>
        <v>43000000</v>
      </c>
      <c r="BQ244" s="273">
        <f t="shared" si="60"/>
        <v>42988636</v>
      </c>
      <c r="BR244" s="273">
        <f t="shared" si="61"/>
        <v>42988636</v>
      </c>
      <c r="BS244" s="246" t="s">
        <v>1655</v>
      </c>
      <c r="BT244" s="233"/>
    </row>
    <row r="245" spans="1:72" s="27" customFormat="1" ht="166.5" customHeight="1" x14ac:dyDescent="0.2">
      <c r="A245" s="217">
        <v>318</v>
      </c>
      <c r="B245" s="310" t="s">
        <v>1628</v>
      </c>
      <c r="C245" s="213">
        <v>1</v>
      </c>
      <c r="D245" s="287" t="s">
        <v>1614</v>
      </c>
      <c r="E245" s="213">
        <v>19</v>
      </c>
      <c r="F245" s="216" t="s">
        <v>147</v>
      </c>
      <c r="G245" s="213">
        <v>1905</v>
      </c>
      <c r="H245" s="216" t="s">
        <v>768</v>
      </c>
      <c r="I245" s="213">
        <v>1905</v>
      </c>
      <c r="J245" s="216" t="s">
        <v>1586</v>
      </c>
      <c r="K245" s="216" t="s">
        <v>1119</v>
      </c>
      <c r="L245" s="292">
        <v>1905026</v>
      </c>
      <c r="M245" s="216" t="s">
        <v>1120</v>
      </c>
      <c r="N245" s="213">
        <v>1905026</v>
      </c>
      <c r="O245" s="216" t="s">
        <v>1132</v>
      </c>
      <c r="P245" s="292">
        <v>190502600</v>
      </c>
      <c r="Q245" s="214" t="s">
        <v>1121</v>
      </c>
      <c r="R245" s="292">
        <v>190502600</v>
      </c>
      <c r="S245" s="311" t="s">
        <v>1121</v>
      </c>
      <c r="T245" s="236" t="s">
        <v>1671</v>
      </c>
      <c r="U245" s="213">
        <v>12</v>
      </c>
      <c r="V245" s="213">
        <v>12</v>
      </c>
      <c r="W245" s="236" t="s">
        <v>1129</v>
      </c>
      <c r="X245" s="214" t="s">
        <v>1130</v>
      </c>
      <c r="Y245" s="214" t="s">
        <v>1131</v>
      </c>
      <c r="Z245" s="289"/>
      <c r="AA245" s="289"/>
      <c r="AB245" s="289"/>
      <c r="AC245" s="289"/>
      <c r="AD245" s="289"/>
      <c r="AE245" s="289"/>
      <c r="AF245" s="289"/>
      <c r="AG245" s="289"/>
      <c r="AH245" s="289"/>
      <c r="AI245" s="289"/>
      <c r="AJ245" s="289"/>
      <c r="AK245" s="289"/>
      <c r="AL245" s="289"/>
      <c r="AM245" s="289"/>
      <c r="AN245" s="289"/>
      <c r="AO245" s="289"/>
      <c r="AP245" s="289"/>
      <c r="AQ245" s="289"/>
      <c r="AR245" s="289"/>
      <c r="AS245" s="289"/>
      <c r="AT245" s="289"/>
      <c r="AU245" s="289"/>
      <c r="AV245" s="289"/>
      <c r="AW245" s="289"/>
      <c r="AX245" s="289"/>
      <c r="AY245" s="289"/>
      <c r="AZ245" s="289"/>
      <c r="BA245" s="289"/>
      <c r="BB245" s="289"/>
      <c r="BC245" s="289"/>
      <c r="BD245" s="294"/>
      <c r="BE245" s="294"/>
      <c r="BF245" s="294"/>
      <c r="BG245" s="289"/>
      <c r="BH245" s="289"/>
      <c r="BI245" s="289"/>
      <c r="BJ245" s="294">
        <v>179424239</v>
      </c>
      <c r="BK245" s="294">
        <v>134140833</v>
      </c>
      <c r="BL245" s="294">
        <v>134140833</v>
      </c>
      <c r="BM245" s="294"/>
      <c r="BN245" s="294"/>
      <c r="BO245" s="294"/>
      <c r="BP245" s="273">
        <f t="shared" si="59"/>
        <v>179424239</v>
      </c>
      <c r="BQ245" s="273">
        <f t="shared" si="60"/>
        <v>134140833</v>
      </c>
      <c r="BR245" s="273">
        <f t="shared" si="61"/>
        <v>134140833</v>
      </c>
      <c r="BS245" s="246" t="s">
        <v>1655</v>
      </c>
      <c r="BT245" s="233"/>
    </row>
    <row r="246" spans="1:72" s="27" customFormat="1" ht="188.25" customHeight="1" x14ac:dyDescent="0.2">
      <c r="A246" s="217">
        <v>318</v>
      </c>
      <c r="B246" s="310" t="s">
        <v>1628</v>
      </c>
      <c r="C246" s="213">
        <v>1</v>
      </c>
      <c r="D246" s="287" t="s">
        <v>1614</v>
      </c>
      <c r="E246" s="213">
        <v>19</v>
      </c>
      <c r="F246" s="216" t="s">
        <v>147</v>
      </c>
      <c r="G246" s="213">
        <v>1905</v>
      </c>
      <c r="H246" s="216" t="s">
        <v>768</v>
      </c>
      <c r="I246" s="213">
        <v>1905</v>
      </c>
      <c r="J246" s="216" t="s">
        <v>1586</v>
      </c>
      <c r="K246" s="216" t="s">
        <v>1119</v>
      </c>
      <c r="L246" s="213">
        <v>1905026</v>
      </c>
      <c r="M246" s="216" t="s">
        <v>1120</v>
      </c>
      <c r="N246" s="213">
        <v>1905026</v>
      </c>
      <c r="O246" s="216" t="s">
        <v>1120</v>
      </c>
      <c r="P246" s="292">
        <v>190502600</v>
      </c>
      <c r="Q246" s="311" t="s">
        <v>1121</v>
      </c>
      <c r="R246" s="292">
        <v>190502600</v>
      </c>
      <c r="S246" s="311" t="s">
        <v>1121</v>
      </c>
      <c r="T246" s="236" t="s">
        <v>1671</v>
      </c>
      <c r="U246" s="213">
        <v>12</v>
      </c>
      <c r="V246" s="213">
        <v>12</v>
      </c>
      <c r="W246" s="236" t="s">
        <v>1133</v>
      </c>
      <c r="X246" s="214" t="s">
        <v>1134</v>
      </c>
      <c r="Y246" s="214" t="s">
        <v>1135</v>
      </c>
      <c r="Z246" s="289"/>
      <c r="AA246" s="289"/>
      <c r="AB246" s="289"/>
      <c r="AC246" s="289"/>
      <c r="AD246" s="289"/>
      <c r="AE246" s="289"/>
      <c r="AF246" s="289"/>
      <c r="AG246" s="289"/>
      <c r="AH246" s="289"/>
      <c r="AI246" s="289"/>
      <c r="AJ246" s="289"/>
      <c r="AK246" s="289"/>
      <c r="AL246" s="289"/>
      <c r="AM246" s="289"/>
      <c r="AN246" s="289"/>
      <c r="AO246" s="354"/>
      <c r="AP246" s="354"/>
      <c r="AQ246" s="354"/>
      <c r="AR246" s="289"/>
      <c r="AS246" s="289"/>
      <c r="AT246" s="289"/>
      <c r="AU246" s="289"/>
      <c r="AV246" s="289"/>
      <c r="AW246" s="289"/>
      <c r="AX246" s="289"/>
      <c r="AY246" s="289"/>
      <c r="AZ246" s="289"/>
      <c r="BA246" s="289"/>
      <c r="BB246" s="289"/>
      <c r="BC246" s="289"/>
      <c r="BD246" s="294">
        <v>1100000000</v>
      </c>
      <c r="BE246" s="294">
        <v>1059833419</v>
      </c>
      <c r="BF246" s="294">
        <v>1059833419</v>
      </c>
      <c r="BG246" s="289"/>
      <c r="BH246" s="289"/>
      <c r="BI246" s="289"/>
      <c r="BJ246" s="289"/>
      <c r="BK246" s="289"/>
      <c r="BL246" s="289"/>
      <c r="BM246" s="289"/>
      <c r="BN246" s="289"/>
      <c r="BO246" s="289"/>
      <c r="BP246" s="273">
        <f t="shared" si="59"/>
        <v>1100000000</v>
      </c>
      <c r="BQ246" s="273">
        <f t="shared" si="60"/>
        <v>1059833419</v>
      </c>
      <c r="BR246" s="273">
        <f t="shared" si="61"/>
        <v>1059833419</v>
      </c>
      <c r="BS246" s="246" t="s">
        <v>1655</v>
      </c>
      <c r="BT246" s="233"/>
    </row>
    <row r="247" spans="1:72" s="27" customFormat="1" ht="120" customHeight="1" x14ac:dyDescent="0.2">
      <c r="A247" s="217">
        <v>318</v>
      </c>
      <c r="B247" s="310" t="s">
        <v>1628</v>
      </c>
      <c r="C247" s="213">
        <v>1</v>
      </c>
      <c r="D247" s="287" t="s">
        <v>1614</v>
      </c>
      <c r="E247" s="213">
        <v>19</v>
      </c>
      <c r="F247" s="216" t="s">
        <v>147</v>
      </c>
      <c r="G247" s="213">
        <v>1905</v>
      </c>
      <c r="H247" s="216" t="s">
        <v>768</v>
      </c>
      <c r="I247" s="213">
        <v>1905</v>
      </c>
      <c r="J247" s="216" t="s">
        <v>1586</v>
      </c>
      <c r="K247" s="216" t="s">
        <v>1008</v>
      </c>
      <c r="L247" s="213">
        <v>1905029</v>
      </c>
      <c r="M247" s="216" t="s">
        <v>1136</v>
      </c>
      <c r="N247" s="213">
        <v>1905030</v>
      </c>
      <c r="O247" s="216" t="s">
        <v>1137</v>
      </c>
      <c r="P247" s="76">
        <v>190502900</v>
      </c>
      <c r="Q247" s="311" t="s">
        <v>1138</v>
      </c>
      <c r="R247" s="292">
        <v>190503000</v>
      </c>
      <c r="S247" s="311" t="s">
        <v>1138</v>
      </c>
      <c r="T247" s="236" t="s">
        <v>1671</v>
      </c>
      <c r="U247" s="76">
        <v>60</v>
      </c>
      <c r="V247" s="76">
        <v>57</v>
      </c>
      <c r="W247" s="236" t="s">
        <v>1139</v>
      </c>
      <c r="X247" s="214" t="s">
        <v>1140</v>
      </c>
      <c r="Y247" s="214" t="s">
        <v>1141</v>
      </c>
      <c r="Z247" s="289"/>
      <c r="AA247" s="289"/>
      <c r="AB247" s="289"/>
      <c r="AC247" s="289"/>
      <c r="AD247" s="289"/>
      <c r="AE247" s="289"/>
      <c r="AF247" s="289"/>
      <c r="AG247" s="289"/>
      <c r="AH247" s="289"/>
      <c r="AI247" s="289"/>
      <c r="AJ247" s="289"/>
      <c r="AK247" s="289"/>
      <c r="AL247" s="289">
        <v>20000000</v>
      </c>
      <c r="AM247" s="289">
        <v>19906500</v>
      </c>
      <c r="AN247" s="289">
        <v>19906500</v>
      </c>
      <c r="AO247" s="289"/>
      <c r="AP247" s="289"/>
      <c r="AQ247" s="289"/>
      <c r="AR247" s="289"/>
      <c r="AS247" s="289"/>
      <c r="AT247" s="289"/>
      <c r="AU247" s="289"/>
      <c r="AV247" s="289"/>
      <c r="AW247" s="289"/>
      <c r="AX247" s="289"/>
      <c r="AY247" s="289"/>
      <c r="AZ247" s="289"/>
      <c r="BA247" s="289"/>
      <c r="BB247" s="289"/>
      <c r="BC247" s="289"/>
      <c r="BD247" s="294"/>
      <c r="BE247" s="294"/>
      <c r="BF247" s="294"/>
      <c r="BG247" s="289"/>
      <c r="BH247" s="289"/>
      <c r="BI247" s="289"/>
      <c r="BJ247" s="289"/>
      <c r="BK247" s="289"/>
      <c r="BL247" s="289"/>
      <c r="BM247" s="289"/>
      <c r="BN247" s="289"/>
      <c r="BO247" s="289"/>
      <c r="BP247" s="273">
        <f t="shared" si="59"/>
        <v>20000000</v>
      </c>
      <c r="BQ247" s="273">
        <f t="shared" si="60"/>
        <v>19906500</v>
      </c>
      <c r="BR247" s="273">
        <f t="shared" si="61"/>
        <v>19906500</v>
      </c>
      <c r="BS247" s="246" t="s">
        <v>1655</v>
      </c>
      <c r="BT247" s="233"/>
    </row>
    <row r="248" spans="1:72" s="27" customFormat="1" ht="93.75" customHeight="1" x14ac:dyDescent="0.2">
      <c r="A248" s="217">
        <v>318</v>
      </c>
      <c r="B248" s="310" t="s">
        <v>1628</v>
      </c>
      <c r="C248" s="213">
        <v>1</v>
      </c>
      <c r="D248" s="287" t="s">
        <v>1614</v>
      </c>
      <c r="E248" s="213">
        <v>19</v>
      </c>
      <c r="F248" s="216" t="s">
        <v>147</v>
      </c>
      <c r="G248" s="213">
        <v>1905</v>
      </c>
      <c r="H248" s="216" t="s">
        <v>768</v>
      </c>
      <c r="I248" s="213">
        <v>1905</v>
      </c>
      <c r="J248" s="216" t="s">
        <v>1586</v>
      </c>
      <c r="K248" s="216" t="s">
        <v>1048</v>
      </c>
      <c r="L248" s="213">
        <v>1905025</v>
      </c>
      <c r="M248" s="216" t="s">
        <v>1142</v>
      </c>
      <c r="N248" s="213">
        <v>1905025</v>
      </c>
      <c r="O248" s="216" t="s">
        <v>1142</v>
      </c>
      <c r="P248" s="292">
        <v>190502500</v>
      </c>
      <c r="Q248" s="311" t="s">
        <v>1143</v>
      </c>
      <c r="R248" s="292">
        <v>190502500</v>
      </c>
      <c r="S248" s="311" t="s">
        <v>1143</v>
      </c>
      <c r="T248" s="236" t="s">
        <v>1671</v>
      </c>
      <c r="U248" s="76">
        <v>12</v>
      </c>
      <c r="V248" s="76">
        <v>12</v>
      </c>
      <c r="W248" s="236" t="s">
        <v>1144</v>
      </c>
      <c r="X248" s="214" t="s">
        <v>1145</v>
      </c>
      <c r="Y248" s="214" t="s">
        <v>1146</v>
      </c>
      <c r="Z248" s="289"/>
      <c r="AA248" s="289"/>
      <c r="AB248" s="289"/>
      <c r="AC248" s="289"/>
      <c r="AD248" s="289"/>
      <c r="AE248" s="289"/>
      <c r="AF248" s="289"/>
      <c r="AG248" s="289"/>
      <c r="AH248" s="289"/>
      <c r="AI248" s="289"/>
      <c r="AJ248" s="289"/>
      <c r="AK248" s="289"/>
      <c r="AL248" s="289">
        <v>84414100</v>
      </c>
      <c r="AM248" s="289">
        <v>82799499</v>
      </c>
      <c r="AN248" s="289">
        <v>82799499</v>
      </c>
      <c r="AO248" s="289"/>
      <c r="AP248" s="289"/>
      <c r="AQ248" s="289"/>
      <c r="AR248" s="289"/>
      <c r="AS248" s="289"/>
      <c r="AT248" s="289"/>
      <c r="AU248" s="289"/>
      <c r="AV248" s="289"/>
      <c r="AW248" s="289"/>
      <c r="AX248" s="289"/>
      <c r="AY248" s="289"/>
      <c r="AZ248" s="289"/>
      <c r="BA248" s="289"/>
      <c r="BB248" s="289"/>
      <c r="BC248" s="289"/>
      <c r="BD248" s="294"/>
      <c r="BE248" s="294"/>
      <c r="BF248" s="294"/>
      <c r="BG248" s="289"/>
      <c r="BH248" s="289"/>
      <c r="BI248" s="289"/>
      <c r="BJ248" s="289"/>
      <c r="BK248" s="289"/>
      <c r="BL248" s="289"/>
      <c r="BM248" s="289"/>
      <c r="BN248" s="289"/>
      <c r="BO248" s="289"/>
      <c r="BP248" s="273">
        <f t="shared" si="59"/>
        <v>84414100</v>
      </c>
      <c r="BQ248" s="273">
        <f t="shared" si="60"/>
        <v>82799499</v>
      </c>
      <c r="BR248" s="273">
        <f t="shared" si="61"/>
        <v>82799499</v>
      </c>
      <c r="BS248" s="246" t="s">
        <v>1655</v>
      </c>
      <c r="BT248" s="233"/>
    </row>
    <row r="249" spans="1:72" s="27" customFormat="1" ht="86.25" customHeight="1" x14ac:dyDescent="0.2">
      <c r="A249" s="217">
        <v>318</v>
      </c>
      <c r="B249" s="310" t="s">
        <v>1628</v>
      </c>
      <c r="C249" s="213">
        <v>1</v>
      </c>
      <c r="D249" s="287" t="s">
        <v>1614</v>
      </c>
      <c r="E249" s="213">
        <v>19</v>
      </c>
      <c r="F249" s="216" t="s">
        <v>147</v>
      </c>
      <c r="G249" s="213">
        <v>1905</v>
      </c>
      <c r="H249" s="216" t="s">
        <v>768</v>
      </c>
      <c r="I249" s="213">
        <v>1905</v>
      </c>
      <c r="J249" s="216" t="s">
        <v>1586</v>
      </c>
      <c r="K249" s="216" t="s">
        <v>1012</v>
      </c>
      <c r="L249" s="213">
        <v>1905015</v>
      </c>
      <c r="M249" s="216" t="s">
        <v>233</v>
      </c>
      <c r="N249" s="213">
        <v>1905015</v>
      </c>
      <c r="O249" s="216" t="s">
        <v>233</v>
      </c>
      <c r="P249" s="213">
        <v>190501503</v>
      </c>
      <c r="Q249" s="214" t="s">
        <v>1147</v>
      </c>
      <c r="R249" s="213">
        <v>190501503</v>
      </c>
      <c r="S249" s="214" t="s">
        <v>1147</v>
      </c>
      <c r="T249" s="236" t="s">
        <v>1671</v>
      </c>
      <c r="U249" s="76">
        <v>15</v>
      </c>
      <c r="V249" s="76">
        <v>12</v>
      </c>
      <c r="W249" s="236" t="s">
        <v>1148</v>
      </c>
      <c r="X249" s="214" t="s">
        <v>1149</v>
      </c>
      <c r="Y249" s="214" t="s">
        <v>1150</v>
      </c>
      <c r="Z249" s="289"/>
      <c r="AA249" s="289"/>
      <c r="AB249" s="289"/>
      <c r="AC249" s="289"/>
      <c r="AD249" s="289"/>
      <c r="AE249" s="289"/>
      <c r="AF249" s="289"/>
      <c r="AG249" s="289"/>
      <c r="AH249" s="289"/>
      <c r="AI249" s="289">
        <f>100000000-100000000</f>
        <v>0</v>
      </c>
      <c r="AJ249" s="289"/>
      <c r="AK249" s="289"/>
      <c r="AL249" s="322">
        <v>320000000</v>
      </c>
      <c r="AM249" s="322">
        <v>308460000</v>
      </c>
      <c r="AN249" s="322">
        <v>308460000</v>
      </c>
      <c r="AO249" s="289"/>
      <c r="AP249" s="289"/>
      <c r="AQ249" s="289"/>
      <c r="AR249" s="289"/>
      <c r="AS249" s="289"/>
      <c r="AT249" s="289"/>
      <c r="AU249" s="289"/>
      <c r="AV249" s="289"/>
      <c r="AW249" s="289"/>
      <c r="AX249" s="289"/>
      <c r="AY249" s="289"/>
      <c r="AZ249" s="289"/>
      <c r="BA249" s="289"/>
      <c r="BB249" s="289"/>
      <c r="BC249" s="289"/>
      <c r="BD249" s="294"/>
      <c r="BE249" s="294"/>
      <c r="BF249" s="294"/>
      <c r="BG249" s="289"/>
      <c r="BH249" s="289"/>
      <c r="BI249" s="289"/>
      <c r="BJ249" s="289"/>
      <c r="BK249" s="289"/>
      <c r="BL249" s="289"/>
      <c r="BM249" s="289"/>
      <c r="BN249" s="289"/>
      <c r="BO249" s="289"/>
      <c r="BP249" s="273">
        <f t="shared" si="59"/>
        <v>320000000</v>
      </c>
      <c r="BQ249" s="273">
        <f t="shared" si="60"/>
        <v>308460000</v>
      </c>
      <c r="BR249" s="273">
        <f t="shared" si="61"/>
        <v>308460000</v>
      </c>
      <c r="BS249" s="246" t="s">
        <v>1655</v>
      </c>
      <c r="BT249" s="233"/>
    </row>
    <row r="250" spans="1:72" s="27" customFormat="1" ht="63.75" customHeight="1" x14ac:dyDescent="0.2">
      <c r="A250" s="217">
        <v>318</v>
      </c>
      <c r="B250" s="310" t="s">
        <v>1628</v>
      </c>
      <c r="C250" s="213">
        <v>1</v>
      </c>
      <c r="D250" s="287" t="s">
        <v>1614</v>
      </c>
      <c r="E250" s="213">
        <v>19</v>
      </c>
      <c r="F250" s="216" t="s">
        <v>147</v>
      </c>
      <c r="G250" s="213">
        <v>1905</v>
      </c>
      <c r="H250" s="216" t="s">
        <v>768</v>
      </c>
      <c r="I250" s="213">
        <v>1905</v>
      </c>
      <c r="J250" s="216" t="s">
        <v>1586</v>
      </c>
      <c r="K250" s="216" t="s">
        <v>1151</v>
      </c>
      <c r="L250" s="213" t="s">
        <v>41</v>
      </c>
      <c r="M250" s="216" t="s">
        <v>1152</v>
      </c>
      <c r="N250" s="213" t="s">
        <v>1153</v>
      </c>
      <c r="O250" s="216" t="s">
        <v>1154</v>
      </c>
      <c r="P250" s="213" t="s">
        <v>41</v>
      </c>
      <c r="Q250" s="214" t="s">
        <v>1155</v>
      </c>
      <c r="R250" s="213" t="s">
        <v>1156</v>
      </c>
      <c r="S250" s="214" t="s">
        <v>1157</v>
      </c>
      <c r="T250" s="236" t="s">
        <v>1671</v>
      </c>
      <c r="U250" s="76">
        <v>1</v>
      </c>
      <c r="V250" s="76">
        <v>1</v>
      </c>
      <c r="W250" s="236" t="s">
        <v>1158</v>
      </c>
      <c r="X250" s="214" t="s">
        <v>1159</v>
      </c>
      <c r="Y250" s="214" t="s">
        <v>1160</v>
      </c>
      <c r="Z250" s="289"/>
      <c r="AA250" s="289"/>
      <c r="AB250" s="289"/>
      <c r="AC250" s="289"/>
      <c r="AD250" s="289"/>
      <c r="AE250" s="289"/>
      <c r="AF250" s="289"/>
      <c r="AG250" s="289"/>
      <c r="AH250" s="289"/>
      <c r="AI250" s="289"/>
      <c r="AJ250" s="289"/>
      <c r="AK250" s="289"/>
      <c r="AL250" s="289"/>
      <c r="AM250" s="289"/>
      <c r="AN250" s="289"/>
      <c r="AO250" s="356"/>
      <c r="AP250" s="356"/>
      <c r="AQ250" s="356"/>
      <c r="AR250" s="289"/>
      <c r="AS250" s="289"/>
      <c r="AT250" s="289"/>
      <c r="AU250" s="289"/>
      <c r="AV250" s="289"/>
      <c r="AW250" s="289"/>
      <c r="AX250" s="289"/>
      <c r="AY250" s="289"/>
      <c r="AZ250" s="289"/>
      <c r="BA250" s="289"/>
      <c r="BB250" s="289"/>
      <c r="BC250" s="289"/>
      <c r="BD250" s="294">
        <v>321904376</v>
      </c>
      <c r="BE250" s="294">
        <v>302979740</v>
      </c>
      <c r="BF250" s="294">
        <v>302979740</v>
      </c>
      <c r="BG250" s="289"/>
      <c r="BH250" s="289"/>
      <c r="BI250" s="289"/>
      <c r="BJ250" s="289"/>
      <c r="BK250" s="289"/>
      <c r="BL250" s="289"/>
      <c r="BM250" s="289"/>
      <c r="BN250" s="289"/>
      <c r="BO250" s="289"/>
      <c r="BP250" s="273">
        <f t="shared" si="59"/>
        <v>321904376</v>
      </c>
      <c r="BQ250" s="273">
        <f t="shared" si="60"/>
        <v>302979740</v>
      </c>
      <c r="BR250" s="273">
        <f t="shared" si="61"/>
        <v>302979740</v>
      </c>
      <c r="BS250" s="246" t="s">
        <v>1655</v>
      </c>
      <c r="BT250" s="233"/>
    </row>
    <row r="251" spans="1:72" s="27" customFormat="1" ht="88.5" customHeight="1" x14ac:dyDescent="0.2">
      <c r="A251" s="217">
        <v>318</v>
      </c>
      <c r="B251" s="310" t="s">
        <v>1628</v>
      </c>
      <c r="C251" s="213">
        <v>1</v>
      </c>
      <c r="D251" s="287" t="s">
        <v>1614</v>
      </c>
      <c r="E251" s="213">
        <v>19</v>
      </c>
      <c r="F251" s="216" t="s">
        <v>147</v>
      </c>
      <c r="G251" s="213">
        <v>1905</v>
      </c>
      <c r="H251" s="216" t="s">
        <v>768</v>
      </c>
      <c r="I251" s="213">
        <v>1905</v>
      </c>
      <c r="J251" s="216" t="s">
        <v>1586</v>
      </c>
      <c r="K251" s="216" t="s">
        <v>995</v>
      </c>
      <c r="L251" s="217">
        <v>1905031</v>
      </c>
      <c r="M251" s="216" t="s">
        <v>1067</v>
      </c>
      <c r="N251" s="217">
        <v>1905031</v>
      </c>
      <c r="O251" s="216" t="s">
        <v>1067</v>
      </c>
      <c r="P251" s="217">
        <v>190503100</v>
      </c>
      <c r="Q251" s="214" t="s">
        <v>1068</v>
      </c>
      <c r="R251" s="213">
        <v>190503100</v>
      </c>
      <c r="S251" s="214" t="s">
        <v>1068</v>
      </c>
      <c r="T251" s="236" t="s">
        <v>1671</v>
      </c>
      <c r="U251" s="76">
        <v>12</v>
      </c>
      <c r="V251" s="76">
        <v>11</v>
      </c>
      <c r="W251" s="236" t="s">
        <v>1161</v>
      </c>
      <c r="X251" s="214" t="s">
        <v>1162</v>
      </c>
      <c r="Y251" s="214" t="s">
        <v>1163</v>
      </c>
      <c r="Z251" s="289"/>
      <c r="AA251" s="289"/>
      <c r="AB251" s="289"/>
      <c r="AC251" s="289"/>
      <c r="AD251" s="289"/>
      <c r="AE251" s="289"/>
      <c r="AF251" s="289"/>
      <c r="AG251" s="289"/>
      <c r="AH251" s="289"/>
      <c r="AI251" s="289"/>
      <c r="AJ251" s="289"/>
      <c r="AK251" s="289"/>
      <c r="AL251" s="289">
        <f>1263850000+433334276.49+63682049</f>
        <v>1760866325.49</v>
      </c>
      <c r="AM251" s="289">
        <v>1199652532</v>
      </c>
      <c r="AN251" s="289">
        <v>1199652532</v>
      </c>
      <c r="AO251" s="289"/>
      <c r="AP251" s="289"/>
      <c r="AQ251" s="289"/>
      <c r="AR251" s="289"/>
      <c r="AS251" s="289"/>
      <c r="AT251" s="289"/>
      <c r="AU251" s="289"/>
      <c r="AV251" s="289"/>
      <c r="AW251" s="289"/>
      <c r="AX251" s="289"/>
      <c r="AY251" s="289"/>
      <c r="AZ251" s="289"/>
      <c r="BA251" s="289"/>
      <c r="BB251" s="289"/>
      <c r="BC251" s="289"/>
      <c r="BD251" s="294"/>
      <c r="BE251" s="294"/>
      <c r="BF251" s="294"/>
      <c r="BG251" s="289"/>
      <c r="BH251" s="289"/>
      <c r="BI251" s="289"/>
      <c r="BJ251" s="289"/>
      <c r="BK251" s="289"/>
      <c r="BL251" s="289"/>
      <c r="BM251" s="289"/>
      <c r="BN251" s="289"/>
      <c r="BO251" s="289"/>
      <c r="BP251" s="273">
        <f t="shared" si="59"/>
        <v>1760866325.49</v>
      </c>
      <c r="BQ251" s="273">
        <f t="shared" si="60"/>
        <v>1199652532</v>
      </c>
      <c r="BR251" s="273">
        <f t="shared" si="61"/>
        <v>1199652532</v>
      </c>
      <c r="BS251" s="246" t="s">
        <v>1655</v>
      </c>
      <c r="BT251" s="233"/>
    </row>
    <row r="252" spans="1:72" s="27" customFormat="1" ht="93" customHeight="1" x14ac:dyDescent="0.2">
      <c r="A252" s="217">
        <v>318</v>
      </c>
      <c r="B252" s="310" t="s">
        <v>1628</v>
      </c>
      <c r="C252" s="213">
        <v>1</v>
      </c>
      <c r="D252" s="287" t="s">
        <v>1614</v>
      </c>
      <c r="E252" s="213">
        <v>19</v>
      </c>
      <c r="F252" s="216" t="s">
        <v>147</v>
      </c>
      <c r="G252" s="213">
        <v>1906</v>
      </c>
      <c r="H252" s="216" t="s">
        <v>1557</v>
      </c>
      <c r="I252" s="213">
        <v>1906</v>
      </c>
      <c r="J252" s="216" t="s">
        <v>1558</v>
      </c>
      <c r="K252" s="216" t="s">
        <v>1048</v>
      </c>
      <c r="L252" s="213">
        <v>1906032</v>
      </c>
      <c r="M252" s="216" t="s">
        <v>1164</v>
      </c>
      <c r="N252" s="213">
        <v>1906032</v>
      </c>
      <c r="O252" s="216" t="s">
        <v>1164</v>
      </c>
      <c r="P252" s="292">
        <v>190603200</v>
      </c>
      <c r="Q252" s="214" t="s">
        <v>1165</v>
      </c>
      <c r="R252" s="292">
        <v>190603200</v>
      </c>
      <c r="S252" s="216" t="s">
        <v>1165</v>
      </c>
      <c r="T252" s="236" t="s">
        <v>1673</v>
      </c>
      <c r="U252" s="76">
        <v>1500</v>
      </c>
      <c r="V252" s="76">
        <v>21885</v>
      </c>
      <c r="W252" s="236" t="s">
        <v>1166</v>
      </c>
      <c r="X252" s="214" t="s">
        <v>1167</v>
      </c>
      <c r="Y252" s="214" t="s">
        <v>1168</v>
      </c>
      <c r="Z252" s="289"/>
      <c r="AA252" s="289"/>
      <c r="AB252" s="289"/>
      <c r="AC252" s="289"/>
      <c r="AD252" s="289"/>
      <c r="AE252" s="289"/>
      <c r="AF252" s="289"/>
      <c r="AG252" s="289"/>
      <c r="AH252" s="289"/>
      <c r="AI252" s="289"/>
      <c r="AJ252" s="289"/>
      <c r="AK252" s="289"/>
      <c r="AL252" s="289"/>
      <c r="AM252" s="289"/>
      <c r="AN252" s="289"/>
      <c r="AO252" s="322">
        <v>0</v>
      </c>
      <c r="AP252" s="322"/>
      <c r="AQ252" s="322"/>
      <c r="AR252" s="289"/>
      <c r="AS252" s="289"/>
      <c r="AT252" s="289"/>
      <c r="AU252" s="289"/>
      <c r="AV252" s="289"/>
      <c r="AW252" s="289"/>
      <c r="AX252" s="289"/>
      <c r="AY252" s="289"/>
      <c r="AZ252" s="289"/>
      <c r="BA252" s="289"/>
      <c r="BB252" s="289"/>
      <c r="BC252" s="289"/>
      <c r="BD252" s="294"/>
      <c r="BE252" s="294"/>
      <c r="BF252" s="294"/>
      <c r="BG252" s="289"/>
      <c r="BH252" s="289"/>
      <c r="BI252" s="289"/>
      <c r="BJ252" s="289"/>
      <c r="BK252" s="289"/>
      <c r="BL252" s="289"/>
      <c r="BM252" s="289"/>
      <c r="BN252" s="289"/>
      <c r="BO252" s="289"/>
      <c r="BP252" s="273">
        <f t="shared" si="59"/>
        <v>0</v>
      </c>
      <c r="BQ252" s="273">
        <f t="shared" ref="BQ252:BQ261" si="62">+AA252+AD252+AG252+AJ252+AM252+AP252+AS252+AV252+AY252+BB252+BE252+BH252+BK252</f>
        <v>0</v>
      </c>
      <c r="BR252" s="273">
        <f t="shared" ref="BR252:BR261" si="63">+AB252+AE252+AH252+AK252+AN252+AQ252+AT252+AW252+AZ252+BC252+BF252+BI252+BL252</f>
        <v>0</v>
      </c>
      <c r="BS252" s="246" t="s">
        <v>1655</v>
      </c>
      <c r="BT252" s="233"/>
    </row>
    <row r="253" spans="1:72" s="27" customFormat="1" ht="87.75" customHeight="1" x14ac:dyDescent="0.2">
      <c r="A253" s="217">
        <v>318</v>
      </c>
      <c r="B253" s="310" t="s">
        <v>1628</v>
      </c>
      <c r="C253" s="213">
        <v>1</v>
      </c>
      <c r="D253" s="287" t="s">
        <v>1614</v>
      </c>
      <c r="E253" s="213">
        <v>19</v>
      </c>
      <c r="F253" s="216" t="s">
        <v>147</v>
      </c>
      <c r="G253" s="213">
        <v>1906</v>
      </c>
      <c r="H253" s="216" t="s">
        <v>1557</v>
      </c>
      <c r="I253" s="213">
        <v>1906</v>
      </c>
      <c r="J253" s="216" t="s">
        <v>1558</v>
      </c>
      <c r="K253" s="216" t="s">
        <v>1169</v>
      </c>
      <c r="L253" s="213" t="s">
        <v>41</v>
      </c>
      <c r="M253" s="216" t="s">
        <v>1170</v>
      </c>
      <c r="N253" s="213">
        <v>1906023</v>
      </c>
      <c r="O253" s="216" t="s">
        <v>1171</v>
      </c>
      <c r="P253" s="213" t="s">
        <v>41</v>
      </c>
      <c r="Q253" s="214" t="s">
        <v>1172</v>
      </c>
      <c r="R253" s="213">
        <v>190602300</v>
      </c>
      <c r="S253" s="216" t="s">
        <v>1173</v>
      </c>
      <c r="T253" s="236" t="s">
        <v>1671</v>
      </c>
      <c r="U253" s="76">
        <v>19899</v>
      </c>
      <c r="V253" s="76">
        <v>249405</v>
      </c>
      <c r="W253" s="236" t="s">
        <v>1166</v>
      </c>
      <c r="X253" s="214" t="s">
        <v>1167</v>
      </c>
      <c r="Y253" s="214" t="s">
        <v>1168</v>
      </c>
      <c r="Z253" s="289"/>
      <c r="AA253" s="289"/>
      <c r="AB253" s="289"/>
      <c r="AC253" s="289"/>
      <c r="AD253" s="289"/>
      <c r="AE253" s="289"/>
      <c r="AF253" s="289"/>
      <c r="AG253" s="289"/>
      <c r="AH253" s="289"/>
      <c r="AI253" s="289"/>
      <c r="AJ253" s="289"/>
      <c r="AK253" s="289"/>
      <c r="AL253" s="289"/>
      <c r="AM253" s="289"/>
      <c r="AN253" s="289"/>
      <c r="AO253" s="322">
        <f>31408028135-56769013+473448217.47+3249295760.63</f>
        <v>35074003100.099998</v>
      </c>
      <c r="AP253" s="322">
        <v>35074003100.099998</v>
      </c>
      <c r="AQ253" s="322">
        <v>35074003100.099998</v>
      </c>
      <c r="AR253" s="289"/>
      <c r="AS253" s="289"/>
      <c r="AT253" s="289"/>
      <c r="AU253" s="289"/>
      <c r="AV253" s="289"/>
      <c r="AW253" s="289"/>
      <c r="AX253" s="289"/>
      <c r="AY253" s="289"/>
      <c r="AZ253" s="289"/>
      <c r="BA253" s="289"/>
      <c r="BB253" s="289"/>
      <c r="BC253" s="289"/>
      <c r="BD253" s="294">
        <v>0</v>
      </c>
      <c r="BE253" s="294"/>
      <c r="BF253" s="294"/>
      <c r="BG253" s="289"/>
      <c r="BH253" s="289"/>
      <c r="BI253" s="289"/>
      <c r="BJ253" s="289"/>
      <c r="BK253" s="289"/>
      <c r="BL253" s="289"/>
      <c r="BM253" s="289"/>
      <c r="BN253" s="289"/>
      <c r="BO253" s="289"/>
      <c r="BP253" s="273">
        <f>+Z253+AC253+AF253+AI253+AL253+AO253+AR253+AU253+AX253+BA253+BD253+BG253+BJ253</f>
        <v>35074003100.099998</v>
      </c>
      <c r="BQ253" s="273">
        <f t="shared" si="62"/>
        <v>35074003100.099998</v>
      </c>
      <c r="BR253" s="273">
        <f t="shared" si="63"/>
        <v>35074003100.099998</v>
      </c>
      <c r="BS253" s="246" t="s">
        <v>1655</v>
      </c>
      <c r="BT253" s="233"/>
    </row>
    <row r="254" spans="1:72" s="27" customFormat="1" ht="83.25" customHeight="1" x14ac:dyDescent="0.2">
      <c r="A254" s="217">
        <v>318</v>
      </c>
      <c r="B254" s="310" t="s">
        <v>1628</v>
      </c>
      <c r="C254" s="213">
        <v>1</v>
      </c>
      <c r="D254" s="287" t="s">
        <v>1614</v>
      </c>
      <c r="E254" s="213">
        <v>19</v>
      </c>
      <c r="F254" s="216" t="s">
        <v>147</v>
      </c>
      <c r="G254" s="213">
        <v>1906</v>
      </c>
      <c r="H254" s="216" t="s">
        <v>1557</v>
      </c>
      <c r="I254" s="213">
        <v>1906</v>
      </c>
      <c r="J254" s="216" t="s">
        <v>1558</v>
      </c>
      <c r="K254" s="216" t="s">
        <v>1169</v>
      </c>
      <c r="L254" s="213" t="s">
        <v>41</v>
      </c>
      <c r="M254" s="216" t="s">
        <v>1174</v>
      </c>
      <c r="N254" s="213">
        <v>1906023</v>
      </c>
      <c r="O254" s="216" t="s">
        <v>1171</v>
      </c>
      <c r="P254" s="213" t="s">
        <v>41</v>
      </c>
      <c r="Q254" s="214" t="s">
        <v>1175</v>
      </c>
      <c r="R254" s="292">
        <v>190602301</v>
      </c>
      <c r="S254" s="311" t="s">
        <v>1176</v>
      </c>
      <c r="T254" s="236" t="s">
        <v>1671</v>
      </c>
      <c r="U254" s="76">
        <v>60</v>
      </c>
      <c r="V254" s="76">
        <v>51</v>
      </c>
      <c r="W254" s="236" t="s">
        <v>1177</v>
      </c>
      <c r="X254" s="214" t="s">
        <v>1660</v>
      </c>
      <c r="Y254" s="214" t="s">
        <v>1178</v>
      </c>
      <c r="Z254" s="289"/>
      <c r="AA254" s="289"/>
      <c r="AB254" s="289"/>
      <c r="AC254" s="289"/>
      <c r="AD254" s="289"/>
      <c r="AE254" s="289"/>
      <c r="AF254" s="289"/>
      <c r="AG254" s="289"/>
      <c r="AH254" s="289"/>
      <c r="AI254" s="289"/>
      <c r="AJ254" s="289"/>
      <c r="AK254" s="289"/>
      <c r="AL254" s="289"/>
      <c r="AM254" s="289"/>
      <c r="AN254" s="289"/>
      <c r="AO254" s="322">
        <f>115688008-54899687</f>
        <v>60788321</v>
      </c>
      <c r="AP254" s="322"/>
      <c r="AQ254" s="322"/>
      <c r="AR254" s="289"/>
      <c r="AS254" s="289"/>
      <c r="AT254" s="289"/>
      <c r="AU254" s="289"/>
      <c r="AV254" s="289"/>
      <c r="AW254" s="289"/>
      <c r="AX254" s="289"/>
      <c r="AY254" s="289"/>
      <c r="AZ254" s="289"/>
      <c r="BA254" s="289"/>
      <c r="BB254" s="289"/>
      <c r="BC254" s="289"/>
      <c r="BD254" s="294">
        <v>1449459132</v>
      </c>
      <c r="BE254" s="294">
        <v>1380978948</v>
      </c>
      <c r="BF254" s="294">
        <v>1380978948</v>
      </c>
      <c r="BG254" s="289"/>
      <c r="BH254" s="289"/>
      <c r="BI254" s="289"/>
      <c r="BJ254" s="289">
        <f>1361612640+709077292</f>
        <v>2070689932</v>
      </c>
      <c r="BK254" s="289">
        <v>1747904004</v>
      </c>
      <c r="BL254" s="289">
        <v>1747904004</v>
      </c>
      <c r="BM254" s="289"/>
      <c r="BN254" s="289"/>
      <c r="BO254" s="289"/>
      <c r="BP254" s="273">
        <f t="shared" si="59"/>
        <v>3580937385</v>
      </c>
      <c r="BQ254" s="273">
        <f>+AA254+AD254+AG254+AJ254+AM254+AP254+AS254+AV254+AY254+BB254+BE254+BH254+BK254</f>
        <v>3128882952</v>
      </c>
      <c r="BR254" s="273">
        <f t="shared" si="63"/>
        <v>3128882952</v>
      </c>
      <c r="BS254" s="246" t="s">
        <v>1655</v>
      </c>
      <c r="BT254" s="233"/>
    </row>
    <row r="255" spans="1:72" s="27" customFormat="1" ht="147" customHeight="1" x14ac:dyDescent="0.2">
      <c r="A255" s="217">
        <v>318</v>
      </c>
      <c r="B255" s="310" t="s">
        <v>1628</v>
      </c>
      <c r="C255" s="213">
        <v>1</v>
      </c>
      <c r="D255" s="287" t="s">
        <v>1614</v>
      </c>
      <c r="E255" s="213">
        <v>19</v>
      </c>
      <c r="F255" s="216" t="s">
        <v>147</v>
      </c>
      <c r="G255" s="213">
        <v>1906</v>
      </c>
      <c r="H255" s="216" t="s">
        <v>1557</v>
      </c>
      <c r="I255" s="213">
        <v>1906</v>
      </c>
      <c r="J255" s="216" t="s">
        <v>1558</v>
      </c>
      <c r="K255" s="216" t="s">
        <v>1169</v>
      </c>
      <c r="L255" s="213" t="s">
        <v>41</v>
      </c>
      <c r="M255" s="216" t="s">
        <v>1179</v>
      </c>
      <c r="N255" s="213">
        <v>1906025</v>
      </c>
      <c r="O255" s="216" t="s">
        <v>1180</v>
      </c>
      <c r="P255" s="213" t="s">
        <v>41</v>
      </c>
      <c r="Q255" s="214" t="s">
        <v>1181</v>
      </c>
      <c r="R255" s="213">
        <v>190602500</v>
      </c>
      <c r="S255" s="216" t="s">
        <v>1182</v>
      </c>
      <c r="T255" s="236" t="s">
        <v>1671</v>
      </c>
      <c r="U255" s="76">
        <v>100</v>
      </c>
      <c r="V255" s="76">
        <v>100</v>
      </c>
      <c r="W255" s="236" t="s">
        <v>1177</v>
      </c>
      <c r="X255" s="214" t="s">
        <v>1660</v>
      </c>
      <c r="Y255" s="214" t="s">
        <v>1178</v>
      </c>
      <c r="Z255" s="289"/>
      <c r="AA255" s="289"/>
      <c r="AB255" s="289"/>
      <c r="AC255" s="289"/>
      <c r="AD255" s="289"/>
      <c r="AE255" s="289"/>
      <c r="AF255" s="289"/>
      <c r="AG255" s="289"/>
      <c r="AH255" s="289"/>
      <c r="AI255" s="373">
        <f>100000000+300000000+400000000-400000000-400000000</f>
        <v>0</v>
      </c>
      <c r="AJ255" s="289">
        <v>0</v>
      </c>
      <c r="AK255" s="289">
        <v>0</v>
      </c>
      <c r="AL255" s="289">
        <f>2224028029+3434211.2+3039348.21-3434211.2-3039348.21-489634735</f>
        <v>1734393294</v>
      </c>
      <c r="AM255" s="289">
        <v>1583722600</v>
      </c>
      <c r="AN255" s="289">
        <v>1583722600</v>
      </c>
      <c r="AO255" s="326"/>
      <c r="AP255" s="326"/>
      <c r="AQ255" s="326"/>
      <c r="AR255" s="289"/>
      <c r="AS255" s="289"/>
      <c r="AT255" s="289"/>
      <c r="AU255" s="289"/>
      <c r="AV255" s="289"/>
      <c r="AW255" s="289"/>
      <c r="AX255" s="289"/>
      <c r="AY255" s="289"/>
      <c r="AZ255" s="289"/>
      <c r="BA255" s="289"/>
      <c r="BB255" s="289"/>
      <c r="BC255" s="289"/>
      <c r="BD255" s="294"/>
      <c r="BE255" s="294"/>
      <c r="BF255" s="294"/>
      <c r="BG255" s="289"/>
      <c r="BH255" s="289"/>
      <c r="BI255" s="289"/>
      <c r="BJ255" s="289"/>
      <c r="BK255" s="289"/>
      <c r="BL255" s="289"/>
      <c r="BM255" s="289"/>
      <c r="BN255" s="289"/>
      <c r="BO255" s="289"/>
      <c r="BP255" s="273">
        <f t="shared" si="59"/>
        <v>1734393294</v>
      </c>
      <c r="BQ255" s="273">
        <f t="shared" si="62"/>
        <v>1583722600</v>
      </c>
      <c r="BR255" s="273">
        <f t="shared" si="63"/>
        <v>1583722600</v>
      </c>
      <c r="BS255" s="246" t="s">
        <v>1655</v>
      </c>
      <c r="BT255" s="233"/>
    </row>
    <row r="256" spans="1:72" s="27" customFormat="1" ht="95.25" customHeight="1" x14ac:dyDescent="0.2">
      <c r="A256" s="217">
        <v>318</v>
      </c>
      <c r="B256" s="310" t="s">
        <v>1628</v>
      </c>
      <c r="C256" s="213">
        <v>1</v>
      </c>
      <c r="D256" s="287" t="s">
        <v>1614</v>
      </c>
      <c r="E256" s="213">
        <v>19</v>
      </c>
      <c r="F256" s="216" t="s">
        <v>147</v>
      </c>
      <c r="G256" s="213">
        <v>1906</v>
      </c>
      <c r="H256" s="216" t="s">
        <v>1557</v>
      </c>
      <c r="I256" s="213">
        <v>1906</v>
      </c>
      <c r="J256" s="216" t="s">
        <v>1558</v>
      </c>
      <c r="K256" s="216" t="s">
        <v>1169</v>
      </c>
      <c r="L256" s="213" t="s">
        <v>41</v>
      </c>
      <c r="M256" s="216" t="s">
        <v>1183</v>
      </c>
      <c r="N256" s="213">
        <v>1906025</v>
      </c>
      <c r="O256" s="216" t="s">
        <v>1180</v>
      </c>
      <c r="P256" s="213" t="s">
        <v>41</v>
      </c>
      <c r="Q256" s="214" t="s">
        <v>1184</v>
      </c>
      <c r="R256" s="213">
        <v>190602500</v>
      </c>
      <c r="S256" s="311" t="s">
        <v>1182</v>
      </c>
      <c r="T256" s="236" t="s">
        <v>1671</v>
      </c>
      <c r="U256" s="76">
        <v>100</v>
      </c>
      <c r="V256" s="76">
        <v>94</v>
      </c>
      <c r="W256" s="236" t="s">
        <v>1177</v>
      </c>
      <c r="X256" s="214" t="s">
        <v>1660</v>
      </c>
      <c r="Y256" s="214" t="s">
        <v>1178</v>
      </c>
      <c r="Z256" s="289"/>
      <c r="AA256" s="289"/>
      <c r="AB256" s="289"/>
      <c r="AC256" s="289"/>
      <c r="AD256" s="289"/>
      <c r="AE256" s="289"/>
      <c r="AF256" s="289"/>
      <c r="AG256" s="289"/>
      <c r="AH256" s="289"/>
      <c r="AI256" s="373">
        <f>400000000+400000000</f>
        <v>800000000</v>
      </c>
      <c r="AJ256" s="373">
        <f t="shared" ref="AJ256:AK256" si="64">400000000+400000000</f>
        <v>800000000</v>
      </c>
      <c r="AK256" s="373">
        <f t="shared" si="64"/>
        <v>800000000</v>
      </c>
      <c r="AL256" s="289">
        <f>3434211.2+3039348.21</f>
        <v>6473559.4100000001</v>
      </c>
      <c r="AM256" s="289">
        <v>3434211.2</v>
      </c>
      <c r="AN256" s="289">
        <v>3434211.2</v>
      </c>
      <c r="AO256" s="322">
        <f>3684809425+33937548.72+1216600524.1+22221326.62+712647104.86+2028035496</f>
        <v>7698251425.2999992</v>
      </c>
      <c r="AP256" s="289">
        <v>7187824705.7199993</v>
      </c>
      <c r="AQ256" s="289">
        <v>7187824705.7199993</v>
      </c>
      <c r="AR256" s="289"/>
      <c r="AS256" s="289"/>
      <c r="AT256" s="289"/>
      <c r="AU256" s="289"/>
      <c r="AV256" s="289"/>
      <c r="AW256" s="289"/>
      <c r="AX256" s="289"/>
      <c r="AY256" s="289"/>
      <c r="AZ256" s="289"/>
      <c r="BA256" s="289"/>
      <c r="BB256" s="289"/>
      <c r="BC256" s="289"/>
      <c r="BD256" s="366">
        <v>4720000000</v>
      </c>
      <c r="BE256" s="294">
        <v>4720000000</v>
      </c>
      <c r="BF256" s="294">
        <v>4720000000</v>
      </c>
      <c r="BG256" s="289"/>
      <c r="BH256" s="289"/>
      <c r="BI256" s="289"/>
      <c r="BJ256" s="373">
        <v>8702487605</v>
      </c>
      <c r="BK256" s="289">
        <v>8702487605</v>
      </c>
      <c r="BL256" s="289">
        <v>8702487605</v>
      </c>
      <c r="BM256" s="289"/>
      <c r="BN256" s="289"/>
      <c r="BO256" s="289"/>
      <c r="BP256" s="273">
        <f t="shared" si="59"/>
        <v>21927212589.709999</v>
      </c>
      <c r="BQ256" s="273">
        <f t="shared" si="62"/>
        <v>21413746521.919998</v>
      </c>
      <c r="BR256" s="273">
        <f>+AB256+AE256+AH256+AK256+AN256+AQ256+AT256+AW256+AZ256+BC256+BF256+BI256+BL256</f>
        <v>21413746521.919998</v>
      </c>
      <c r="BS256" s="246" t="s">
        <v>1655</v>
      </c>
      <c r="BT256" s="233"/>
    </row>
    <row r="257" spans="1:72" s="27" customFormat="1" ht="95.25" customHeight="1" x14ac:dyDescent="0.2">
      <c r="A257" s="217">
        <v>318</v>
      </c>
      <c r="B257" s="310" t="s">
        <v>1628</v>
      </c>
      <c r="C257" s="213">
        <v>1</v>
      </c>
      <c r="D257" s="287" t="s">
        <v>1614</v>
      </c>
      <c r="E257" s="213">
        <v>19</v>
      </c>
      <c r="F257" s="216" t="s">
        <v>147</v>
      </c>
      <c r="G257" s="213">
        <v>1906</v>
      </c>
      <c r="H257" s="216" t="s">
        <v>1557</v>
      </c>
      <c r="I257" s="213">
        <v>1906</v>
      </c>
      <c r="J257" s="216" t="s">
        <v>1558</v>
      </c>
      <c r="K257" s="216" t="s">
        <v>1185</v>
      </c>
      <c r="L257" s="213">
        <v>1906029</v>
      </c>
      <c r="M257" s="216" t="s">
        <v>1186</v>
      </c>
      <c r="N257" s="213">
        <v>1906029</v>
      </c>
      <c r="O257" s="216" t="s">
        <v>1186</v>
      </c>
      <c r="P257" s="292">
        <v>190602900</v>
      </c>
      <c r="Q257" s="214" t="s">
        <v>1187</v>
      </c>
      <c r="R257" s="292">
        <v>190602900</v>
      </c>
      <c r="S257" s="311" t="s">
        <v>1187</v>
      </c>
      <c r="T257" s="236" t="s">
        <v>1671</v>
      </c>
      <c r="U257" s="76">
        <v>40</v>
      </c>
      <c r="V257" s="76">
        <v>35</v>
      </c>
      <c r="W257" s="236" t="s">
        <v>1188</v>
      </c>
      <c r="X257" s="214" t="s">
        <v>1189</v>
      </c>
      <c r="Y257" s="214" t="s">
        <v>1190</v>
      </c>
      <c r="Z257" s="289"/>
      <c r="AA257" s="289"/>
      <c r="AB257" s="289"/>
      <c r="AC257" s="289"/>
      <c r="AD257" s="289"/>
      <c r="AE257" s="289"/>
      <c r="AF257" s="289"/>
      <c r="AG257" s="289"/>
      <c r="AH257" s="289"/>
      <c r="AI257" s="289"/>
      <c r="AJ257" s="289"/>
      <c r="AK257" s="289"/>
      <c r="AL257" s="289"/>
      <c r="AM257" s="289"/>
      <c r="AN257" s="289"/>
      <c r="AO257" s="322">
        <v>468599154.12</v>
      </c>
      <c r="AP257" s="322"/>
      <c r="AQ257" s="322">
        <v>0</v>
      </c>
      <c r="AR257" s="289"/>
      <c r="AS257" s="289"/>
      <c r="AT257" s="289"/>
      <c r="AU257" s="289"/>
      <c r="AV257" s="289"/>
      <c r="AW257" s="289"/>
      <c r="AX257" s="289"/>
      <c r="AY257" s="289"/>
      <c r="AZ257" s="289"/>
      <c r="BA257" s="289"/>
      <c r="BB257" s="289"/>
      <c r="BC257" s="289"/>
      <c r="BD257" s="366">
        <f>150390000+74000000+100000000+1014540868+473184457.21</f>
        <v>1812115325.21</v>
      </c>
      <c r="BE257" s="294">
        <v>1804273676.21</v>
      </c>
      <c r="BF257" s="294">
        <v>1804273676.21</v>
      </c>
      <c r="BG257" s="289"/>
      <c r="BH257" s="289"/>
      <c r="BI257" s="289"/>
      <c r="BJ257" s="289">
        <v>308966733</v>
      </c>
      <c r="BK257" s="289">
        <v>159438968</v>
      </c>
      <c r="BL257" s="289">
        <v>159438968</v>
      </c>
      <c r="BM257" s="289"/>
      <c r="BN257" s="289"/>
      <c r="BO257" s="289"/>
      <c r="BP257" s="273">
        <f t="shared" ref="BP257:BP262" si="65">+Z257+AC257+AF257+AI257+AL257+AO257+AR257+AU257+AX257+BA257+BD257+BG257+BJ257</f>
        <v>2589681212.3299999</v>
      </c>
      <c r="BQ257" s="273">
        <f t="shared" si="62"/>
        <v>1963712644.21</v>
      </c>
      <c r="BR257" s="273">
        <f t="shared" si="63"/>
        <v>1963712644.21</v>
      </c>
      <c r="BS257" s="246" t="s">
        <v>1655</v>
      </c>
      <c r="BT257" s="233"/>
    </row>
    <row r="258" spans="1:72" s="27" customFormat="1" ht="87.75" customHeight="1" x14ac:dyDescent="0.2">
      <c r="A258" s="217">
        <v>318</v>
      </c>
      <c r="B258" s="310" t="s">
        <v>1628</v>
      </c>
      <c r="C258" s="213">
        <v>1</v>
      </c>
      <c r="D258" s="287" t="s">
        <v>1614</v>
      </c>
      <c r="E258" s="213">
        <v>19</v>
      </c>
      <c r="F258" s="216" t="s">
        <v>147</v>
      </c>
      <c r="G258" s="213">
        <v>1906</v>
      </c>
      <c r="H258" s="216" t="s">
        <v>1557</v>
      </c>
      <c r="I258" s="213">
        <v>1906</v>
      </c>
      <c r="J258" s="216" t="s">
        <v>1558</v>
      </c>
      <c r="K258" s="216" t="s">
        <v>1048</v>
      </c>
      <c r="L258" s="213">
        <v>1906032</v>
      </c>
      <c r="M258" s="216" t="s">
        <v>1164</v>
      </c>
      <c r="N258" s="213">
        <v>1906032</v>
      </c>
      <c r="O258" s="216" t="s">
        <v>1164</v>
      </c>
      <c r="P258" s="292">
        <v>190603200</v>
      </c>
      <c r="Q258" s="214" t="s">
        <v>1165</v>
      </c>
      <c r="R258" s="292">
        <v>190603200</v>
      </c>
      <c r="S258" s="216" t="s">
        <v>1165</v>
      </c>
      <c r="T258" s="236" t="s">
        <v>1673</v>
      </c>
      <c r="U258" s="76">
        <v>1500</v>
      </c>
      <c r="V258" s="76">
        <v>21885</v>
      </c>
      <c r="W258" s="236" t="s">
        <v>1188</v>
      </c>
      <c r="X258" s="214" t="s">
        <v>1189</v>
      </c>
      <c r="Y258" s="214" t="s">
        <v>1190</v>
      </c>
      <c r="Z258" s="289"/>
      <c r="AA258" s="289"/>
      <c r="AB258" s="289"/>
      <c r="AC258" s="289"/>
      <c r="AD258" s="289"/>
      <c r="AE258" s="289"/>
      <c r="AF258" s="289"/>
      <c r="AG258" s="289"/>
      <c r="AH258" s="289"/>
      <c r="AI258" s="289"/>
      <c r="AJ258" s="289"/>
      <c r="AK258" s="289"/>
      <c r="AL258" s="289"/>
      <c r="AM258" s="289"/>
      <c r="AN258" s="289"/>
      <c r="AO258" s="322"/>
      <c r="AP258" s="322"/>
      <c r="AQ258" s="322"/>
      <c r="AR258" s="289"/>
      <c r="AS258" s="289"/>
      <c r="AT258" s="289"/>
      <c r="AU258" s="289"/>
      <c r="AV258" s="289"/>
      <c r="AW258" s="289"/>
      <c r="AX258" s="289"/>
      <c r="AY258" s="289"/>
      <c r="AZ258" s="289"/>
      <c r="BA258" s="289"/>
      <c r="BB258" s="289"/>
      <c r="BC258" s="289"/>
      <c r="BD258" s="294">
        <v>20000000</v>
      </c>
      <c r="BE258" s="294">
        <v>19906500</v>
      </c>
      <c r="BF258" s="294">
        <v>19906500</v>
      </c>
      <c r="BG258" s="289"/>
      <c r="BH258" s="289"/>
      <c r="BI258" s="289"/>
      <c r="BJ258" s="289"/>
      <c r="BK258" s="289"/>
      <c r="BL258" s="289"/>
      <c r="BM258" s="289"/>
      <c r="BN258" s="289"/>
      <c r="BO258" s="289"/>
      <c r="BP258" s="273">
        <f t="shared" si="65"/>
        <v>20000000</v>
      </c>
      <c r="BQ258" s="273">
        <f t="shared" si="62"/>
        <v>19906500</v>
      </c>
      <c r="BR258" s="273">
        <f t="shared" si="63"/>
        <v>19906500</v>
      </c>
      <c r="BS258" s="246" t="s">
        <v>1655</v>
      </c>
      <c r="BT258" s="233"/>
    </row>
    <row r="259" spans="1:72" s="27" customFormat="1" ht="119.25" customHeight="1" x14ac:dyDescent="0.2">
      <c r="A259" s="217">
        <v>318</v>
      </c>
      <c r="B259" s="310" t="s">
        <v>1628</v>
      </c>
      <c r="C259" s="213">
        <v>1</v>
      </c>
      <c r="D259" s="287" t="s">
        <v>1614</v>
      </c>
      <c r="E259" s="213">
        <v>19</v>
      </c>
      <c r="F259" s="216" t="s">
        <v>147</v>
      </c>
      <c r="G259" s="213">
        <v>1906</v>
      </c>
      <c r="H259" s="216" t="s">
        <v>1557</v>
      </c>
      <c r="I259" s="213">
        <v>1906</v>
      </c>
      <c r="J259" s="216" t="s">
        <v>1558</v>
      </c>
      <c r="K259" s="216" t="s">
        <v>1191</v>
      </c>
      <c r="L259" s="213">
        <v>1906005</v>
      </c>
      <c r="M259" s="216" t="s">
        <v>1192</v>
      </c>
      <c r="N259" s="213">
        <v>1906005</v>
      </c>
      <c r="O259" s="216" t="s">
        <v>1192</v>
      </c>
      <c r="P259" s="292">
        <v>190600500</v>
      </c>
      <c r="Q259" s="214" t="s">
        <v>1192</v>
      </c>
      <c r="R259" s="292">
        <v>190600500</v>
      </c>
      <c r="S259" s="311" t="s">
        <v>1192</v>
      </c>
      <c r="T259" s="236" t="s">
        <v>1673</v>
      </c>
      <c r="U259" s="76">
        <v>2</v>
      </c>
      <c r="V259" s="76">
        <v>0</v>
      </c>
      <c r="W259" s="236" t="s">
        <v>1188</v>
      </c>
      <c r="X259" s="214" t="s">
        <v>1189</v>
      </c>
      <c r="Y259" s="214" t="s">
        <v>1190</v>
      </c>
      <c r="Z259" s="289"/>
      <c r="AA259" s="289"/>
      <c r="AB259" s="289"/>
      <c r="AC259" s="289"/>
      <c r="AD259" s="289"/>
      <c r="AE259" s="289"/>
      <c r="AF259" s="289"/>
      <c r="AG259" s="289"/>
      <c r="AH259" s="289"/>
      <c r="AI259" s="289"/>
      <c r="AJ259" s="289"/>
      <c r="AK259" s="289"/>
      <c r="AL259" s="289"/>
      <c r="AM259" s="289"/>
      <c r="AN259" s="289"/>
      <c r="AO259" s="322"/>
      <c r="AP259" s="322"/>
      <c r="AQ259" s="322"/>
      <c r="AR259" s="289"/>
      <c r="AS259" s="289"/>
      <c r="AT259" s="289"/>
      <c r="AU259" s="289"/>
      <c r="AV259" s="289"/>
      <c r="AW259" s="289"/>
      <c r="AX259" s="289"/>
      <c r="AY259" s="289"/>
      <c r="AZ259" s="289"/>
      <c r="BA259" s="289"/>
      <c r="BB259" s="289"/>
      <c r="BC259" s="289"/>
      <c r="BD259" s="294">
        <v>20000000</v>
      </c>
      <c r="BE259" s="294"/>
      <c r="BF259" s="294"/>
      <c r="BG259" s="289"/>
      <c r="BH259" s="289"/>
      <c r="BI259" s="289"/>
      <c r="BJ259" s="289"/>
      <c r="BK259" s="289"/>
      <c r="BL259" s="289"/>
      <c r="BM259" s="289"/>
      <c r="BN259" s="289"/>
      <c r="BO259" s="289"/>
      <c r="BP259" s="273">
        <f t="shared" si="65"/>
        <v>20000000</v>
      </c>
      <c r="BQ259" s="273">
        <f t="shared" si="62"/>
        <v>0</v>
      </c>
      <c r="BR259" s="273">
        <f t="shared" si="63"/>
        <v>0</v>
      </c>
      <c r="BS259" s="246" t="s">
        <v>1655</v>
      </c>
      <c r="BT259" s="233"/>
    </row>
    <row r="260" spans="1:72" s="27" customFormat="1" ht="96.75" customHeight="1" x14ac:dyDescent="0.2">
      <c r="A260" s="217">
        <v>318</v>
      </c>
      <c r="B260" s="310" t="s">
        <v>1628</v>
      </c>
      <c r="C260" s="213">
        <v>1</v>
      </c>
      <c r="D260" s="287" t="s">
        <v>1614</v>
      </c>
      <c r="E260" s="213">
        <v>19</v>
      </c>
      <c r="F260" s="216" t="s">
        <v>147</v>
      </c>
      <c r="G260" s="213">
        <v>1906</v>
      </c>
      <c r="H260" s="216" t="s">
        <v>1557</v>
      </c>
      <c r="I260" s="213">
        <v>1906</v>
      </c>
      <c r="J260" s="216" t="s">
        <v>1558</v>
      </c>
      <c r="K260" s="216" t="s">
        <v>995</v>
      </c>
      <c r="L260" s="213">
        <v>1906022</v>
      </c>
      <c r="M260" s="216" t="s">
        <v>1193</v>
      </c>
      <c r="N260" s="213">
        <v>1906022</v>
      </c>
      <c r="O260" s="216" t="s">
        <v>1193</v>
      </c>
      <c r="P260" s="292">
        <v>190602200</v>
      </c>
      <c r="Q260" s="214" t="s">
        <v>1194</v>
      </c>
      <c r="R260" s="292">
        <v>190602200</v>
      </c>
      <c r="S260" s="311" t="s">
        <v>1194</v>
      </c>
      <c r="T260" s="236" t="s">
        <v>1673</v>
      </c>
      <c r="U260" s="76">
        <v>1</v>
      </c>
      <c r="V260" s="76">
        <v>0</v>
      </c>
      <c r="W260" s="236" t="s">
        <v>1188</v>
      </c>
      <c r="X260" s="214" t="s">
        <v>1189</v>
      </c>
      <c r="Y260" s="214" t="s">
        <v>1190</v>
      </c>
      <c r="Z260" s="289"/>
      <c r="AA260" s="289"/>
      <c r="AB260" s="289"/>
      <c r="AC260" s="289"/>
      <c r="AD260" s="289"/>
      <c r="AE260" s="289"/>
      <c r="AF260" s="289"/>
      <c r="AG260" s="289"/>
      <c r="AH260" s="289"/>
      <c r="AI260" s="289"/>
      <c r="AJ260" s="289"/>
      <c r="AK260" s="289"/>
      <c r="AL260" s="289"/>
      <c r="AM260" s="289"/>
      <c r="AN260" s="289"/>
      <c r="AO260" s="322"/>
      <c r="AP260" s="322"/>
      <c r="AQ260" s="322"/>
      <c r="AR260" s="289"/>
      <c r="AS260" s="289"/>
      <c r="AT260" s="289"/>
      <c r="AU260" s="289"/>
      <c r="AV260" s="289"/>
      <c r="AW260" s="289"/>
      <c r="AX260" s="289"/>
      <c r="AY260" s="289"/>
      <c r="AZ260" s="289"/>
      <c r="BA260" s="289"/>
      <c r="BB260" s="289"/>
      <c r="BC260" s="289"/>
      <c r="BD260" s="294">
        <v>20000000</v>
      </c>
      <c r="BE260" s="294"/>
      <c r="BF260" s="294"/>
      <c r="BG260" s="289"/>
      <c r="BH260" s="289"/>
      <c r="BI260" s="289"/>
      <c r="BJ260" s="289"/>
      <c r="BK260" s="289"/>
      <c r="BL260" s="289"/>
      <c r="BM260" s="289"/>
      <c r="BN260" s="289"/>
      <c r="BO260" s="289"/>
      <c r="BP260" s="273">
        <f t="shared" si="65"/>
        <v>20000000</v>
      </c>
      <c r="BQ260" s="273">
        <f t="shared" si="62"/>
        <v>0</v>
      </c>
      <c r="BR260" s="273">
        <f t="shared" si="63"/>
        <v>0</v>
      </c>
      <c r="BS260" s="246" t="s">
        <v>1655</v>
      </c>
      <c r="BT260" s="233"/>
    </row>
    <row r="261" spans="1:72" s="27" customFormat="1" ht="94.5" customHeight="1" x14ac:dyDescent="0.2">
      <c r="A261" s="217">
        <v>318</v>
      </c>
      <c r="B261" s="310" t="s">
        <v>1628</v>
      </c>
      <c r="C261" s="213">
        <v>1</v>
      </c>
      <c r="D261" s="287" t="s">
        <v>1614</v>
      </c>
      <c r="E261" s="213">
        <v>19</v>
      </c>
      <c r="F261" s="216" t="s">
        <v>147</v>
      </c>
      <c r="G261" s="213">
        <v>1906</v>
      </c>
      <c r="H261" s="216" t="s">
        <v>1557</v>
      </c>
      <c r="I261" s="213">
        <v>1906</v>
      </c>
      <c r="J261" s="216" t="s">
        <v>1558</v>
      </c>
      <c r="K261" s="216" t="s">
        <v>1169</v>
      </c>
      <c r="L261" s="213" t="s">
        <v>41</v>
      </c>
      <c r="M261" s="216" t="s">
        <v>1174</v>
      </c>
      <c r="N261" s="213">
        <v>1906023</v>
      </c>
      <c r="O261" s="216" t="s">
        <v>1195</v>
      </c>
      <c r="P261" s="213" t="s">
        <v>41</v>
      </c>
      <c r="Q261" s="214" t="s">
        <v>1196</v>
      </c>
      <c r="R261" s="292">
        <v>190602301</v>
      </c>
      <c r="S261" s="311" t="s">
        <v>1176</v>
      </c>
      <c r="T261" s="236" t="s">
        <v>1671</v>
      </c>
      <c r="U261" s="76">
        <v>40</v>
      </c>
      <c r="V261" s="76">
        <v>0</v>
      </c>
      <c r="W261" s="236" t="s">
        <v>1188</v>
      </c>
      <c r="X261" s="214" t="s">
        <v>1189</v>
      </c>
      <c r="Y261" s="214" t="s">
        <v>1190</v>
      </c>
      <c r="Z261" s="289"/>
      <c r="AA261" s="289"/>
      <c r="AB261" s="289"/>
      <c r="AC261" s="289"/>
      <c r="AD261" s="289"/>
      <c r="AE261" s="289"/>
      <c r="AF261" s="289"/>
      <c r="AG261" s="289"/>
      <c r="AH261" s="289"/>
      <c r="AI261" s="289"/>
      <c r="AJ261" s="289"/>
      <c r="AK261" s="289"/>
      <c r="AL261" s="289"/>
      <c r="AM261" s="289"/>
      <c r="AN261" s="289"/>
      <c r="AO261" s="322"/>
      <c r="AP261" s="322"/>
      <c r="AQ261" s="322"/>
      <c r="AR261" s="289"/>
      <c r="AS261" s="289"/>
      <c r="AT261" s="289"/>
      <c r="AU261" s="289"/>
      <c r="AV261" s="289"/>
      <c r="AW261" s="289"/>
      <c r="AX261" s="289"/>
      <c r="AY261" s="289"/>
      <c r="AZ261" s="289"/>
      <c r="BA261" s="289"/>
      <c r="BB261" s="289"/>
      <c r="BC261" s="289"/>
      <c r="BD261" s="294">
        <v>20000000</v>
      </c>
      <c r="BE261" s="294"/>
      <c r="BF261" s="294"/>
      <c r="BG261" s="289"/>
      <c r="BH261" s="289"/>
      <c r="BI261" s="289"/>
      <c r="BJ261" s="289"/>
      <c r="BK261" s="289"/>
      <c r="BL261" s="289"/>
      <c r="BM261" s="289"/>
      <c r="BN261" s="289"/>
      <c r="BO261" s="289"/>
      <c r="BP261" s="273">
        <f t="shared" si="65"/>
        <v>20000000</v>
      </c>
      <c r="BQ261" s="273">
        <f t="shared" si="62"/>
        <v>0</v>
      </c>
      <c r="BR261" s="273">
        <f t="shared" si="63"/>
        <v>0</v>
      </c>
      <c r="BS261" s="246" t="s">
        <v>1655</v>
      </c>
      <c r="BT261" s="233"/>
    </row>
    <row r="262" spans="1:72" s="27" customFormat="1" ht="75" customHeight="1" x14ac:dyDescent="0.2">
      <c r="A262" s="217">
        <v>324</v>
      </c>
      <c r="B262" s="287" t="s">
        <v>1659</v>
      </c>
      <c r="C262" s="213">
        <v>1</v>
      </c>
      <c r="D262" s="287" t="s">
        <v>1614</v>
      </c>
      <c r="E262" s="213">
        <v>23</v>
      </c>
      <c r="F262" s="216" t="s">
        <v>1198</v>
      </c>
      <c r="G262" s="213">
        <v>2301</v>
      </c>
      <c r="H262" s="216" t="s">
        <v>1561</v>
      </c>
      <c r="I262" s="213">
        <v>2301</v>
      </c>
      <c r="J262" s="216" t="s">
        <v>1562</v>
      </c>
      <c r="K262" s="216" t="s">
        <v>1200</v>
      </c>
      <c r="L262" s="213">
        <v>2301024</v>
      </c>
      <c r="M262" s="358" t="s">
        <v>1201</v>
      </c>
      <c r="N262" s="213">
        <v>2301024</v>
      </c>
      <c r="O262" s="358" t="s">
        <v>1201</v>
      </c>
      <c r="P262" s="292">
        <v>230102401</v>
      </c>
      <c r="Q262" s="216" t="s">
        <v>1202</v>
      </c>
      <c r="R262" s="292">
        <v>230102401</v>
      </c>
      <c r="S262" s="216" t="s">
        <v>1202</v>
      </c>
      <c r="T262" s="236" t="s">
        <v>1671</v>
      </c>
      <c r="U262" s="76">
        <v>15</v>
      </c>
      <c r="V262" s="76">
        <v>15</v>
      </c>
      <c r="W262" s="236" t="s">
        <v>1203</v>
      </c>
      <c r="X262" s="214" t="s">
        <v>1204</v>
      </c>
      <c r="Y262" s="214" t="s">
        <v>1205</v>
      </c>
      <c r="Z262" s="289"/>
      <c r="AA262" s="289"/>
      <c r="AB262" s="289"/>
      <c r="AC262" s="289"/>
      <c r="AD262" s="289"/>
      <c r="AE262" s="289"/>
      <c r="AF262" s="289"/>
      <c r="AG262" s="289"/>
      <c r="AH262" s="289"/>
      <c r="AI262" s="273"/>
      <c r="AJ262" s="273"/>
      <c r="AK262" s="273"/>
      <c r="AL262" s="273"/>
      <c r="AM262" s="273"/>
      <c r="AN262" s="273"/>
      <c r="AO262" s="273"/>
      <c r="AP262" s="273"/>
      <c r="AQ262" s="273"/>
      <c r="AR262" s="273"/>
      <c r="AS262" s="273"/>
      <c r="AT262" s="273"/>
      <c r="AU262" s="273"/>
      <c r="AV262" s="273"/>
      <c r="AW262" s="273"/>
      <c r="AX262" s="273"/>
      <c r="AY262" s="273"/>
      <c r="AZ262" s="273"/>
      <c r="BA262" s="273"/>
      <c r="BB262" s="273"/>
      <c r="BC262" s="273"/>
      <c r="BD262" s="273">
        <v>18000000</v>
      </c>
      <c r="BE262" s="273">
        <f>BD262</f>
        <v>18000000</v>
      </c>
      <c r="BF262" s="273">
        <f>BE262</f>
        <v>18000000</v>
      </c>
      <c r="BG262" s="273"/>
      <c r="BH262" s="273"/>
      <c r="BI262" s="273"/>
      <c r="BJ262" s="273"/>
      <c r="BK262" s="273"/>
      <c r="BL262" s="273"/>
      <c r="BM262" s="273"/>
      <c r="BN262" s="273"/>
      <c r="BO262" s="273"/>
      <c r="BP262" s="273">
        <f t="shared" si="65"/>
        <v>18000000</v>
      </c>
      <c r="BQ262" s="273">
        <f>+AA262+AD262+AG262+AJ262+AM262+AP262+AS262+AV262+AY262+BB262+BE262+BH262+BK262</f>
        <v>18000000</v>
      </c>
      <c r="BR262" s="273">
        <f>+AB262+AE262+AH262+AK262+AN262+AQ262+AT262+AW262+AZ262+BC262+BF262+BI262+BL262</f>
        <v>18000000</v>
      </c>
      <c r="BS262" s="246" t="s">
        <v>1656</v>
      </c>
      <c r="BT262" s="233"/>
    </row>
    <row r="263" spans="1:72" s="27" customFormat="1" ht="75" customHeight="1" x14ac:dyDescent="0.2">
      <c r="A263" s="217">
        <v>324</v>
      </c>
      <c r="B263" s="287" t="s">
        <v>1659</v>
      </c>
      <c r="C263" s="213">
        <v>1</v>
      </c>
      <c r="D263" s="287" t="s">
        <v>1614</v>
      </c>
      <c r="E263" s="213">
        <v>23</v>
      </c>
      <c r="F263" s="216" t="s">
        <v>1198</v>
      </c>
      <c r="G263" s="213">
        <v>2301</v>
      </c>
      <c r="H263" s="216" t="s">
        <v>1561</v>
      </c>
      <c r="I263" s="213">
        <v>2301</v>
      </c>
      <c r="J263" s="216" t="s">
        <v>1562</v>
      </c>
      <c r="K263" s="216" t="s">
        <v>1200</v>
      </c>
      <c r="L263" s="213">
        <v>2301024</v>
      </c>
      <c r="M263" s="358" t="s">
        <v>1201</v>
      </c>
      <c r="N263" s="213">
        <v>2301024</v>
      </c>
      <c r="O263" s="358" t="s">
        <v>1201</v>
      </c>
      <c r="P263" s="292">
        <v>230102404</v>
      </c>
      <c r="Q263" s="216" t="s">
        <v>1206</v>
      </c>
      <c r="R263" s="292">
        <v>230102404</v>
      </c>
      <c r="S263" s="216" t="s">
        <v>1206</v>
      </c>
      <c r="T263" s="236" t="s">
        <v>1673</v>
      </c>
      <c r="U263" s="76">
        <v>3</v>
      </c>
      <c r="V263" s="76">
        <v>3</v>
      </c>
      <c r="W263" s="236" t="s">
        <v>1203</v>
      </c>
      <c r="X263" s="214" t="s">
        <v>1204</v>
      </c>
      <c r="Y263" s="214" t="s">
        <v>1205</v>
      </c>
      <c r="Z263" s="289"/>
      <c r="AA263" s="289"/>
      <c r="AB263" s="289"/>
      <c r="AC263" s="289"/>
      <c r="AD263" s="289"/>
      <c r="AE263" s="289"/>
      <c r="AF263" s="289"/>
      <c r="AG263" s="289"/>
      <c r="AH263" s="289"/>
      <c r="AI263" s="273"/>
      <c r="AJ263" s="273"/>
      <c r="AK263" s="273"/>
      <c r="AL263" s="273"/>
      <c r="AM263" s="273"/>
      <c r="AN263" s="273"/>
      <c r="AO263" s="273"/>
      <c r="AP263" s="273"/>
      <c r="AQ263" s="273"/>
      <c r="AR263" s="273"/>
      <c r="AS263" s="273"/>
      <c r="AT263" s="273"/>
      <c r="AU263" s="273"/>
      <c r="AV263" s="273"/>
      <c r="AW263" s="273"/>
      <c r="AX263" s="273"/>
      <c r="AY263" s="273"/>
      <c r="AZ263" s="273"/>
      <c r="BA263" s="273"/>
      <c r="BB263" s="273"/>
      <c r="BC263" s="273"/>
      <c r="BD263" s="273">
        <f>100000000+77460000+50000000+80000000</f>
        <v>307460000</v>
      </c>
      <c r="BE263" s="273">
        <v>256223114.42000002</v>
      </c>
      <c r="BF263" s="273">
        <v>256223114.42000002</v>
      </c>
      <c r="BG263" s="273"/>
      <c r="BH263" s="273"/>
      <c r="BI263" s="273"/>
      <c r="BJ263" s="273"/>
      <c r="BK263" s="273"/>
      <c r="BL263" s="273"/>
      <c r="BM263" s="273"/>
      <c r="BN263" s="273"/>
      <c r="BO263" s="273"/>
      <c r="BP263" s="273">
        <f t="shared" ref="BP263:BP270" si="66">+Z263+AC263+AF263+AI263+AL263+AO263+AR263+AU263+AX263+BA263+BD263+BG263+BJ263</f>
        <v>307460000</v>
      </c>
      <c r="BQ263" s="273">
        <f t="shared" ref="BQ263:BR270" si="67">+AA263+AD263+AG263+AJ263+AM263+AP263+AS263+AV263+AY263+BB263+BE263+BH263+BK263</f>
        <v>256223114.42000002</v>
      </c>
      <c r="BR263" s="273">
        <f t="shared" si="67"/>
        <v>256223114.42000002</v>
      </c>
      <c r="BS263" s="246" t="s">
        <v>1656</v>
      </c>
      <c r="BT263" s="233"/>
    </row>
    <row r="264" spans="1:72" s="27" customFormat="1" ht="103.5" customHeight="1" x14ac:dyDescent="0.2">
      <c r="A264" s="217">
        <v>324</v>
      </c>
      <c r="B264" s="287" t="s">
        <v>1659</v>
      </c>
      <c r="C264" s="213">
        <v>1</v>
      </c>
      <c r="D264" s="287" t="s">
        <v>1614</v>
      </c>
      <c r="E264" s="213">
        <v>23</v>
      </c>
      <c r="F264" s="216" t="s">
        <v>1198</v>
      </c>
      <c r="G264" s="213">
        <v>2301</v>
      </c>
      <c r="H264" s="216" t="s">
        <v>1561</v>
      </c>
      <c r="I264" s="213">
        <v>2301</v>
      </c>
      <c r="J264" s="216" t="s">
        <v>1562</v>
      </c>
      <c r="K264" s="216" t="s">
        <v>1200</v>
      </c>
      <c r="L264" s="76">
        <v>2301012</v>
      </c>
      <c r="M264" s="216" t="s">
        <v>1207</v>
      </c>
      <c r="N264" s="213">
        <v>2301079</v>
      </c>
      <c r="O264" s="216" t="s">
        <v>1208</v>
      </c>
      <c r="P264" s="76">
        <v>230101204</v>
      </c>
      <c r="Q264" s="216" t="s">
        <v>1209</v>
      </c>
      <c r="R264" s="292">
        <v>230107902</v>
      </c>
      <c r="S264" s="216" t="s">
        <v>1210</v>
      </c>
      <c r="T264" s="236" t="s">
        <v>1673</v>
      </c>
      <c r="U264" s="76">
        <v>13</v>
      </c>
      <c r="V264" s="76">
        <v>0</v>
      </c>
      <c r="W264" s="236" t="s">
        <v>1203</v>
      </c>
      <c r="X264" s="214" t="s">
        <v>1204</v>
      </c>
      <c r="Y264" s="214" t="s">
        <v>1205</v>
      </c>
      <c r="Z264" s="289"/>
      <c r="AA264" s="289"/>
      <c r="AB264" s="289"/>
      <c r="AC264" s="289"/>
      <c r="AD264" s="289"/>
      <c r="AE264" s="289"/>
      <c r="AF264" s="289"/>
      <c r="AG264" s="289"/>
      <c r="AH264" s="289"/>
      <c r="AI264" s="273"/>
      <c r="AJ264" s="273"/>
      <c r="AK264" s="273"/>
      <c r="AL264" s="273"/>
      <c r="AM264" s="273"/>
      <c r="AN264" s="273"/>
      <c r="AO264" s="273"/>
      <c r="AP264" s="273"/>
      <c r="AQ264" s="273"/>
      <c r="AR264" s="273"/>
      <c r="AS264" s="273"/>
      <c r="AT264" s="273"/>
      <c r="AU264" s="273"/>
      <c r="AV264" s="273"/>
      <c r="AW264" s="273"/>
      <c r="AX264" s="273"/>
      <c r="AY264" s="273"/>
      <c r="AZ264" s="273"/>
      <c r="BA264" s="273"/>
      <c r="BB264" s="273"/>
      <c r="BC264" s="273"/>
      <c r="BD264" s="273">
        <f>80000000-80000000</f>
        <v>0</v>
      </c>
      <c r="BE264" s="273"/>
      <c r="BF264" s="273"/>
      <c r="BG264" s="273"/>
      <c r="BH264" s="273"/>
      <c r="BI264" s="273"/>
      <c r="BJ264" s="273"/>
      <c r="BK264" s="273"/>
      <c r="BL264" s="273"/>
      <c r="BM264" s="273"/>
      <c r="BN264" s="273"/>
      <c r="BO264" s="273"/>
      <c r="BP264" s="273">
        <f t="shared" si="66"/>
        <v>0</v>
      </c>
      <c r="BQ264" s="273">
        <f t="shared" si="67"/>
        <v>0</v>
      </c>
      <c r="BR264" s="273">
        <f t="shared" si="67"/>
        <v>0</v>
      </c>
      <c r="BS264" s="246" t="s">
        <v>1656</v>
      </c>
      <c r="BT264" s="233"/>
    </row>
    <row r="265" spans="1:72" s="27" customFormat="1" ht="96.75" customHeight="1" x14ac:dyDescent="0.2">
      <c r="A265" s="217">
        <v>324</v>
      </c>
      <c r="B265" s="287" t="s">
        <v>1659</v>
      </c>
      <c r="C265" s="213">
        <v>1</v>
      </c>
      <c r="D265" s="287" t="s">
        <v>1614</v>
      </c>
      <c r="E265" s="213">
        <v>23</v>
      </c>
      <c r="F265" s="216" t="s">
        <v>1198</v>
      </c>
      <c r="G265" s="213">
        <v>2301</v>
      </c>
      <c r="H265" s="216" t="s">
        <v>1561</v>
      </c>
      <c r="I265" s="213">
        <v>2301</v>
      </c>
      <c r="J265" s="216" t="s">
        <v>1562</v>
      </c>
      <c r="K265" s="216" t="s">
        <v>1200</v>
      </c>
      <c r="L265" s="213">
        <v>2301062</v>
      </c>
      <c r="M265" s="216" t="s">
        <v>1211</v>
      </c>
      <c r="N265" s="213">
        <v>2301062</v>
      </c>
      <c r="O265" s="216" t="s">
        <v>1211</v>
      </c>
      <c r="P265" s="292">
        <v>230106201</v>
      </c>
      <c r="Q265" s="216" t="s">
        <v>1212</v>
      </c>
      <c r="R265" s="292">
        <v>230106201</v>
      </c>
      <c r="S265" s="216" t="s">
        <v>1212</v>
      </c>
      <c r="T265" s="236" t="s">
        <v>1661</v>
      </c>
      <c r="U265" s="76">
        <v>9</v>
      </c>
      <c r="V265" s="76">
        <v>5</v>
      </c>
      <c r="W265" s="236" t="s">
        <v>1203</v>
      </c>
      <c r="X265" s="214" t="s">
        <v>1204</v>
      </c>
      <c r="Y265" s="214" t="s">
        <v>1205</v>
      </c>
      <c r="Z265" s="289"/>
      <c r="AA265" s="289"/>
      <c r="AB265" s="289"/>
      <c r="AC265" s="289"/>
      <c r="AD265" s="289"/>
      <c r="AE265" s="289"/>
      <c r="AF265" s="289"/>
      <c r="AG265" s="289"/>
      <c r="AH265" s="289"/>
      <c r="AI265" s="273"/>
      <c r="AJ265" s="273"/>
      <c r="AK265" s="273"/>
      <c r="AL265" s="273"/>
      <c r="AM265" s="273"/>
      <c r="AN265" s="273"/>
      <c r="AO265" s="273"/>
      <c r="AP265" s="273"/>
      <c r="AQ265" s="273"/>
      <c r="AR265" s="273"/>
      <c r="AS265" s="273"/>
      <c r="AT265" s="273"/>
      <c r="AU265" s="273"/>
      <c r="AV265" s="273"/>
      <c r="AW265" s="273"/>
      <c r="AX265" s="273"/>
      <c r="AY265" s="273"/>
      <c r="AZ265" s="273"/>
      <c r="BA265" s="273"/>
      <c r="BB265" s="273"/>
      <c r="BC265" s="273"/>
      <c r="BD265" s="273">
        <v>0</v>
      </c>
      <c r="BE265" s="273"/>
      <c r="BF265" s="273"/>
      <c r="BG265" s="273"/>
      <c r="BH265" s="273"/>
      <c r="BI265" s="273"/>
      <c r="BJ265" s="273"/>
      <c r="BK265" s="273"/>
      <c r="BL265" s="273"/>
      <c r="BM265" s="273"/>
      <c r="BN265" s="273"/>
      <c r="BO265" s="273"/>
      <c r="BP265" s="273">
        <f t="shared" si="66"/>
        <v>0</v>
      </c>
      <c r="BQ265" s="273">
        <f t="shared" si="67"/>
        <v>0</v>
      </c>
      <c r="BR265" s="273">
        <f t="shared" si="67"/>
        <v>0</v>
      </c>
      <c r="BS265" s="246" t="s">
        <v>1656</v>
      </c>
      <c r="BT265" s="233"/>
    </row>
    <row r="266" spans="1:72" s="27" customFormat="1" ht="102" customHeight="1" x14ac:dyDescent="0.2">
      <c r="A266" s="217">
        <v>324</v>
      </c>
      <c r="B266" s="287" t="s">
        <v>1659</v>
      </c>
      <c r="C266" s="213">
        <v>1</v>
      </c>
      <c r="D266" s="287" t="s">
        <v>1614</v>
      </c>
      <c r="E266" s="213">
        <v>23</v>
      </c>
      <c r="F266" s="216" t="s">
        <v>1198</v>
      </c>
      <c r="G266" s="213">
        <v>2301</v>
      </c>
      <c r="H266" s="216" t="s">
        <v>1561</v>
      </c>
      <c r="I266" s="213">
        <v>2301</v>
      </c>
      <c r="J266" s="216" t="s">
        <v>1562</v>
      </c>
      <c r="K266" s="216" t="s">
        <v>1213</v>
      </c>
      <c r="L266" s="213">
        <v>2301030</v>
      </c>
      <c r="M266" s="216" t="s">
        <v>1214</v>
      </c>
      <c r="N266" s="213">
        <v>2301030</v>
      </c>
      <c r="O266" s="216" t="s">
        <v>1214</v>
      </c>
      <c r="P266" s="292">
        <v>230103000</v>
      </c>
      <c r="Q266" s="216" t="s">
        <v>1215</v>
      </c>
      <c r="R266" s="292">
        <v>230103000</v>
      </c>
      <c r="S266" s="216" t="s">
        <v>1215</v>
      </c>
      <c r="T266" s="236" t="s">
        <v>1673</v>
      </c>
      <c r="U266" s="76">
        <v>2500</v>
      </c>
      <c r="V266" s="76">
        <v>3571</v>
      </c>
      <c r="W266" s="324" t="s">
        <v>1216</v>
      </c>
      <c r="X266" s="214" t="s">
        <v>1217</v>
      </c>
      <c r="Y266" s="320" t="s">
        <v>1218</v>
      </c>
      <c r="Z266" s="289"/>
      <c r="AA266" s="289"/>
      <c r="AB266" s="289"/>
      <c r="AC266" s="289"/>
      <c r="AD266" s="289"/>
      <c r="AE266" s="289"/>
      <c r="AF266" s="289"/>
      <c r="AG266" s="289"/>
      <c r="AH266" s="289"/>
      <c r="AI266" s="273"/>
      <c r="AJ266" s="273"/>
      <c r="AK266" s="273"/>
      <c r="AL266" s="273"/>
      <c r="AM266" s="273"/>
      <c r="AN266" s="273"/>
      <c r="AO266" s="273"/>
      <c r="AP266" s="273"/>
      <c r="AQ266" s="273"/>
      <c r="AR266" s="273"/>
      <c r="AS266" s="273"/>
      <c r="AT266" s="273"/>
      <c r="AU266" s="273"/>
      <c r="AV266" s="273"/>
      <c r="AW266" s="273"/>
      <c r="AX266" s="273"/>
      <c r="AY266" s="273"/>
      <c r="AZ266" s="273"/>
      <c r="BA266" s="273"/>
      <c r="BB266" s="273"/>
      <c r="BC266" s="273"/>
      <c r="BD266" s="273">
        <f>36000000+222540000</f>
        <v>258540000</v>
      </c>
      <c r="BE266" s="273">
        <v>252752401</v>
      </c>
      <c r="BF266" s="273">
        <v>252752401</v>
      </c>
      <c r="BG266" s="273"/>
      <c r="BH266" s="273"/>
      <c r="BI266" s="273"/>
      <c r="BJ266" s="273"/>
      <c r="BK266" s="273"/>
      <c r="BL266" s="273"/>
      <c r="BM266" s="273"/>
      <c r="BN266" s="273"/>
      <c r="BO266" s="273"/>
      <c r="BP266" s="273">
        <f t="shared" si="66"/>
        <v>258540000</v>
      </c>
      <c r="BQ266" s="273">
        <f t="shared" si="67"/>
        <v>252752401</v>
      </c>
      <c r="BR266" s="273">
        <f t="shared" si="67"/>
        <v>252752401</v>
      </c>
      <c r="BS266" s="246" t="s">
        <v>1656</v>
      </c>
      <c r="BT266" s="233"/>
    </row>
    <row r="267" spans="1:72" s="27" customFormat="1" ht="91.5" customHeight="1" x14ac:dyDescent="0.2">
      <c r="A267" s="217">
        <v>324</v>
      </c>
      <c r="B267" s="287" t="s">
        <v>1659</v>
      </c>
      <c r="C267" s="213">
        <v>1</v>
      </c>
      <c r="D267" s="287" t="s">
        <v>1614</v>
      </c>
      <c r="E267" s="213">
        <v>23</v>
      </c>
      <c r="F267" s="216" t="s">
        <v>1198</v>
      </c>
      <c r="G267" s="213">
        <v>2301</v>
      </c>
      <c r="H267" s="216" t="s">
        <v>1561</v>
      </c>
      <c r="I267" s="213">
        <v>2301</v>
      </c>
      <c r="J267" s="216" t="s">
        <v>1562</v>
      </c>
      <c r="K267" s="216" t="s">
        <v>1213</v>
      </c>
      <c r="L267" s="213">
        <v>2301015</v>
      </c>
      <c r="M267" s="216" t="s">
        <v>1219</v>
      </c>
      <c r="N267" s="213">
        <v>2301015</v>
      </c>
      <c r="O267" s="216" t="s">
        <v>1219</v>
      </c>
      <c r="P267" s="292">
        <v>230101500</v>
      </c>
      <c r="Q267" s="216" t="s">
        <v>1220</v>
      </c>
      <c r="R267" s="292">
        <v>230101500</v>
      </c>
      <c r="S267" s="216" t="s">
        <v>1220</v>
      </c>
      <c r="T267" s="236" t="s">
        <v>1671</v>
      </c>
      <c r="U267" s="76">
        <v>3</v>
      </c>
      <c r="V267" s="76">
        <v>3</v>
      </c>
      <c r="W267" s="324" t="s">
        <v>1216</v>
      </c>
      <c r="X267" s="214" t="s">
        <v>1217</v>
      </c>
      <c r="Y267" s="320" t="s">
        <v>1218</v>
      </c>
      <c r="Z267" s="289"/>
      <c r="AA267" s="289"/>
      <c r="AB267" s="289"/>
      <c r="AC267" s="289"/>
      <c r="AD267" s="289"/>
      <c r="AE267" s="289"/>
      <c r="AF267" s="289"/>
      <c r="AG267" s="289"/>
      <c r="AH267" s="289"/>
      <c r="AI267" s="273"/>
      <c r="AJ267" s="273"/>
      <c r="AK267" s="273"/>
      <c r="AL267" s="273"/>
      <c r="AM267" s="273"/>
      <c r="AN267" s="273"/>
      <c r="AO267" s="273"/>
      <c r="AP267" s="273"/>
      <c r="AQ267" s="273"/>
      <c r="AR267" s="273"/>
      <c r="AS267" s="273"/>
      <c r="AT267" s="273"/>
      <c r="AU267" s="273"/>
      <c r="AV267" s="273"/>
      <c r="AW267" s="273"/>
      <c r="AX267" s="273"/>
      <c r="AY267" s="273"/>
      <c r="AZ267" s="273"/>
      <c r="BA267" s="273"/>
      <c r="BB267" s="273"/>
      <c r="BC267" s="273"/>
      <c r="BD267" s="273">
        <v>18000000</v>
      </c>
      <c r="BE267" s="273">
        <v>15465000</v>
      </c>
      <c r="BF267" s="273">
        <v>15465000</v>
      </c>
      <c r="BG267" s="273"/>
      <c r="BH267" s="273"/>
      <c r="BI267" s="273"/>
      <c r="BJ267" s="273"/>
      <c r="BK267" s="273"/>
      <c r="BL267" s="273"/>
      <c r="BM267" s="273"/>
      <c r="BN267" s="273"/>
      <c r="BO267" s="273"/>
      <c r="BP267" s="273">
        <f t="shared" si="66"/>
        <v>18000000</v>
      </c>
      <c r="BQ267" s="273">
        <f t="shared" si="67"/>
        <v>15465000</v>
      </c>
      <c r="BR267" s="273">
        <f t="shared" si="67"/>
        <v>15465000</v>
      </c>
      <c r="BS267" s="246" t="s">
        <v>1656</v>
      </c>
      <c r="BT267" s="233"/>
    </row>
    <row r="268" spans="1:72" s="27" customFormat="1" ht="99.75" customHeight="1" x14ac:dyDescent="0.2">
      <c r="A268" s="217">
        <v>324</v>
      </c>
      <c r="B268" s="287" t="s">
        <v>1659</v>
      </c>
      <c r="C268" s="213">
        <v>1</v>
      </c>
      <c r="D268" s="287" t="s">
        <v>1614</v>
      </c>
      <c r="E268" s="213">
        <v>23</v>
      </c>
      <c r="F268" s="216" t="s">
        <v>1198</v>
      </c>
      <c r="G268" s="213">
        <v>2301</v>
      </c>
      <c r="H268" s="216" t="s">
        <v>1561</v>
      </c>
      <c r="I268" s="213">
        <v>2301</v>
      </c>
      <c r="J268" s="216" t="s">
        <v>1562</v>
      </c>
      <c r="K268" s="216" t="s">
        <v>1213</v>
      </c>
      <c r="L268" s="213">
        <v>2301004</v>
      </c>
      <c r="M268" s="216" t="s">
        <v>233</v>
      </c>
      <c r="N268" s="213">
        <v>2301004</v>
      </c>
      <c r="O268" s="216" t="s">
        <v>233</v>
      </c>
      <c r="P268" s="76">
        <v>230200400</v>
      </c>
      <c r="Q268" s="216" t="s">
        <v>235</v>
      </c>
      <c r="R268" s="292">
        <v>230100400</v>
      </c>
      <c r="S268" s="216" t="s">
        <v>235</v>
      </c>
      <c r="T268" s="236" t="s">
        <v>1671</v>
      </c>
      <c r="U268" s="76">
        <v>1</v>
      </c>
      <c r="V268" s="76">
        <v>1</v>
      </c>
      <c r="W268" s="324" t="s">
        <v>1216</v>
      </c>
      <c r="X268" s="214" t="s">
        <v>1217</v>
      </c>
      <c r="Y268" s="320" t="s">
        <v>1218</v>
      </c>
      <c r="Z268" s="289"/>
      <c r="AA268" s="289"/>
      <c r="AB268" s="289"/>
      <c r="AC268" s="289"/>
      <c r="AD268" s="289"/>
      <c r="AE268" s="289"/>
      <c r="AF268" s="289"/>
      <c r="AG268" s="289"/>
      <c r="AH268" s="289"/>
      <c r="AI268" s="273"/>
      <c r="AJ268" s="273"/>
      <c r="AK268" s="273"/>
      <c r="AL268" s="273"/>
      <c r="AM268" s="273"/>
      <c r="AN268" s="273"/>
      <c r="AO268" s="273"/>
      <c r="AP268" s="273"/>
      <c r="AQ268" s="273"/>
      <c r="AR268" s="273"/>
      <c r="AS268" s="273"/>
      <c r="AT268" s="273"/>
      <c r="AU268" s="273"/>
      <c r="AV268" s="273"/>
      <c r="AW268" s="273"/>
      <c r="AX268" s="273"/>
      <c r="AY268" s="273"/>
      <c r="AZ268" s="273"/>
      <c r="BA268" s="273"/>
      <c r="BB268" s="273"/>
      <c r="BC268" s="273"/>
      <c r="BD268" s="273">
        <v>18000000</v>
      </c>
      <c r="BE268" s="273">
        <v>16617600</v>
      </c>
      <c r="BF268" s="273">
        <v>16617600</v>
      </c>
      <c r="BG268" s="273"/>
      <c r="BH268" s="273"/>
      <c r="BI268" s="273"/>
      <c r="BJ268" s="273"/>
      <c r="BK268" s="273"/>
      <c r="BL268" s="273"/>
      <c r="BM268" s="273"/>
      <c r="BN268" s="273"/>
      <c r="BO268" s="273"/>
      <c r="BP268" s="273">
        <f t="shared" si="66"/>
        <v>18000000</v>
      </c>
      <c r="BQ268" s="273">
        <f t="shared" si="67"/>
        <v>16617600</v>
      </c>
      <c r="BR268" s="273">
        <f t="shared" si="67"/>
        <v>16617600</v>
      </c>
      <c r="BS268" s="246" t="s">
        <v>1656</v>
      </c>
      <c r="BT268" s="233"/>
    </row>
    <row r="269" spans="1:72" s="27" customFormat="1" ht="103.5" customHeight="1" x14ac:dyDescent="0.2">
      <c r="A269" s="217">
        <v>324</v>
      </c>
      <c r="B269" s="287" t="s">
        <v>1659</v>
      </c>
      <c r="C269" s="213">
        <v>1</v>
      </c>
      <c r="D269" s="287" t="s">
        <v>1614</v>
      </c>
      <c r="E269" s="213">
        <v>23</v>
      </c>
      <c r="F269" s="216" t="s">
        <v>1198</v>
      </c>
      <c r="G269" s="213">
        <v>2301</v>
      </c>
      <c r="H269" s="216" t="s">
        <v>1561</v>
      </c>
      <c r="I269" s="213">
        <v>2301</v>
      </c>
      <c r="J269" s="216" t="s">
        <v>1562</v>
      </c>
      <c r="K269" s="216" t="s">
        <v>1213</v>
      </c>
      <c r="L269" s="213">
        <v>2301035</v>
      </c>
      <c r="M269" s="216" t="s">
        <v>1221</v>
      </c>
      <c r="N269" s="213">
        <v>2301035</v>
      </c>
      <c r="O269" s="216" t="s">
        <v>1221</v>
      </c>
      <c r="P269" s="292">
        <v>230103500</v>
      </c>
      <c r="Q269" s="216" t="s">
        <v>1222</v>
      </c>
      <c r="R269" s="292">
        <v>230103500</v>
      </c>
      <c r="S269" s="216" t="s">
        <v>1222</v>
      </c>
      <c r="T269" s="236" t="s">
        <v>1673</v>
      </c>
      <c r="U269" s="76">
        <v>20</v>
      </c>
      <c r="V269" s="76">
        <v>60</v>
      </c>
      <c r="W269" s="324" t="s">
        <v>1216</v>
      </c>
      <c r="X269" s="214" t="s">
        <v>1217</v>
      </c>
      <c r="Y269" s="320" t="s">
        <v>1218</v>
      </c>
      <c r="Z269" s="289"/>
      <c r="AA269" s="289"/>
      <c r="AB269" s="289"/>
      <c r="AC269" s="289"/>
      <c r="AD269" s="289"/>
      <c r="AE269" s="289"/>
      <c r="AF269" s="289"/>
      <c r="AG269" s="289"/>
      <c r="AH269" s="289"/>
      <c r="AI269" s="273"/>
      <c r="AJ269" s="273"/>
      <c r="AK269" s="273"/>
      <c r="AL269" s="273"/>
      <c r="AM269" s="273"/>
      <c r="AN269" s="273"/>
      <c r="AO269" s="273"/>
      <c r="AP269" s="273"/>
      <c r="AQ269" s="273"/>
      <c r="AR269" s="273"/>
      <c r="AS269" s="273"/>
      <c r="AT269" s="273"/>
      <c r="AU269" s="273"/>
      <c r="AV269" s="273"/>
      <c r="AW269" s="273"/>
      <c r="AX269" s="273"/>
      <c r="AY269" s="273"/>
      <c r="AZ269" s="273"/>
      <c r="BA269" s="273"/>
      <c r="BB269" s="273"/>
      <c r="BC269" s="273"/>
      <c r="BD269" s="273">
        <v>36000000</v>
      </c>
      <c r="BE269" s="273">
        <v>25080000</v>
      </c>
      <c r="BF269" s="273">
        <v>25080000</v>
      </c>
      <c r="BG269" s="273"/>
      <c r="BH269" s="273"/>
      <c r="BI269" s="273"/>
      <c r="BJ269" s="273"/>
      <c r="BK269" s="273"/>
      <c r="BL269" s="273"/>
      <c r="BM269" s="273"/>
      <c r="BN269" s="273"/>
      <c r="BO269" s="273"/>
      <c r="BP269" s="273">
        <f t="shared" si="66"/>
        <v>36000000</v>
      </c>
      <c r="BQ269" s="273">
        <f t="shared" si="67"/>
        <v>25080000</v>
      </c>
      <c r="BR269" s="273">
        <f t="shared" si="67"/>
        <v>25080000</v>
      </c>
      <c r="BS269" s="246" t="s">
        <v>1656</v>
      </c>
      <c r="BT269" s="233"/>
    </row>
    <row r="270" spans="1:72" s="27" customFormat="1" ht="103.5" customHeight="1" x14ac:dyDescent="0.2">
      <c r="A270" s="217">
        <v>324</v>
      </c>
      <c r="B270" s="287" t="s">
        <v>1659</v>
      </c>
      <c r="C270" s="213">
        <v>1</v>
      </c>
      <c r="D270" s="287" t="s">
        <v>1614</v>
      </c>
      <c r="E270" s="213">
        <v>23</v>
      </c>
      <c r="F270" s="216" t="s">
        <v>1198</v>
      </c>
      <c r="G270" s="213">
        <v>2301</v>
      </c>
      <c r="H270" s="216" t="s">
        <v>1561</v>
      </c>
      <c r="I270" s="213">
        <v>2301</v>
      </c>
      <c r="J270" s="216" t="s">
        <v>1562</v>
      </c>
      <c r="K270" s="216" t="s">
        <v>1213</v>
      </c>
      <c r="L270" s="213">
        <v>2301042</v>
      </c>
      <c r="M270" s="216" t="s">
        <v>1223</v>
      </c>
      <c r="N270" s="213">
        <v>2301042</v>
      </c>
      <c r="O270" s="216" t="s">
        <v>1223</v>
      </c>
      <c r="P270" s="292">
        <v>230104201</v>
      </c>
      <c r="Q270" s="216" t="s">
        <v>1224</v>
      </c>
      <c r="R270" s="292">
        <v>230104201</v>
      </c>
      <c r="S270" s="216" t="s">
        <v>1224</v>
      </c>
      <c r="T270" s="236" t="s">
        <v>1671</v>
      </c>
      <c r="U270" s="76">
        <v>1</v>
      </c>
      <c r="V270" s="76">
        <v>0</v>
      </c>
      <c r="W270" s="324" t="s">
        <v>1216</v>
      </c>
      <c r="X270" s="214" t="s">
        <v>1217</v>
      </c>
      <c r="Y270" s="320" t="s">
        <v>1218</v>
      </c>
      <c r="Z270" s="289"/>
      <c r="AA270" s="289"/>
      <c r="AB270" s="289"/>
      <c r="AC270" s="289"/>
      <c r="AD270" s="289"/>
      <c r="AE270" s="289"/>
      <c r="AF270" s="289"/>
      <c r="AG270" s="289"/>
      <c r="AH270" s="289"/>
      <c r="AI270" s="273"/>
      <c r="AJ270" s="273"/>
      <c r="AK270" s="273"/>
      <c r="AL270" s="273"/>
      <c r="AM270" s="273"/>
      <c r="AN270" s="273"/>
      <c r="AO270" s="273"/>
      <c r="AP270" s="273"/>
      <c r="AQ270" s="273"/>
      <c r="AR270" s="273"/>
      <c r="AS270" s="273"/>
      <c r="AT270" s="273"/>
      <c r="AU270" s="273"/>
      <c r="AV270" s="273"/>
      <c r="AW270" s="273"/>
      <c r="AX270" s="273"/>
      <c r="AY270" s="273"/>
      <c r="AZ270" s="273"/>
      <c r="BA270" s="273"/>
      <c r="BB270" s="273"/>
      <c r="BC270" s="273"/>
      <c r="BD270" s="273">
        <v>18000000</v>
      </c>
      <c r="BE270" s="273"/>
      <c r="BF270" s="273"/>
      <c r="BG270" s="273"/>
      <c r="BH270" s="273"/>
      <c r="BI270" s="273"/>
      <c r="BJ270" s="273"/>
      <c r="BK270" s="273"/>
      <c r="BL270" s="273"/>
      <c r="BM270" s="273"/>
      <c r="BN270" s="273"/>
      <c r="BO270" s="273"/>
      <c r="BP270" s="273">
        <f t="shared" si="66"/>
        <v>18000000</v>
      </c>
      <c r="BQ270" s="273">
        <f t="shared" si="67"/>
        <v>0</v>
      </c>
      <c r="BR270" s="273">
        <f t="shared" si="67"/>
        <v>0</v>
      </c>
      <c r="BS270" s="246" t="s">
        <v>1656</v>
      </c>
      <c r="BT270" s="233"/>
    </row>
    <row r="271" spans="1:72" s="27" customFormat="1" ht="104.25" customHeight="1" x14ac:dyDescent="0.2">
      <c r="A271" s="217">
        <v>324</v>
      </c>
      <c r="B271" s="287" t="s">
        <v>1659</v>
      </c>
      <c r="C271" s="213">
        <v>1</v>
      </c>
      <c r="D271" s="287" t="s">
        <v>1614</v>
      </c>
      <c r="E271" s="213">
        <v>23</v>
      </c>
      <c r="F271" s="216" t="s">
        <v>1198</v>
      </c>
      <c r="G271" s="213">
        <v>2302</v>
      </c>
      <c r="H271" s="216" t="s">
        <v>1588</v>
      </c>
      <c r="I271" s="213">
        <v>2302</v>
      </c>
      <c r="J271" s="216" t="s">
        <v>1589</v>
      </c>
      <c r="K271" s="216" t="s">
        <v>1200</v>
      </c>
      <c r="L271" s="213">
        <v>2302042</v>
      </c>
      <c r="M271" s="216" t="s">
        <v>1225</v>
      </c>
      <c r="N271" s="213">
        <v>2302042</v>
      </c>
      <c r="O271" s="216" t="s">
        <v>1225</v>
      </c>
      <c r="P271" s="292">
        <v>230204200</v>
      </c>
      <c r="Q271" s="216" t="s">
        <v>1226</v>
      </c>
      <c r="R271" s="292">
        <v>230204200</v>
      </c>
      <c r="S271" s="216" t="s">
        <v>1226</v>
      </c>
      <c r="T271" s="236" t="s">
        <v>1673</v>
      </c>
      <c r="U271" s="76">
        <v>1</v>
      </c>
      <c r="V271" s="76">
        <v>1</v>
      </c>
      <c r="W271" s="324" t="s">
        <v>1227</v>
      </c>
      <c r="X271" s="214" t="s">
        <v>1228</v>
      </c>
      <c r="Y271" s="320" t="s">
        <v>1229</v>
      </c>
      <c r="Z271" s="289"/>
      <c r="AA271" s="289"/>
      <c r="AB271" s="289"/>
      <c r="AC271" s="289"/>
      <c r="AD271" s="289"/>
      <c r="AE271" s="289"/>
      <c r="AF271" s="289"/>
      <c r="AG271" s="289"/>
      <c r="AH271" s="289"/>
      <c r="AI271" s="273"/>
      <c r="AJ271" s="273"/>
      <c r="AK271" s="273"/>
      <c r="AL271" s="273"/>
      <c r="AM271" s="273"/>
      <c r="AN271" s="273"/>
      <c r="AO271" s="273"/>
      <c r="AP271" s="273"/>
      <c r="AQ271" s="273"/>
      <c r="AR271" s="273"/>
      <c r="AS271" s="273"/>
      <c r="AT271" s="273"/>
      <c r="AU271" s="273"/>
      <c r="AV271" s="273"/>
      <c r="AW271" s="273"/>
      <c r="AX271" s="273"/>
      <c r="AY271" s="273"/>
      <c r="AZ271" s="273"/>
      <c r="BA271" s="273"/>
      <c r="BB271" s="273"/>
      <c r="BC271" s="273"/>
      <c r="BD271" s="273">
        <v>20000000</v>
      </c>
      <c r="BE271" s="273">
        <v>18407000</v>
      </c>
      <c r="BF271" s="273">
        <v>18407000</v>
      </c>
      <c r="BG271" s="273"/>
      <c r="BH271" s="273"/>
      <c r="BI271" s="273"/>
      <c r="BJ271" s="273"/>
      <c r="BK271" s="273"/>
      <c r="BL271" s="273"/>
      <c r="BM271" s="273"/>
      <c r="BN271" s="273"/>
      <c r="BO271" s="273"/>
      <c r="BP271" s="273">
        <f t="shared" ref="BP271:BR275" si="68">+Z271+AC271+AF271+AI271+AL271+AO271+AR271+AU271+AX271+BA271+BD271+BG271+BJ271</f>
        <v>20000000</v>
      </c>
      <c r="BQ271" s="273">
        <f t="shared" si="68"/>
        <v>18407000</v>
      </c>
      <c r="BR271" s="273">
        <f t="shared" si="68"/>
        <v>18407000</v>
      </c>
      <c r="BS271" s="246" t="s">
        <v>1656</v>
      </c>
      <c r="BT271" s="233"/>
    </row>
    <row r="272" spans="1:72" s="27" customFormat="1" ht="103.5" customHeight="1" x14ac:dyDescent="0.2">
      <c r="A272" s="217">
        <v>324</v>
      </c>
      <c r="B272" s="287" t="s">
        <v>1659</v>
      </c>
      <c r="C272" s="213">
        <v>1</v>
      </c>
      <c r="D272" s="287" t="s">
        <v>1614</v>
      </c>
      <c r="E272" s="213">
        <v>23</v>
      </c>
      <c r="F272" s="216" t="s">
        <v>1198</v>
      </c>
      <c r="G272" s="213">
        <v>2302</v>
      </c>
      <c r="H272" s="216" t="s">
        <v>1588</v>
      </c>
      <c r="I272" s="213">
        <v>2302</v>
      </c>
      <c r="J272" s="216" t="s">
        <v>1589</v>
      </c>
      <c r="K272" s="216" t="s">
        <v>1200</v>
      </c>
      <c r="L272" s="213">
        <v>2302022</v>
      </c>
      <c r="M272" s="216" t="s">
        <v>1230</v>
      </c>
      <c r="N272" s="213">
        <v>2302022</v>
      </c>
      <c r="O272" s="216" t="s">
        <v>1230</v>
      </c>
      <c r="P272" s="292">
        <v>230202200</v>
      </c>
      <c r="Q272" s="216" t="s">
        <v>1231</v>
      </c>
      <c r="R272" s="292">
        <v>230202200</v>
      </c>
      <c r="S272" s="216" t="s">
        <v>1231</v>
      </c>
      <c r="T272" s="236" t="s">
        <v>1673</v>
      </c>
      <c r="U272" s="76">
        <v>20</v>
      </c>
      <c r="V272" s="76">
        <v>20</v>
      </c>
      <c r="W272" s="324" t="s">
        <v>1227</v>
      </c>
      <c r="X272" s="214" t="s">
        <v>1228</v>
      </c>
      <c r="Y272" s="320" t="s">
        <v>1229</v>
      </c>
      <c r="Z272" s="289"/>
      <c r="AA272" s="289"/>
      <c r="AB272" s="289"/>
      <c r="AC272" s="289"/>
      <c r="AD272" s="289"/>
      <c r="AE272" s="289"/>
      <c r="AF272" s="289"/>
      <c r="AG272" s="289"/>
      <c r="AH272" s="289"/>
      <c r="AI272" s="273"/>
      <c r="AJ272" s="273"/>
      <c r="AK272" s="273"/>
      <c r="AL272" s="273"/>
      <c r="AM272" s="273"/>
      <c r="AN272" s="273"/>
      <c r="AO272" s="273"/>
      <c r="AP272" s="273"/>
      <c r="AQ272" s="273"/>
      <c r="AR272" s="273"/>
      <c r="AS272" s="273"/>
      <c r="AT272" s="273"/>
      <c r="AU272" s="273"/>
      <c r="AV272" s="273"/>
      <c r="AW272" s="273"/>
      <c r="AX272" s="273"/>
      <c r="AY272" s="273"/>
      <c r="AZ272" s="273"/>
      <c r="BA272" s="273"/>
      <c r="BB272" s="273"/>
      <c r="BC272" s="273"/>
      <c r="BD272" s="273">
        <v>36000000</v>
      </c>
      <c r="BE272" s="273">
        <v>23300000</v>
      </c>
      <c r="BF272" s="273">
        <v>23300000</v>
      </c>
      <c r="BG272" s="273"/>
      <c r="BH272" s="273"/>
      <c r="BI272" s="273"/>
      <c r="BJ272" s="273"/>
      <c r="BK272" s="273"/>
      <c r="BL272" s="273"/>
      <c r="BM272" s="273"/>
      <c r="BN272" s="273"/>
      <c r="BO272" s="273"/>
      <c r="BP272" s="273">
        <f t="shared" si="68"/>
        <v>36000000</v>
      </c>
      <c r="BQ272" s="273">
        <f t="shared" si="68"/>
        <v>23300000</v>
      </c>
      <c r="BR272" s="273">
        <f t="shared" si="68"/>
        <v>23300000</v>
      </c>
      <c r="BS272" s="246" t="s">
        <v>1656</v>
      </c>
      <c r="BT272" s="233"/>
    </row>
    <row r="273" spans="1:72" s="27" customFormat="1" ht="84" customHeight="1" x14ac:dyDescent="0.2">
      <c r="A273" s="217">
        <v>324</v>
      </c>
      <c r="B273" s="287" t="s">
        <v>1659</v>
      </c>
      <c r="C273" s="213">
        <v>1</v>
      </c>
      <c r="D273" s="287" t="s">
        <v>1614</v>
      </c>
      <c r="E273" s="213">
        <v>23</v>
      </c>
      <c r="F273" s="216" t="s">
        <v>1198</v>
      </c>
      <c r="G273" s="213">
        <v>2302</v>
      </c>
      <c r="H273" s="216" t="s">
        <v>1588</v>
      </c>
      <c r="I273" s="213">
        <v>2302</v>
      </c>
      <c r="J273" s="216" t="s">
        <v>1589</v>
      </c>
      <c r="K273" s="216" t="s">
        <v>1213</v>
      </c>
      <c r="L273" s="213">
        <v>2302021</v>
      </c>
      <c r="M273" s="216" t="s">
        <v>1232</v>
      </c>
      <c r="N273" s="213">
        <v>2302021</v>
      </c>
      <c r="O273" s="216" t="s">
        <v>1232</v>
      </c>
      <c r="P273" s="292">
        <v>230202100</v>
      </c>
      <c r="Q273" s="216" t="s">
        <v>1233</v>
      </c>
      <c r="R273" s="292">
        <v>230202100</v>
      </c>
      <c r="S273" s="216" t="s">
        <v>1233</v>
      </c>
      <c r="T273" s="236" t="s">
        <v>1673</v>
      </c>
      <c r="U273" s="76">
        <v>8</v>
      </c>
      <c r="V273" s="76">
        <v>8</v>
      </c>
      <c r="W273" s="324" t="s">
        <v>1227</v>
      </c>
      <c r="X273" s="214" t="s">
        <v>1228</v>
      </c>
      <c r="Y273" s="320" t="s">
        <v>1229</v>
      </c>
      <c r="Z273" s="289"/>
      <c r="AA273" s="289"/>
      <c r="AB273" s="289"/>
      <c r="AC273" s="289"/>
      <c r="AD273" s="289"/>
      <c r="AE273" s="289"/>
      <c r="AF273" s="289"/>
      <c r="AG273" s="289"/>
      <c r="AH273" s="289"/>
      <c r="AI273" s="273"/>
      <c r="AJ273" s="273"/>
      <c r="AK273" s="273"/>
      <c r="AL273" s="273"/>
      <c r="AM273" s="273"/>
      <c r="AN273" s="273"/>
      <c r="AO273" s="273"/>
      <c r="AP273" s="273"/>
      <c r="AQ273" s="273"/>
      <c r="AR273" s="273"/>
      <c r="AS273" s="273"/>
      <c r="AT273" s="273"/>
      <c r="AU273" s="273"/>
      <c r="AV273" s="273"/>
      <c r="AW273" s="273"/>
      <c r="AX273" s="273"/>
      <c r="AY273" s="273"/>
      <c r="AZ273" s="273"/>
      <c r="BA273" s="273"/>
      <c r="BB273" s="273"/>
      <c r="BC273" s="273"/>
      <c r="BD273" s="273">
        <v>50000000</v>
      </c>
      <c r="BE273" s="273">
        <v>49093500</v>
      </c>
      <c r="BF273" s="273">
        <v>49093500</v>
      </c>
      <c r="BG273" s="273"/>
      <c r="BH273" s="273"/>
      <c r="BI273" s="273"/>
      <c r="BJ273" s="273"/>
      <c r="BK273" s="273"/>
      <c r="BL273" s="273"/>
      <c r="BM273" s="273"/>
      <c r="BN273" s="273"/>
      <c r="BO273" s="273"/>
      <c r="BP273" s="273">
        <f t="shared" si="68"/>
        <v>50000000</v>
      </c>
      <c r="BQ273" s="273">
        <f t="shared" si="68"/>
        <v>49093500</v>
      </c>
      <c r="BR273" s="273">
        <f t="shared" si="68"/>
        <v>49093500</v>
      </c>
      <c r="BS273" s="246" t="s">
        <v>1656</v>
      </c>
      <c r="BT273" s="233"/>
    </row>
    <row r="274" spans="1:72" s="27" customFormat="1" ht="114" customHeight="1" x14ac:dyDescent="0.2">
      <c r="A274" s="217">
        <v>324</v>
      </c>
      <c r="B274" s="287" t="s">
        <v>1659</v>
      </c>
      <c r="C274" s="213">
        <v>1</v>
      </c>
      <c r="D274" s="287" t="s">
        <v>1614</v>
      </c>
      <c r="E274" s="213">
        <v>23</v>
      </c>
      <c r="F274" s="216" t="s">
        <v>1198</v>
      </c>
      <c r="G274" s="213">
        <v>2302</v>
      </c>
      <c r="H274" s="216" t="s">
        <v>1588</v>
      </c>
      <c r="I274" s="213">
        <v>2302</v>
      </c>
      <c r="J274" s="216" t="s">
        <v>1589</v>
      </c>
      <c r="K274" s="216" t="s">
        <v>1234</v>
      </c>
      <c r="L274" s="213">
        <v>2302058</v>
      </c>
      <c r="M274" s="216" t="s">
        <v>1235</v>
      </c>
      <c r="N274" s="213">
        <v>2302058</v>
      </c>
      <c r="O274" s="216" t="s">
        <v>1235</v>
      </c>
      <c r="P274" s="292">
        <v>230205800</v>
      </c>
      <c r="Q274" s="216" t="s">
        <v>1236</v>
      </c>
      <c r="R274" s="292">
        <v>230205800</v>
      </c>
      <c r="S274" s="216" t="s">
        <v>1236</v>
      </c>
      <c r="T274" s="236" t="s">
        <v>1673</v>
      </c>
      <c r="U274" s="76">
        <v>300</v>
      </c>
      <c r="V274" s="76">
        <v>300</v>
      </c>
      <c r="W274" s="324" t="s">
        <v>1227</v>
      </c>
      <c r="X274" s="214" t="s">
        <v>1228</v>
      </c>
      <c r="Y274" s="320" t="s">
        <v>1229</v>
      </c>
      <c r="Z274" s="289"/>
      <c r="AA274" s="289"/>
      <c r="AB274" s="289"/>
      <c r="AC274" s="289"/>
      <c r="AD274" s="289"/>
      <c r="AE274" s="289"/>
      <c r="AF274" s="289"/>
      <c r="AG274" s="289"/>
      <c r="AH274" s="289"/>
      <c r="AI274" s="273"/>
      <c r="AJ274" s="273"/>
      <c r="AK274" s="273"/>
      <c r="AL274" s="273"/>
      <c r="AM274" s="273"/>
      <c r="AN274" s="273"/>
      <c r="AO274" s="273"/>
      <c r="AP274" s="273"/>
      <c r="AQ274" s="273"/>
      <c r="AR274" s="273"/>
      <c r="AS274" s="273"/>
      <c r="AT274" s="273"/>
      <c r="AU274" s="273"/>
      <c r="AV274" s="273"/>
      <c r="AW274" s="273"/>
      <c r="AX274" s="273"/>
      <c r="AY274" s="273"/>
      <c r="AZ274" s="273"/>
      <c r="BA274" s="273"/>
      <c r="BB274" s="273"/>
      <c r="BC274" s="273"/>
      <c r="BD274" s="273">
        <v>20000000</v>
      </c>
      <c r="BE274" s="273">
        <v>20000000</v>
      </c>
      <c r="BF274" s="273">
        <v>20000000</v>
      </c>
      <c r="BG274" s="273"/>
      <c r="BH274" s="273"/>
      <c r="BI274" s="273"/>
      <c r="BJ274" s="273"/>
      <c r="BK274" s="273"/>
      <c r="BL274" s="273"/>
      <c r="BM274" s="273"/>
      <c r="BN274" s="273"/>
      <c r="BO274" s="273"/>
      <c r="BP274" s="273">
        <f t="shared" si="68"/>
        <v>20000000</v>
      </c>
      <c r="BQ274" s="273">
        <f t="shared" si="68"/>
        <v>20000000</v>
      </c>
      <c r="BR274" s="273">
        <f t="shared" si="68"/>
        <v>20000000</v>
      </c>
      <c r="BS274" s="246" t="s">
        <v>1656</v>
      </c>
      <c r="BT274" s="233"/>
    </row>
    <row r="275" spans="1:72" s="27" customFormat="1" ht="112.5" customHeight="1" x14ac:dyDescent="0.2">
      <c r="A275" s="217">
        <v>324</v>
      </c>
      <c r="B275" s="287" t="s">
        <v>1659</v>
      </c>
      <c r="C275" s="213">
        <v>1</v>
      </c>
      <c r="D275" s="287" t="s">
        <v>1614</v>
      </c>
      <c r="E275" s="213">
        <v>23</v>
      </c>
      <c r="F275" s="216" t="s">
        <v>1198</v>
      </c>
      <c r="G275" s="213">
        <v>2302</v>
      </c>
      <c r="H275" s="216" t="s">
        <v>1588</v>
      </c>
      <c r="I275" s="213">
        <v>2302</v>
      </c>
      <c r="J275" s="216" t="s">
        <v>1589</v>
      </c>
      <c r="K275" s="216" t="s">
        <v>1234</v>
      </c>
      <c r="L275" s="213">
        <v>2302068</v>
      </c>
      <c r="M275" s="216" t="s">
        <v>1237</v>
      </c>
      <c r="N275" s="213">
        <v>2302068</v>
      </c>
      <c r="O275" s="216" t="s">
        <v>1237</v>
      </c>
      <c r="P275" s="292">
        <v>230206800</v>
      </c>
      <c r="Q275" s="216" t="s">
        <v>1238</v>
      </c>
      <c r="R275" s="292">
        <v>230206800</v>
      </c>
      <c r="S275" s="216" t="s">
        <v>1238</v>
      </c>
      <c r="T275" s="236" t="s">
        <v>1673</v>
      </c>
      <c r="U275" s="76">
        <v>60</v>
      </c>
      <c r="V275" s="76">
        <v>60</v>
      </c>
      <c r="W275" s="324" t="s">
        <v>1227</v>
      </c>
      <c r="X275" s="214" t="s">
        <v>1228</v>
      </c>
      <c r="Y275" s="320" t="s">
        <v>1229</v>
      </c>
      <c r="Z275" s="289"/>
      <c r="AA275" s="289"/>
      <c r="AB275" s="289"/>
      <c r="AC275" s="289"/>
      <c r="AD275" s="289"/>
      <c r="AE275" s="289"/>
      <c r="AF275" s="289"/>
      <c r="AG275" s="289"/>
      <c r="AH275" s="289"/>
      <c r="AI275" s="273"/>
      <c r="AJ275" s="273"/>
      <c r="AK275" s="273"/>
      <c r="AL275" s="273"/>
      <c r="AM275" s="273"/>
      <c r="AN275" s="273"/>
      <c r="AO275" s="273"/>
      <c r="AP275" s="273"/>
      <c r="AQ275" s="273"/>
      <c r="AR275" s="273"/>
      <c r="AS275" s="273"/>
      <c r="AT275" s="273"/>
      <c r="AU275" s="273"/>
      <c r="AV275" s="273"/>
      <c r="AW275" s="273"/>
      <c r="AX275" s="273"/>
      <c r="AY275" s="273"/>
      <c r="AZ275" s="273"/>
      <c r="BA275" s="273"/>
      <c r="BB275" s="273"/>
      <c r="BC275" s="273"/>
      <c r="BD275" s="273">
        <v>20000000</v>
      </c>
      <c r="BE275" s="273">
        <v>19810334</v>
      </c>
      <c r="BF275" s="273">
        <v>19810334</v>
      </c>
      <c r="BG275" s="273"/>
      <c r="BH275" s="273"/>
      <c r="BI275" s="273"/>
      <c r="BJ275" s="273"/>
      <c r="BK275" s="273"/>
      <c r="BL275" s="273"/>
      <c r="BM275" s="273"/>
      <c r="BN275" s="273"/>
      <c r="BO275" s="273"/>
      <c r="BP275" s="273">
        <f t="shared" si="68"/>
        <v>20000000</v>
      </c>
      <c r="BQ275" s="273">
        <f t="shared" si="68"/>
        <v>19810334</v>
      </c>
      <c r="BR275" s="273">
        <f t="shared" si="68"/>
        <v>19810334</v>
      </c>
      <c r="BS275" s="246" t="s">
        <v>1656</v>
      </c>
      <c r="BT275" s="233"/>
    </row>
    <row r="276" spans="1:72" s="27" customFormat="1" ht="69.75" customHeight="1" x14ac:dyDescent="0.2">
      <c r="A276" s="217">
        <v>324</v>
      </c>
      <c r="B276" s="287" t="s">
        <v>1659</v>
      </c>
      <c r="C276" s="213">
        <v>2</v>
      </c>
      <c r="D276" s="216" t="s">
        <v>1621</v>
      </c>
      <c r="E276" s="213">
        <v>39</v>
      </c>
      <c r="F276" s="311" t="s">
        <v>1483</v>
      </c>
      <c r="G276" s="213">
        <v>3903</v>
      </c>
      <c r="H276" s="311" t="s">
        <v>1240</v>
      </c>
      <c r="I276" s="213">
        <v>3903</v>
      </c>
      <c r="J276" s="311" t="s">
        <v>1240</v>
      </c>
      <c r="K276" s="311" t="s">
        <v>1241</v>
      </c>
      <c r="L276" s="74">
        <v>3903005</v>
      </c>
      <c r="M276" s="311" t="s">
        <v>1242</v>
      </c>
      <c r="N276" s="74">
        <v>3903005</v>
      </c>
      <c r="O276" s="311" t="s">
        <v>1242</v>
      </c>
      <c r="P276" s="74" t="s">
        <v>1243</v>
      </c>
      <c r="Q276" s="311" t="s">
        <v>1244</v>
      </c>
      <c r="R276" s="74" t="s">
        <v>1243</v>
      </c>
      <c r="S276" s="311" t="s">
        <v>1244</v>
      </c>
      <c r="T276" s="236" t="s">
        <v>1671</v>
      </c>
      <c r="U276" s="76">
        <v>1</v>
      </c>
      <c r="V276" s="76">
        <v>1</v>
      </c>
      <c r="W276" s="324" t="s">
        <v>1245</v>
      </c>
      <c r="X276" s="214" t="s">
        <v>1246</v>
      </c>
      <c r="Y276" s="320" t="s">
        <v>1247</v>
      </c>
      <c r="Z276" s="289"/>
      <c r="AA276" s="289"/>
      <c r="AB276" s="289"/>
      <c r="AC276" s="289"/>
      <c r="AD276" s="289"/>
      <c r="AE276" s="289"/>
      <c r="AF276" s="289"/>
      <c r="AG276" s="289"/>
      <c r="AH276" s="289"/>
      <c r="AI276" s="273"/>
      <c r="AJ276" s="273"/>
      <c r="AK276" s="273"/>
      <c r="AL276" s="273"/>
      <c r="AM276" s="273"/>
      <c r="AN276" s="273"/>
      <c r="AO276" s="273"/>
      <c r="AP276" s="273"/>
      <c r="AQ276" s="273"/>
      <c r="AR276" s="273"/>
      <c r="AS276" s="273"/>
      <c r="AT276" s="273"/>
      <c r="AU276" s="273"/>
      <c r="AV276" s="273"/>
      <c r="AW276" s="273"/>
      <c r="AX276" s="273"/>
      <c r="AY276" s="273"/>
      <c r="AZ276" s="273"/>
      <c r="BA276" s="273"/>
      <c r="BB276" s="273"/>
      <c r="BC276" s="273"/>
      <c r="BD276" s="273">
        <f>20000000-10000000</f>
        <v>10000000</v>
      </c>
      <c r="BE276" s="273">
        <v>9809000</v>
      </c>
      <c r="BF276" s="273">
        <v>9809000</v>
      </c>
      <c r="BG276" s="273"/>
      <c r="BH276" s="273"/>
      <c r="BI276" s="273"/>
      <c r="BJ276" s="273"/>
      <c r="BK276" s="273"/>
      <c r="BL276" s="273"/>
      <c r="BM276" s="273"/>
      <c r="BN276" s="273"/>
      <c r="BO276" s="273"/>
      <c r="BP276" s="273">
        <f t="shared" ref="BP276:BR278" si="69">+Z276+AC276+AF276+AI276+AL276+AO276+AR276+AU276+AX276+BA276+BD276+BG276+BJ276</f>
        <v>10000000</v>
      </c>
      <c r="BQ276" s="273">
        <f t="shared" si="69"/>
        <v>9809000</v>
      </c>
      <c r="BR276" s="273">
        <f t="shared" si="69"/>
        <v>9809000</v>
      </c>
      <c r="BS276" s="246" t="s">
        <v>1656</v>
      </c>
      <c r="BT276" s="233"/>
    </row>
    <row r="277" spans="1:72" s="27" customFormat="1" ht="69.75" customHeight="1" x14ac:dyDescent="0.2">
      <c r="A277" s="217">
        <v>324</v>
      </c>
      <c r="B277" s="287" t="s">
        <v>1659</v>
      </c>
      <c r="C277" s="213">
        <v>2</v>
      </c>
      <c r="D277" s="216" t="s">
        <v>1621</v>
      </c>
      <c r="E277" s="213">
        <v>39</v>
      </c>
      <c r="F277" s="311" t="s">
        <v>1483</v>
      </c>
      <c r="G277" s="213">
        <v>3903</v>
      </c>
      <c r="H277" s="311" t="s">
        <v>1240</v>
      </c>
      <c r="I277" s="213">
        <v>3903</v>
      </c>
      <c r="J277" s="311" t="s">
        <v>1240</v>
      </c>
      <c r="K277" s="311" t="s">
        <v>1241</v>
      </c>
      <c r="L277" s="74">
        <v>3903005</v>
      </c>
      <c r="M277" s="311" t="s">
        <v>1242</v>
      </c>
      <c r="N277" s="74">
        <v>3903005</v>
      </c>
      <c r="O277" s="311" t="s">
        <v>1242</v>
      </c>
      <c r="P277" s="74" t="s">
        <v>1248</v>
      </c>
      <c r="Q277" s="216" t="s">
        <v>1249</v>
      </c>
      <c r="R277" s="74" t="s">
        <v>1248</v>
      </c>
      <c r="S277" s="216" t="s">
        <v>1249</v>
      </c>
      <c r="T277" s="236" t="s">
        <v>1673</v>
      </c>
      <c r="U277" s="76">
        <v>50</v>
      </c>
      <c r="V277" s="76">
        <v>50</v>
      </c>
      <c r="W277" s="324" t="s">
        <v>1245</v>
      </c>
      <c r="X277" s="214" t="s">
        <v>1246</v>
      </c>
      <c r="Y277" s="320" t="s">
        <v>1247</v>
      </c>
      <c r="Z277" s="289"/>
      <c r="AA277" s="289"/>
      <c r="AB277" s="289"/>
      <c r="AC277" s="289"/>
      <c r="AD277" s="289"/>
      <c r="AE277" s="289"/>
      <c r="AF277" s="289"/>
      <c r="AG277" s="289"/>
      <c r="AH277" s="289"/>
      <c r="AI277" s="273"/>
      <c r="AJ277" s="273"/>
      <c r="AK277" s="273"/>
      <c r="AL277" s="273"/>
      <c r="AM277" s="273"/>
      <c r="AN277" s="273"/>
      <c r="AO277" s="273"/>
      <c r="AP277" s="273"/>
      <c r="AQ277" s="273"/>
      <c r="AR277" s="273"/>
      <c r="AS277" s="273"/>
      <c r="AT277" s="273"/>
      <c r="AU277" s="273"/>
      <c r="AV277" s="273"/>
      <c r="AW277" s="273"/>
      <c r="AX277" s="273"/>
      <c r="AY277" s="273"/>
      <c r="AZ277" s="273"/>
      <c r="BA277" s="273"/>
      <c r="BB277" s="273"/>
      <c r="BC277" s="273"/>
      <c r="BD277" s="273">
        <f>20000000+10000000</f>
        <v>30000000</v>
      </c>
      <c r="BE277" s="273">
        <v>28676899</v>
      </c>
      <c r="BF277" s="273">
        <v>28676899</v>
      </c>
      <c r="BG277" s="273"/>
      <c r="BH277" s="273"/>
      <c r="BI277" s="273"/>
      <c r="BJ277" s="273"/>
      <c r="BK277" s="273"/>
      <c r="BL277" s="273"/>
      <c r="BM277" s="273"/>
      <c r="BN277" s="273"/>
      <c r="BO277" s="273"/>
      <c r="BP277" s="273">
        <f t="shared" si="69"/>
        <v>30000000</v>
      </c>
      <c r="BQ277" s="273">
        <f t="shared" si="69"/>
        <v>28676899</v>
      </c>
      <c r="BR277" s="273">
        <f t="shared" si="69"/>
        <v>28676899</v>
      </c>
      <c r="BS277" s="246" t="s">
        <v>1656</v>
      </c>
      <c r="BT277" s="233"/>
    </row>
    <row r="278" spans="1:72" s="27" customFormat="1" ht="78" customHeight="1" x14ac:dyDescent="0.2">
      <c r="A278" s="217">
        <v>324</v>
      </c>
      <c r="B278" s="287" t="s">
        <v>1659</v>
      </c>
      <c r="C278" s="213">
        <v>2</v>
      </c>
      <c r="D278" s="216" t="s">
        <v>1621</v>
      </c>
      <c r="E278" s="213">
        <v>39</v>
      </c>
      <c r="F278" s="311" t="s">
        <v>1483</v>
      </c>
      <c r="G278" s="213">
        <v>3903</v>
      </c>
      <c r="H278" s="311" t="s">
        <v>1240</v>
      </c>
      <c r="I278" s="213">
        <v>3903</v>
      </c>
      <c r="J278" s="311" t="s">
        <v>1240</v>
      </c>
      <c r="K278" s="311" t="s">
        <v>1241</v>
      </c>
      <c r="L278" s="74">
        <v>3903005</v>
      </c>
      <c r="M278" s="311" t="s">
        <v>1242</v>
      </c>
      <c r="N278" s="74">
        <v>3903005</v>
      </c>
      <c r="O278" s="311" t="s">
        <v>1242</v>
      </c>
      <c r="P278" s="74" t="s">
        <v>1250</v>
      </c>
      <c r="Q278" s="311" t="s">
        <v>1251</v>
      </c>
      <c r="R278" s="74" t="s">
        <v>1250</v>
      </c>
      <c r="S278" s="311" t="s">
        <v>1251</v>
      </c>
      <c r="T278" s="236" t="s">
        <v>1673</v>
      </c>
      <c r="U278" s="76">
        <v>50</v>
      </c>
      <c r="V278" s="76">
        <v>60</v>
      </c>
      <c r="W278" s="324" t="s">
        <v>1245</v>
      </c>
      <c r="X278" s="214" t="s">
        <v>1246</v>
      </c>
      <c r="Y278" s="320" t="s">
        <v>1247</v>
      </c>
      <c r="Z278" s="289"/>
      <c r="AA278" s="289"/>
      <c r="AB278" s="289"/>
      <c r="AC278" s="289"/>
      <c r="AD278" s="289"/>
      <c r="AE278" s="289"/>
      <c r="AF278" s="289"/>
      <c r="AG278" s="289"/>
      <c r="AH278" s="289"/>
      <c r="AI278" s="273"/>
      <c r="AJ278" s="273"/>
      <c r="AK278" s="273"/>
      <c r="AL278" s="273"/>
      <c r="AM278" s="273"/>
      <c r="AN278" s="273"/>
      <c r="AO278" s="273"/>
      <c r="AP278" s="273"/>
      <c r="AQ278" s="273"/>
      <c r="AR278" s="273"/>
      <c r="AS278" s="273"/>
      <c r="AT278" s="273"/>
      <c r="AU278" s="273"/>
      <c r="AV278" s="273"/>
      <c r="AW278" s="273"/>
      <c r="AX278" s="273"/>
      <c r="AY278" s="273"/>
      <c r="AZ278" s="273"/>
      <c r="BA278" s="273"/>
      <c r="BB278" s="273"/>
      <c r="BC278" s="273"/>
      <c r="BD278" s="273">
        <v>20000000</v>
      </c>
      <c r="BE278" s="273">
        <v>19694933</v>
      </c>
      <c r="BF278" s="273">
        <v>19694933</v>
      </c>
      <c r="BG278" s="273"/>
      <c r="BH278" s="273"/>
      <c r="BI278" s="273"/>
      <c r="BJ278" s="273"/>
      <c r="BK278" s="273"/>
      <c r="BL278" s="273"/>
      <c r="BM278" s="273"/>
      <c r="BN278" s="273"/>
      <c r="BO278" s="273"/>
      <c r="BP278" s="273">
        <f t="shared" si="69"/>
        <v>20000000</v>
      </c>
      <c r="BQ278" s="273">
        <f t="shared" si="69"/>
        <v>19694933</v>
      </c>
      <c r="BR278" s="273">
        <f t="shared" si="69"/>
        <v>19694933</v>
      </c>
      <c r="BS278" s="246" t="s">
        <v>1656</v>
      </c>
      <c r="BT278" s="233"/>
    </row>
    <row r="279" spans="1:72" s="27" customFormat="1" ht="94.5" customHeight="1" x14ac:dyDescent="0.2">
      <c r="A279" s="217">
        <v>324</v>
      </c>
      <c r="B279" s="287" t="s">
        <v>1659</v>
      </c>
      <c r="C279" s="213">
        <v>2</v>
      </c>
      <c r="D279" s="216" t="s">
        <v>1621</v>
      </c>
      <c r="E279" s="213">
        <v>39</v>
      </c>
      <c r="F279" s="311" t="s">
        <v>1483</v>
      </c>
      <c r="G279" s="213">
        <v>3904</v>
      </c>
      <c r="H279" s="216" t="s">
        <v>1602</v>
      </c>
      <c r="I279" s="213">
        <v>3904</v>
      </c>
      <c r="J279" s="216" t="s">
        <v>1602</v>
      </c>
      <c r="K279" s="216" t="s">
        <v>1252</v>
      </c>
      <c r="L279" s="213">
        <v>3904018</v>
      </c>
      <c r="M279" s="216" t="s">
        <v>1253</v>
      </c>
      <c r="N279" s="213">
        <v>3904018</v>
      </c>
      <c r="O279" s="216" t="s">
        <v>1253</v>
      </c>
      <c r="P279" s="74">
        <v>390401809</v>
      </c>
      <c r="Q279" s="216" t="s">
        <v>1254</v>
      </c>
      <c r="R279" s="74">
        <v>390401809</v>
      </c>
      <c r="S279" s="216" t="s">
        <v>1254</v>
      </c>
      <c r="T279" s="236" t="s">
        <v>1673</v>
      </c>
      <c r="U279" s="76">
        <f>6+1</f>
        <v>7</v>
      </c>
      <c r="V279" s="76">
        <v>0</v>
      </c>
      <c r="W279" s="324" t="s">
        <v>1255</v>
      </c>
      <c r="X279" s="214" t="s">
        <v>1256</v>
      </c>
      <c r="Y279" s="214" t="s">
        <v>1257</v>
      </c>
      <c r="Z279" s="289"/>
      <c r="AA279" s="289"/>
      <c r="AB279" s="289"/>
      <c r="AC279" s="289"/>
      <c r="AD279" s="289"/>
      <c r="AE279" s="289"/>
      <c r="AF279" s="289"/>
      <c r="AG279" s="289"/>
      <c r="AH279" s="289"/>
      <c r="AI279" s="273"/>
      <c r="AJ279" s="273"/>
      <c r="AK279" s="273"/>
      <c r="AL279" s="273"/>
      <c r="AM279" s="273"/>
      <c r="AN279" s="273"/>
      <c r="AO279" s="273"/>
      <c r="AP279" s="273"/>
      <c r="AQ279" s="273"/>
      <c r="AR279" s="273"/>
      <c r="AS279" s="273"/>
      <c r="AT279" s="273"/>
      <c r="AU279" s="273"/>
      <c r="AV279" s="273"/>
      <c r="AW279" s="273"/>
      <c r="AX279" s="273"/>
      <c r="AY279" s="273"/>
      <c r="AZ279" s="273"/>
      <c r="BA279" s="273"/>
      <c r="BB279" s="273"/>
      <c r="BC279" s="273"/>
      <c r="BD279" s="273">
        <v>18000000</v>
      </c>
      <c r="BE279" s="273">
        <v>6600000</v>
      </c>
      <c r="BF279" s="273">
        <v>6600000</v>
      </c>
      <c r="BG279" s="273"/>
      <c r="BH279" s="273"/>
      <c r="BI279" s="273"/>
      <c r="BJ279" s="273"/>
      <c r="BK279" s="273"/>
      <c r="BL279" s="273"/>
      <c r="BM279" s="273"/>
      <c r="BN279" s="273"/>
      <c r="BO279" s="273"/>
      <c r="BP279" s="273">
        <f>+Z279+AC279+AF279+AI279+AL279+AO279+AR279+AU279+AX279+BA279+BD279+BG279+BJ279</f>
        <v>18000000</v>
      </c>
      <c r="BQ279" s="273">
        <f>+AA279+AD279+AG279+AJ279+AM279+AP279+AS279+AV279+AY279+BB279+BE279+BH279+BK279</f>
        <v>6600000</v>
      </c>
      <c r="BR279" s="273">
        <f>+AB279+AE279+AH279+AK279+AN279+AQ279+AT279+AW279+AZ279+BC279+BF279+BI279+BL279</f>
        <v>6600000</v>
      </c>
      <c r="BS279" s="246" t="s">
        <v>1656</v>
      </c>
      <c r="BT279" s="233"/>
    </row>
    <row r="280" spans="1:72" s="27" customFormat="1" ht="109.5" customHeight="1" x14ac:dyDescent="0.2">
      <c r="A280" s="217">
        <v>324</v>
      </c>
      <c r="B280" s="287" t="s">
        <v>1659</v>
      </c>
      <c r="C280" s="213">
        <v>4</v>
      </c>
      <c r="D280" s="216" t="s">
        <v>1612</v>
      </c>
      <c r="E280" s="213">
        <v>23</v>
      </c>
      <c r="F280" s="216" t="s">
        <v>1198</v>
      </c>
      <c r="G280" s="213">
        <v>2302</v>
      </c>
      <c r="H280" s="216" t="s">
        <v>1588</v>
      </c>
      <c r="I280" s="213">
        <v>2302</v>
      </c>
      <c r="J280" s="216" t="s">
        <v>1589</v>
      </c>
      <c r="K280" s="216" t="s">
        <v>1258</v>
      </c>
      <c r="L280" s="213">
        <v>2302003</v>
      </c>
      <c r="M280" s="216" t="s">
        <v>1259</v>
      </c>
      <c r="N280" s="213">
        <v>2302003</v>
      </c>
      <c r="O280" s="216" t="s">
        <v>1259</v>
      </c>
      <c r="P280" s="74">
        <v>230200300</v>
      </c>
      <c r="Q280" s="216" t="s">
        <v>1260</v>
      </c>
      <c r="R280" s="74">
        <v>230200300</v>
      </c>
      <c r="S280" s="216" t="s">
        <v>1260</v>
      </c>
      <c r="T280" s="236" t="s">
        <v>1673</v>
      </c>
      <c r="U280" s="76">
        <v>2</v>
      </c>
      <c r="V280" s="76">
        <v>3</v>
      </c>
      <c r="W280" s="324" t="s">
        <v>1261</v>
      </c>
      <c r="X280" s="214" t="s">
        <v>1262</v>
      </c>
      <c r="Y280" s="214" t="s">
        <v>1263</v>
      </c>
      <c r="Z280" s="289"/>
      <c r="AA280" s="289"/>
      <c r="AB280" s="289"/>
      <c r="AC280" s="289"/>
      <c r="AD280" s="289"/>
      <c r="AE280" s="289"/>
      <c r="AF280" s="289"/>
      <c r="AG280" s="289"/>
      <c r="AH280" s="289"/>
      <c r="AI280" s="273"/>
      <c r="AJ280" s="273"/>
      <c r="AK280" s="273"/>
      <c r="AL280" s="273"/>
      <c r="AM280" s="273"/>
      <c r="AN280" s="273"/>
      <c r="AO280" s="273"/>
      <c r="AP280" s="273"/>
      <c r="AQ280" s="273"/>
      <c r="AR280" s="273"/>
      <c r="AS280" s="273"/>
      <c r="AT280" s="273"/>
      <c r="AU280" s="273"/>
      <c r="AV280" s="273"/>
      <c r="AW280" s="273"/>
      <c r="AX280" s="273"/>
      <c r="AY280" s="273"/>
      <c r="AZ280" s="273"/>
      <c r="BA280" s="273"/>
      <c r="BB280" s="273"/>
      <c r="BC280" s="273"/>
      <c r="BD280" s="273">
        <v>120000000</v>
      </c>
      <c r="BE280" s="273">
        <v>101332999.5</v>
      </c>
      <c r="BF280" s="273">
        <v>101332999.5</v>
      </c>
      <c r="BG280" s="273"/>
      <c r="BH280" s="273"/>
      <c r="BI280" s="273"/>
      <c r="BJ280" s="273"/>
      <c r="BK280" s="273"/>
      <c r="BL280" s="273"/>
      <c r="BM280" s="273"/>
      <c r="BN280" s="273"/>
      <c r="BO280" s="273"/>
      <c r="BP280" s="273">
        <f t="shared" ref="BP280:BP285" si="70">+Z280+AC280+AF280+AI280+AL280+AO280+AR280+AU280+AX280+BA280+BD280+BG280+BJ280</f>
        <v>120000000</v>
      </c>
      <c r="BQ280" s="273">
        <f t="shared" ref="BQ280:BQ285" si="71">+AA280+AD280+AG280+AJ280+AM280+AP280+AS280+AV280+AY280+BB280+BE280+BH280+BK280</f>
        <v>101332999.5</v>
      </c>
      <c r="BR280" s="273">
        <f t="shared" ref="BR280:BR285" si="72">+AB280+AE280+AH280+AK280+AN280+AQ280+AT280+AW280+AZ280+BC280+BF280+BI280+BL280</f>
        <v>101332999.5</v>
      </c>
      <c r="BS280" s="246" t="s">
        <v>1656</v>
      </c>
      <c r="BT280" s="233"/>
    </row>
    <row r="281" spans="1:72" s="27" customFormat="1" ht="93" customHeight="1" x14ac:dyDescent="0.2">
      <c r="A281" s="217">
        <v>324</v>
      </c>
      <c r="B281" s="287" t="s">
        <v>1659</v>
      </c>
      <c r="C281" s="213">
        <v>4</v>
      </c>
      <c r="D281" s="216" t="s">
        <v>1612</v>
      </c>
      <c r="E281" s="213">
        <v>23</v>
      </c>
      <c r="F281" s="216" t="s">
        <v>1198</v>
      </c>
      <c r="G281" s="213">
        <v>2302</v>
      </c>
      <c r="H281" s="216" t="s">
        <v>1588</v>
      </c>
      <c r="I281" s="213">
        <v>2302</v>
      </c>
      <c r="J281" s="216" t="s">
        <v>1589</v>
      </c>
      <c r="K281" s="216" t="s">
        <v>1258</v>
      </c>
      <c r="L281" s="213">
        <v>2302033</v>
      </c>
      <c r="M281" s="216" t="s">
        <v>1264</v>
      </c>
      <c r="N281" s="213">
        <v>2302033</v>
      </c>
      <c r="O281" s="216" t="s">
        <v>1264</v>
      </c>
      <c r="P281" s="74">
        <v>230203300</v>
      </c>
      <c r="Q281" s="216" t="s">
        <v>1265</v>
      </c>
      <c r="R281" s="74">
        <v>230203300</v>
      </c>
      <c r="S281" s="216" t="s">
        <v>1265</v>
      </c>
      <c r="T281" s="236" t="s">
        <v>1671</v>
      </c>
      <c r="U281" s="76">
        <v>100</v>
      </c>
      <c r="V281" s="76">
        <v>100</v>
      </c>
      <c r="W281" s="324" t="s">
        <v>1261</v>
      </c>
      <c r="X281" s="214" t="s">
        <v>1262</v>
      </c>
      <c r="Y281" s="214" t="s">
        <v>1263</v>
      </c>
      <c r="Z281" s="289"/>
      <c r="AA281" s="289"/>
      <c r="AB281" s="289"/>
      <c r="AC281" s="289"/>
      <c r="AD281" s="289"/>
      <c r="AE281" s="289"/>
      <c r="AF281" s="289"/>
      <c r="AG281" s="289"/>
      <c r="AH281" s="289"/>
      <c r="AI281" s="273"/>
      <c r="AJ281" s="273"/>
      <c r="AK281" s="273"/>
      <c r="AL281" s="273"/>
      <c r="AM281" s="273"/>
      <c r="AN281" s="273"/>
      <c r="AO281" s="273"/>
      <c r="AP281" s="273"/>
      <c r="AQ281" s="273"/>
      <c r="AR281" s="273"/>
      <c r="AS281" s="273"/>
      <c r="AT281" s="273"/>
      <c r="AU281" s="273"/>
      <c r="AV281" s="273"/>
      <c r="AW281" s="273"/>
      <c r="AX281" s="273"/>
      <c r="AY281" s="273"/>
      <c r="AZ281" s="273"/>
      <c r="BA281" s="273"/>
      <c r="BB281" s="273"/>
      <c r="BC281" s="273"/>
      <c r="BD281" s="273">
        <v>50000000</v>
      </c>
      <c r="BE281" s="273">
        <v>49914500</v>
      </c>
      <c r="BF281" s="273">
        <v>49914500</v>
      </c>
      <c r="BG281" s="273"/>
      <c r="BH281" s="273"/>
      <c r="BI281" s="273"/>
      <c r="BJ281" s="273"/>
      <c r="BK281" s="273"/>
      <c r="BL281" s="273"/>
      <c r="BM281" s="273"/>
      <c r="BN281" s="273"/>
      <c r="BO281" s="273"/>
      <c r="BP281" s="273">
        <f t="shared" si="70"/>
        <v>50000000</v>
      </c>
      <c r="BQ281" s="273">
        <f t="shared" si="71"/>
        <v>49914500</v>
      </c>
      <c r="BR281" s="273">
        <f t="shared" si="72"/>
        <v>49914500</v>
      </c>
      <c r="BS281" s="246" t="s">
        <v>1656</v>
      </c>
      <c r="BT281" s="233"/>
    </row>
    <row r="282" spans="1:72" s="27" customFormat="1" ht="132" customHeight="1" x14ac:dyDescent="0.2">
      <c r="A282" s="217">
        <v>324</v>
      </c>
      <c r="B282" s="287" t="s">
        <v>1659</v>
      </c>
      <c r="C282" s="213">
        <v>4</v>
      </c>
      <c r="D282" s="216" t="s">
        <v>1612</v>
      </c>
      <c r="E282" s="213">
        <v>23</v>
      </c>
      <c r="F282" s="216" t="s">
        <v>1198</v>
      </c>
      <c r="G282" s="213">
        <v>2302</v>
      </c>
      <c r="H282" s="216" t="s">
        <v>1588</v>
      </c>
      <c r="I282" s="213">
        <v>2302</v>
      </c>
      <c r="J282" s="216" t="s">
        <v>1589</v>
      </c>
      <c r="K282" s="216" t="s">
        <v>1258</v>
      </c>
      <c r="L282" s="213">
        <v>2302066</v>
      </c>
      <c r="M282" s="216" t="s">
        <v>1266</v>
      </c>
      <c r="N282" s="213">
        <v>2302066</v>
      </c>
      <c r="O282" s="216" t="s">
        <v>1266</v>
      </c>
      <c r="P282" s="74">
        <v>230206600</v>
      </c>
      <c r="Q282" s="216" t="s">
        <v>1267</v>
      </c>
      <c r="R282" s="74">
        <v>230206600</v>
      </c>
      <c r="S282" s="216" t="s">
        <v>1267</v>
      </c>
      <c r="T282" s="236" t="s">
        <v>1673</v>
      </c>
      <c r="U282" s="76">
        <v>50</v>
      </c>
      <c r="V282" s="76">
        <v>60</v>
      </c>
      <c r="W282" s="324" t="s">
        <v>1261</v>
      </c>
      <c r="X282" s="214" t="s">
        <v>1262</v>
      </c>
      <c r="Y282" s="214" t="s">
        <v>1263</v>
      </c>
      <c r="Z282" s="289"/>
      <c r="AA282" s="289"/>
      <c r="AB282" s="289"/>
      <c r="AC282" s="289"/>
      <c r="AD282" s="289"/>
      <c r="AE282" s="289"/>
      <c r="AF282" s="289"/>
      <c r="AG282" s="289"/>
      <c r="AH282" s="289"/>
      <c r="AI282" s="273"/>
      <c r="AJ282" s="273"/>
      <c r="AK282" s="273"/>
      <c r="AL282" s="273"/>
      <c r="AM282" s="273"/>
      <c r="AN282" s="273"/>
      <c r="AO282" s="273"/>
      <c r="AP282" s="273"/>
      <c r="AQ282" s="273"/>
      <c r="AR282" s="273"/>
      <c r="AS282" s="273"/>
      <c r="AT282" s="273"/>
      <c r="AU282" s="273"/>
      <c r="AV282" s="273"/>
      <c r="AW282" s="273"/>
      <c r="AX282" s="273"/>
      <c r="AY282" s="273"/>
      <c r="AZ282" s="273"/>
      <c r="BA282" s="273"/>
      <c r="BB282" s="273"/>
      <c r="BC282" s="273"/>
      <c r="BD282" s="273">
        <v>60000000</v>
      </c>
      <c r="BE282" s="273">
        <v>58568833</v>
      </c>
      <c r="BF282" s="273">
        <v>58568833</v>
      </c>
      <c r="BG282" s="273"/>
      <c r="BH282" s="273"/>
      <c r="BI282" s="273"/>
      <c r="BJ282" s="273"/>
      <c r="BK282" s="273"/>
      <c r="BL282" s="273"/>
      <c r="BM282" s="273"/>
      <c r="BN282" s="273"/>
      <c r="BO282" s="273"/>
      <c r="BP282" s="273">
        <f t="shared" si="70"/>
        <v>60000000</v>
      </c>
      <c r="BQ282" s="273">
        <f t="shared" si="71"/>
        <v>58568833</v>
      </c>
      <c r="BR282" s="273">
        <f t="shared" si="72"/>
        <v>58568833</v>
      </c>
      <c r="BS282" s="246" t="s">
        <v>1656</v>
      </c>
      <c r="BT282" s="233"/>
    </row>
    <row r="283" spans="1:72" s="27" customFormat="1" ht="108" customHeight="1" x14ac:dyDescent="0.2">
      <c r="A283" s="217">
        <v>324</v>
      </c>
      <c r="B283" s="287" t="s">
        <v>1659</v>
      </c>
      <c r="C283" s="213">
        <v>4</v>
      </c>
      <c r="D283" s="216" t="s">
        <v>1612</v>
      </c>
      <c r="E283" s="213">
        <v>23</v>
      </c>
      <c r="F283" s="216" t="s">
        <v>1198</v>
      </c>
      <c r="G283" s="213">
        <v>2302</v>
      </c>
      <c r="H283" s="216" t="s">
        <v>1588</v>
      </c>
      <c r="I283" s="213">
        <v>2302</v>
      </c>
      <c r="J283" s="216" t="s">
        <v>1589</v>
      </c>
      <c r="K283" s="216" t="s">
        <v>1258</v>
      </c>
      <c r="L283" s="213">
        <v>2302004</v>
      </c>
      <c r="M283" s="216" t="s">
        <v>1268</v>
      </c>
      <c r="N283" s="213">
        <v>2302004</v>
      </c>
      <c r="O283" s="216" t="s">
        <v>1268</v>
      </c>
      <c r="P283" s="74">
        <v>230200403</v>
      </c>
      <c r="Q283" s="216" t="s">
        <v>1269</v>
      </c>
      <c r="R283" s="74">
        <v>230200403</v>
      </c>
      <c r="S283" s="216" t="s">
        <v>1269</v>
      </c>
      <c r="T283" s="236" t="s">
        <v>1673</v>
      </c>
      <c r="U283" s="76">
        <v>1</v>
      </c>
      <c r="V283" s="76">
        <v>1</v>
      </c>
      <c r="W283" s="324" t="s">
        <v>1261</v>
      </c>
      <c r="X283" s="214" t="s">
        <v>1262</v>
      </c>
      <c r="Y283" s="214" t="s">
        <v>1263</v>
      </c>
      <c r="Z283" s="289"/>
      <c r="AA283" s="289"/>
      <c r="AB283" s="289"/>
      <c r="AC283" s="289"/>
      <c r="AD283" s="289"/>
      <c r="AE283" s="289"/>
      <c r="AF283" s="289"/>
      <c r="AG283" s="289"/>
      <c r="AH283" s="289"/>
      <c r="AI283" s="273"/>
      <c r="AJ283" s="273"/>
      <c r="AK283" s="273"/>
      <c r="AL283" s="273"/>
      <c r="AM283" s="273"/>
      <c r="AN283" s="273"/>
      <c r="AO283" s="273"/>
      <c r="AP283" s="273"/>
      <c r="AQ283" s="273"/>
      <c r="AR283" s="273"/>
      <c r="AS283" s="273"/>
      <c r="AT283" s="273"/>
      <c r="AU283" s="273"/>
      <c r="AV283" s="273"/>
      <c r="AW283" s="273"/>
      <c r="AX283" s="273"/>
      <c r="AY283" s="273"/>
      <c r="AZ283" s="273"/>
      <c r="BA283" s="273"/>
      <c r="BB283" s="273"/>
      <c r="BC283" s="273"/>
      <c r="BD283" s="273">
        <v>25000000</v>
      </c>
      <c r="BE283" s="273">
        <v>25000000</v>
      </c>
      <c r="BF283" s="273">
        <v>25000000</v>
      </c>
      <c r="BG283" s="273"/>
      <c r="BH283" s="273"/>
      <c r="BI283" s="273"/>
      <c r="BJ283" s="273"/>
      <c r="BK283" s="273"/>
      <c r="BL283" s="273"/>
      <c r="BM283" s="273"/>
      <c r="BN283" s="273"/>
      <c r="BO283" s="273"/>
      <c r="BP283" s="273">
        <f t="shared" si="70"/>
        <v>25000000</v>
      </c>
      <c r="BQ283" s="273">
        <f t="shared" si="71"/>
        <v>25000000</v>
      </c>
      <c r="BR283" s="273">
        <f t="shared" si="72"/>
        <v>25000000</v>
      </c>
      <c r="BS283" s="246" t="s">
        <v>1656</v>
      </c>
      <c r="BT283" s="233"/>
    </row>
    <row r="284" spans="1:72" s="27" customFormat="1" ht="105" customHeight="1" x14ac:dyDescent="0.2">
      <c r="A284" s="217">
        <v>324</v>
      </c>
      <c r="B284" s="287" t="s">
        <v>1659</v>
      </c>
      <c r="C284" s="213">
        <v>4</v>
      </c>
      <c r="D284" s="216" t="s">
        <v>1612</v>
      </c>
      <c r="E284" s="213">
        <v>23</v>
      </c>
      <c r="F284" s="216" t="s">
        <v>1198</v>
      </c>
      <c r="G284" s="213">
        <v>2302</v>
      </c>
      <c r="H284" s="216" t="s">
        <v>1588</v>
      </c>
      <c r="I284" s="213">
        <v>2302</v>
      </c>
      <c r="J284" s="216" t="s">
        <v>1589</v>
      </c>
      <c r="K284" s="216" t="s">
        <v>1258</v>
      </c>
      <c r="L284" s="74">
        <v>2302007</v>
      </c>
      <c r="M284" s="216" t="s">
        <v>1270</v>
      </c>
      <c r="N284" s="213">
        <v>2302007</v>
      </c>
      <c r="O284" s="216" t="s">
        <v>1270</v>
      </c>
      <c r="P284" s="74">
        <v>230200701</v>
      </c>
      <c r="Q284" s="216" t="s">
        <v>1271</v>
      </c>
      <c r="R284" s="74">
        <v>230200701</v>
      </c>
      <c r="S284" s="216" t="s">
        <v>1271</v>
      </c>
      <c r="T284" s="236" t="s">
        <v>1673</v>
      </c>
      <c r="U284" s="76">
        <v>1</v>
      </c>
      <c r="V284" s="76">
        <v>1</v>
      </c>
      <c r="W284" s="324" t="s">
        <v>1261</v>
      </c>
      <c r="X284" s="214" t="s">
        <v>1262</v>
      </c>
      <c r="Y284" s="214" t="s">
        <v>1263</v>
      </c>
      <c r="Z284" s="289"/>
      <c r="AA284" s="289"/>
      <c r="AB284" s="289"/>
      <c r="AC284" s="289"/>
      <c r="AD284" s="289"/>
      <c r="AE284" s="289"/>
      <c r="AF284" s="289"/>
      <c r="AG284" s="289"/>
      <c r="AH284" s="289"/>
      <c r="AI284" s="273"/>
      <c r="AJ284" s="273"/>
      <c r="AK284" s="273"/>
      <c r="AL284" s="273"/>
      <c r="AM284" s="273"/>
      <c r="AN284" s="273"/>
      <c r="AO284" s="273"/>
      <c r="AP284" s="273"/>
      <c r="AQ284" s="273"/>
      <c r="AR284" s="273"/>
      <c r="AS284" s="273"/>
      <c r="AT284" s="273"/>
      <c r="AU284" s="273"/>
      <c r="AV284" s="273"/>
      <c r="AW284" s="273"/>
      <c r="AX284" s="273"/>
      <c r="AY284" s="273"/>
      <c r="AZ284" s="273"/>
      <c r="BA284" s="273"/>
      <c r="BB284" s="273"/>
      <c r="BC284" s="273"/>
      <c r="BD284" s="273">
        <v>25000000</v>
      </c>
      <c r="BE284" s="273">
        <v>25000000</v>
      </c>
      <c r="BF284" s="273">
        <v>25000000</v>
      </c>
      <c r="BG284" s="273"/>
      <c r="BH284" s="273"/>
      <c r="BI284" s="273"/>
      <c r="BJ284" s="273"/>
      <c r="BK284" s="273"/>
      <c r="BL284" s="273"/>
      <c r="BM284" s="273"/>
      <c r="BN284" s="273"/>
      <c r="BO284" s="273"/>
      <c r="BP284" s="273">
        <f t="shared" si="70"/>
        <v>25000000</v>
      </c>
      <c r="BQ284" s="273">
        <f t="shared" si="71"/>
        <v>25000000</v>
      </c>
      <c r="BR284" s="273">
        <f t="shared" si="72"/>
        <v>25000000</v>
      </c>
      <c r="BS284" s="246" t="s">
        <v>1656</v>
      </c>
      <c r="BT284" s="233"/>
    </row>
    <row r="285" spans="1:72" s="27" customFormat="1" ht="97.5" customHeight="1" x14ac:dyDescent="0.2">
      <c r="A285" s="217">
        <v>324</v>
      </c>
      <c r="B285" s="287" t="s">
        <v>1659</v>
      </c>
      <c r="C285" s="213">
        <v>4</v>
      </c>
      <c r="D285" s="216" t="s">
        <v>1612</v>
      </c>
      <c r="E285" s="213">
        <v>23</v>
      </c>
      <c r="F285" s="216" t="s">
        <v>1198</v>
      </c>
      <c r="G285" s="213">
        <v>2302</v>
      </c>
      <c r="H285" s="216" t="s">
        <v>1588</v>
      </c>
      <c r="I285" s="213">
        <v>2302</v>
      </c>
      <c r="J285" s="216" t="s">
        <v>1589</v>
      </c>
      <c r="K285" s="216" t="s">
        <v>1258</v>
      </c>
      <c r="L285" s="213">
        <v>2302083</v>
      </c>
      <c r="M285" s="216" t="s">
        <v>84</v>
      </c>
      <c r="N285" s="213">
        <v>2302083</v>
      </c>
      <c r="O285" s="216" t="s">
        <v>84</v>
      </c>
      <c r="P285" s="74">
        <v>230208300</v>
      </c>
      <c r="Q285" s="216" t="s">
        <v>532</v>
      </c>
      <c r="R285" s="74">
        <v>230208300</v>
      </c>
      <c r="S285" s="216" t="s">
        <v>532</v>
      </c>
      <c r="T285" s="236" t="s">
        <v>1673</v>
      </c>
      <c r="U285" s="76">
        <v>1</v>
      </c>
      <c r="V285" s="76">
        <v>1</v>
      </c>
      <c r="W285" s="324" t="s">
        <v>1261</v>
      </c>
      <c r="X285" s="214" t="s">
        <v>1262</v>
      </c>
      <c r="Y285" s="214" t="s">
        <v>1263</v>
      </c>
      <c r="Z285" s="289"/>
      <c r="AA285" s="289"/>
      <c r="AB285" s="289"/>
      <c r="AC285" s="289"/>
      <c r="AD285" s="289"/>
      <c r="AE285" s="289"/>
      <c r="AF285" s="289"/>
      <c r="AG285" s="289"/>
      <c r="AH285" s="289"/>
      <c r="AI285" s="273"/>
      <c r="AJ285" s="273"/>
      <c r="AK285" s="273"/>
      <c r="AL285" s="273"/>
      <c r="AM285" s="273"/>
      <c r="AN285" s="273"/>
      <c r="AO285" s="273"/>
      <c r="AP285" s="273"/>
      <c r="AQ285" s="273"/>
      <c r="AR285" s="273"/>
      <c r="AS285" s="273"/>
      <c r="AT285" s="273"/>
      <c r="AU285" s="273"/>
      <c r="AV285" s="273"/>
      <c r="AW285" s="273"/>
      <c r="AX285" s="273"/>
      <c r="AY285" s="273"/>
      <c r="AZ285" s="273"/>
      <c r="BA285" s="273"/>
      <c r="BB285" s="273"/>
      <c r="BC285" s="273"/>
      <c r="BD285" s="273">
        <v>18000000</v>
      </c>
      <c r="BE285" s="273">
        <v>17760833</v>
      </c>
      <c r="BF285" s="273">
        <v>17760833</v>
      </c>
      <c r="BG285" s="273"/>
      <c r="BH285" s="273"/>
      <c r="BI285" s="273"/>
      <c r="BJ285" s="273"/>
      <c r="BK285" s="273"/>
      <c r="BL285" s="273"/>
      <c r="BM285" s="273"/>
      <c r="BN285" s="273"/>
      <c r="BO285" s="273"/>
      <c r="BP285" s="273">
        <f t="shared" si="70"/>
        <v>18000000</v>
      </c>
      <c r="BQ285" s="273">
        <f t="shared" si="71"/>
        <v>17760833</v>
      </c>
      <c r="BR285" s="273">
        <f t="shared" si="72"/>
        <v>17760833</v>
      </c>
      <c r="BS285" s="246" t="s">
        <v>1656</v>
      </c>
      <c r="BT285" s="233"/>
    </row>
    <row r="286" spans="1:72" s="27" customFormat="1" ht="140.25" customHeight="1" x14ac:dyDescent="0.2">
      <c r="A286" s="217">
        <v>319</v>
      </c>
      <c r="B286" s="311" t="s">
        <v>1629</v>
      </c>
      <c r="C286" s="213">
        <v>1</v>
      </c>
      <c r="D286" s="287" t="s">
        <v>1614</v>
      </c>
      <c r="E286" s="213">
        <v>43</v>
      </c>
      <c r="F286" s="216" t="s">
        <v>176</v>
      </c>
      <c r="G286" s="213">
        <v>4301</v>
      </c>
      <c r="H286" s="311" t="s">
        <v>1564</v>
      </c>
      <c r="I286" s="213">
        <v>4301</v>
      </c>
      <c r="J286" s="311" t="s">
        <v>1565</v>
      </c>
      <c r="K286" s="311" t="s">
        <v>1274</v>
      </c>
      <c r="L286" s="213">
        <v>4301007</v>
      </c>
      <c r="M286" s="216" t="s">
        <v>1275</v>
      </c>
      <c r="N286" s="213">
        <v>4301007</v>
      </c>
      <c r="O286" s="216" t="s">
        <v>1275</v>
      </c>
      <c r="P286" s="213">
        <v>430100701</v>
      </c>
      <c r="Q286" s="216" t="s">
        <v>1276</v>
      </c>
      <c r="R286" s="213">
        <v>430100701</v>
      </c>
      <c r="S286" s="216" t="s">
        <v>1276</v>
      </c>
      <c r="T286" s="236" t="s">
        <v>1671</v>
      </c>
      <c r="U286" s="76">
        <v>12</v>
      </c>
      <c r="V286" s="76">
        <v>12</v>
      </c>
      <c r="W286" s="363">
        <v>2020003630009</v>
      </c>
      <c r="X286" s="214" t="s">
        <v>1277</v>
      </c>
      <c r="Y286" s="320" t="s">
        <v>1278</v>
      </c>
      <c r="Z286" s="235">
        <v>42000000</v>
      </c>
      <c r="AA286" s="289"/>
      <c r="AB286" s="289"/>
      <c r="AC286" s="289"/>
      <c r="AD286" s="289"/>
      <c r="AE286" s="289"/>
      <c r="AF286" s="289"/>
      <c r="AG286" s="289"/>
      <c r="AH286" s="289"/>
      <c r="AI286" s="289"/>
      <c r="AJ286" s="289"/>
      <c r="AK286" s="289"/>
      <c r="AL286" s="289"/>
      <c r="AM286" s="289"/>
      <c r="AN286" s="289"/>
      <c r="AO286" s="359"/>
      <c r="AP286" s="359"/>
      <c r="AQ286" s="359"/>
      <c r="AR286" s="289"/>
      <c r="AS286" s="289"/>
      <c r="AT286" s="289"/>
      <c r="AU286" s="289"/>
      <c r="AV286" s="289"/>
      <c r="AW286" s="289"/>
      <c r="AX286" s="289"/>
      <c r="AY286" s="289"/>
      <c r="AZ286" s="289"/>
      <c r="BA286" s="289"/>
      <c r="BB286" s="289"/>
      <c r="BC286" s="289"/>
      <c r="BD286" s="235"/>
      <c r="BE286" s="235"/>
      <c r="BF286" s="235"/>
      <c r="BG286" s="235">
        <f>843746501.24+460056673.81</f>
        <v>1303803175.05</v>
      </c>
      <c r="BH286" s="235">
        <v>1094074234.1300001</v>
      </c>
      <c r="BI286" s="235">
        <v>1094074234.1299999</v>
      </c>
      <c r="BJ286" s="289">
        <f>240000000-121800000</f>
        <v>118200000</v>
      </c>
      <c r="BK286" s="289">
        <v>115599998</v>
      </c>
      <c r="BL286" s="289">
        <v>115599998</v>
      </c>
      <c r="BM286" s="289"/>
      <c r="BN286" s="289"/>
      <c r="BO286" s="289"/>
      <c r="BP286" s="273">
        <f t="shared" ref="BP286:BR289" si="73">+Z286+AC286+AF286+AI286+AL286+AO286+AR286+AU286+AX286+BA286+BD286+BG286+BJ286</f>
        <v>1464003175.05</v>
      </c>
      <c r="BQ286" s="273">
        <f>+AA286+AD286+AG286+AJ286+AM286+AP286+AS286+AV286+AY286+BB286+BE286+BH286+BK286</f>
        <v>1209674232.1300001</v>
      </c>
      <c r="BR286" s="273">
        <f t="shared" si="73"/>
        <v>1209674232.1299999</v>
      </c>
      <c r="BS286" s="246" t="s">
        <v>1657</v>
      </c>
      <c r="BT286" s="233"/>
    </row>
    <row r="287" spans="1:72" s="27" customFormat="1" ht="140.25" customHeight="1" x14ac:dyDescent="0.2">
      <c r="A287" s="217">
        <v>319</v>
      </c>
      <c r="B287" s="311" t="s">
        <v>1629</v>
      </c>
      <c r="C287" s="213">
        <v>1</v>
      </c>
      <c r="D287" s="287" t="s">
        <v>1614</v>
      </c>
      <c r="E287" s="213">
        <v>43</v>
      </c>
      <c r="F287" s="216" t="s">
        <v>176</v>
      </c>
      <c r="G287" s="213">
        <v>4301</v>
      </c>
      <c r="H287" s="311" t="s">
        <v>1564</v>
      </c>
      <c r="I287" s="213">
        <v>4301</v>
      </c>
      <c r="J287" s="311" t="s">
        <v>1565</v>
      </c>
      <c r="K287" s="311" t="s">
        <v>1274</v>
      </c>
      <c r="L287" s="213">
        <v>4301037</v>
      </c>
      <c r="M287" s="216" t="s">
        <v>1279</v>
      </c>
      <c r="N287" s="213">
        <v>4301037</v>
      </c>
      <c r="O287" s="216" t="s">
        <v>1279</v>
      </c>
      <c r="P287" s="213">
        <v>430103701</v>
      </c>
      <c r="Q287" s="216" t="s">
        <v>1280</v>
      </c>
      <c r="R287" s="213">
        <v>430103701</v>
      </c>
      <c r="S287" s="216" t="s">
        <v>1280</v>
      </c>
      <c r="T287" s="236" t="s">
        <v>1671</v>
      </c>
      <c r="U287" s="76">
        <v>12</v>
      </c>
      <c r="V287" s="76">
        <v>12</v>
      </c>
      <c r="W287" s="363">
        <v>2020003630009</v>
      </c>
      <c r="X287" s="214" t="s">
        <v>1277</v>
      </c>
      <c r="Y287" s="320" t="s">
        <v>1278</v>
      </c>
      <c r="Z287" s="289"/>
      <c r="AA287" s="289"/>
      <c r="AB287" s="289"/>
      <c r="AC287" s="289"/>
      <c r="AD287" s="289"/>
      <c r="AE287" s="289"/>
      <c r="AF287" s="289"/>
      <c r="AG287" s="289"/>
      <c r="AH287" s="289"/>
      <c r="AI287" s="289"/>
      <c r="AJ287" s="289"/>
      <c r="AK287" s="289"/>
      <c r="AL287" s="289"/>
      <c r="AM287" s="289"/>
      <c r="AN287" s="289"/>
      <c r="AO287" s="289"/>
      <c r="AP287" s="289"/>
      <c r="AQ287" s="289"/>
      <c r="AR287" s="289"/>
      <c r="AS287" s="289"/>
      <c r="AT287" s="289"/>
      <c r="AU287" s="289"/>
      <c r="AV287" s="289"/>
      <c r="AW287" s="289"/>
      <c r="AX287" s="289"/>
      <c r="AY287" s="289"/>
      <c r="AZ287" s="289"/>
      <c r="BA287" s="289"/>
      <c r="BB287" s="289"/>
      <c r="BC287" s="289"/>
      <c r="BD287" s="235"/>
      <c r="BE287" s="235"/>
      <c r="BF287" s="235"/>
      <c r="BG287" s="235">
        <f>176820060+40000000+94205491.84</f>
        <v>311025551.84000003</v>
      </c>
      <c r="BH287" s="235">
        <v>274329351.83999997</v>
      </c>
      <c r="BI287" s="235">
        <v>274329351.83999997</v>
      </c>
      <c r="BJ287" s="289">
        <f>165000000-20000000-20000000</f>
        <v>125000000</v>
      </c>
      <c r="BK287" s="360">
        <v>96569799</v>
      </c>
      <c r="BL287" s="360">
        <v>96569799</v>
      </c>
      <c r="BM287" s="360"/>
      <c r="BN287" s="360"/>
      <c r="BO287" s="360"/>
      <c r="BP287" s="273">
        <f t="shared" si="73"/>
        <v>436025551.84000003</v>
      </c>
      <c r="BQ287" s="273">
        <f t="shared" si="73"/>
        <v>370899150.83999997</v>
      </c>
      <c r="BR287" s="273">
        <f t="shared" si="73"/>
        <v>370899150.83999997</v>
      </c>
      <c r="BS287" s="246" t="s">
        <v>1657</v>
      </c>
      <c r="BT287" s="233"/>
    </row>
    <row r="288" spans="1:72" s="27" customFormat="1" ht="129" customHeight="1" x14ac:dyDescent="0.2">
      <c r="A288" s="217">
        <v>319</v>
      </c>
      <c r="B288" s="311" t="s">
        <v>1629</v>
      </c>
      <c r="C288" s="213">
        <v>1</v>
      </c>
      <c r="D288" s="287" t="s">
        <v>1614</v>
      </c>
      <c r="E288" s="213">
        <v>43</v>
      </c>
      <c r="F288" s="216" t="s">
        <v>176</v>
      </c>
      <c r="G288" s="213">
        <v>4301</v>
      </c>
      <c r="H288" s="311" t="s">
        <v>1564</v>
      </c>
      <c r="I288" s="213">
        <v>4301</v>
      </c>
      <c r="J288" s="311" t="s">
        <v>1565</v>
      </c>
      <c r="K288" s="311" t="s">
        <v>1274</v>
      </c>
      <c r="L288" s="213">
        <v>4301037</v>
      </c>
      <c r="M288" s="216" t="s">
        <v>1279</v>
      </c>
      <c r="N288" s="213">
        <v>4301037</v>
      </c>
      <c r="O288" s="216" t="s">
        <v>1279</v>
      </c>
      <c r="P288" s="213" t="s">
        <v>1281</v>
      </c>
      <c r="Q288" s="216" t="s">
        <v>1282</v>
      </c>
      <c r="R288" s="213" t="s">
        <v>1281</v>
      </c>
      <c r="S288" s="216" t="s">
        <v>1282</v>
      </c>
      <c r="T288" s="236" t="s">
        <v>1671</v>
      </c>
      <c r="U288" s="76">
        <v>12</v>
      </c>
      <c r="V288" s="76">
        <v>12</v>
      </c>
      <c r="W288" s="363">
        <v>2020003630009</v>
      </c>
      <c r="X288" s="214" t="s">
        <v>1277</v>
      </c>
      <c r="Y288" s="320" t="s">
        <v>1278</v>
      </c>
      <c r="Z288" s="289">
        <f>1000000000-859200000</f>
        <v>140800000</v>
      </c>
      <c r="AA288" s="289"/>
      <c r="AB288" s="289"/>
      <c r="AC288" s="289"/>
      <c r="AD288" s="289"/>
      <c r="AE288" s="289"/>
      <c r="AF288" s="289"/>
      <c r="AG288" s="289"/>
      <c r="AH288" s="289"/>
      <c r="AI288" s="289"/>
      <c r="AJ288" s="289"/>
      <c r="AK288" s="289"/>
      <c r="AL288" s="289"/>
      <c r="AM288" s="289"/>
      <c r="AN288" s="289"/>
      <c r="AO288" s="289"/>
      <c r="AP288" s="289"/>
      <c r="AQ288" s="289"/>
      <c r="AR288" s="289"/>
      <c r="AS288" s="289"/>
      <c r="AT288" s="289"/>
      <c r="AU288" s="289"/>
      <c r="AV288" s="289"/>
      <c r="AW288" s="289"/>
      <c r="AX288" s="289"/>
      <c r="AY288" s="289"/>
      <c r="AZ288" s="289"/>
      <c r="BA288" s="289"/>
      <c r="BB288" s="289"/>
      <c r="BC288" s="289"/>
      <c r="BD288" s="235">
        <f>63455402+72672234+600000000+150000000+250000000-1000000000</f>
        <v>136127636</v>
      </c>
      <c r="BE288" s="235">
        <v>111986299.81999999</v>
      </c>
      <c r="BF288" s="235">
        <v>111986299.81999999</v>
      </c>
      <c r="BG288" s="235">
        <f>253377194+128617531.11</f>
        <v>381994725.11000001</v>
      </c>
      <c r="BH288" s="235">
        <v>242867585.00000003</v>
      </c>
      <c r="BI288" s="235">
        <v>242867585.00000003</v>
      </c>
      <c r="BJ288" s="289">
        <f>595000000-70000000-55000000-30000000-227842116</f>
        <v>212157884</v>
      </c>
      <c r="BK288" s="289">
        <v>192197436</v>
      </c>
      <c r="BL288" s="289">
        <v>192197436</v>
      </c>
      <c r="BM288" s="289"/>
      <c r="BN288" s="289"/>
      <c r="BO288" s="289"/>
      <c r="BP288" s="273">
        <f t="shared" si="73"/>
        <v>871080245.11000001</v>
      </c>
      <c r="BQ288" s="273">
        <f t="shared" si="73"/>
        <v>547051320.82000005</v>
      </c>
      <c r="BR288" s="273">
        <f t="shared" si="73"/>
        <v>547051320.82000005</v>
      </c>
      <c r="BS288" s="246" t="s">
        <v>1657</v>
      </c>
      <c r="BT288" s="233"/>
    </row>
    <row r="289" spans="1:72" s="27" customFormat="1" ht="166.5" customHeight="1" x14ac:dyDescent="0.2">
      <c r="A289" s="217">
        <v>319</v>
      </c>
      <c r="B289" s="311" t="s">
        <v>1629</v>
      </c>
      <c r="C289" s="213">
        <v>1</v>
      </c>
      <c r="D289" s="287" t="s">
        <v>1614</v>
      </c>
      <c r="E289" s="213">
        <v>43</v>
      </c>
      <c r="F289" s="216" t="s">
        <v>176</v>
      </c>
      <c r="G289" s="213">
        <v>4301</v>
      </c>
      <c r="H289" s="311" t="s">
        <v>1564</v>
      </c>
      <c r="I289" s="213">
        <v>4301</v>
      </c>
      <c r="J289" s="311" t="s">
        <v>1565</v>
      </c>
      <c r="K289" s="311" t="s">
        <v>1274</v>
      </c>
      <c r="L289" s="76" t="s">
        <v>41</v>
      </c>
      <c r="M289" s="216" t="s">
        <v>1283</v>
      </c>
      <c r="N289" s="213">
        <v>4301006</v>
      </c>
      <c r="O289" s="216" t="s">
        <v>1284</v>
      </c>
      <c r="P289" s="76" t="s">
        <v>41</v>
      </c>
      <c r="Q289" s="216" t="s">
        <v>1285</v>
      </c>
      <c r="R289" s="213">
        <v>430100600</v>
      </c>
      <c r="S289" s="216" t="s">
        <v>1286</v>
      </c>
      <c r="T289" s="236" t="s">
        <v>1671</v>
      </c>
      <c r="U289" s="76">
        <v>1</v>
      </c>
      <c r="V289" s="76">
        <v>0.65</v>
      </c>
      <c r="W289" s="363">
        <v>2020003630009</v>
      </c>
      <c r="X289" s="214" t="s">
        <v>1277</v>
      </c>
      <c r="Y289" s="320" t="s">
        <v>1278</v>
      </c>
      <c r="Z289" s="289"/>
      <c r="AA289" s="289"/>
      <c r="AB289" s="289"/>
      <c r="AC289" s="289"/>
      <c r="AD289" s="289"/>
      <c r="AE289" s="289"/>
      <c r="AF289" s="289"/>
      <c r="AG289" s="289"/>
      <c r="AH289" s="289"/>
      <c r="AI289" s="289"/>
      <c r="AJ289" s="289"/>
      <c r="AK289" s="289"/>
      <c r="AL289" s="289"/>
      <c r="AM289" s="289"/>
      <c r="AN289" s="289"/>
      <c r="AO289" s="289"/>
      <c r="AP289" s="289"/>
      <c r="AQ289" s="289"/>
      <c r="AR289" s="289"/>
      <c r="AS289" s="289"/>
      <c r="AT289" s="289"/>
      <c r="AU289" s="289"/>
      <c r="AV289" s="289"/>
      <c r="AW289" s="289"/>
      <c r="AX289" s="289"/>
      <c r="AY289" s="289"/>
      <c r="AZ289" s="289"/>
      <c r="BA289" s="289"/>
      <c r="BB289" s="289"/>
      <c r="BC289" s="289"/>
      <c r="BD289" s="290"/>
      <c r="BE289" s="290"/>
      <c r="BF289" s="290"/>
      <c r="BG289" s="293">
        <v>76178126.980000004</v>
      </c>
      <c r="BH289" s="293">
        <v>64324997</v>
      </c>
      <c r="BI289" s="293">
        <v>64324997</v>
      </c>
      <c r="BJ289" s="361"/>
      <c r="BK289" s="361"/>
      <c r="BL289" s="361"/>
      <c r="BM289" s="361"/>
      <c r="BN289" s="361"/>
      <c r="BO289" s="361"/>
      <c r="BP289" s="273">
        <f>+Z289+AC289+AF289+AI289+AL289+AO289+AR289+AU289+AX289+BA289+BD289+BG289+BJ289</f>
        <v>76178126.980000004</v>
      </c>
      <c r="BQ289" s="273">
        <f t="shared" si="73"/>
        <v>64324997</v>
      </c>
      <c r="BR289" s="273">
        <f t="shared" si="73"/>
        <v>64324997</v>
      </c>
      <c r="BS289" s="246" t="s">
        <v>1657</v>
      </c>
      <c r="BT289" s="233"/>
    </row>
    <row r="290" spans="1:72" s="27" customFormat="1" ht="151.5" customHeight="1" x14ac:dyDescent="0.2">
      <c r="A290" s="217">
        <v>319</v>
      </c>
      <c r="B290" s="311" t="s">
        <v>1629</v>
      </c>
      <c r="C290" s="213">
        <v>1</v>
      </c>
      <c r="D290" s="287" t="s">
        <v>1614</v>
      </c>
      <c r="E290" s="213">
        <v>43</v>
      </c>
      <c r="F290" s="216" t="s">
        <v>176</v>
      </c>
      <c r="G290" s="213">
        <v>4302</v>
      </c>
      <c r="H290" s="311" t="s">
        <v>1287</v>
      </c>
      <c r="I290" s="213">
        <v>4302</v>
      </c>
      <c r="J290" s="311" t="s">
        <v>1608</v>
      </c>
      <c r="K290" s="311" t="s">
        <v>1288</v>
      </c>
      <c r="L290" s="362">
        <v>4302075</v>
      </c>
      <c r="M290" s="216" t="s">
        <v>1289</v>
      </c>
      <c r="N290" s="362">
        <v>4302075</v>
      </c>
      <c r="O290" s="216" t="s">
        <v>1289</v>
      </c>
      <c r="P290" s="292">
        <v>430207500</v>
      </c>
      <c r="Q290" s="311" t="s">
        <v>1290</v>
      </c>
      <c r="R290" s="292">
        <v>430207500</v>
      </c>
      <c r="S290" s="311" t="s">
        <v>1290</v>
      </c>
      <c r="T290" s="236" t="s">
        <v>1671</v>
      </c>
      <c r="U290" s="76">
        <v>25</v>
      </c>
      <c r="V290" s="76">
        <v>25</v>
      </c>
      <c r="W290" s="363">
        <v>2020003630010</v>
      </c>
      <c r="X290" s="364" t="s">
        <v>1291</v>
      </c>
      <c r="Y290" s="364" t="s">
        <v>1292</v>
      </c>
      <c r="Z290" s="390">
        <f>4533873991-3465057531</f>
        <v>1068816460</v>
      </c>
      <c r="AA290" s="289"/>
      <c r="AB290" s="289"/>
      <c r="AC290" s="289"/>
      <c r="AD290" s="289"/>
      <c r="AE290" s="289"/>
      <c r="AF290" s="289"/>
      <c r="AG290" s="289"/>
      <c r="AH290" s="289"/>
      <c r="AI290" s="289"/>
      <c r="AJ290" s="289"/>
      <c r="AK290" s="289"/>
      <c r="AL290" s="289"/>
      <c r="AM290" s="289"/>
      <c r="AN290" s="289"/>
      <c r="AO290" s="289"/>
      <c r="AP290" s="289"/>
      <c r="AQ290" s="289"/>
      <c r="AR290" s="289"/>
      <c r="AS290" s="289"/>
      <c r="AT290" s="289"/>
      <c r="AU290" s="289"/>
      <c r="AV290" s="289"/>
      <c r="AW290" s="289"/>
      <c r="AX290" s="289"/>
      <c r="AY290" s="289"/>
      <c r="AZ290" s="289"/>
      <c r="BA290" s="289"/>
      <c r="BB290" s="289"/>
      <c r="BC290" s="289"/>
      <c r="BD290" s="333">
        <f>684120550+100000000</f>
        <v>784120550</v>
      </c>
      <c r="BE290" s="333">
        <v>393645250</v>
      </c>
      <c r="BF290" s="333">
        <v>392145250</v>
      </c>
      <c r="BG290" s="333">
        <f>288360186+2044951320.41</f>
        <v>2333311506.4099998</v>
      </c>
      <c r="BH290" s="333">
        <v>2010987774.1799998</v>
      </c>
      <c r="BI290" s="333">
        <v>1991572774.1799998</v>
      </c>
      <c r="BJ290" s="289"/>
      <c r="BK290" s="289"/>
      <c r="BL290" s="289"/>
      <c r="BM290" s="289"/>
      <c r="BN290" s="289"/>
      <c r="BO290" s="289"/>
      <c r="BP290" s="273">
        <f t="shared" ref="BP290:BR291" si="74">+Z290+AC290+AF290+AI290+AL290+AO290+AR290+AU290+AX290+BA290+BD290+BG290+BJ290</f>
        <v>4186248516.4099998</v>
      </c>
      <c r="BQ290" s="273">
        <f t="shared" si="74"/>
        <v>2404633024.1799998</v>
      </c>
      <c r="BR290" s="273">
        <f t="shared" si="74"/>
        <v>2383718024.1799998</v>
      </c>
      <c r="BS290" s="246" t="s">
        <v>1657</v>
      </c>
      <c r="BT290" s="233"/>
    </row>
    <row r="291" spans="1:72" s="27" customFormat="1" ht="147" customHeight="1" x14ac:dyDescent="0.2">
      <c r="A291" s="217">
        <v>319</v>
      </c>
      <c r="B291" s="311" t="s">
        <v>1629</v>
      </c>
      <c r="C291" s="213">
        <v>1</v>
      </c>
      <c r="D291" s="287" t="s">
        <v>1614</v>
      </c>
      <c r="E291" s="213">
        <v>43</v>
      </c>
      <c r="F291" s="216" t="s">
        <v>176</v>
      </c>
      <c r="G291" s="213">
        <v>4302</v>
      </c>
      <c r="H291" s="311" t="s">
        <v>1287</v>
      </c>
      <c r="I291" s="213">
        <v>4302</v>
      </c>
      <c r="J291" s="311" t="s">
        <v>1608</v>
      </c>
      <c r="K291" s="311" t="s">
        <v>1293</v>
      </c>
      <c r="L291" s="362">
        <v>4302075</v>
      </c>
      <c r="M291" s="216" t="s">
        <v>1289</v>
      </c>
      <c r="N291" s="362">
        <v>4302004</v>
      </c>
      <c r="O291" s="216" t="s">
        <v>1294</v>
      </c>
      <c r="P291" s="76" t="s">
        <v>41</v>
      </c>
      <c r="Q291" s="216" t="s">
        <v>1295</v>
      </c>
      <c r="R291" s="217">
        <v>430200401</v>
      </c>
      <c r="S291" s="216" t="s">
        <v>1296</v>
      </c>
      <c r="T291" s="236" t="s">
        <v>1671</v>
      </c>
      <c r="U291" s="76">
        <v>1</v>
      </c>
      <c r="V291" s="76">
        <v>0.5</v>
      </c>
      <c r="W291" s="363">
        <v>2020003630013</v>
      </c>
      <c r="X291" s="214" t="s">
        <v>1297</v>
      </c>
      <c r="Y291" s="216" t="s">
        <v>1298</v>
      </c>
      <c r="Z291" s="289"/>
      <c r="AA291" s="289"/>
      <c r="AB291" s="289"/>
      <c r="AC291" s="289"/>
      <c r="AD291" s="289"/>
      <c r="AE291" s="289"/>
      <c r="AF291" s="289"/>
      <c r="AG291" s="289"/>
      <c r="AH291" s="289"/>
      <c r="AI291" s="289"/>
      <c r="AJ291" s="289"/>
      <c r="AK291" s="289"/>
      <c r="AL291" s="289"/>
      <c r="AM291" s="289"/>
      <c r="AN291" s="289"/>
      <c r="AO291" s="289"/>
      <c r="AP291" s="289"/>
      <c r="AQ291" s="289"/>
      <c r="AR291" s="289"/>
      <c r="AS291" s="289"/>
      <c r="AT291" s="289"/>
      <c r="AU291" s="289"/>
      <c r="AV291" s="289"/>
      <c r="AW291" s="289"/>
      <c r="AX291" s="289"/>
      <c r="AY291" s="289"/>
      <c r="AZ291" s="289"/>
      <c r="BA291" s="289"/>
      <c r="BB291" s="289"/>
      <c r="BC291" s="289"/>
      <c r="BD291" s="239">
        <f>35000000+91882074.64</f>
        <v>126882074.64</v>
      </c>
      <c r="BE291" s="235">
        <v>76411332</v>
      </c>
      <c r="BF291" s="239">
        <v>76411332</v>
      </c>
      <c r="BG291" s="235"/>
      <c r="BH291" s="235"/>
      <c r="BI291" s="235"/>
      <c r="BJ291" s="289"/>
      <c r="BK291" s="289"/>
      <c r="BL291" s="289"/>
      <c r="BM291" s="289"/>
      <c r="BN291" s="289"/>
      <c r="BO291" s="289"/>
      <c r="BP291" s="273">
        <f t="shared" si="74"/>
        <v>126882074.64</v>
      </c>
      <c r="BQ291" s="273">
        <f t="shared" si="74"/>
        <v>76411332</v>
      </c>
      <c r="BR291" s="273">
        <f t="shared" si="74"/>
        <v>76411332</v>
      </c>
      <c r="BS291" s="246" t="s">
        <v>1657</v>
      </c>
      <c r="BT291" s="233"/>
    </row>
    <row r="292" spans="1:72" s="27" customFormat="1" ht="175.5" customHeight="1" x14ac:dyDescent="0.2">
      <c r="A292" s="217">
        <v>320</v>
      </c>
      <c r="B292" s="311" t="s">
        <v>1630</v>
      </c>
      <c r="C292" s="213">
        <v>1</v>
      </c>
      <c r="D292" s="287" t="s">
        <v>1614</v>
      </c>
      <c r="E292" s="213">
        <v>43</v>
      </c>
      <c r="F292" s="216" t="s">
        <v>176</v>
      </c>
      <c r="G292" s="213">
        <v>4301</v>
      </c>
      <c r="H292" s="311" t="s">
        <v>1564</v>
      </c>
      <c r="I292" s="213">
        <v>4301</v>
      </c>
      <c r="J292" s="311" t="s">
        <v>1565</v>
      </c>
      <c r="K292" s="216" t="s">
        <v>178</v>
      </c>
      <c r="L292" s="76" t="s">
        <v>41</v>
      </c>
      <c r="M292" s="303" t="s">
        <v>1300</v>
      </c>
      <c r="N292" s="213">
        <v>4301004</v>
      </c>
      <c r="O292" s="303" t="s">
        <v>180</v>
      </c>
      <c r="P292" s="76" t="s">
        <v>41</v>
      </c>
      <c r="Q292" s="303" t="s">
        <v>1301</v>
      </c>
      <c r="R292" s="304">
        <v>430100401</v>
      </c>
      <c r="S292" s="303" t="s">
        <v>182</v>
      </c>
      <c r="T292" s="236" t="s">
        <v>1673</v>
      </c>
      <c r="U292" s="76">
        <v>3</v>
      </c>
      <c r="V292" s="76">
        <v>13</v>
      </c>
      <c r="W292" s="324" t="s">
        <v>1302</v>
      </c>
      <c r="X292" s="303" t="s">
        <v>1303</v>
      </c>
      <c r="Y292" s="303" t="s">
        <v>1304</v>
      </c>
      <c r="Z292" s="312">
        <f>308302422.9+382161654.86</f>
        <v>690464077.75999999</v>
      </c>
      <c r="AA292" s="549">
        <v>683590194.49999976</v>
      </c>
      <c r="AB292" s="549">
        <v>683590194.49999976</v>
      </c>
      <c r="AC292" s="289"/>
      <c r="AD292" s="289"/>
      <c r="AE292" s="289"/>
      <c r="AF292" s="289"/>
      <c r="AG292" s="289"/>
      <c r="AH292" s="289"/>
      <c r="AI292" s="289"/>
      <c r="AJ292" s="289"/>
      <c r="AK292" s="289"/>
      <c r="AL292" s="289"/>
      <c r="AM292" s="289"/>
      <c r="AN292" s="289"/>
      <c r="AO292" s="289"/>
      <c r="AP292" s="289"/>
      <c r="AQ292" s="289"/>
      <c r="AR292" s="289"/>
      <c r="AS292" s="289"/>
      <c r="AT292" s="289"/>
      <c r="AU292" s="289"/>
      <c r="AV292" s="289"/>
      <c r="AW292" s="289"/>
      <c r="AX292" s="289"/>
      <c r="AY292" s="289"/>
      <c r="AZ292" s="289"/>
      <c r="BA292" s="289"/>
      <c r="BB292" s="289"/>
      <c r="BC292" s="289"/>
      <c r="BD292" s="322"/>
      <c r="BE292" s="322"/>
      <c r="BF292" s="322"/>
      <c r="BG292" s="314"/>
      <c r="BH292" s="314"/>
      <c r="BI292" s="314"/>
      <c r="BJ292" s="289"/>
      <c r="BK292" s="289"/>
      <c r="BL292" s="289"/>
      <c r="BM292" s="289"/>
      <c r="BN292" s="289"/>
      <c r="BO292" s="289"/>
      <c r="BP292" s="273">
        <f t="shared" ref="BP292:BR294" si="75">+Z292+AC292+AF292+AI292+AL292+AO292+AR292+AU292+AX292+BA292+BD292+BG292+BJ292</f>
        <v>690464077.75999999</v>
      </c>
      <c r="BQ292" s="273">
        <f t="shared" si="75"/>
        <v>683590194.49999976</v>
      </c>
      <c r="BR292" s="273">
        <f t="shared" si="75"/>
        <v>683590194.49999976</v>
      </c>
      <c r="BS292" s="246" t="s">
        <v>1658</v>
      </c>
      <c r="BT292" s="233"/>
    </row>
    <row r="293" spans="1:72" s="27" customFormat="1" ht="131.25" customHeight="1" x14ac:dyDescent="0.2">
      <c r="A293" s="217">
        <v>320</v>
      </c>
      <c r="B293" s="311" t="s">
        <v>1630</v>
      </c>
      <c r="C293" s="213">
        <v>1</v>
      </c>
      <c r="D293" s="287" t="s">
        <v>1614</v>
      </c>
      <c r="E293" s="213">
        <v>22</v>
      </c>
      <c r="F293" s="310" t="s">
        <v>156</v>
      </c>
      <c r="G293" s="213">
        <v>2201</v>
      </c>
      <c r="H293" s="216" t="s">
        <v>277</v>
      </c>
      <c r="I293" s="213">
        <v>2201</v>
      </c>
      <c r="J293" s="216" t="s">
        <v>1587</v>
      </c>
      <c r="K293" s="216" t="s">
        <v>158</v>
      </c>
      <c r="L293" s="76" t="s">
        <v>41</v>
      </c>
      <c r="M293" s="216" t="s">
        <v>674</v>
      </c>
      <c r="N293" s="304">
        <v>2201062</v>
      </c>
      <c r="O293" s="216" t="s">
        <v>160</v>
      </c>
      <c r="P293" s="76" t="s">
        <v>41</v>
      </c>
      <c r="Q293" s="216" t="s">
        <v>161</v>
      </c>
      <c r="R293" s="213">
        <v>220106200</v>
      </c>
      <c r="S293" s="216" t="s">
        <v>162</v>
      </c>
      <c r="T293" s="236" t="s">
        <v>1673</v>
      </c>
      <c r="U293" s="76">
        <v>15</v>
      </c>
      <c r="V293" s="76">
        <v>9</v>
      </c>
      <c r="W293" s="324" t="s">
        <v>1305</v>
      </c>
      <c r="X293" s="303" t="s">
        <v>1306</v>
      </c>
      <c r="Y293" s="303" t="s">
        <v>1307</v>
      </c>
      <c r="Z293" s="312">
        <f>308302422.9+20706441.05</f>
        <v>329008863.94999999</v>
      </c>
      <c r="AA293" s="545">
        <v>290761030.31</v>
      </c>
      <c r="AB293" s="545">
        <v>290761030.31</v>
      </c>
      <c r="AC293" s="289"/>
      <c r="AD293" s="289"/>
      <c r="AE293" s="289"/>
      <c r="AF293" s="289"/>
      <c r="AG293" s="289"/>
      <c r="AH293" s="289"/>
      <c r="AI293" s="289"/>
      <c r="AJ293" s="289"/>
      <c r="AK293" s="289"/>
      <c r="AL293" s="289"/>
      <c r="AM293" s="289"/>
      <c r="AN293" s="289"/>
      <c r="AO293" s="289"/>
      <c r="AP293" s="289"/>
      <c r="AQ293" s="289"/>
      <c r="AR293" s="289"/>
      <c r="AS293" s="289"/>
      <c r="AT293" s="289"/>
      <c r="AU293" s="289"/>
      <c r="AV293" s="289"/>
      <c r="AW293" s="289"/>
      <c r="AX293" s="289"/>
      <c r="AY293" s="289"/>
      <c r="AZ293" s="289"/>
      <c r="BA293" s="289"/>
      <c r="BB293" s="289"/>
      <c r="BC293" s="289"/>
      <c r="BD293" s="322"/>
      <c r="BE293" s="322"/>
      <c r="BF293" s="322"/>
      <c r="BG293" s="289"/>
      <c r="BH293" s="289"/>
      <c r="BI293" s="289"/>
      <c r="BJ293" s="306"/>
      <c r="BK293" s="306"/>
      <c r="BL293" s="306"/>
      <c r="BM293" s="306"/>
      <c r="BN293" s="306"/>
      <c r="BO293" s="306"/>
      <c r="BP293" s="273">
        <f t="shared" si="75"/>
        <v>329008863.94999999</v>
      </c>
      <c r="BQ293" s="273">
        <f t="shared" si="75"/>
        <v>290761030.31</v>
      </c>
      <c r="BR293" s="273">
        <f t="shared" si="75"/>
        <v>290761030.31</v>
      </c>
      <c r="BS293" s="246" t="s">
        <v>1658</v>
      </c>
      <c r="BT293" s="233"/>
    </row>
    <row r="294" spans="1:72" s="27" customFormat="1" ht="132" customHeight="1" x14ac:dyDescent="0.2">
      <c r="A294" s="217">
        <v>320</v>
      </c>
      <c r="B294" s="311" t="s">
        <v>1630</v>
      </c>
      <c r="C294" s="217">
        <v>3</v>
      </c>
      <c r="D294" s="303" t="s">
        <v>1631</v>
      </c>
      <c r="E294" s="217">
        <v>24</v>
      </c>
      <c r="F294" s="217" t="s">
        <v>187</v>
      </c>
      <c r="G294" s="213">
        <v>2402</v>
      </c>
      <c r="H294" s="303" t="s">
        <v>188</v>
      </c>
      <c r="I294" s="213">
        <v>2402</v>
      </c>
      <c r="J294" s="303" t="s">
        <v>1590</v>
      </c>
      <c r="K294" s="303" t="s">
        <v>1308</v>
      </c>
      <c r="L294" s="76" t="s">
        <v>41</v>
      </c>
      <c r="M294" s="216" t="s">
        <v>196</v>
      </c>
      <c r="N294" s="304">
        <v>2402041</v>
      </c>
      <c r="O294" s="216" t="s">
        <v>197</v>
      </c>
      <c r="P294" s="76" t="s">
        <v>41</v>
      </c>
      <c r="Q294" s="216" t="s">
        <v>198</v>
      </c>
      <c r="R294" s="304">
        <v>240204100</v>
      </c>
      <c r="S294" s="216" t="s">
        <v>199</v>
      </c>
      <c r="T294" s="236" t="s">
        <v>1671</v>
      </c>
      <c r="U294" s="313">
        <v>130</v>
      </c>
      <c r="V294" s="313">
        <v>5</v>
      </c>
      <c r="W294" s="324" t="s">
        <v>1309</v>
      </c>
      <c r="X294" s="365" t="s">
        <v>1310</v>
      </c>
      <c r="Y294" s="216" t="s">
        <v>1311</v>
      </c>
      <c r="Z294" s="289"/>
      <c r="AA294" s="550"/>
      <c r="AB294" s="550"/>
      <c r="AC294" s="289"/>
      <c r="AD294" s="289"/>
      <c r="AE294" s="289"/>
      <c r="AF294" s="322"/>
      <c r="AG294" s="322"/>
      <c r="AH294" s="322"/>
      <c r="AI294" s="289"/>
      <c r="AJ294" s="289"/>
      <c r="AK294" s="289"/>
      <c r="AL294" s="289"/>
      <c r="AM294" s="289"/>
      <c r="AN294" s="289"/>
      <c r="AO294" s="289"/>
      <c r="AP294" s="289"/>
      <c r="AQ294" s="289"/>
      <c r="AR294" s="289"/>
      <c r="AS294" s="289"/>
      <c r="AT294" s="289"/>
      <c r="AU294" s="289"/>
      <c r="AV294" s="289"/>
      <c r="AW294" s="289"/>
      <c r="AX294" s="289"/>
      <c r="AY294" s="289"/>
      <c r="AZ294" s="289"/>
      <c r="BA294" s="289"/>
      <c r="BB294" s="289"/>
      <c r="BC294" s="289"/>
      <c r="BD294" s="322"/>
      <c r="BE294" s="322"/>
      <c r="BF294" s="322"/>
      <c r="BG294" s="314">
        <f>199461691.2+149435040</f>
        <v>348896731.19999999</v>
      </c>
      <c r="BH294" s="545">
        <v>347384923.11000001</v>
      </c>
      <c r="BI294" s="545">
        <v>240924657.09</v>
      </c>
      <c r="BJ294" s="289"/>
      <c r="BK294" s="289"/>
      <c r="BL294" s="289"/>
      <c r="BM294" s="289"/>
      <c r="BN294" s="289"/>
      <c r="BO294" s="289"/>
      <c r="BP294" s="273">
        <f t="shared" si="75"/>
        <v>348896731.19999999</v>
      </c>
      <c r="BQ294" s="273">
        <f t="shared" si="75"/>
        <v>347384923.11000001</v>
      </c>
      <c r="BR294" s="273">
        <f t="shared" si="75"/>
        <v>240924657.09</v>
      </c>
      <c r="BS294" s="246" t="s">
        <v>1658</v>
      </c>
      <c r="BT294" s="233"/>
    </row>
    <row r="295" spans="1:72" s="27" customFormat="1" ht="105" customHeight="1" x14ac:dyDescent="0.2">
      <c r="A295" s="217">
        <v>320</v>
      </c>
      <c r="B295" s="311" t="s">
        <v>1630</v>
      </c>
      <c r="C295" s="217">
        <v>3</v>
      </c>
      <c r="D295" s="303" t="s">
        <v>1631</v>
      </c>
      <c r="E295" s="213">
        <v>40</v>
      </c>
      <c r="F295" s="216" t="s">
        <v>221</v>
      </c>
      <c r="G295" s="270">
        <v>4001</v>
      </c>
      <c r="H295" s="216" t="s">
        <v>222</v>
      </c>
      <c r="I295" s="270">
        <v>4001</v>
      </c>
      <c r="J295" s="216" t="s">
        <v>1603</v>
      </c>
      <c r="K295" s="216" t="s">
        <v>223</v>
      </c>
      <c r="L295" s="270">
        <v>4001001</v>
      </c>
      <c r="M295" s="216" t="s">
        <v>1312</v>
      </c>
      <c r="N295" s="270">
        <v>4001001</v>
      </c>
      <c r="O295" s="216" t="s">
        <v>1312</v>
      </c>
      <c r="P295" s="292" t="s">
        <v>1313</v>
      </c>
      <c r="Q295" s="311" t="s">
        <v>1314</v>
      </c>
      <c r="R295" s="292" t="s">
        <v>1313</v>
      </c>
      <c r="S295" s="311" t="s">
        <v>1314</v>
      </c>
      <c r="T295" s="236" t="s">
        <v>1673</v>
      </c>
      <c r="U295" s="76">
        <v>3</v>
      </c>
      <c r="V295" s="76">
        <v>0</v>
      </c>
      <c r="W295" s="324" t="s">
        <v>1315</v>
      </c>
      <c r="X295" s="365" t="s">
        <v>1316</v>
      </c>
      <c r="Y295" s="216" t="s">
        <v>1317</v>
      </c>
      <c r="Z295" s="312">
        <v>0</v>
      </c>
      <c r="AA295" s="551"/>
      <c r="AB295" s="551"/>
      <c r="AC295" s="289"/>
      <c r="AD295" s="289"/>
      <c r="AE295" s="289"/>
      <c r="AF295" s="289"/>
      <c r="AG295" s="289"/>
      <c r="AH295" s="289"/>
      <c r="AI295" s="289"/>
      <c r="AJ295" s="289"/>
      <c r="AK295" s="289"/>
      <c r="AL295" s="289"/>
      <c r="AM295" s="289"/>
      <c r="AN295" s="289"/>
      <c r="AO295" s="289"/>
      <c r="AP295" s="289"/>
      <c r="AQ295" s="289"/>
      <c r="AR295" s="289"/>
      <c r="AS295" s="289"/>
      <c r="AT295" s="289"/>
      <c r="AU295" s="289"/>
      <c r="AV295" s="289"/>
      <c r="AW295" s="289"/>
      <c r="AX295" s="289"/>
      <c r="AY295" s="289"/>
      <c r="AZ295" s="289"/>
      <c r="BA295" s="289"/>
      <c r="BB295" s="289"/>
      <c r="BC295" s="289"/>
      <c r="BD295" s="322"/>
      <c r="BE295" s="322"/>
      <c r="BF295" s="322"/>
      <c r="BG295" s="289">
        <f>9973084.56-9973084.56</f>
        <v>0</v>
      </c>
      <c r="BH295" s="550"/>
      <c r="BI295" s="550"/>
      <c r="BJ295" s="306"/>
      <c r="BK295" s="306"/>
      <c r="BL295" s="306"/>
      <c r="BM295" s="306"/>
      <c r="BN295" s="306"/>
      <c r="BO295" s="306"/>
      <c r="BP295" s="273">
        <f t="shared" ref="BP295:BP301" si="76">+Z295+AC295+AF295+AI295+AL295+AO295+AR295+AU295+AX295+BA295+BD295+BG295+BJ295</f>
        <v>0</v>
      </c>
      <c r="BQ295" s="273">
        <f t="shared" ref="BQ295:BQ301" si="77">+AA295+AD295+AG295+AJ295+AM295+AP295+AS295+AV295+AY295+BB295+BE295+BH295+BK295</f>
        <v>0</v>
      </c>
      <c r="BR295" s="273">
        <f t="shared" ref="BR295:BR301" si="78">+AB295+AE295+AH295+AK295+AN295+AQ295+AT295+AW295+AZ295+BC295+BF295+BI295+BL295</f>
        <v>0</v>
      </c>
      <c r="BS295" s="246" t="s">
        <v>1658</v>
      </c>
      <c r="BT295" s="233"/>
    </row>
    <row r="296" spans="1:72" s="27" customFormat="1" ht="90" customHeight="1" x14ac:dyDescent="0.2">
      <c r="A296" s="217">
        <v>320</v>
      </c>
      <c r="B296" s="311" t="s">
        <v>1630</v>
      </c>
      <c r="C296" s="217">
        <v>3</v>
      </c>
      <c r="D296" s="303" t="s">
        <v>1631</v>
      </c>
      <c r="E296" s="213">
        <v>40</v>
      </c>
      <c r="F296" s="216" t="s">
        <v>221</v>
      </c>
      <c r="G296" s="270">
        <v>4001</v>
      </c>
      <c r="H296" s="216" t="s">
        <v>222</v>
      </c>
      <c r="I296" s="270">
        <v>4001</v>
      </c>
      <c r="J296" s="216" t="s">
        <v>1603</v>
      </c>
      <c r="K296" s="216" t="s">
        <v>1318</v>
      </c>
      <c r="L296" s="270">
        <v>4001017</v>
      </c>
      <c r="M296" s="216" t="s">
        <v>1319</v>
      </c>
      <c r="N296" s="270">
        <v>4001017</v>
      </c>
      <c r="O296" s="216" t="s">
        <v>1319</v>
      </c>
      <c r="P296" s="292" t="s">
        <v>1320</v>
      </c>
      <c r="Q296" s="311" t="s">
        <v>1321</v>
      </c>
      <c r="R296" s="292" t="s">
        <v>1320</v>
      </c>
      <c r="S296" s="311" t="s">
        <v>1321</v>
      </c>
      <c r="T296" s="236" t="s">
        <v>1673</v>
      </c>
      <c r="U296" s="76">
        <v>25</v>
      </c>
      <c r="V296" s="76">
        <v>0</v>
      </c>
      <c r="W296" s="324" t="s">
        <v>1315</v>
      </c>
      <c r="X296" s="365" t="s">
        <v>1316</v>
      </c>
      <c r="Y296" s="216" t="s">
        <v>1317</v>
      </c>
      <c r="Z296" s="312">
        <f>51383737.16+62209722.85+22290833.34</f>
        <v>135884293.34999999</v>
      </c>
      <c r="AA296" s="545">
        <v>133553363.322524</v>
      </c>
      <c r="AB296" s="546">
        <v>128436696.65252399</v>
      </c>
      <c r="AC296" s="289"/>
      <c r="AD296" s="289"/>
      <c r="AE296" s="289"/>
      <c r="AF296" s="289"/>
      <c r="AG296" s="289"/>
      <c r="AH296" s="289"/>
      <c r="AI296" s="289"/>
      <c r="AJ296" s="289"/>
      <c r="AK296" s="289"/>
      <c r="AL296" s="289"/>
      <c r="AM296" s="289"/>
      <c r="AN296" s="289"/>
      <c r="AO296" s="289"/>
      <c r="AP296" s="289"/>
      <c r="AQ296" s="289"/>
      <c r="AR296" s="289"/>
      <c r="AS296" s="289"/>
      <c r="AT296" s="289"/>
      <c r="AU296" s="289"/>
      <c r="AV296" s="289"/>
      <c r="AW296" s="289"/>
      <c r="AX296" s="289"/>
      <c r="AY296" s="289"/>
      <c r="AZ296" s="289"/>
      <c r="BA296" s="289"/>
      <c r="BB296" s="289"/>
      <c r="BC296" s="289"/>
      <c r="BD296" s="322"/>
      <c r="BE296" s="322"/>
      <c r="BF296" s="322"/>
      <c r="BG296" s="289">
        <f>29919253.68+27767253.39+12918750+7031749.71</f>
        <v>77637006.779999986</v>
      </c>
      <c r="BH296" s="545">
        <v>77435830.241490006</v>
      </c>
      <c r="BI296" s="545">
        <v>22102500</v>
      </c>
      <c r="BJ296" s="306"/>
      <c r="BK296" s="306"/>
      <c r="BL296" s="306"/>
      <c r="BM296" s="306"/>
      <c r="BN296" s="306"/>
      <c r="BO296" s="306"/>
      <c r="BP296" s="273">
        <f t="shared" si="76"/>
        <v>213521300.13</v>
      </c>
      <c r="BQ296" s="273">
        <f t="shared" si="77"/>
        <v>210989193.56401402</v>
      </c>
      <c r="BR296" s="273">
        <f t="shared" si="78"/>
        <v>150539196.65252399</v>
      </c>
      <c r="BS296" s="246" t="s">
        <v>1658</v>
      </c>
      <c r="BT296" s="233"/>
    </row>
    <row r="297" spans="1:72" s="27" customFormat="1" ht="96" customHeight="1" x14ac:dyDescent="0.2">
      <c r="A297" s="217">
        <v>320</v>
      </c>
      <c r="B297" s="311" t="s">
        <v>1630</v>
      </c>
      <c r="C297" s="217">
        <v>3</v>
      </c>
      <c r="D297" s="303" t="s">
        <v>1631</v>
      </c>
      <c r="E297" s="213">
        <v>40</v>
      </c>
      <c r="F297" s="216" t="s">
        <v>221</v>
      </c>
      <c r="G297" s="270">
        <v>4001</v>
      </c>
      <c r="H297" s="216" t="s">
        <v>222</v>
      </c>
      <c r="I297" s="270">
        <v>4001</v>
      </c>
      <c r="J297" s="216" t="s">
        <v>1603</v>
      </c>
      <c r="K297" s="216" t="s">
        <v>223</v>
      </c>
      <c r="L297" s="270">
        <v>4001018</v>
      </c>
      <c r="M297" s="216" t="s">
        <v>1322</v>
      </c>
      <c r="N297" s="270">
        <v>4001018</v>
      </c>
      <c r="O297" s="216" t="s">
        <v>1322</v>
      </c>
      <c r="P297" s="292" t="s">
        <v>1323</v>
      </c>
      <c r="Q297" s="311" t="s">
        <v>1324</v>
      </c>
      <c r="R297" s="292" t="s">
        <v>1323</v>
      </c>
      <c r="S297" s="311" t="s">
        <v>1324</v>
      </c>
      <c r="T297" s="236" t="s">
        <v>1673</v>
      </c>
      <c r="U297" s="76">
        <v>75</v>
      </c>
      <c r="V297" s="76">
        <v>0</v>
      </c>
      <c r="W297" s="324" t="s">
        <v>1315</v>
      </c>
      <c r="X297" s="365" t="s">
        <v>1316</v>
      </c>
      <c r="Y297" s="216" t="s">
        <v>1317</v>
      </c>
      <c r="Z297" s="312">
        <f>143874464.02-70555072.61-38000000</f>
        <v>35319391.410000011</v>
      </c>
      <c r="AA297" s="552"/>
      <c r="AB297" s="551"/>
      <c r="AC297" s="289"/>
      <c r="AD297" s="289"/>
      <c r="AE297" s="289"/>
      <c r="AF297" s="289"/>
      <c r="AG297" s="289"/>
      <c r="AH297" s="289"/>
      <c r="AI297" s="289"/>
      <c r="AJ297" s="289"/>
      <c r="AK297" s="289"/>
      <c r="AL297" s="289"/>
      <c r="AM297" s="289"/>
      <c r="AN297" s="289"/>
      <c r="AO297" s="289"/>
      <c r="AP297" s="289"/>
      <c r="AQ297" s="289"/>
      <c r="AR297" s="289"/>
      <c r="AS297" s="289"/>
      <c r="AT297" s="289"/>
      <c r="AU297" s="289"/>
      <c r="AV297" s="289"/>
      <c r="AW297" s="289"/>
      <c r="AX297" s="289"/>
      <c r="AY297" s="289"/>
      <c r="AZ297" s="289"/>
      <c r="BA297" s="289"/>
      <c r="BB297" s="289"/>
      <c r="BC297" s="289"/>
      <c r="BD297" s="322"/>
      <c r="BE297" s="322"/>
      <c r="BF297" s="322"/>
      <c r="BG297" s="289">
        <f>59838507.38-8822723.33-49193298.55</f>
        <v>1822485.5000000075</v>
      </c>
      <c r="BH297" s="550"/>
      <c r="BI297" s="550"/>
      <c r="BJ297" s="306"/>
      <c r="BK297" s="306"/>
      <c r="BL297" s="306"/>
      <c r="BM297" s="306"/>
      <c r="BN297" s="306"/>
      <c r="BO297" s="306"/>
      <c r="BP297" s="273">
        <f t="shared" si="76"/>
        <v>37141876.910000019</v>
      </c>
      <c r="BQ297" s="273">
        <f t="shared" si="77"/>
        <v>0</v>
      </c>
      <c r="BR297" s="273">
        <f t="shared" si="78"/>
        <v>0</v>
      </c>
      <c r="BS297" s="246" t="s">
        <v>1658</v>
      </c>
      <c r="BT297" s="233"/>
    </row>
    <row r="298" spans="1:72" s="27" customFormat="1" ht="97.5" customHeight="1" x14ac:dyDescent="0.2">
      <c r="A298" s="217">
        <v>320</v>
      </c>
      <c r="B298" s="311" t="s">
        <v>1630</v>
      </c>
      <c r="C298" s="217">
        <v>3</v>
      </c>
      <c r="D298" s="303" t="s">
        <v>1631</v>
      </c>
      <c r="E298" s="213">
        <v>40</v>
      </c>
      <c r="F298" s="216" t="s">
        <v>221</v>
      </c>
      <c r="G298" s="270">
        <v>4001</v>
      </c>
      <c r="H298" s="216" t="s">
        <v>222</v>
      </c>
      <c r="I298" s="270">
        <v>4001</v>
      </c>
      <c r="J298" s="216" t="s">
        <v>1603</v>
      </c>
      <c r="K298" s="216" t="s">
        <v>223</v>
      </c>
      <c r="L298" s="270">
        <v>4001030</v>
      </c>
      <c r="M298" s="216" t="s">
        <v>1325</v>
      </c>
      <c r="N298" s="270">
        <v>4001030</v>
      </c>
      <c r="O298" s="216" t="s">
        <v>1325</v>
      </c>
      <c r="P298" s="292" t="s">
        <v>1326</v>
      </c>
      <c r="Q298" s="311" t="s">
        <v>247</v>
      </c>
      <c r="R298" s="292" t="s">
        <v>1326</v>
      </c>
      <c r="S298" s="311" t="s">
        <v>247</v>
      </c>
      <c r="T298" s="236" t="s">
        <v>1673</v>
      </c>
      <c r="U298" s="76">
        <v>3</v>
      </c>
      <c r="V298" s="76">
        <v>0</v>
      </c>
      <c r="W298" s="324" t="s">
        <v>1315</v>
      </c>
      <c r="X298" s="365" t="s">
        <v>1316</v>
      </c>
      <c r="Y298" s="216" t="s">
        <v>1317</v>
      </c>
      <c r="Z298" s="312">
        <v>0</v>
      </c>
      <c r="AA298" s="551"/>
      <c r="AB298" s="551"/>
      <c r="AC298" s="289"/>
      <c r="AD298" s="289"/>
      <c r="AE298" s="289"/>
      <c r="AF298" s="289"/>
      <c r="AG298" s="289"/>
      <c r="AH298" s="289"/>
      <c r="AI298" s="289"/>
      <c r="AJ298" s="289"/>
      <c r="AK298" s="289"/>
      <c r="AL298" s="289"/>
      <c r="AM298" s="289"/>
      <c r="AN298" s="289"/>
      <c r="AO298" s="289"/>
      <c r="AP298" s="289"/>
      <c r="AQ298" s="289"/>
      <c r="AR298" s="289"/>
      <c r="AS298" s="289"/>
      <c r="AT298" s="289"/>
      <c r="AU298" s="289"/>
      <c r="AV298" s="289"/>
      <c r="AW298" s="289"/>
      <c r="AX298" s="289"/>
      <c r="AY298" s="289"/>
      <c r="AZ298" s="289"/>
      <c r="BA298" s="289"/>
      <c r="BB298" s="289"/>
      <c r="BC298" s="289"/>
      <c r="BD298" s="314"/>
      <c r="BE298" s="314"/>
      <c r="BF298" s="314"/>
      <c r="BG298" s="289">
        <v>9973084.5600000005</v>
      </c>
      <c r="BH298" s="554">
        <v>9743845</v>
      </c>
      <c r="BI298" s="554">
        <v>9743845</v>
      </c>
      <c r="BJ298" s="306"/>
      <c r="BK298" s="306"/>
      <c r="BL298" s="306"/>
      <c r="BM298" s="306"/>
      <c r="BN298" s="306"/>
      <c r="BO298" s="306"/>
      <c r="BP298" s="273">
        <f t="shared" si="76"/>
        <v>9973084.5600000005</v>
      </c>
      <c r="BQ298" s="273">
        <f t="shared" si="77"/>
        <v>9743845</v>
      </c>
      <c r="BR298" s="273">
        <f t="shared" si="78"/>
        <v>9743845</v>
      </c>
      <c r="BS298" s="246" t="s">
        <v>1658</v>
      </c>
      <c r="BT298" s="233"/>
    </row>
    <row r="299" spans="1:72" s="27" customFormat="1" ht="97.5" customHeight="1" x14ac:dyDescent="0.2">
      <c r="A299" s="217">
        <v>320</v>
      </c>
      <c r="B299" s="311" t="s">
        <v>1630</v>
      </c>
      <c r="C299" s="217">
        <v>3</v>
      </c>
      <c r="D299" s="303" t="s">
        <v>1631</v>
      </c>
      <c r="E299" s="213">
        <v>40</v>
      </c>
      <c r="F299" s="216" t="s">
        <v>221</v>
      </c>
      <c r="G299" s="270">
        <v>4001</v>
      </c>
      <c r="H299" s="216" t="s">
        <v>222</v>
      </c>
      <c r="I299" s="270">
        <v>4001</v>
      </c>
      <c r="J299" s="216" t="s">
        <v>1603</v>
      </c>
      <c r="K299" s="216" t="s">
        <v>223</v>
      </c>
      <c r="L299" s="270">
        <v>4001031</v>
      </c>
      <c r="M299" s="216" t="s">
        <v>1327</v>
      </c>
      <c r="N299" s="270">
        <v>4001031</v>
      </c>
      <c r="O299" s="216" t="s">
        <v>1327</v>
      </c>
      <c r="P299" s="292">
        <v>400103103</v>
      </c>
      <c r="Q299" s="216" t="s">
        <v>1328</v>
      </c>
      <c r="R299" s="292">
        <v>400103103</v>
      </c>
      <c r="S299" s="216" t="s">
        <v>1328</v>
      </c>
      <c r="T299" s="236" t="s">
        <v>1673</v>
      </c>
      <c r="U299" s="76">
        <v>8</v>
      </c>
      <c r="V299" s="76">
        <v>0</v>
      </c>
      <c r="W299" s="324" t="s">
        <v>1315</v>
      </c>
      <c r="X299" s="365" t="s">
        <v>1316</v>
      </c>
      <c r="Y299" s="216" t="s">
        <v>1317</v>
      </c>
      <c r="Z299" s="354">
        <f>99360196.46+60000000-27836408.05</f>
        <v>131523788.40999998</v>
      </c>
      <c r="AA299" s="553">
        <v>96668849.040000007</v>
      </c>
      <c r="AB299" s="553">
        <v>96668849.039999992</v>
      </c>
      <c r="AC299" s="289"/>
      <c r="AD299" s="289"/>
      <c r="AE299" s="289"/>
      <c r="AF299" s="289"/>
      <c r="AG299" s="289"/>
      <c r="AH299" s="289"/>
      <c r="AI299" s="289"/>
      <c r="AJ299" s="289"/>
      <c r="AK299" s="289"/>
      <c r="AL299" s="289"/>
      <c r="AM299" s="289"/>
      <c r="AN299" s="289"/>
      <c r="AO299" s="289"/>
      <c r="AP299" s="289"/>
      <c r="AQ299" s="289"/>
      <c r="AR299" s="289"/>
      <c r="AS299" s="289"/>
      <c r="AT299" s="289"/>
      <c r="AU299" s="289"/>
      <c r="AV299" s="289"/>
      <c r="AW299" s="289"/>
      <c r="AX299" s="289"/>
      <c r="AY299" s="289"/>
      <c r="AZ299" s="289"/>
      <c r="BA299" s="289"/>
      <c r="BB299" s="289"/>
      <c r="BC299" s="289"/>
      <c r="BD299" s="314"/>
      <c r="BE299" s="314"/>
      <c r="BF299" s="314"/>
      <c r="BG299" s="289">
        <f>598385073.6+110029114.38</f>
        <v>708414187.98000002</v>
      </c>
      <c r="BH299" s="555">
        <v>696816113.6500001</v>
      </c>
      <c r="BI299" s="555">
        <v>696816113.64999998</v>
      </c>
      <c r="BJ299" s="306"/>
      <c r="BK299" s="306"/>
      <c r="BL299" s="306"/>
      <c r="BM299" s="306"/>
      <c r="BN299" s="306"/>
      <c r="BO299" s="306"/>
      <c r="BP299" s="273">
        <f t="shared" si="76"/>
        <v>839937976.38999999</v>
      </c>
      <c r="BQ299" s="273">
        <f t="shared" si="77"/>
        <v>793484962.69000006</v>
      </c>
      <c r="BR299" s="273">
        <f t="shared" si="78"/>
        <v>793484962.68999994</v>
      </c>
      <c r="BS299" s="246" t="s">
        <v>1658</v>
      </c>
      <c r="BT299" s="233"/>
    </row>
    <row r="300" spans="1:72" s="27" customFormat="1" ht="97.5" customHeight="1" x14ac:dyDescent="0.2">
      <c r="A300" s="217">
        <v>320</v>
      </c>
      <c r="B300" s="311" t="s">
        <v>1630</v>
      </c>
      <c r="C300" s="217">
        <v>3</v>
      </c>
      <c r="D300" s="303" t="s">
        <v>1631</v>
      </c>
      <c r="E300" s="213">
        <v>40</v>
      </c>
      <c r="F300" s="216" t="s">
        <v>221</v>
      </c>
      <c r="G300" s="270">
        <v>4001</v>
      </c>
      <c r="H300" s="216" t="s">
        <v>222</v>
      </c>
      <c r="I300" s="270">
        <v>4001</v>
      </c>
      <c r="J300" s="216" t="s">
        <v>1603</v>
      </c>
      <c r="K300" s="216" t="s">
        <v>1318</v>
      </c>
      <c r="L300" s="270" t="s">
        <v>1329</v>
      </c>
      <c r="M300" s="216" t="s">
        <v>1330</v>
      </c>
      <c r="N300" s="270" t="s">
        <v>1329</v>
      </c>
      <c r="O300" s="216" t="s">
        <v>1330</v>
      </c>
      <c r="P300" s="292" t="s">
        <v>1331</v>
      </c>
      <c r="Q300" s="311" t="s">
        <v>1330</v>
      </c>
      <c r="R300" s="292" t="s">
        <v>1331</v>
      </c>
      <c r="S300" s="311" t="s">
        <v>1330</v>
      </c>
      <c r="T300" s="236" t="s">
        <v>1673</v>
      </c>
      <c r="U300" s="76">
        <v>35</v>
      </c>
      <c r="V300" s="76">
        <v>0</v>
      </c>
      <c r="W300" s="324" t="s">
        <v>1315</v>
      </c>
      <c r="X300" s="365" t="s">
        <v>1316</v>
      </c>
      <c r="Y300" s="216" t="s">
        <v>1317</v>
      </c>
      <c r="Z300" s="312">
        <f>71937232.01-57179838.22-14757393.79</f>
        <v>0</v>
      </c>
      <c r="AA300" s="551"/>
      <c r="AB300" s="551"/>
      <c r="AC300" s="289"/>
      <c r="AD300" s="289"/>
      <c r="AE300" s="289"/>
      <c r="AF300" s="289"/>
      <c r="AG300" s="289"/>
      <c r="AH300" s="289"/>
      <c r="AI300" s="289"/>
      <c r="AJ300" s="289"/>
      <c r="AK300" s="289"/>
      <c r="AL300" s="289"/>
      <c r="AM300" s="289"/>
      <c r="AN300" s="289"/>
      <c r="AO300" s="289"/>
      <c r="AP300" s="289"/>
      <c r="AQ300" s="289"/>
      <c r="AR300" s="289"/>
      <c r="AS300" s="289"/>
      <c r="AT300" s="289"/>
      <c r="AU300" s="289"/>
      <c r="AV300" s="289"/>
      <c r="AW300" s="289"/>
      <c r="AX300" s="289"/>
      <c r="AY300" s="289"/>
      <c r="AZ300" s="289"/>
      <c r="BA300" s="289"/>
      <c r="BB300" s="289"/>
      <c r="BC300" s="289"/>
      <c r="BD300" s="314"/>
      <c r="BE300" s="314"/>
      <c r="BF300" s="314"/>
      <c r="BG300" s="289">
        <f>29919253.68-27767253.39-2152000.29</f>
        <v>0</v>
      </c>
      <c r="BH300" s="550"/>
      <c r="BI300" s="550"/>
      <c r="BJ300" s="306"/>
      <c r="BK300" s="306"/>
      <c r="BL300" s="306"/>
      <c r="BM300" s="306"/>
      <c r="BN300" s="306"/>
      <c r="BO300" s="306"/>
      <c r="BP300" s="273">
        <f t="shared" si="76"/>
        <v>0</v>
      </c>
      <c r="BQ300" s="273">
        <f t="shared" si="77"/>
        <v>0</v>
      </c>
      <c r="BR300" s="273">
        <f t="shared" si="78"/>
        <v>0</v>
      </c>
      <c r="BS300" s="246" t="s">
        <v>1658</v>
      </c>
      <c r="BT300" s="233"/>
    </row>
    <row r="301" spans="1:72" s="27" customFormat="1" ht="97.5" customHeight="1" x14ac:dyDescent="0.2">
      <c r="A301" s="217">
        <v>320</v>
      </c>
      <c r="B301" s="311" t="s">
        <v>1630</v>
      </c>
      <c r="C301" s="217">
        <v>3</v>
      </c>
      <c r="D301" s="303" t="s">
        <v>1631</v>
      </c>
      <c r="E301" s="213">
        <v>40</v>
      </c>
      <c r="F301" s="216" t="s">
        <v>221</v>
      </c>
      <c r="G301" s="270">
        <v>4001</v>
      </c>
      <c r="H301" s="216" t="s">
        <v>222</v>
      </c>
      <c r="I301" s="270">
        <v>4001</v>
      </c>
      <c r="J301" s="216" t="s">
        <v>1603</v>
      </c>
      <c r="K301" s="216" t="s">
        <v>223</v>
      </c>
      <c r="L301" s="270" t="s">
        <v>1332</v>
      </c>
      <c r="M301" s="216" t="s">
        <v>226</v>
      </c>
      <c r="N301" s="270" t="s">
        <v>1332</v>
      </c>
      <c r="O301" s="216" t="s">
        <v>226</v>
      </c>
      <c r="P301" s="292">
        <v>400101500</v>
      </c>
      <c r="Q301" s="311" t="s">
        <v>226</v>
      </c>
      <c r="R301" s="292">
        <v>400101500</v>
      </c>
      <c r="S301" s="311" t="s">
        <v>226</v>
      </c>
      <c r="T301" s="236" t="s">
        <v>1673</v>
      </c>
      <c r="U301" s="213">
        <v>50</v>
      </c>
      <c r="V301" s="213">
        <v>14</v>
      </c>
      <c r="W301" s="324" t="s">
        <v>1315</v>
      </c>
      <c r="X301" s="365" t="s">
        <v>1316</v>
      </c>
      <c r="Y301" s="216" t="s">
        <v>1317</v>
      </c>
      <c r="Z301" s="312">
        <v>168342424.03999999</v>
      </c>
      <c r="AA301" s="551">
        <v>47836408.049999997</v>
      </c>
      <c r="AB301" s="551">
        <v>47836408.049999997</v>
      </c>
      <c r="AC301" s="289"/>
      <c r="AD301" s="289"/>
      <c r="AE301" s="289"/>
      <c r="AF301" s="289"/>
      <c r="AG301" s="289"/>
      <c r="AH301" s="289"/>
      <c r="AI301" s="289"/>
      <c r="AJ301" s="289"/>
      <c r="AK301" s="289"/>
      <c r="AL301" s="289"/>
      <c r="AM301" s="289"/>
      <c r="AN301" s="289"/>
      <c r="AO301" s="289"/>
      <c r="AP301" s="289"/>
      <c r="AQ301" s="289"/>
      <c r="AR301" s="289"/>
      <c r="AS301" s="289"/>
      <c r="AT301" s="289"/>
      <c r="AU301" s="289"/>
      <c r="AV301" s="289"/>
      <c r="AW301" s="289"/>
      <c r="AX301" s="289"/>
      <c r="AY301" s="289"/>
      <c r="AZ301" s="289"/>
      <c r="BA301" s="289"/>
      <c r="BB301" s="289"/>
      <c r="BC301" s="289"/>
      <c r="BD301" s="314"/>
      <c r="BE301" s="314"/>
      <c r="BF301" s="314"/>
      <c r="BG301" s="289"/>
      <c r="BH301" s="555"/>
      <c r="BI301" s="550"/>
      <c r="BJ301" s="306"/>
      <c r="BK301" s="306"/>
      <c r="BL301" s="306"/>
      <c r="BM301" s="306"/>
      <c r="BN301" s="306"/>
      <c r="BO301" s="306"/>
      <c r="BP301" s="273">
        <f t="shared" si="76"/>
        <v>168342424.03999999</v>
      </c>
      <c r="BQ301" s="273">
        <f t="shared" si="77"/>
        <v>47836408.049999997</v>
      </c>
      <c r="BR301" s="273">
        <f t="shared" si="78"/>
        <v>47836408.049999997</v>
      </c>
      <c r="BS301" s="246" t="s">
        <v>1658</v>
      </c>
      <c r="BT301" s="233"/>
    </row>
    <row r="302" spans="1:72" s="27" customFormat="1" ht="132.75" customHeight="1" x14ac:dyDescent="0.2">
      <c r="A302" s="217">
        <v>321</v>
      </c>
      <c r="B302" s="311" t="s">
        <v>1632</v>
      </c>
      <c r="C302" s="217">
        <v>3</v>
      </c>
      <c r="D302" s="303" t="s">
        <v>1631</v>
      </c>
      <c r="E302" s="213">
        <v>24</v>
      </c>
      <c r="F302" s="310" t="s">
        <v>187</v>
      </c>
      <c r="G302" s="217">
        <v>2409</v>
      </c>
      <c r="H302" s="311" t="s">
        <v>1334</v>
      </c>
      <c r="I302" s="217">
        <v>2409</v>
      </c>
      <c r="J302" s="311" t="s">
        <v>1591</v>
      </c>
      <c r="K302" s="311" t="s">
        <v>1335</v>
      </c>
      <c r="L302" s="76" t="s">
        <v>41</v>
      </c>
      <c r="M302" s="216" t="s">
        <v>1336</v>
      </c>
      <c r="N302" s="213">
        <v>2409009</v>
      </c>
      <c r="O302" s="216" t="s">
        <v>1337</v>
      </c>
      <c r="P302" s="76" t="s">
        <v>41</v>
      </c>
      <c r="Q302" s="311" t="s">
        <v>1338</v>
      </c>
      <c r="R302" s="213">
        <v>240900900</v>
      </c>
      <c r="S302" s="311" t="s">
        <v>1339</v>
      </c>
      <c r="T302" s="236" t="s">
        <v>1671</v>
      </c>
      <c r="U302" s="76">
        <v>1</v>
      </c>
      <c r="V302" s="76">
        <v>0.8</v>
      </c>
      <c r="W302" s="324" t="s">
        <v>1340</v>
      </c>
      <c r="X302" s="365" t="s">
        <v>1341</v>
      </c>
      <c r="Y302" s="216" t="s">
        <v>1342</v>
      </c>
      <c r="Z302" s="289"/>
      <c r="AA302" s="289"/>
      <c r="AB302" s="289"/>
      <c r="AC302" s="289"/>
      <c r="AD302" s="289"/>
      <c r="AE302" s="289"/>
      <c r="AF302" s="289"/>
      <c r="AG302" s="289"/>
      <c r="AH302" s="289"/>
      <c r="AI302" s="289"/>
      <c r="AJ302" s="289"/>
      <c r="AK302" s="289"/>
      <c r="AL302" s="289"/>
      <c r="AM302" s="289"/>
      <c r="AN302" s="289"/>
      <c r="AO302" s="289"/>
      <c r="AP302" s="289"/>
      <c r="AQ302" s="289"/>
      <c r="AR302" s="289"/>
      <c r="AS302" s="289"/>
      <c r="AT302" s="289"/>
      <c r="AU302" s="289"/>
      <c r="AV302" s="289"/>
      <c r="AW302" s="289"/>
      <c r="AX302" s="289"/>
      <c r="AY302" s="289"/>
      <c r="AZ302" s="289"/>
      <c r="BA302" s="289"/>
      <c r="BB302" s="289"/>
      <c r="BC302" s="289"/>
      <c r="BD302" s="322"/>
      <c r="BE302" s="322"/>
      <c r="BF302" s="322"/>
      <c r="BG302" s="322">
        <f>27192000+1300000</f>
        <v>28492000</v>
      </c>
      <c r="BH302" s="322">
        <v>27798000</v>
      </c>
      <c r="BI302" s="322">
        <v>27798000</v>
      </c>
      <c r="BJ302" s="289"/>
      <c r="BK302" s="289"/>
      <c r="BL302" s="289"/>
      <c r="BM302" s="289"/>
      <c r="BN302" s="289"/>
      <c r="BO302" s="289"/>
      <c r="BP302" s="273">
        <f t="shared" ref="BP302:BR305" si="79">+Z302+AC302+AF302+AI302+AL302+AO302+AR302+AU302+AX302+BA302+BD302+BG302+BJ302</f>
        <v>28492000</v>
      </c>
      <c r="BQ302" s="273">
        <f t="shared" si="79"/>
        <v>27798000</v>
      </c>
      <c r="BR302" s="273">
        <f t="shared" si="79"/>
        <v>27798000</v>
      </c>
      <c r="BS302" s="246" t="s">
        <v>1675</v>
      </c>
      <c r="BT302" s="233"/>
    </row>
    <row r="303" spans="1:72" s="27" customFormat="1" ht="109.5" customHeight="1" x14ac:dyDescent="0.2">
      <c r="A303" s="217">
        <v>321</v>
      </c>
      <c r="B303" s="311" t="s">
        <v>1632</v>
      </c>
      <c r="C303" s="217">
        <v>3</v>
      </c>
      <c r="D303" s="303" t="s">
        <v>1631</v>
      </c>
      <c r="E303" s="213">
        <v>24</v>
      </c>
      <c r="F303" s="310" t="s">
        <v>187</v>
      </c>
      <c r="G303" s="217">
        <v>2409</v>
      </c>
      <c r="H303" s="311" t="s">
        <v>1334</v>
      </c>
      <c r="I303" s="217">
        <v>2409</v>
      </c>
      <c r="J303" s="311" t="s">
        <v>1591</v>
      </c>
      <c r="K303" s="311" t="s">
        <v>1335</v>
      </c>
      <c r="L303" s="76" t="s">
        <v>41</v>
      </c>
      <c r="M303" s="216" t="s">
        <v>1343</v>
      </c>
      <c r="N303" s="213">
        <v>2409022</v>
      </c>
      <c r="O303" s="216" t="s">
        <v>1344</v>
      </c>
      <c r="P303" s="76" t="s">
        <v>41</v>
      </c>
      <c r="Q303" s="311" t="s">
        <v>1345</v>
      </c>
      <c r="R303" s="213">
        <v>240902202</v>
      </c>
      <c r="S303" s="311" t="s">
        <v>1488</v>
      </c>
      <c r="T303" s="236" t="s">
        <v>1671</v>
      </c>
      <c r="U303" s="76">
        <v>1</v>
      </c>
      <c r="V303" s="76">
        <v>0.9</v>
      </c>
      <c r="W303" s="324" t="s">
        <v>1340</v>
      </c>
      <c r="X303" s="365" t="s">
        <v>1341</v>
      </c>
      <c r="Y303" s="216" t="s">
        <v>1342</v>
      </c>
      <c r="Z303" s="289"/>
      <c r="AA303" s="289"/>
      <c r="AB303" s="289"/>
      <c r="AC303" s="289"/>
      <c r="AD303" s="289"/>
      <c r="AE303" s="289"/>
      <c r="AF303" s="289"/>
      <c r="AG303" s="289"/>
      <c r="AH303" s="289"/>
      <c r="AI303" s="289"/>
      <c r="AJ303" s="289"/>
      <c r="AK303" s="289"/>
      <c r="AL303" s="289"/>
      <c r="AM303" s="289"/>
      <c r="AN303" s="289"/>
      <c r="AO303" s="289"/>
      <c r="AP303" s="289"/>
      <c r="AQ303" s="289"/>
      <c r="AR303" s="289"/>
      <c r="AS303" s="289"/>
      <c r="AT303" s="289"/>
      <c r="AU303" s="289"/>
      <c r="AV303" s="289"/>
      <c r="AW303" s="289"/>
      <c r="AX303" s="289"/>
      <c r="AY303" s="289"/>
      <c r="AZ303" s="289"/>
      <c r="BA303" s="289"/>
      <c r="BB303" s="289"/>
      <c r="BC303" s="289"/>
      <c r="BD303" s="322"/>
      <c r="BE303" s="322"/>
      <c r="BF303" s="322"/>
      <c r="BG303" s="322">
        <f>8652000+5250000</f>
        <v>13902000</v>
      </c>
      <c r="BH303" s="322">
        <v>13902000</v>
      </c>
      <c r="BI303" s="322">
        <v>13902000</v>
      </c>
      <c r="BJ303" s="289"/>
      <c r="BK303" s="289"/>
      <c r="BL303" s="289"/>
      <c r="BM303" s="289"/>
      <c r="BN303" s="289"/>
      <c r="BO303" s="289"/>
      <c r="BP303" s="273">
        <f t="shared" si="79"/>
        <v>13902000</v>
      </c>
      <c r="BQ303" s="273">
        <f t="shared" si="79"/>
        <v>13902000</v>
      </c>
      <c r="BR303" s="273">
        <f t="shared" si="79"/>
        <v>13902000</v>
      </c>
      <c r="BS303" s="246" t="s">
        <v>1675</v>
      </c>
      <c r="BT303" s="233"/>
    </row>
    <row r="304" spans="1:72" s="27" customFormat="1" ht="108.75" customHeight="1" x14ac:dyDescent="0.2">
      <c r="A304" s="217">
        <v>321</v>
      </c>
      <c r="B304" s="311" t="s">
        <v>1632</v>
      </c>
      <c r="C304" s="217">
        <v>3</v>
      </c>
      <c r="D304" s="303" t="s">
        <v>1631</v>
      </c>
      <c r="E304" s="213">
        <v>24</v>
      </c>
      <c r="F304" s="310" t="s">
        <v>187</v>
      </c>
      <c r="G304" s="217">
        <v>2409</v>
      </c>
      <c r="H304" s="311" t="s">
        <v>1334</v>
      </c>
      <c r="I304" s="217">
        <v>2409</v>
      </c>
      <c r="J304" s="311" t="s">
        <v>1591</v>
      </c>
      <c r="K304" s="311" t="s">
        <v>1335</v>
      </c>
      <c r="L304" s="76" t="s">
        <v>41</v>
      </c>
      <c r="M304" s="216" t="s">
        <v>1489</v>
      </c>
      <c r="N304" s="213">
        <v>2409014</v>
      </c>
      <c r="O304" s="216" t="s">
        <v>233</v>
      </c>
      <c r="P304" s="76" t="s">
        <v>41</v>
      </c>
      <c r="Q304" s="311" t="s">
        <v>1346</v>
      </c>
      <c r="R304" s="213">
        <v>240901400</v>
      </c>
      <c r="S304" s="311" t="s">
        <v>974</v>
      </c>
      <c r="T304" s="236" t="s">
        <v>1671</v>
      </c>
      <c r="U304" s="76">
        <v>1</v>
      </c>
      <c r="V304" s="76">
        <v>0.9</v>
      </c>
      <c r="W304" s="324" t="s">
        <v>1340</v>
      </c>
      <c r="X304" s="365" t="s">
        <v>1341</v>
      </c>
      <c r="Y304" s="216" t="s">
        <v>1342</v>
      </c>
      <c r="Z304" s="289"/>
      <c r="AA304" s="289"/>
      <c r="AB304" s="289"/>
      <c r="AC304" s="289"/>
      <c r="AD304" s="289"/>
      <c r="AE304" s="289"/>
      <c r="AF304" s="289"/>
      <c r="AG304" s="289"/>
      <c r="AH304" s="289"/>
      <c r="AI304" s="289"/>
      <c r="AJ304" s="289"/>
      <c r="AK304" s="289"/>
      <c r="AL304" s="289"/>
      <c r="AM304" s="289"/>
      <c r="AN304" s="289"/>
      <c r="AO304" s="289"/>
      <c r="AP304" s="289"/>
      <c r="AQ304" s="289"/>
      <c r="AR304" s="289"/>
      <c r="AS304" s="289"/>
      <c r="AT304" s="289"/>
      <c r="AU304" s="289"/>
      <c r="AV304" s="289"/>
      <c r="AW304" s="289"/>
      <c r="AX304" s="289"/>
      <c r="AY304" s="289"/>
      <c r="AZ304" s="289"/>
      <c r="BA304" s="289"/>
      <c r="BB304" s="289"/>
      <c r="BC304" s="289"/>
      <c r="BD304" s="322"/>
      <c r="BE304" s="322"/>
      <c r="BF304" s="322"/>
      <c r="BG304" s="322">
        <v>32076000</v>
      </c>
      <c r="BH304" s="322">
        <v>30495000</v>
      </c>
      <c r="BI304" s="322">
        <v>30495000</v>
      </c>
      <c r="BJ304" s="289"/>
      <c r="BK304" s="289"/>
      <c r="BL304" s="289"/>
      <c r="BM304" s="289"/>
      <c r="BN304" s="289"/>
      <c r="BO304" s="289"/>
      <c r="BP304" s="273">
        <f t="shared" si="79"/>
        <v>32076000</v>
      </c>
      <c r="BQ304" s="273">
        <f t="shared" si="79"/>
        <v>30495000</v>
      </c>
      <c r="BR304" s="273">
        <f t="shared" si="79"/>
        <v>30495000</v>
      </c>
      <c r="BS304" s="246" t="s">
        <v>1675</v>
      </c>
      <c r="BT304" s="233"/>
    </row>
    <row r="305" spans="1:110" s="27" customFormat="1" ht="132" customHeight="1" x14ac:dyDescent="0.2">
      <c r="A305" s="217">
        <v>321</v>
      </c>
      <c r="B305" s="311" t="s">
        <v>1632</v>
      </c>
      <c r="C305" s="217">
        <v>3</v>
      </c>
      <c r="D305" s="303" t="s">
        <v>1631</v>
      </c>
      <c r="E305" s="213">
        <v>24</v>
      </c>
      <c r="F305" s="310" t="s">
        <v>187</v>
      </c>
      <c r="G305" s="217">
        <v>2409</v>
      </c>
      <c r="H305" s="311" t="s">
        <v>1334</v>
      </c>
      <c r="I305" s="217">
        <v>2409</v>
      </c>
      <c r="J305" s="311" t="s">
        <v>1591</v>
      </c>
      <c r="K305" s="311" t="s">
        <v>1335</v>
      </c>
      <c r="L305" s="76" t="s">
        <v>41</v>
      </c>
      <c r="M305" s="216" t="s">
        <v>1347</v>
      </c>
      <c r="N305" s="213">
        <v>2409039</v>
      </c>
      <c r="O305" s="216" t="s">
        <v>1348</v>
      </c>
      <c r="P305" s="76" t="s">
        <v>41</v>
      </c>
      <c r="Q305" s="311" t="s">
        <v>1349</v>
      </c>
      <c r="R305" s="213">
        <v>240903905</v>
      </c>
      <c r="S305" s="311" t="s">
        <v>1350</v>
      </c>
      <c r="T305" s="236" t="s">
        <v>1671</v>
      </c>
      <c r="U305" s="76">
        <v>1</v>
      </c>
      <c r="V305" s="76">
        <v>0.9</v>
      </c>
      <c r="W305" s="324" t="s">
        <v>1340</v>
      </c>
      <c r="X305" s="365" t="s">
        <v>1341</v>
      </c>
      <c r="Y305" s="216" t="s">
        <v>1342</v>
      </c>
      <c r="Z305" s="289"/>
      <c r="AA305" s="289"/>
      <c r="AB305" s="289"/>
      <c r="AC305" s="289"/>
      <c r="AD305" s="289"/>
      <c r="AE305" s="289"/>
      <c r="AF305" s="289"/>
      <c r="AG305" s="289"/>
      <c r="AH305" s="289"/>
      <c r="AI305" s="289"/>
      <c r="AJ305" s="289"/>
      <c r="AK305" s="289"/>
      <c r="AL305" s="289"/>
      <c r="AM305" s="289"/>
      <c r="AN305" s="289"/>
      <c r="AO305" s="289"/>
      <c r="AP305" s="289"/>
      <c r="AQ305" s="289"/>
      <c r="AR305" s="289"/>
      <c r="AS305" s="289"/>
      <c r="AT305" s="289"/>
      <c r="AU305" s="289"/>
      <c r="AV305" s="289"/>
      <c r="AW305" s="289"/>
      <c r="AX305" s="289"/>
      <c r="AY305" s="289"/>
      <c r="AZ305" s="289"/>
      <c r="BA305" s="289"/>
      <c r="BB305" s="289"/>
      <c r="BC305" s="289"/>
      <c r="BD305" s="322"/>
      <c r="BE305" s="322"/>
      <c r="BF305" s="322"/>
      <c r="BG305" s="322">
        <f>48410000-12670000</f>
        <v>35740000</v>
      </c>
      <c r="BH305" s="322">
        <v>35521000</v>
      </c>
      <c r="BI305" s="322">
        <v>35521000</v>
      </c>
      <c r="BJ305" s="289"/>
      <c r="BK305" s="289"/>
      <c r="BL305" s="289"/>
      <c r="BM305" s="289"/>
      <c r="BN305" s="289"/>
      <c r="BO305" s="289"/>
      <c r="BP305" s="273">
        <f t="shared" si="79"/>
        <v>35740000</v>
      </c>
      <c r="BQ305" s="273">
        <f t="shared" si="79"/>
        <v>35521000</v>
      </c>
      <c r="BR305" s="273">
        <f t="shared" si="79"/>
        <v>35521000</v>
      </c>
      <c r="BS305" s="246" t="s">
        <v>1675</v>
      </c>
      <c r="BT305" s="233"/>
    </row>
    <row r="306" spans="1:110" s="102" customFormat="1" ht="33" customHeight="1" x14ac:dyDescent="0.25">
      <c r="A306" s="274" t="s">
        <v>1459</v>
      </c>
      <c r="B306" s="275"/>
      <c r="C306" s="276"/>
      <c r="D306" s="276"/>
      <c r="E306" s="276"/>
      <c r="F306" s="276"/>
      <c r="G306" s="277"/>
      <c r="H306" s="278"/>
      <c r="I306" s="278"/>
      <c r="J306" s="278"/>
      <c r="K306" s="279"/>
      <c r="L306" s="279"/>
      <c r="M306" s="279"/>
      <c r="N306" s="277"/>
      <c r="O306" s="279"/>
      <c r="P306" s="279"/>
      <c r="Q306" s="280"/>
      <c r="R306" s="281"/>
      <c r="S306" s="280"/>
      <c r="T306" s="278"/>
      <c r="U306" s="282"/>
      <c r="V306" s="281"/>
      <c r="W306" s="283"/>
      <c r="X306" s="284"/>
      <c r="Y306" s="284"/>
      <c r="Z306" s="285">
        <f>SUM(Z8:Z285)</f>
        <v>12833687966.630001</v>
      </c>
      <c r="AA306" s="285">
        <f t="shared" ref="AA306:BR306" si="80">SUM(AA8:AA285)</f>
        <v>6885700630.9200001</v>
      </c>
      <c r="AB306" s="285">
        <f t="shared" si="80"/>
        <v>6885700630.9200001</v>
      </c>
      <c r="AC306" s="285">
        <f t="shared" si="80"/>
        <v>4387879528.3299999</v>
      </c>
      <c r="AD306" s="285">
        <f t="shared" si="80"/>
        <v>1133578214.1599998</v>
      </c>
      <c r="AE306" s="285">
        <f t="shared" si="80"/>
        <v>1133578214.1599998</v>
      </c>
      <c r="AF306" s="285">
        <f t="shared" si="80"/>
        <v>56108067</v>
      </c>
      <c r="AG306" s="285">
        <f t="shared" si="80"/>
        <v>37529205.509999998</v>
      </c>
      <c r="AH306" s="285">
        <f t="shared" si="80"/>
        <v>37529205.509999998</v>
      </c>
      <c r="AI306" s="285">
        <f t="shared" si="80"/>
        <v>2375738582.6599998</v>
      </c>
      <c r="AJ306" s="285">
        <f t="shared" si="80"/>
        <v>2300367376.7800002</v>
      </c>
      <c r="AK306" s="285">
        <f t="shared" si="80"/>
        <v>2300367376.7800002</v>
      </c>
      <c r="AL306" s="285">
        <f t="shared" si="80"/>
        <v>7620632943.1700001</v>
      </c>
      <c r="AM306" s="285">
        <f t="shared" si="80"/>
        <v>5484034494.96</v>
      </c>
      <c r="AN306" s="285">
        <f t="shared" si="80"/>
        <v>5484034494.96</v>
      </c>
      <c r="AO306" s="285">
        <f t="shared" si="80"/>
        <v>43392723005.519997</v>
      </c>
      <c r="AP306" s="285">
        <f t="shared" si="80"/>
        <v>42321921638.82</v>
      </c>
      <c r="AQ306" s="285">
        <f t="shared" si="80"/>
        <v>42321921638.82</v>
      </c>
      <c r="AR306" s="285">
        <f t="shared" si="80"/>
        <v>137945793424.22</v>
      </c>
      <c r="AS306" s="285">
        <f t="shared" si="80"/>
        <v>136497820334.14999</v>
      </c>
      <c r="AT306" s="285">
        <f t="shared" si="80"/>
        <v>136497820334.14999</v>
      </c>
      <c r="AU306" s="285">
        <f t="shared" si="80"/>
        <v>28315024554</v>
      </c>
      <c r="AV306" s="285">
        <f t="shared" si="80"/>
        <v>28315024554</v>
      </c>
      <c r="AW306" s="285">
        <f t="shared" si="80"/>
        <v>28315024554</v>
      </c>
      <c r="AX306" s="285">
        <f t="shared" si="80"/>
        <v>12544566918.389999</v>
      </c>
      <c r="AY306" s="285">
        <f t="shared" si="80"/>
        <v>10751473890</v>
      </c>
      <c r="AZ306" s="285">
        <f t="shared" si="80"/>
        <v>10751473890</v>
      </c>
      <c r="BA306" s="285">
        <f t="shared" si="80"/>
        <v>2895159641.6800003</v>
      </c>
      <c r="BB306" s="285">
        <f t="shared" si="80"/>
        <v>2895132862</v>
      </c>
      <c r="BC306" s="285">
        <f t="shared" si="80"/>
        <v>2895132862</v>
      </c>
      <c r="BD306" s="285">
        <f t="shared" si="80"/>
        <v>40207374655.399986</v>
      </c>
      <c r="BE306" s="285">
        <f t="shared" si="80"/>
        <v>33276074825.629993</v>
      </c>
      <c r="BF306" s="285">
        <f t="shared" si="80"/>
        <v>33276074825.629993</v>
      </c>
      <c r="BG306" s="285">
        <f t="shared" si="80"/>
        <v>1146429972.01</v>
      </c>
      <c r="BH306" s="285">
        <f t="shared" si="80"/>
        <v>603084198.50999999</v>
      </c>
      <c r="BI306" s="285">
        <f t="shared" si="80"/>
        <v>603084198.50999999</v>
      </c>
      <c r="BJ306" s="285">
        <f t="shared" si="80"/>
        <v>25113738287.240002</v>
      </c>
      <c r="BK306" s="285">
        <f t="shared" si="80"/>
        <v>15013497136.139999</v>
      </c>
      <c r="BL306" s="285">
        <f t="shared" si="80"/>
        <v>15013497136.139999</v>
      </c>
      <c r="BM306" s="285">
        <f t="shared" si="80"/>
        <v>655606585.65999997</v>
      </c>
      <c r="BN306" s="285">
        <f t="shared" si="80"/>
        <v>550000000</v>
      </c>
      <c r="BO306" s="285">
        <f t="shared" si="80"/>
        <v>550000000</v>
      </c>
      <c r="BP306" s="285">
        <f t="shared" si="80"/>
        <v>319490464131.9101</v>
      </c>
      <c r="BQ306" s="285">
        <f t="shared" si="80"/>
        <v>286065239361.58002</v>
      </c>
      <c r="BR306" s="285">
        <f t="shared" si="80"/>
        <v>286065239361.58002</v>
      </c>
      <c r="BS306" s="286"/>
      <c r="BT306" s="5"/>
      <c r="BU306" s="5"/>
      <c r="BV306" s="5"/>
      <c r="BW306" s="5"/>
      <c r="BX306" s="5"/>
      <c r="BY306" s="5"/>
      <c r="BZ306" s="5"/>
      <c r="CA306" s="5"/>
      <c r="CB306" s="5"/>
      <c r="CC306" s="5"/>
      <c r="CD306" s="5"/>
      <c r="CE306" s="5"/>
      <c r="CF306" s="5"/>
      <c r="CG306" s="5"/>
      <c r="CH306" s="5"/>
      <c r="CI306" s="5"/>
      <c r="CJ306" s="5"/>
      <c r="CK306" s="5"/>
      <c r="CL306" s="5"/>
      <c r="CM306" s="5"/>
      <c r="CN306" s="5"/>
      <c r="CO306" s="5"/>
      <c r="CP306" s="5"/>
      <c r="CQ306" s="5"/>
      <c r="CR306" s="5"/>
      <c r="CS306" s="5"/>
      <c r="CT306" s="5"/>
      <c r="CU306" s="5"/>
      <c r="CV306" s="5"/>
      <c r="CW306" s="5"/>
      <c r="CX306" s="5"/>
      <c r="CY306" s="5"/>
      <c r="CZ306" s="5"/>
      <c r="DA306" s="5"/>
      <c r="DB306" s="5"/>
      <c r="DC306" s="5"/>
      <c r="DD306" s="5"/>
      <c r="DE306" s="5"/>
      <c r="DF306" s="5"/>
    </row>
    <row r="307" spans="1:110" s="105" customFormat="1" ht="33" customHeight="1" x14ac:dyDescent="0.25">
      <c r="A307" s="237" t="s">
        <v>1351</v>
      </c>
      <c r="B307" s="238"/>
      <c r="C307" s="117"/>
      <c r="D307" s="117"/>
      <c r="E307" s="117"/>
      <c r="F307" s="117"/>
      <c r="G307" s="118"/>
      <c r="H307" s="119"/>
      <c r="I307" s="119"/>
      <c r="J307" s="119"/>
      <c r="K307" s="120"/>
      <c r="L307" s="120"/>
      <c r="M307" s="120"/>
      <c r="N307" s="118"/>
      <c r="O307" s="120"/>
      <c r="P307" s="120"/>
      <c r="Q307" s="121"/>
      <c r="R307" s="123"/>
      <c r="S307" s="121"/>
      <c r="T307" s="119"/>
      <c r="U307" s="122"/>
      <c r="V307" s="123"/>
      <c r="W307" s="116"/>
      <c r="X307" s="58"/>
      <c r="Y307" s="58"/>
      <c r="Z307" s="103">
        <f>SUM(Z286:Z305)</f>
        <v>2742159298.9199996</v>
      </c>
      <c r="AA307" s="103">
        <f t="shared" ref="AA307:BR307" si="81">SUM(AA286:AA305)</f>
        <v>1252409845.2225237</v>
      </c>
      <c r="AB307" s="103">
        <f t="shared" si="81"/>
        <v>1247293178.5525236</v>
      </c>
      <c r="AC307" s="103">
        <f t="shared" si="81"/>
        <v>0</v>
      </c>
      <c r="AD307" s="103">
        <f t="shared" si="81"/>
        <v>0</v>
      </c>
      <c r="AE307" s="103">
        <f t="shared" si="81"/>
        <v>0</v>
      </c>
      <c r="AF307" s="103">
        <f t="shared" si="81"/>
        <v>0</v>
      </c>
      <c r="AG307" s="103">
        <f t="shared" si="81"/>
        <v>0</v>
      </c>
      <c r="AH307" s="103">
        <f t="shared" si="81"/>
        <v>0</v>
      </c>
      <c r="AI307" s="103">
        <f t="shared" si="81"/>
        <v>0</v>
      </c>
      <c r="AJ307" s="103">
        <f t="shared" si="81"/>
        <v>0</v>
      </c>
      <c r="AK307" s="103">
        <f t="shared" si="81"/>
        <v>0</v>
      </c>
      <c r="AL307" s="103">
        <f t="shared" si="81"/>
        <v>0</v>
      </c>
      <c r="AM307" s="103">
        <f t="shared" si="81"/>
        <v>0</v>
      </c>
      <c r="AN307" s="103">
        <f t="shared" si="81"/>
        <v>0</v>
      </c>
      <c r="AO307" s="103">
        <f t="shared" si="81"/>
        <v>0</v>
      </c>
      <c r="AP307" s="103">
        <f t="shared" si="81"/>
        <v>0</v>
      </c>
      <c r="AQ307" s="103">
        <f t="shared" si="81"/>
        <v>0</v>
      </c>
      <c r="AR307" s="103">
        <f t="shared" si="81"/>
        <v>0</v>
      </c>
      <c r="AS307" s="103">
        <f t="shared" si="81"/>
        <v>0</v>
      </c>
      <c r="AT307" s="103">
        <f t="shared" si="81"/>
        <v>0</v>
      </c>
      <c r="AU307" s="103">
        <f t="shared" si="81"/>
        <v>0</v>
      </c>
      <c r="AV307" s="103">
        <f t="shared" si="81"/>
        <v>0</v>
      </c>
      <c r="AW307" s="103">
        <f t="shared" si="81"/>
        <v>0</v>
      </c>
      <c r="AX307" s="103">
        <f t="shared" si="81"/>
        <v>0</v>
      </c>
      <c r="AY307" s="103">
        <f t="shared" si="81"/>
        <v>0</v>
      </c>
      <c r="AZ307" s="103">
        <f t="shared" si="81"/>
        <v>0</v>
      </c>
      <c r="BA307" s="103">
        <f t="shared" si="81"/>
        <v>0</v>
      </c>
      <c r="BB307" s="103">
        <f t="shared" si="81"/>
        <v>0</v>
      </c>
      <c r="BC307" s="103">
        <f t="shared" si="81"/>
        <v>0</v>
      </c>
      <c r="BD307" s="103">
        <f t="shared" si="81"/>
        <v>1047130260.64</v>
      </c>
      <c r="BE307" s="103">
        <f t="shared" si="81"/>
        <v>582042881.81999993</v>
      </c>
      <c r="BF307" s="103">
        <f t="shared" si="81"/>
        <v>580542881.81999993</v>
      </c>
      <c r="BG307" s="103">
        <f t="shared" si="81"/>
        <v>5663266581.4099998</v>
      </c>
      <c r="BH307" s="103">
        <f t="shared" si="81"/>
        <v>4925680654.1514893</v>
      </c>
      <c r="BI307" s="103">
        <f t="shared" si="81"/>
        <v>4744472057.8899994</v>
      </c>
      <c r="BJ307" s="103">
        <f t="shared" si="81"/>
        <v>455357884</v>
      </c>
      <c r="BK307" s="103">
        <f t="shared" si="81"/>
        <v>404367233</v>
      </c>
      <c r="BL307" s="103">
        <f t="shared" si="81"/>
        <v>404367233</v>
      </c>
      <c r="BM307" s="103">
        <f t="shared" si="81"/>
        <v>0</v>
      </c>
      <c r="BN307" s="103">
        <f t="shared" si="81"/>
        <v>0</v>
      </c>
      <c r="BO307" s="103">
        <f t="shared" si="81"/>
        <v>0</v>
      </c>
      <c r="BP307" s="103">
        <f t="shared" si="81"/>
        <v>9907914024.9699993</v>
      </c>
      <c r="BQ307" s="103">
        <f t="shared" si="81"/>
        <v>7164500614.1940145</v>
      </c>
      <c r="BR307" s="103">
        <f t="shared" si="81"/>
        <v>6976675351.2625237</v>
      </c>
      <c r="BS307" s="104"/>
      <c r="BT307" s="5"/>
      <c r="BU307" s="16"/>
      <c r="BV307" s="16"/>
      <c r="BW307" s="16"/>
      <c r="BX307" s="16"/>
      <c r="BY307" s="16"/>
      <c r="BZ307" s="16"/>
      <c r="CA307" s="16"/>
      <c r="CB307" s="16"/>
      <c r="CC307" s="16"/>
      <c r="CD307" s="16"/>
      <c r="CE307" s="16"/>
      <c r="CF307" s="16"/>
      <c r="CG307" s="16"/>
      <c r="CH307" s="16"/>
      <c r="CI307" s="16"/>
      <c r="CJ307" s="16"/>
      <c r="CK307" s="16"/>
      <c r="CL307" s="16"/>
      <c r="CM307" s="16"/>
      <c r="CN307" s="16"/>
      <c r="CO307" s="16"/>
      <c r="CP307" s="16"/>
      <c r="CQ307" s="16"/>
      <c r="CR307" s="16"/>
      <c r="CS307" s="16"/>
      <c r="CT307" s="16"/>
      <c r="CU307" s="16"/>
      <c r="CV307" s="16"/>
      <c r="CW307" s="16"/>
      <c r="CX307" s="16"/>
      <c r="CY307" s="16"/>
      <c r="CZ307" s="16"/>
      <c r="DA307" s="16"/>
      <c r="DB307" s="16"/>
      <c r="DC307" s="16"/>
      <c r="DD307" s="16"/>
      <c r="DE307" s="16"/>
      <c r="DF307" s="16"/>
    </row>
    <row r="308" spans="1:110" ht="33" customHeight="1" x14ac:dyDescent="0.2">
      <c r="A308" s="52" t="s">
        <v>1677</v>
      </c>
      <c r="B308" s="109"/>
      <c r="C308" s="269"/>
      <c r="D308" s="269"/>
      <c r="E308" s="269"/>
      <c r="F308" s="269"/>
      <c r="G308" s="110"/>
      <c r="H308" s="111"/>
      <c r="I308" s="111"/>
      <c r="J308" s="111"/>
      <c r="K308" s="112"/>
      <c r="L308" s="112"/>
      <c r="M308" s="112"/>
      <c r="N308" s="110"/>
      <c r="O308" s="112"/>
      <c r="P308" s="112"/>
      <c r="Q308" s="113"/>
      <c r="R308" s="115"/>
      <c r="S308" s="113"/>
      <c r="T308" s="111"/>
      <c r="U308" s="114"/>
      <c r="V308" s="115"/>
      <c r="W308" s="99"/>
      <c r="X308" s="53"/>
      <c r="Y308" s="53"/>
      <c r="Z308" s="100">
        <f>Z306+Z307</f>
        <v>15575847265.550001</v>
      </c>
      <c r="AA308" s="100">
        <f t="shared" ref="AA308:BR308" si="82">AA306+AA307</f>
        <v>8138110476.1425238</v>
      </c>
      <c r="AB308" s="100">
        <f t="shared" si="82"/>
        <v>8132993809.4725237</v>
      </c>
      <c r="AC308" s="100">
        <f t="shared" si="82"/>
        <v>4387879528.3299999</v>
      </c>
      <c r="AD308" s="100">
        <f t="shared" si="82"/>
        <v>1133578214.1599998</v>
      </c>
      <c r="AE308" s="100">
        <f t="shared" si="82"/>
        <v>1133578214.1599998</v>
      </c>
      <c r="AF308" s="100">
        <f t="shared" si="82"/>
        <v>56108067</v>
      </c>
      <c r="AG308" s="100">
        <f t="shared" si="82"/>
        <v>37529205.509999998</v>
      </c>
      <c r="AH308" s="100">
        <f t="shared" si="82"/>
        <v>37529205.509999998</v>
      </c>
      <c r="AI308" s="100">
        <f t="shared" si="82"/>
        <v>2375738582.6599998</v>
      </c>
      <c r="AJ308" s="100">
        <f t="shared" si="82"/>
        <v>2300367376.7800002</v>
      </c>
      <c r="AK308" s="100">
        <f t="shared" si="82"/>
        <v>2300367376.7800002</v>
      </c>
      <c r="AL308" s="100">
        <f t="shared" si="82"/>
        <v>7620632943.1700001</v>
      </c>
      <c r="AM308" s="100">
        <f t="shared" si="82"/>
        <v>5484034494.96</v>
      </c>
      <c r="AN308" s="100">
        <f t="shared" si="82"/>
        <v>5484034494.96</v>
      </c>
      <c r="AO308" s="100">
        <f t="shared" si="82"/>
        <v>43392723005.519997</v>
      </c>
      <c r="AP308" s="100">
        <f t="shared" si="82"/>
        <v>42321921638.82</v>
      </c>
      <c r="AQ308" s="100">
        <f t="shared" si="82"/>
        <v>42321921638.82</v>
      </c>
      <c r="AR308" s="100">
        <f t="shared" si="82"/>
        <v>137945793424.22</v>
      </c>
      <c r="AS308" s="100">
        <f t="shared" si="82"/>
        <v>136497820334.14999</v>
      </c>
      <c r="AT308" s="100">
        <f t="shared" si="82"/>
        <v>136497820334.14999</v>
      </c>
      <c r="AU308" s="100">
        <f t="shared" si="82"/>
        <v>28315024554</v>
      </c>
      <c r="AV308" s="100">
        <f t="shared" si="82"/>
        <v>28315024554</v>
      </c>
      <c r="AW308" s="100">
        <f t="shared" si="82"/>
        <v>28315024554</v>
      </c>
      <c r="AX308" s="100">
        <f t="shared" si="82"/>
        <v>12544566918.389999</v>
      </c>
      <c r="AY308" s="100">
        <f t="shared" si="82"/>
        <v>10751473890</v>
      </c>
      <c r="AZ308" s="100">
        <f t="shared" si="82"/>
        <v>10751473890</v>
      </c>
      <c r="BA308" s="100">
        <f t="shared" si="82"/>
        <v>2895159641.6800003</v>
      </c>
      <c r="BB308" s="100">
        <f t="shared" si="82"/>
        <v>2895132862</v>
      </c>
      <c r="BC308" s="100">
        <f t="shared" si="82"/>
        <v>2895132862</v>
      </c>
      <c r="BD308" s="100">
        <f t="shared" si="82"/>
        <v>41254504916.039986</v>
      </c>
      <c r="BE308" s="100">
        <f t="shared" si="82"/>
        <v>33858117707.449993</v>
      </c>
      <c r="BF308" s="100">
        <f t="shared" si="82"/>
        <v>33856617707.449993</v>
      </c>
      <c r="BG308" s="100">
        <f t="shared" si="82"/>
        <v>6809696553.4200001</v>
      </c>
      <c r="BH308" s="100">
        <f t="shared" si="82"/>
        <v>5528764852.6614895</v>
      </c>
      <c r="BI308" s="100">
        <f t="shared" si="82"/>
        <v>5347556256.3999996</v>
      </c>
      <c r="BJ308" s="100">
        <f t="shared" si="82"/>
        <v>25569096171.240002</v>
      </c>
      <c r="BK308" s="100">
        <f t="shared" si="82"/>
        <v>15417864369.139999</v>
      </c>
      <c r="BL308" s="100">
        <f t="shared" si="82"/>
        <v>15417864369.139999</v>
      </c>
      <c r="BM308" s="100">
        <f t="shared" si="82"/>
        <v>655606585.65999997</v>
      </c>
      <c r="BN308" s="100">
        <f t="shared" si="82"/>
        <v>550000000</v>
      </c>
      <c r="BO308" s="100">
        <f t="shared" si="82"/>
        <v>550000000</v>
      </c>
      <c r="BP308" s="100">
        <f t="shared" si="82"/>
        <v>329398378156.88007</v>
      </c>
      <c r="BQ308" s="100">
        <f t="shared" si="82"/>
        <v>293229739975.77405</v>
      </c>
      <c r="BR308" s="100">
        <f t="shared" si="82"/>
        <v>293041914712.84253</v>
      </c>
      <c r="BS308" s="101"/>
    </row>
    <row r="309" spans="1:110" x14ac:dyDescent="0.2">
      <c r="AI309" s="2"/>
      <c r="AJ309" s="2"/>
      <c r="AK309" s="2"/>
      <c r="AL309" s="2"/>
      <c r="AM309" s="2"/>
      <c r="AN309" s="2"/>
      <c r="AO309" s="2"/>
      <c r="AP309" s="2"/>
      <c r="AQ309" s="2"/>
      <c r="AX309" s="2"/>
      <c r="AY309" s="2"/>
      <c r="AZ309" s="2"/>
      <c r="BA309" s="2"/>
      <c r="BB309" s="2"/>
      <c r="BC309" s="2"/>
      <c r="BD309" s="2"/>
      <c r="BE309" s="2"/>
      <c r="BF309" s="2"/>
      <c r="BG309" s="2"/>
      <c r="BH309" s="2"/>
      <c r="BI309" s="2"/>
      <c r="BJ309" s="2"/>
      <c r="BK309" s="2"/>
      <c r="BL309" s="2"/>
      <c r="BM309" s="2"/>
      <c r="BN309" s="2"/>
      <c r="BO309" s="2"/>
    </row>
    <row r="310" spans="1:110" x14ac:dyDescent="0.2">
      <c r="AR310" s="1"/>
      <c r="AS310" s="1"/>
      <c r="AT310" s="1"/>
      <c r="AU310" s="1"/>
      <c r="AV310" s="1"/>
      <c r="AW310" s="1"/>
      <c r="BD310" s="1"/>
      <c r="BE310" s="1"/>
      <c r="BF310" s="1"/>
      <c r="BP310" s="1"/>
      <c r="BQ310" s="1"/>
      <c r="BR310" s="1"/>
      <c r="BS310" s="1"/>
    </row>
    <row r="311" spans="1:110" ht="36" customHeight="1" x14ac:dyDescent="0.2">
      <c r="BP311" s="5"/>
      <c r="BQ311" s="5"/>
      <c r="BR311" s="5"/>
    </row>
    <row r="313" spans="1:110" ht="42.75" customHeight="1" x14ac:dyDescent="0.2">
      <c r="Z313" s="391"/>
    </row>
    <row r="314" spans="1:110" x14ac:dyDescent="0.2">
      <c r="Z314" s="27"/>
      <c r="BH314" s="1">
        <f>[1]Recuperado_Hoja1!$J$204</f>
        <v>517196936.83999997</v>
      </c>
      <c r="BM314" s="1">
        <f>BM257+BM312</f>
        <v>0</v>
      </c>
      <c r="BN314" s="1">
        <f>BN257+BN312</f>
        <v>0</v>
      </c>
    </row>
    <row r="315" spans="1:110" x14ac:dyDescent="0.2">
      <c r="BH315" s="1">
        <f>BH314-BH287-BH288</f>
        <v>0</v>
      </c>
    </row>
    <row r="316" spans="1:110" x14ac:dyDescent="0.2">
      <c r="BH316" s="1">
        <v>644995.84000000404</v>
      </c>
    </row>
  </sheetData>
  <mergeCells count="54">
    <mergeCell ref="Y6:Y7"/>
    <mergeCell ref="BJ6:BL6"/>
    <mergeCell ref="BG6:BI6"/>
    <mergeCell ref="BD6:BF6"/>
    <mergeCell ref="BA6:BC6"/>
    <mergeCell ref="AX6:AZ6"/>
    <mergeCell ref="P5:S5"/>
    <mergeCell ref="W5:Y5"/>
    <mergeCell ref="L5:O5"/>
    <mergeCell ref="C5:D5"/>
    <mergeCell ref="E5:F5"/>
    <mergeCell ref="A5:B5"/>
    <mergeCell ref="A6:A7"/>
    <mergeCell ref="B6:B7"/>
    <mergeCell ref="I6:I7"/>
    <mergeCell ref="J6:J7"/>
    <mergeCell ref="C6:C7"/>
    <mergeCell ref="D6:D7"/>
    <mergeCell ref="E6:E7"/>
    <mergeCell ref="F6:F7"/>
    <mergeCell ref="G6:G7"/>
    <mergeCell ref="H6:H7"/>
    <mergeCell ref="BS6:BS7"/>
    <mergeCell ref="G5:K5"/>
    <mergeCell ref="K6:K7"/>
    <mergeCell ref="T5:V5"/>
    <mergeCell ref="T6:T7"/>
    <mergeCell ref="Z5:BO5"/>
    <mergeCell ref="L6:L7"/>
    <mergeCell ref="M6:M7"/>
    <mergeCell ref="N6:N7"/>
    <mergeCell ref="O6:O7"/>
    <mergeCell ref="P6:P7"/>
    <mergeCell ref="Q6:Q7"/>
    <mergeCell ref="R6:R7"/>
    <mergeCell ref="AU6:AW6"/>
    <mergeCell ref="AR6:AT6"/>
    <mergeCell ref="AO6:AQ6"/>
    <mergeCell ref="C1:BQ1"/>
    <mergeCell ref="C3:BQ3"/>
    <mergeCell ref="C2:BQ2"/>
    <mergeCell ref="C4:BQ4"/>
    <mergeCell ref="BP6:BR6"/>
    <mergeCell ref="BM6:BO6"/>
    <mergeCell ref="S6:S7"/>
    <mergeCell ref="U6:U7"/>
    <mergeCell ref="V6:V7"/>
    <mergeCell ref="W6:W7"/>
    <mergeCell ref="Z6:AB6"/>
    <mergeCell ref="AC6:AE6"/>
    <mergeCell ref="AF6:AH6"/>
    <mergeCell ref="AL6:AN6"/>
    <mergeCell ref="AI6:AK6"/>
    <mergeCell ref="X6:X7"/>
  </mergeCells>
  <phoneticPr fontId="9" type="noConversion"/>
  <conditionalFormatting sqref="R201">
    <cfRule type="duplicateValues" dxfId="156" priority="74"/>
  </conditionalFormatting>
  <conditionalFormatting sqref="R209">
    <cfRule type="duplicateValues" dxfId="155" priority="72"/>
  </conditionalFormatting>
  <conditionalFormatting sqref="R209">
    <cfRule type="duplicateValues" dxfId="154" priority="73"/>
  </conditionalFormatting>
  <conditionalFormatting sqref="R216">
    <cfRule type="duplicateValues" dxfId="153" priority="70"/>
  </conditionalFormatting>
  <conditionalFormatting sqref="R216">
    <cfRule type="duplicateValues" dxfId="152" priority="71"/>
  </conditionalFormatting>
  <conditionalFormatting sqref="R73">
    <cfRule type="duplicateValues" dxfId="151" priority="68"/>
  </conditionalFormatting>
  <conditionalFormatting sqref="R90">
    <cfRule type="duplicateValues" dxfId="150" priority="67"/>
  </conditionalFormatting>
  <conditionalFormatting sqref="R91">
    <cfRule type="duplicateValues" dxfId="149" priority="66"/>
  </conditionalFormatting>
  <conditionalFormatting sqref="R191">
    <cfRule type="duplicateValues" dxfId="148" priority="64"/>
  </conditionalFormatting>
  <conditionalFormatting sqref="R191">
    <cfRule type="duplicateValues" dxfId="147" priority="65"/>
  </conditionalFormatting>
  <conditionalFormatting sqref="R93">
    <cfRule type="duplicateValues" dxfId="146" priority="63"/>
  </conditionalFormatting>
  <conditionalFormatting sqref="R94">
    <cfRule type="duplicateValues" dxfId="145" priority="59"/>
  </conditionalFormatting>
  <conditionalFormatting sqref="R94">
    <cfRule type="duplicateValues" dxfId="144" priority="60"/>
  </conditionalFormatting>
  <conditionalFormatting sqref="R94">
    <cfRule type="duplicateValues" dxfId="143" priority="61"/>
  </conditionalFormatting>
  <conditionalFormatting sqref="R98">
    <cfRule type="duplicateValues" dxfId="142" priority="57"/>
  </conditionalFormatting>
  <conditionalFormatting sqref="R98">
    <cfRule type="duplicateValues" dxfId="141" priority="58"/>
  </conditionalFormatting>
  <conditionalFormatting sqref="R99">
    <cfRule type="duplicateValues" dxfId="140" priority="55"/>
  </conditionalFormatting>
  <conditionalFormatting sqref="R99">
    <cfRule type="duplicateValues" dxfId="139" priority="56"/>
  </conditionalFormatting>
  <conditionalFormatting sqref="R100">
    <cfRule type="duplicateValues" dxfId="138" priority="52"/>
  </conditionalFormatting>
  <conditionalFormatting sqref="R100">
    <cfRule type="duplicateValues" dxfId="137" priority="53"/>
  </conditionalFormatting>
  <conditionalFormatting sqref="R105">
    <cfRule type="duplicateValues" dxfId="136" priority="50"/>
  </conditionalFormatting>
  <conditionalFormatting sqref="R105">
    <cfRule type="duplicateValues" dxfId="135" priority="51"/>
  </conditionalFormatting>
  <conditionalFormatting sqref="R106">
    <cfRule type="duplicateValues" dxfId="134" priority="48"/>
  </conditionalFormatting>
  <conditionalFormatting sqref="R106">
    <cfRule type="duplicateValues" dxfId="133" priority="49"/>
  </conditionalFormatting>
  <conditionalFormatting sqref="R107">
    <cfRule type="duplicateValues" dxfId="132" priority="46"/>
  </conditionalFormatting>
  <conditionalFormatting sqref="R107">
    <cfRule type="duplicateValues" dxfId="131" priority="47"/>
  </conditionalFormatting>
  <conditionalFormatting sqref="R108">
    <cfRule type="duplicateValues" dxfId="130" priority="44"/>
  </conditionalFormatting>
  <conditionalFormatting sqref="R108">
    <cfRule type="duplicateValues" dxfId="129" priority="45"/>
  </conditionalFormatting>
  <conditionalFormatting sqref="R217">
    <cfRule type="duplicateValues" dxfId="128" priority="42"/>
  </conditionalFormatting>
  <conditionalFormatting sqref="R217">
    <cfRule type="duplicateValues" dxfId="127" priority="43"/>
  </conditionalFormatting>
  <conditionalFormatting sqref="R92">
    <cfRule type="duplicateValues" dxfId="126" priority="75"/>
  </conditionalFormatting>
  <conditionalFormatting sqref="P73">
    <cfRule type="duplicateValues" dxfId="125" priority="31"/>
  </conditionalFormatting>
  <conditionalFormatting sqref="P90">
    <cfRule type="duplicateValues" dxfId="124" priority="30"/>
  </conditionalFormatting>
  <conditionalFormatting sqref="P91">
    <cfRule type="duplicateValues" dxfId="123" priority="29"/>
  </conditionalFormatting>
  <conditionalFormatting sqref="P92">
    <cfRule type="duplicateValues" dxfId="122" priority="28"/>
  </conditionalFormatting>
  <conditionalFormatting sqref="P93">
    <cfRule type="duplicateValues" dxfId="121" priority="27"/>
  </conditionalFormatting>
  <conditionalFormatting sqref="P94">
    <cfRule type="duplicateValues" dxfId="120" priority="24"/>
  </conditionalFormatting>
  <conditionalFormatting sqref="P94">
    <cfRule type="duplicateValues" dxfId="119" priority="25"/>
  </conditionalFormatting>
  <conditionalFormatting sqref="P94">
    <cfRule type="duplicateValues" dxfId="118" priority="26"/>
  </conditionalFormatting>
  <conditionalFormatting sqref="P98">
    <cfRule type="duplicateValues" dxfId="117" priority="22"/>
  </conditionalFormatting>
  <conditionalFormatting sqref="P98">
    <cfRule type="duplicateValues" dxfId="116" priority="23"/>
  </conditionalFormatting>
  <conditionalFormatting sqref="P99">
    <cfRule type="duplicateValues" dxfId="115" priority="20"/>
  </conditionalFormatting>
  <conditionalFormatting sqref="P99">
    <cfRule type="duplicateValues" dxfId="114" priority="21"/>
  </conditionalFormatting>
  <conditionalFormatting sqref="P100">
    <cfRule type="duplicateValues" dxfId="113" priority="18"/>
  </conditionalFormatting>
  <conditionalFormatting sqref="P100">
    <cfRule type="duplicateValues" dxfId="112" priority="19"/>
  </conditionalFormatting>
  <conditionalFormatting sqref="P105">
    <cfRule type="duplicateValues" dxfId="111" priority="16"/>
  </conditionalFormatting>
  <conditionalFormatting sqref="P105">
    <cfRule type="duplicateValues" dxfId="110" priority="17"/>
  </conditionalFormatting>
  <conditionalFormatting sqref="P106">
    <cfRule type="duplicateValues" dxfId="109" priority="14"/>
  </conditionalFormatting>
  <conditionalFormatting sqref="P106">
    <cfRule type="duplicateValues" dxfId="108" priority="15"/>
  </conditionalFormatting>
  <conditionalFormatting sqref="P107">
    <cfRule type="duplicateValues" dxfId="107" priority="12"/>
  </conditionalFormatting>
  <conditionalFormatting sqref="P107">
    <cfRule type="duplicateValues" dxfId="106" priority="13"/>
  </conditionalFormatting>
  <conditionalFormatting sqref="P108">
    <cfRule type="duplicateValues" dxfId="105" priority="10"/>
  </conditionalFormatting>
  <conditionalFormatting sqref="P108">
    <cfRule type="duplicateValues" dxfId="104" priority="11"/>
  </conditionalFormatting>
  <conditionalFormatting sqref="P191">
    <cfRule type="duplicateValues" dxfId="103" priority="8"/>
  </conditionalFormatting>
  <conditionalFormatting sqref="P191">
    <cfRule type="duplicateValues" dxfId="102" priority="9"/>
  </conditionalFormatting>
  <conditionalFormatting sqref="P201">
    <cfRule type="duplicateValues" dxfId="101" priority="7"/>
  </conditionalFormatting>
  <conditionalFormatting sqref="P209">
    <cfRule type="duplicateValues" dxfId="100" priority="5"/>
  </conditionalFormatting>
  <conditionalFormatting sqref="P209">
    <cfRule type="duplicateValues" dxfId="99" priority="6"/>
  </conditionalFormatting>
  <conditionalFormatting sqref="P216">
    <cfRule type="duplicateValues" dxfId="98" priority="3"/>
  </conditionalFormatting>
  <conditionalFormatting sqref="P216">
    <cfRule type="duplicateValues" dxfId="97" priority="4"/>
  </conditionalFormatting>
  <conditionalFormatting sqref="P217">
    <cfRule type="duplicateValues" dxfId="96" priority="1"/>
  </conditionalFormatting>
  <conditionalFormatting sqref="P217">
    <cfRule type="duplicateValues" dxfId="95" priority="2"/>
  </conditionalFormatting>
  <pageMargins left="0.7" right="0.7" top="0.75" bottom="0.75" header="0.3" footer="0.3"/>
  <pageSetup orientation="portrait" horizontalDpi="360" verticalDpi="360" r:id="rId1"/>
  <ignoredErrors>
    <ignoredError sqref="R35 R29 N29 N43 N44 R74 R75:R76 R77:R80 R81:R82 R90:R93 R100 R101:R102 R103 R104 R105:R106 R110:R111 R120 R121:R123 R124:R126 N198:N200 R199:R200 R44 R84 R98:R99 R95:R96" numberStoredAsText="1"/>
  </ignoredErrors>
  <drawing r:id="rId2"/>
  <legacyDrawing r:id="rId3"/>
  <controls>
    <mc:AlternateContent xmlns:mc="http://schemas.openxmlformats.org/markup-compatibility/2006">
      <mc:Choice Requires="x14">
        <control shapeId="1032" r:id="rId4" name="Control 8">
          <controlPr defaultSize="0" r:id="rId5">
            <anchor moveWithCells="1">
              <from>
                <xdr:col>63</xdr:col>
                <xdr:colOff>1819275</xdr:colOff>
                <xdr:row>304</xdr:row>
                <xdr:rowOff>180975</xdr:rowOff>
              </from>
              <to>
                <xdr:col>64</xdr:col>
                <xdr:colOff>190500</xdr:colOff>
                <xdr:row>304</xdr:row>
                <xdr:rowOff>514350</xdr:rowOff>
              </to>
            </anchor>
          </controlPr>
        </control>
      </mc:Choice>
      <mc:Fallback>
        <control shapeId="1032" r:id="rId4" name="Control 8"/>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I191"/>
  <sheetViews>
    <sheetView showGridLines="0" zoomScale="70" zoomScaleNormal="70" workbookViewId="0">
      <selection sqref="A1:G3"/>
    </sheetView>
  </sheetViews>
  <sheetFormatPr baseColWidth="10" defaultColWidth="11.42578125" defaultRowHeight="15" x14ac:dyDescent="0.2"/>
  <cols>
    <col min="1" max="1" width="18.5703125" style="9" customWidth="1"/>
    <col min="2" max="2" width="13.85546875" style="9" customWidth="1"/>
    <col min="3" max="3" width="18.140625" style="9" customWidth="1"/>
    <col min="4" max="4" width="62.85546875" style="10" customWidth="1"/>
    <col min="5" max="5" width="34.42578125" style="10" customWidth="1"/>
    <col min="6" max="6" width="35" style="10" customWidth="1"/>
    <col min="7" max="7" width="34.28515625" style="10" customWidth="1"/>
    <col min="8" max="9" width="11.42578125" style="2"/>
    <col min="10" max="10" width="21.85546875" style="1" bestFit="1" customWidth="1"/>
    <col min="11" max="16384" width="11.42578125" style="1"/>
  </cols>
  <sheetData>
    <row r="1" spans="1:9" ht="26.25" customHeight="1" x14ac:dyDescent="0.2">
      <c r="A1" s="588" t="s">
        <v>1688</v>
      </c>
      <c r="B1" s="588"/>
      <c r="C1" s="588"/>
      <c r="D1" s="588"/>
      <c r="E1" s="588"/>
      <c r="F1" s="588"/>
      <c r="G1" s="589"/>
      <c r="H1" s="185"/>
    </row>
    <row r="2" spans="1:9" ht="26.25" customHeight="1" x14ac:dyDescent="0.2">
      <c r="A2" s="590"/>
      <c r="B2" s="590"/>
      <c r="C2" s="590"/>
      <c r="D2" s="590"/>
      <c r="E2" s="590"/>
      <c r="F2" s="590"/>
      <c r="G2" s="591"/>
      <c r="H2" s="185"/>
    </row>
    <row r="3" spans="1:9" ht="26.25" customHeight="1" x14ac:dyDescent="0.2">
      <c r="A3" s="592"/>
      <c r="B3" s="592"/>
      <c r="C3" s="592"/>
      <c r="D3" s="592"/>
      <c r="E3" s="592"/>
      <c r="F3" s="592"/>
      <c r="G3" s="593"/>
      <c r="H3" s="185"/>
    </row>
    <row r="4" spans="1:9" ht="24.75" customHeight="1" x14ac:dyDescent="0.2">
      <c r="A4" s="21"/>
      <c r="B4" s="22"/>
      <c r="C4" s="22"/>
      <c r="D4" s="22"/>
      <c r="E4" s="22"/>
      <c r="F4" s="22"/>
      <c r="G4" s="22"/>
    </row>
    <row r="5" spans="1:9" s="4" customFormat="1" ht="56.25" customHeight="1" x14ac:dyDescent="0.25">
      <c r="A5" s="594" t="s">
        <v>5</v>
      </c>
      <c r="B5" s="594" t="s">
        <v>6</v>
      </c>
      <c r="C5" s="596" t="s">
        <v>7</v>
      </c>
      <c r="D5" s="596"/>
      <c r="E5" s="587" t="s">
        <v>12</v>
      </c>
      <c r="F5" s="587"/>
      <c r="G5" s="587"/>
      <c r="H5" s="3"/>
      <c r="I5" s="3"/>
    </row>
    <row r="6" spans="1:9" ht="24" customHeight="1" x14ac:dyDescent="0.2">
      <c r="A6" s="595"/>
      <c r="B6" s="595"/>
      <c r="C6" s="597"/>
      <c r="D6" s="597"/>
      <c r="E6" s="99" t="s">
        <v>1641</v>
      </c>
      <c r="F6" s="99" t="s">
        <v>1490</v>
      </c>
      <c r="G6" s="99" t="s">
        <v>1491</v>
      </c>
    </row>
    <row r="7" spans="1:9" s="6" customFormat="1" ht="24" customHeight="1" x14ac:dyDescent="0.25">
      <c r="A7" s="41" t="s">
        <v>1701</v>
      </c>
      <c r="B7" s="405"/>
      <c r="C7" s="407"/>
      <c r="D7" s="408"/>
      <c r="E7" s="406">
        <f t="shared" ref="E7:G8" si="0">E8</f>
        <v>457524940</v>
      </c>
      <c r="F7" s="406">
        <f t="shared" si="0"/>
        <v>421596834.77999997</v>
      </c>
      <c r="G7" s="406">
        <f t="shared" si="0"/>
        <v>421596834.77999997</v>
      </c>
      <c r="H7" s="5"/>
      <c r="I7" s="5"/>
    </row>
    <row r="8" spans="1:9" s="6" customFormat="1" ht="24" customHeight="1" x14ac:dyDescent="0.25">
      <c r="A8" s="409">
        <v>4</v>
      </c>
      <c r="B8" s="410" t="s">
        <v>37</v>
      </c>
      <c r="C8" s="410"/>
      <c r="D8" s="410"/>
      <c r="E8" s="411">
        <f t="shared" si="0"/>
        <v>457524940</v>
      </c>
      <c r="F8" s="411">
        <f t="shared" si="0"/>
        <v>421596834.77999997</v>
      </c>
      <c r="G8" s="411">
        <f t="shared" si="0"/>
        <v>421596834.77999997</v>
      </c>
      <c r="H8" s="5"/>
      <c r="I8" s="5"/>
    </row>
    <row r="9" spans="1:9" ht="24" customHeight="1" x14ac:dyDescent="0.2">
      <c r="A9" s="178"/>
      <c r="B9" s="412">
        <v>45</v>
      </c>
      <c r="C9" s="413" t="s">
        <v>38</v>
      </c>
      <c r="D9" s="414"/>
      <c r="E9" s="415">
        <f>SUM(E10:E11)</f>
        <v>457524940</v>
      </c>
      <c r="F9" s="415">
        <f>SUM(F10:F11)</f>
        <v>421596834.77999997</v>
      </c>
      <c r="G9" s="415">
        <f>SUM(G10:G11)</f>
        <v>421596834.77999997</v>
      </c>
    </row>
    <row r="10" spans="1:9" ht="70.5" customHeight="1" x14ac:dyDescent="0.2">
      <c r="A10" s="189"/>
      <c r="B10" s="190"/>
      <c r="C10" s="191">
        <v>4599</v>
      </c>
      <c r="D10" s="188" t="s">
        <v>39</v>
      </c>
      <c r="E10" s="192">
        <f>SUM('SGTO POAI VIGENCIA 2021'!BP8:BP10)</f>
        <v>376981574</v>
      </c>
      <c r="F10" s="192">
        <f>SUM('SGTO POAI VIGENCIA 2021'!BQ8:BQ10)</f>
        <v>355164820</v>
      </c>
      <c r="G10" s="192">
        <f>SUM('SGTO POAI VIGENCIA 2021'!BR8:BR10)</f>
        <v>355164820</v>
      </c>
    </row>
    <row r="11" spans="1:9" ht="53.25" customHeight="1" x14ac:dyDescent="0.2">
      <c r="A11" s="193"/>
      <c r="B11" s="194"/>
      <c r="C11" s="195">
        <v>4502</v>
      </c>
      <c r="D11" s="196" t="s">
        <v>60</v>
      </c>
      <c r="E11" s="197">
        <f>'SGTO POAI VIGENCIA 2021'!BD11</f>
        <v>80543366</v>
      </c>
      <c r="F11" s="197">
        <f>'SGTO POAI VIGENCIA 2021'!BE11</f>
        <v>66432014.780000001</v>
      </c>
      <c r="G11" s="197">
        <f>'SGTO POAI VIGENCIA 2021'!BF11</f>
        <v>66432014.780000001</v>
      </c>
    </row>
    <row r="12" spans="1:9" s="36" customFormat="1" ht="15.75" x14ac:dyDescent="0.2">
      <c r="A12" s="177"/>
      <c r="B12" s="177"/>
      <c r="C12" s="177"/>
      <c r="D12" s="183"/>
      <c r="E12" s="183"/>
      <c r="F12" s="183"/>
      <c r="G12" s="183"/>
      <c r="H12" s="31"/>
      <c r="I12" s="31"/>
    </row>
    <row r="13" spans="1:9" s="6" customFormat="1" ht="24" customHeight="1" x14ac:dyDescent="0.25">
      <c r="A13" s="41" t="s">
        <v>69</v>
      </c>
      <c r="B13" s="405"/>
      <c r="C13" s="407"/>
      <c r="D13" s="408"/>
      <c r="E13" s="406">
        <f t="shared" ref="E13:G14" si="1">E14</f>
        <v>910965833</v>
      </c>
      <c r="F13" s="406">
        <f t="shared" si="1"/>
        <v>877866456</v>
      </c>
      <c r="G13" s="406">
        <f>G14</f>
        <v>877866456</v>
      </c>
      <c r="H13" s="5"/>
      <c r="I13" s="5"/>
    </row>
    <row r="14" spans="1:9" ht="24" customHeight="1" x14ac:dyDescent="0.2">
      <c r="A14" s="52">
        <v>4</v>
      </c>
      <c r="B14" s="436" t="s">
        <v>37</v>
      </c>
      <c r="C14" s="437"/>
      <c r="D14" s="438"/>
      <c r="E14" s="439">
        <f t="shared" si="1"/>
        <v>910965833</v>
      </c>
      <c r="F14" s="439">
        <f t="shared" si="1"/>
        <v>877866456</v>
      </c>
      <c r="G14" s="439">
        <f t="shared" si="1"/>
        <v>877866456</v>
      </c>
    </row>
    <row r="15" spans="1:9" ht="24" customHeight="1" x14ac:dyDescent="0.2">
      <c r="A15" s="178"/>
      <c r="B15" s="412">
        <v>45</v>
      </c>
      <c r="C15" s="413" t="s">
        <v>38</v>
      </c>
      <c r="D15" s="414"/>
      <c r="E15" s="416">
        <f>SUM(E16:E17)</f>
        <v>910965833</v>
      </c>
      <c r="F15" s="416">
        <f>SUM(F16:F17)</f>
        <v>877866456</v>
      </c>
      <c r="G15" s="416">
        <f>SUM(G16:G17)</f>
        <v>877866456</v>
      </c>
    </row>
    <row r="16" spans="1:9" s="27" customFormat="1" ht="56.25" customHeight="1" x14ac:dyDescent="0.2">
      <c r="A16" s="198"/>
      <c r="B16" s="199"/>
      <c r="C16" s="191">
        <v>4502</v>
      </c>
      <c r="D16" s="188" t="s">
        <v>60</v>
      </c>
      <c r="E16" s="192">
        <f>'SGTO POAI VIGENCIA 2021'!BD12+'SGTO POAI VIGENCIA 2021'!BD13</f>
        <v>125525000</v>
      </c>
      <c r="F16" s="192">
        <f>'SGTO POAI VIGENCIA 2021'!BE12+'SGTO POAI VIGENCIA 2021'!BE13</f>
        <v>102033467</v>
      </c>
      <c r="G16" s="192">
        <f>'SGTO POAI VIGENCIA 2021'!BF12+'SGTO POAI VIGENCIA 2021'!BF13</f>
        <v>102033467</v>
      </c>
    </row>
    <row r="17" spans="1:9" s="27" customFormat="1" ht="56.25" customHeight="1" x14ac:dyDescent="0.2">
      <c r="A17" s="184"/>
      <c r="B17" s="200"/>
      <c r="C17" s="191">
        <v>4599</v>
      </c>
      <c r="D17" s="188" t="s">
        <v>39</v>
      </c>
      <c r="E17" s="192">
        <f>'SGTO POAI VIGENCIA 2021'!BD14+'SGTO POAI VIGENCIA 2021'!BD15+'SGTO POAI VIGENCIA 2021'!BD16+'SGTO POAI VIGENCIA 2021'!BD17+'SGTO POAI VIGENCIA 2021'!BD18+'SGTO POAI VIGENCIA 2021'!BD19+'SGTO POAI VIGENCIA 2021'!BD20+'SGTO POAI VIGENCIA 2021'!BD21+'SGTO POAI VIGENCIA 2021'!BD22+'SGTO POAI VIGENCIA 2021'!BD23</f>
        <v>785440833</v>
      </c>
      <c r="F17" s="192">
        <f>'SGTO POAI VIGENCIA 2021'!BE14+'SGTO POAI VIGENCIA 2021'!BE15+'SGTO POAI VIGENCIA 2021'!BE16+'SGTO POAI VIGENCIA 2021'!BE17+'SGTO POAI VIGENCIA 2021'!BE18+'SGTO POAI VIGENCIA 2021'!BE19+'SGTO POAI VIGENCIA 2021'!BE20+'SGTO POAI VIGENCIA 2021'!BE21+'SGTO POAI VIGENCIA 2021'!BE22+'SGTO POAI VIGENCIA 2021'!BE23</f>
        <v>775832989</v>
      </c>
      <c r="G17" s="192">
        <f>'SGTO POAI VIGENCIA 2021'!BF14+'SGTO POAI VIGENCIA 2021'!BF15+'SGTO POAI VIGENCIA 2021'!BF16+'SGTO POAI VIGENCIA 2021'!BF17+'SGTO POAI VIGENCIA 2021'!BF18+'SGTO POAI VIGENCIA 2021'!BF19+'SGTO POAI VIGENCIA 2021'!BF20+'SGTO POAI VIGENCIA 2021'!BF21+'SGTO POAI VIGENCIA 2021'!BF22+'SGTO POAI VIGENCIA 2021'!BF23</f>
        <v>775832989</v>
      </c>
    </row>
    <row r="18" spans="1:9" ht="18" customHeight="1" x14ac:dyDescent="0.2">
      <c r="A18" s="93"/>
      <c r="B18" s="93"/>
      <c r="C18" s="93"/>
      <c r="D18" s="94"/>
      <c r="E18" s="94"/>
      <c r="F18" s="94"/>
      <c r="G18" s="94"/>
    </row>
    <row r="19" spans="1:9" ht="24" customHeight="1" x14ac:dyDescent="0.2">
      <c r="A19" s="41" t="s">
        <v>1354</v>
      </c>
      <c r="B19" s="405"/>
      <c r="C19" s="407"/>
      <c r="D19" s="408"/>
      <c r="E19" s="406">
        <f>E20</f>
        <v>2801625342.8400002</v>
      </c>
      <c r="F19" s="406">
        <f t="shared" ref="F19:G21" si="2">F20</f>
        <v>2189284618.6800003</v>
      </c>
      <c r="G19" s="406">
        <f t="shared" si="2"/>
        <v>2189284618.6800003</v>
      </c>
    </row>
    <row r="20" spans="1:9" ht="24" customHeight="1" x14ac:dyDescent="0.2">
      <c r="A20" s="440">
        <v>4</v>
      </c>
      <c r="B20" s="410" t="s">
        <v>37</v>
      </c>
      <c r="C20" s="410"/>
      <c r="D20" s="410"/>
      <c r="E20" s="411">
        <f>E21</f>
        <v>2801625342.8400002</v>
      </c>
      <c r="F20" s="411">
        <f t="shared" si="2"/>
        <v>2189284618.6800003</v>
      </c>
      <c r="G20" s="411">
        <f t="shared" si="2"/>
        <v>2189284618.6800003</v>
      </c>
    </row>
    <row r="21" spans="1:9" ht="24" customHeight="1" x14ac:dyDescent="0.2">
      <c r="A21" s="178"/>
      <c r="B21" s="412">
        <v>45</v>
      </c>
      <c r="C21" s="413" t="s">
        <v>38</v>
      </c>
      <c r="D21" s="414"/>
      <c r="E21" s="415">
        <f>E22</f>
        <v>2801625342.8400002</v>
      </c>
      <c r="F21" s="415">
        <f t="shared" si="2"/>
        <v>2189284618.6800003</v>
      </c>
      <c r="G21" s="415">
        <f t="shared" si="2"/>
        <v>2189284618.6800003</v>
      </c>
    </row>
    <row r="22" spans="1:9" ht="70.5" customHeight="1" x14ac:dyDescent="0.2">
      <c r="A22" s="194"/>
      <c r="B22" s="201"/>
      <c r="C22" s="56">
        <v>4599</v>
      </c>
      <c r="D22" s="188" t="s">
        <v>39</v>
      </c>
      <c r="E22" s="192">
        <f>'SGTO POAI VIGENCIA 2021'!BP24+'SGTO POAI VIGENCIA 2021'!BP25</f>
        <v>2801625342.8400002</v>
      </c>
      <c r="F22" s="192">
        <f>'SGTO POAI VIGENCIA 2021'!BQ24+'SGTO POAI VIGENCIA 2021'!BQ25</f>
        <v>2189284618.6800003</v>
      </c>
      <c r="G22" s="192">
        <f>'SGTO POAI VIGENCIA 2021'!BR24+'SGTO POAI VIGENCIA 2021'!BR25</f>
        <v>2189284618.6800003</v>
      </c>
    </row>
    <row r="23" spans="1:9" s="7" customFormat="1" x14ac:dyDescent="0.2">
      <c r="A23" s="93"/>
      <c r="B23" s="93"/>
      <c r="C23" s="93"/>
      <c r="D23" s="94"/>
      <c r="E23" s="174"/>
      <c r="F23" s="174"/>
      <c r="G23" s="174"/>
      <c r="H23" s="14"/>
      <c r="I23" s="14"/>
    </row>
    <row r="24" spans="1:9" ht="24" customHeight="1" x14ac:dyDescent="0.2">
      <c r="A24" s="41" t="s">
        <v>135</v>
      </c>
      <c r="B24" s="405"/>
      <c r="C24" s="407"/>
      <c r="D24" s="408"/>
      <c r="E24" s="406">
        <f>E25+E39+E47+E36</f>
        <v>19845352105.279999</v>
      </c>
      <c r="F24" s="406">
        <f>F25+F39+F47+F36</f>
        <v>4976127086.9700003</v>
      </c>
      <c r="G24" s="406">
        <f>G25+G39+G47+G36</f>
        <v>4976127086.9700003</v>
      </c>
    </row>
    <row r="25" spans="1:9" ht="24" customHeight="1" x14ac:dyDescent="0.2">
      <c r="A25" s="440">
        <v>1</v>
      </c>
      <c r="B25" s="410" t="s">
        <v>1625</v>
      </c>
      <c r="C25" s="440"/>
      <c r="D25" s="410"/>
      <c r="E25" s="411">
        <f>E26+E28+E30+E32+E34</f>
        <v>5121480408.5</v>
      </c>
      <c r="F25" s="411">
        <f>F26+F28+F30+F32+F34</f>
        <v>953586461.50999999</v>
      </c>
      <c r="G25" s="411">
        <f>G26+G28+G30+G32+G34</f>
        <v>953586461.50999999</v>
      </c>
    </row>
    <row r="26" spans="1:9" ht="24" customHeight="1" x14ac:dyDescent="0.2">
      <c r="A26" s="178"/>
      <c r="B26" s="417">
        <v>12</v>
      </c>
      <c r="C26" s="413" t="s">
        <v>137</v>
      </c>
      <c r="D26" s="414"/>
      <c r="E26" s="415">
        <f>E27</f>
        <v>24750000</v>
      </c>
      <c r="F26" s="415">
        <f>F27</f>
        <v>22616827</v>
      </c>
      <c r="G26" s="415">
        <f>G27</f>
        <v>22616827</v>
      </c>
    </row>
    <row r="27" spans="1:9" ht="61.5" customHeight="1" x14ac:dyDescent="0.2">
      <c r="A27" s="202"/>
      <c r="B27" s="201"/>
      <c r="C27" s="44">
        <v>1202</v>
      </c>
      <c r="D27" s="188" t="s">
        <v>138</v>
      </c>
      <c r="E27" s="192">
        <f>'SGTO POAI VIGENCIA 2021'!BP26</f>
        <v>24750000</v>
      </c>
      <c r="F27" s="192">
        <f>'SGTO POAI VIGENCIA 2021'!BQ26</f>
        <v>22616827</v>
      </c>
      <c r="G27" s="192">
        <f>'SGTO POAI VIGENCIA 2021'!BR26</f>
        <v>22616827</v>
      </c>
    </row>
    <row r="28" spans="1:9" ht="24" customHeight="1" x14ac:dyDescent="0.2">
      <c r="A28" s="179"/>
      <c r="B28" s="417">
        <v>19</v>
      </c>
      <c r="C28" s="413" t="s">
        <v>147</v>
      </c>
      <c r="D28" s="414"/>
      <c r="E28" s="415">
        <f>E29</f>
        <v>459746979</v>
      </c>
      <c r="F28" s="415">
        <f>F29</f>
        <v>6880000</v>
      </c>
      <c r="G28" s="415">
        <f>G29</f>
        <v>6880000</v>
      </c>
    </row>
    <row r="29" spans="1:9" ht="55.5" customHeight="1" x14ac:dyDescent="0.2">
      <c r="A29" s="202"/>
      <c r="B29" s="201"/>
      <c r="C29" s="44">
        <v>1906</v>
      </c>
      <c r="D29" s="188" t="s">
        <v>148</v>
      </c>
      <c r="E29" s="192">
        <f>'SGTO POAI VIGENCIA 2021'!BP27</f>
        <v>459746979</v>
      </c>
      <c r="F29" s="192">
        <f>'SGTO POAI VIGENCIA 2021'!BQ27</f>
        <v>6880000</v>
      </c>
      <c r="G29" s="192">
        <f>'SGTO POAI VIGENCIA 2021'!BR27</f>
        <v>6880000</v>
      </c>
    </row>
    <row r="30" spans="1:9" ht="24" customHeight="1" x14ac:dyDescent="0.2">
      <c r="A30" s="179"/>
      <c r="B30" s="417">
        <v>22</v>
      </c>
      <c r="C30" s="418" t="s">
        <v>156</v>
      </c>
      <c r="D30" s="419"/>
      <c r="E30" s="415">
        <f>E31</f>
        <v>1765974462.4000001</v>
      </c>
      <c r="F30" s="415">
        <f>F31</f>
        <v>298522254</v>
      </c>
      <c r="G30" s="415">
        <f>G31</f>
        <v>298522254</v>
      </c>
    </row>
    <row r="31" spans="1:9" ht="80.25" customHeight="1" x14ac:dyDescent="0.2">
      <c r="A31" s="202"/>
      <c r="B31" s="201"/>
      <c r="C31" s="44">
        <v>2201</v>
      </c>
      <c r="D31" s="188" t="s">
        <v>157</v>
      </c>
      <c r="E31" s="192">
        <f>'SGTO POAI VIGENCIA 2021'!BP28</f>
        <v>1765974462.4000001</v>
      </c>
      <c r="F31" s="192">
        <f>'SGTO POAI VIGENCIA 2021'!BQ28</f>
        <v>298522254</v>
      </c>
      <c r="G31" s="192">
        <f>'SGTO POAI VIGENCIA 2021'!BR28</f>
        <v>298522254</v>
      </c>
    </row>
    <row r="32" spans="1:9" ht="24" customHeight="1" x14ac:dyDescent="0.2">
      <c r="A32" s="179"/>
      <c r="B32" s="417">
        <v>33</v>
      </c>
      <c r="C32" s="418" t="s">
        <v>166</v>
      </c>
      <c r="D32" s="419"/>
      <c r="E32" s="415">
        <f>E33</f>
        <v>110104790</v>
      </c>
      <c r="F32" s="415">
        <f>F33</f>
        <v>52387068</v>
      </c>
      <c r="G32" s="415">
        <f>G33</f>
        <v>52387068</v>
      </c>
    </row>
    <row r="33" spans="1:9" ht="63" customHeight="1" x14ac:dyDescent="0.2">
      <c r="A33" s="202"/>
      <c r="B33" s="201"/>
      <c r="C33" s="44">
        <v>3301</v>
      </c>
      <c r="D33" s="188" t="s">
        <v>167</v>
      </c>
      <c r="E33" s="192">
        <f>'SGTO POAI VIGENCIA 2021'!BP29</f>
        <v>110104790</v>
      </c>
      <c r="F33" s="192">
        <f>'SGTO POAI VIGENCIA 2021'!BQ29</f>
        <v>52387068</v>
      </c>
      <c r="G33" s="192">
        <f>'SGTO POAI VIGENCIA 2021'!BR29</f>
        <v>52387068</v>
      </c>
    </row>
    <row r="34" spans="1:9" ht="24" customHeight="1" x14ac:dyDescent="0.2">
      <c r="A34" s="179"/>
      <c r="B34" s="417">
        <v>43</v>
      </c>
      <c r="C34" s="413" t="s">
        <v>176</v>
      </c>
      <c r="D34" s="413"/>
      <c r="E34" s="415">
        <f>E35</f>
        <v>2760904177.1000004</v>
      </c>
      <c r="F34" s="415">
        <f>F35</f>
        <v>573180312.50999999</v>
      </c>
      <c r="G34" s="415">
        <f>G35</f>
        <v>573180312.50999999</v>
      </c>
    </row>
    <row r="35" spans="1:9" ht="65.25" customHeight="1" x14ac:dyDescent="0.2">
      <c r="A35" s="194"/>
      <c r="B35" s="201"/>
      <c r="C35" s="44">
        <v>4301</v>
      </c>
      <c r="D35" s="188" t="s">
        <v>177</v>
      </c>
      <c r="E35" s="192">
        <f>'SGTO POAI VIGENCIA 2021'!BP30</f>
        <v>2760904177.1000004</v>
      </c>
      <c r="F35" s="192">
        <f>'SGTO POAI VIGENCIA 2021'!BQ30</f>
        <v>573180312.50999999</v>
      </c>
      <c r="G35" s="192">
        <f>'SGTO POAI VIGENCIA 2021'!BR30</f>
        <v>573180312.50999999</v>
      </c>
      <c r="H35" s="1"/>
      <c r="I35" s="1"/>
    </row>
    <row r="36" spans="1:9" ht="30" customHeight="1" x14ac:dyDescent="0.2">
      <c r="A36" s="446">
        <v>2</v>
      </c>
      <c r="B36" s="52" t="s">
        <v>400</v>
      </c>
      <c r="C36" s="410"/>
      <c r="D36" s="410"/>
      <c r="E36" s="411">
        <f t="shared" ref="E36:G37" si="3">E37</f>
        <v>1</v>
      </c>
      <c r="F36" s="411">
        <f t="shared" si="3"/>
        <v>0</v>
      </c>
      <c r="G36" s="411">
        <f t="shared" si="3"/>
        <v>0</v>
      </c>
      <c r="H36" s="1"/>
      <c r="I36" s="1"/>
    </row>
    <row r="37" spans="1:9" ht="27.75" customHeight="1" x14ac:dyDescent="0.2">
      <c r="A37" s="55"/>
      <c r="B37" s="420">
        <v>35</v>
      </c>
      <c r="C37" s="413" t="s">
        <v>401</v>
      </c>
      <c r="D37" s="419"/>
      <c r="E37" s="415">
        <f t="shared" si="3"/>
        <v>1</v>
      </c>
      <c r="F37" s="415">
        <f t="shared" si="3"/>
        <v>0</v>
      </c>
      <c r="G37" s="415">
        <f t="shared" si="3"/>
        <v>0</v>
      </c>
      <c r="H37" s="1"/>
      <c r="I37" s="1"/>
    </row>
    <row r="38" spans="1:9" ht="65.25" customHeight="1" x14ac:dyDescent="0.2">
      <c r="A38" s="186"/>
      <c r="B38" s="186"/>
      <c r="C38" s="44">
        <v>3502</v>
      </c>
      <c r="D38" s="249" t="s">
        <v>1680</v>
      </c>
      <c r="E38" s="192">
        <f>'SGTO POAI VIGENCIA 2021'!BP31</f>
        <v>1</v>
      </c>
      <c r="F38" s="192">
        <f>'SGTO POAI VIGENCIA 2021'!BQ31</f>
        <v>0</v>
      </c>
      <c r="G38" s="192">
        <f>'SGTO POAI VIGENCIA 2021'!BR31</f>
        <v>0</v>
      </c>
      <c r="H38" s="1"/>
      <c r="I38" s="1"/>
    </row>
    <row r="39" spans="1:9" ht="24" customHeight="1" x14ac:dyDescent="0.2">
      <c r="A39" s="446">
        <v>3</v>
      </c>
      <c r="B39" s="52" t="s">
        <v>186</v>
      </c>
      <c r="C39" s="410"/>
      <c r="D39" s="410"/>
      <c r="E39" s="411">
        <f>E40+E42+E44</f>
        <v>14473875296.780001</v>
      </c>
      <c r="F39" s="411">
        <f>F40+F42+F44</f>
        <v>3858585858.79</v>
      </c>
      <c r="G39" s="411">
        <f>G40+G42+G44</f>
        <v>3858585858.79</v>
      </c>
      <c r="H39" s="1"/>
      <c r="I39" s="1"/>
    </row>
    <row r="40" spans="1:9" ht="24" customHeight="1" x14ac:dyDescent="0.2">
      <c r="A40" s="55"/>
      <c r="B40" s="420">
        <v>24</v>
      </c>
      <c r="C40" s="421" t="s">
        <v>187</v>
      </c>
      <c r="D40" s="419"/>
      <c r="E40" s="415">
        <f>E41</f>
        <v>8590607588</v>
      </c>
      <c r="F40" s="415">
        <f>F41</f>
        <v>369431670</v>
      </c>
      <c r="G40" s="415">
        <f>G41</f>
        <v>369431670</v>
      </c>
    </row>
    <row r="41" spans="1:9" ht="59.25" customHeight="1" x14ac:dyDescent="0.2">
      <c r="A41" s="186"/>
      <c r="B41" s="186"/>
      <c r="C41" s="44">
        <v>2402</v>
      </c>
      <c r="D41" s="188" t="s">
        <v>188</v>
      </c>
      <c r="E41" s="192">
        <f>SUM('SGTO POAI VIGENCIA 2021'!BP32:BP34)</f>
        <v>8590607588</v>
      </c>
      <c r="F41" s="192">
        <f>SUM('SGTO POAI VIGENCIA 2021'!BQ32:BQ34)</f>
        <v>369431670</v>
      </c>
      <c r="G41" s="192">
        <f>SUM('SGTO POAI VIGENCIA 2021'!BR32:BR34)</f>
        <v>369431670</v>
      </c>
      <c r="H41" s="1"/>
      <c r="I41" s="1"/>
    </row>
    <row r="42" spans="1:9" ht="24" customHeight="1" x14ac:dyDescent="0.2">
      <c r="A42" s="55"/>
      <c r="B42" s="422">
        <v>32</v>
      </c>
      <c r="C42" s="413" t="s">
        <v>207</v>
      </c>
      <c r="D42" s="413"/>
      <c r="E42" s="415">
        <f>E43</f>
        <v>2263108067</v>
      </c>
      <c r="F42" s="415">
        <f>F43</f>
        <v>432461075.78999996</v>
      </c>
      <c r="G42" s="415">
        <f>G43</f>
        <v>432461075.78999996</v>
      </c>
    </row>
    <row r="43" spans="1:9" ht="54.75" customHeight="1" x14ac:dyDescent="0.2">
      <c r="A43" s="186"/>
      <c r="B43" s="186"/>
      <c r="C43" s="44">
        <v>3205</v>
      </c>
      <c r="D43" s="188" t="s">
        <v>208</v>
      </c>
      <c r="E43" s="192">
        <f>SUM('SGTO POAI VIGENCIA 2021'!BP35:BP36)</f>
        <v>2263108067</v>
      </c>
      <c r="F43" s="192">
        <f>SUM('SGTO POAI VIGENCIA 2021'!BQ35:BQ36)</f>
        <v>432461075.78999996</v>
      </c>
      <c r="G43" s="192">
        <f>SUM('SGTO POAI VIGENCIA 2021'!BR35:BR36)</f>
        <v>432461075.78999996</v>
      </c>
      <c r="H43" s="1"/>
      <c r="I43" s="1"/>
    </row>
    <row r="44" spans="1:9" ht="24" customHeight="1" x14ac:dyDescent="0.2">
      <c r="A44" s="55"/>
      <c r="B44" s="422">
        <v>40</v>
      </c>
      <c r="C44" s="413" t="s">
        <v>221</v>
      </c>
      <c r="D44" s="419"/>
      <c r="E44" s="415">
        <f>SUM(E45:E46)</f>
        <v>3620159641.7800002</v>
      </c>
      <c r="F44" s="415">
        <f>SUM(F45:F46)</f>
        <v>3056693113</v>
      </c>
      <c r="G44" s="415">
        <f>SUM(G45:G46)</f>
        <v>3056693113</v>
      </c>
    </row>
    <row r="45" spans="1:9" ht="48.75" customHeight="1" x14ac:dyDescent="0.2">
      <c r="A45" s="186"/>
      <c r="B45" s="186"/>
      <c r="C45" s="44">
        <v>4001</v>
      </c>
      <c r="D45" s="188" t="s">
        <v>222</v>
      </c>
      <c r="E45" s="192">
        <f>'SGTO POAI VIGENCIA 2021'!BP37</f>
        <v>120000000.09999999</v>
      </c>
      <c r="F45" s="192">
        <f>'SGTO POAI VIGENCIA 2021'!BQ37</f>
        <v>0</v>
      </c>
      <c r="G45" s="192">
        <f>'SGTO POAI VIGENCIA 2021'!BR37</f>
        <v>0</v>
      </c>
      <c r="H45" s="1"/>
      <c r="I45" s="1"/>
    </row>
    <row r="46" spans="1:9" ht="59.25" customHeight="1" x14ac:dyDescent="0.2">
      <c r="A46" s="186"/>
      <c r="B46" s="186"/>
      <c r="C46" s="44">
        <v>4003</v>
      </c>
      <c r="D46" s="188" t="s">
        <v>230</v>
      </c>
      <c r="E46" s="192">
        <f>SUM('SGTO POAI VIGENCIA 2021'!BP38:BP43)</f>
        <v>3500159641.6800003</v>
      </c>
      <c r="F46" s="192">
        <f>SUM('SGTO POAI VIGENCIA 2021'!BQ38:BQ43)</f>
        <v>3056693113</v>
      </c>
      <c r="G46" s="192">
        <f>SUM('SGTO POAI VIGENCIA 2021'!BR38:BR43)</f>
        <v>3056693113</v>
      </c>
      <c r="H46" s="1"/>
      <c r="I46" s="1"/>
    </row>
    <row r="47" spans="1:9" ht="24" customHeight="1" x14ac:dyDescent="0.2">
      <c r="A47" s="445">
        <v>4</v>
      </c>
      <c r="B47" s="410" t="s">
        <v>37</v>
      </c>
      <c r="C47" s="410"/>
      <c r="D47" s="410"/>
      <c r="E47" s="411">
        <f>E48</f>
        <v>249996399</v>
      </c>
      <c r="F47" s="411">
        <f>F48</f>
        <v>163954766.67000002</v>
      </c>
      <c r="G47" s="411">
        <f>G48</f>
        <v>163954766.67000002</v>
      </c>
      <c r="H47" s="1"/>
      <c r="I47" s="1"/>
    </row>
    <row r="48" spans="1:9" ht="24" customHeight="1" x14ac:dyDescent="0.2">
      <c r="A48" s="55"/>
      <c r="B48" s="422">
        <v>45</v>
      </c>
      <c r="C48" s="413" t="s">
        <v>38</v>
      </c>
      <c r="D48" s="414"/>
      <c r="E48" s="415">
        <f>SUM(E49:E50)</f>
        <v>249996399</v>
      </c>
      <c r="F48" s="415">
        <f>SUM(F49:F50)</f>
        <v>163954766.67000002</v>
      </c>
      <c r="G48" s="415">
        <f>SUM(G49:G50)</f>
        <v>163954766.67000002</v>
      </c>
    </row>
    <row r="49" spans="1:9" ht="66" customHeight="1" x14ac:dyDescent="0.2">
      <c r="A49" s="186"/>
      <c r="B49" s="186"/>
      <c r="C49" s="44">
        <v>4599</v>
      </c>
      <c r="D49" s="188" t="s">
        <v>39</v>
      </c>
      <c r="E49" s="192">
        <f>'SGTO POAI VIGENCIA 2021'!BP44</f>
        <v>218394939</v>
      </c>
      <c r="F49" s="192">
        <f>'SGTO POAI VIGENCIA 2021'!BQ44</f>
        <v>132461956</v>
      </c>
      <c r="G49" s="192">
        <f>'SGTO POAI VIGENCIA 2021'!BR44</f>
        <v>132461956</v>
      </c>
      <c r="H49" s="1"/>
      <c r="I49" s="1"/>
    </row>
    <row r="50" spans="1:9" ht="53.25" customHeight="1" x14ac:dyDescent="0.2">
      <c r="A50" s="186"/>
      <c r="B50" s="186"/>
      <c r="C50" s="44">
        <v>4502</v>
      </c>
      <c r="D50" s="188" t="s">
        <v>60</v>
      </c>
      <c r="E50" s="192">
        <f>'SGTO POAI VIGENCIA 2021'!BP45</f>
        <v>31601460</v>
      </c>
      <c r="F50" s="192">
        <f>'SGTO POAI VIGENCIA 2021'!BQ45</f>
        <v>31492810.670000002</v>
      </c>
      <c r="G50" s="192">
        <f>'SGTO POAI VIGENCIA 2021'!BR45</f>
        <v>31492810.670000002</v>
      </c>
    </row>
    <row r="51" spans="1:9" s="7" customFormat="1" x14ac:dyDescent="0.2">
      <c r="A51" s="93"/>
      <c r="B51" s="93"/>
      <c r="C51" s="93"/>
      <c r="D51" s="94"/>
      <c r="E51" s="174"/>
      <c r="F51" s="174"/>
      <c r="G51" s="174"/>
      <c r="H51" s="14"/>
      <c r="I51" s="14"/>
    </row>
    <row r="52" spans="1:9" ht="24" customHeight="1" x14ac:dyDescent="0.2">
      <c r="A52" s="41" t="s">
        <v>261</v>
      </c>
      <c r="B52" s="405"/>
      <c r="C52" s="407"/>
      <c r="D52" s="408"/>
      <c r="E52" s="406">
        <f>E53+E65+E70</f>
        <v>6443722008.3299999</v>
      </c>
      <c r="F52" s="406">
        <f>F53+F65+F70</f>
        <v>2583294879.1700001</v>
      </c>
      <c r="G52" s="406">
        <f>G53+G65+G70</f>
        <v>2583294879.1700001</v>
      </c>
    </row>
    <row r="53" spans="1:9" ht="24" customHeight="1" x14ac:dyDescent="0.2">
      <c r="A53" s="444">
        <v>1</v>
      </c>
      <c r="B53" s="410" t="s">
        <v>136</v>
      </c>
      <c r="C53" s="410"/>
      <c r="D53" s="410"/>
      <c r="E53" s="411">
        <f>E54+E58+E60+E63</f>
        <v>5280930171.3299999</v>
      </c>
      <c r="F53" s="411">
        <f>F54+F58+F60+F63</f>
        <v>1851559831.1099999</v>
      </c>
      <c r="G53" s="411">
        <f>G54+G58+G60+G63</f>
        <v>1851559831.1099999</v>
      </c>
    </row>
    <row r="54" spans="1:9" ht="24" customHeight="1" x14ac:dyDescent="0.2">
      <c r="A54" s="180"/>
      <c r="B54" s="412">
        <v>12</v>
      </c>
      <c r="C54" s="413" t="s">
        <v>137</v>
      </c>
      <c r="D54" s="413"/>
      <c r="E54" s="415">
        <f>SUM(E55:E57)</f>
        <v>232578401</v>
      </c>
      <c r="F54" s="415">
        <f>SUM(F55:F57)</f>
        <v>204899055</v>
      </c>
      <c r="G54" s="415">
        <f>SUM(G55:G57)</f>
        <v>204899055</v>
      </c>
    </row>
    <row r="55" spans="1:9" ht="34.5" customHeight="1" x14ac:dyDescent="0.2">
      <c r="A55" s="203"/>
      <c r="B55" s="190"/>
      <c r="C55" s="73">
        <v>1202</v>
      </c>
      <c r="D55" s="188" t="s">
        <v>138</v>
      </c>
      <c r="E55" s="192">
        <f>'SGTO POAI VIGENCIA 2021'!BP46</f>
        <v>135355000</v>
      </c>
      <c r="F55" s="192">
        <f>'SGTO POAI VIGENCIA 2021'!BQ46</f>
        <v>129803000</v>
      </c>
      <c r="G55" s="192">
        <f>'SGTO POAI VIGENCIA 2021'!BR46</f>
        <v>129803000</v>
      </c>
    </row>
    <row r="56" spans="1:9" ht="36.75" customHeight="1" x14ac:dyDescent="0.2">
      <c r="A56" s="203"/>
      <c r="B56" s="202"/>
      <c r="C56" s="73">
        <v>1203</v>
      </c>
      <c r="D56" s="188" t="s">
        <v>265</v>
      </c>
      <c r="E56" s="192">
        <f>'SGTO POAI VIGENCIA 2021'!BP47</f>
        <v>67223401</v>
      </c>
      <c r="F56" s="192">
        <f>'SGTO POAI VIGENCIA 2021'!BQ47</f>
        <v>65096055</v>
      </c>
      <c r="G56" s="192">
        <f>'SGTO POAI VIGENCIA 2021'!BR47</f>
        <v>65096055</v>
      </c>
    </row>
    <row r="57" spans="1:9" ht="60" customHeight="1" x14ac:dyDescent="0.2">
      <c r="A57" s="203"/>
      <c r="B57" s="194"/>
      <c r="C57" s="73">
        <v>1206</v>
      </c>
      <c r="D57" s="188" t="s">
        <v>271</v>
      </c>
      <c r="E57" s="192">
        <f>'SGTO POAI VIGENCIA 2021'!BP48</f>
        <v>30000000</v>
      </c>
      <c r="F57" s="192">
        <f>'SGTO POAI VIGENCIA 2021'!BQ48</f>
        <v>10000000</v>
      </c>
      <c r="G57" s="192">
        <f>'SGTO POAI VIGENCIA 2021'!BR48</f>
        <v>10000000</v>
      </c>
    </row>
    <row r="58" spans="1:9" ht="24" customHeight="1" x14ac:dyDescent="0.2">
      <c r="A58" s="181"/>
      <c r="B58" s="423">
        <v>22</v>
      </c>
      <c r="C58" s="418" t="s">
        <v>156</v>
      </c>
      <c r="D58" s="419"/>
      <c r="E58" s="415">
        <f>E59</f>
        <v>74287500</v>
      </c>
      <c r="F58" s="415">
        <f>F59</f>
        <v>61854666</v>
      </c>
      <c r="G58" s="415">
        <f>G59</f>
        <v>61854666</v>
      </c>
    </row>
    <row r="59" spans="1:9" ht="62.25" customHeight="1" x14ac:dyDescent="0.2">
      <c r="A59" s="204"/>
      <c r="B59" s="201"/>
      <c r="C59" s="44">
        <v>2201</v>
      </c>
      <c r="D59" s="188" t="s">
        <v>277</v>
      </c>
      <c r="E59" s="192">
        <f>'SGTO POAI VIGENCIA 2021'!BP49</f>
        <v>74287500</v>
      </c>
      <c r="F59" s="192">
        <f>'SGTO POAI VIGENCIA 2021'!BQ49</f>
        <v>61854666</v>
      </c>
      <c r="G59" s="192">
        <f>'SGTO POAI VIGENCIA 2021'!BR49</f>
        <v>61854666</v>
      </c>
    </row>
    <row r="60" spans="1:9" ht="24" customHeight="1" x14ac:dyDescent="0.2">
      <c r="A60" s="205"/>
      <c r="B60" s="412">
        <v>41</v>
      </c>
      <c r="C60" s="413" t="s">
        <v>284</v>
      </c>
      <c r="D60" s="424"/>
      <c r="E60" s="425">
        <f>SUM(E61:E62)</f>
        <v>536684742</v>
      </c>
      <c r="F60" s="425">
        <f>SUM(F61:F62)</f>
        <v>404311396.94999999</v>
      </c>
      <c r="G60" s="425">
        <f>SUM(G61:G62)</f>
        <v>404311396.94999999</v>
      </c>
    </row>
    <row r="61" spans="1:9" ht="44.25" customHeight="1" x14ac:dyDescent="0.2">
      <c r="A61" s="203"/>
      <c r="B61" s="190"/>
      <c r="C61" s="73">
        <v>4101</v>
      </c>
      <c r="D61" s="188" t="s">
        <v>285</v>
      </c>
      <c r="E61" s="192">
        <f>SUM('SGTO POAI VIGENCIA 2021'!BP50:BP54)</f>
        <v>502657113</v>
      </c>
      <c r="F61" s="192">
        <f>SUM('SGTO POAI VIGENCIA 2021'!BQ50:BQ54)</f>
        <v>388019267.94999999</v>
      </c>
      <c r="G61" s="192">
        <f>SUM('SGTO POAI VIGENCIA 2021'!BR50:BR54)</f>
        <v>388019267.94999999</v>
      </c>
    </row>
    <row r="62" spans="1:9" ht="57" customHeight="1" x14ac:dyDescent="0.2">
      <c r="A62" s="203"/>
      <c r="B62" s="194"/>
      <c r="C62" s="73">
        <v>4103</v>
      </c>
      <c r="D62" s="188" t="s">
        <v>302</v>
      </c>
      <c r="E62" s="192">
        <f>'SGTO POAI VIGENCIA 2021'!BP55</f>
        <v>34027629</v>
      </c>
      <c r="F62" s="192">
        <f>'SGTO POAI VIGENCIA 2021'!BQ55</f>
        <v>16292129</v>
      </c>
      <c r="G62" s="192">
        <f>'SGTO POAI VIGENCIA 2021'!BR55</f>
        <v>16292129</v>
      </c>
      <c r="H62" s="1"/>
      <c r="I62" s="1"/>
    </row>
    <row r="63" spans="1:9" ht="24" customHeight="1" x14ac:dyDescent="0.2">
      <c r="A63" s="181"/>
      <c r="B63" s="423">
        <v>45</v>
      </c>
      <c r="C63" s="413" t="s">
        <v>38</v>
      </c>
      <c r="D63" s="414"/>
      <c r="E63" s="415">
        <f>E64</f>
        <v>4437379528.3299999</v>
      </c>
      <c r="F63" s="415">
        <f>F64</f>
        <v>1180494713.1599998</v>
      </c>
      <c r="G63" s="415">
        <f>G64</f>
        <v>1180494713.1599998</v>
      </c>
    </row>
    <row r="64" spans="1:9" ht="53.25" customHeight="1" x14ac:dyDescent="0.2">
      <c r="A64" s="206"/>
      <c r="B64" s="201"/>
      <c r="C64" s="44">
        <v>4501</v>
      </c>
      <c r="D64" s="188" t="s">
        <v>311</v>
      </c>
      <c r="E64" s="192">
        <f>SUM('SGTO POAI VIGENCIA 2021'!BP56:BP57)</f>
        <v>4437379528.3299999</v>
      </c>
      <c r="F64" s="192">
        <f>SUM('SGTO POAI VIGENCIA 2021'!BQ56:BQ57)</f>
        <v>1180494713.1599998</v>
      </c>
      <c r="G64" s="192">
        <f>SUM('SGTO POAI VIGENCIA 2021'!BR56:BR57)</f>
        <v>1180494713.1599998</v>
      </c>
      <c r="H64" s="1"/>
      <c r="I64" s="1"/>
    </row>
    <row r="65" spans="1:9" ht="24" customHeight="1" x14ac:dyDescent="0.2">
      <c r="A65" s="409">
        <v>3</v>
      </c>
      <c r="B65" s="410" t="s">
        <v>186</v>
      </c>
      <c r="C65" s="410"/>
      <c r="D65" s="410"/>
      <c r="E65" s="411">
        <f>E66+E68</f>
        <v>772165104</v>
      </c>
      <c r="F65" s="411">
        <f>F66+F68</f>
        <v>391704056.06</v>
      </c>
      <c r="G65" s="411">
        <f>G66+G68</f>
        <v>391704056.06</v>
      </c>
      <c r="H65" s="1"/>
      <c r="I65" s="1"/>
    </row>
    <row r="66" spans="1:9" ht="24" customHeight="1" x14ac:dyDescent="0.2">
      <c r="A66" s="178"/>
      <c r="B66" s="417">
        <v>32</v>
      </c>
      <c r="C66" s="413" t="s">
        <v>207</v>
      </c>
      <c r="D66" s="413"/>
      <c r="E66" s="415">
        <f>E67</f>
        <v>243850000</v>
      </c>
      <c r="F66" s="415">
        <f>F67</f>
        <v>100601333</v>
      </c>
      <c r="G66" s="415">
        <f>G67</f>
        <v>100601333</v>
      </c>
    </row>
    <row r="67" spans="1:9" s="27" customFormat="1" ht="46.5" customHeight="1" x14ac:dyDescent="0.2">
      <c r="A67" s="198"/>
      <c r="B67" s="73"/>
      <c r="C67" s="44">
        <v>3205</v>
      </c>
      <c r="D67" s="188" t="s">
        <v>208</v>
      </c>
      <c r="E67" s="192">
        <f>'SGTO POAI VIGENCIA 2021'!BP58</f>
        <v>243850000</v>
      </c>
      <c r="F67" s="192">
        <f>'SGTO POAI VIGENCIA 2021'!BQ58</f>
        <v>100601333</v>
      </c>
      <c r="G67" s="192">
        <f>'SGTO POAI VIGENCIA 2021'!BR58</f>
        <v>100601333</v>
      </c>
    </row>
    <row r="68" spans="1:9" ht="24" customHeight="1" x14ac:dyDescent="0.2">
      <c r="A68" s="179"/>
      <c r="B68" s="417">
        <v>45</v>
      </c>
      <c r="C68" s="413" t="s">
        <v>38</v>
      </c>
      <c r="D68" s="414"/>
      <c r="E68" s="415">
        <f>E69</f>
        <v>528315104</v>
      </c>
      <c r="F68" s="415">
        <f>F69</f>
        <v>291102723.06</v>
      </c>
      <c r="G68" s="415">
        <f>G69</f>
        <v>291102723.06</v>
      </c>
    </row>
    <row r="69" spans="1:9" s="27" customFormat="1" ht="44.25" customHeight="1" x14ac:dyDescent="0.2">
      <c r="A69" s="184"/>
      <c r="B69" s="73"/>
      <c r="C69" s="44">
        <v>4503</v>
      </c>
      <c r="D69" s="188" t="s">
        <v>1476</v>
      </c>
      <c r="E69" s="192">
        <f>SUM('SGTO POAI VIGENCIA 2021'!BP59:BP61)</f>
        <v>528315104</v>
      </c>
      <c r="F69" s="192">
        <f>SUM('SGTO POAI VIGENCIA 2021'!BQ59:BQ61)</f>
        <v>291102723.06</v>
      </c>
      <c r="G69" s="192">
        <f>SUM('SGTO POAI VIGENCIA 2021'!BR59:BR61)</f>
        <v>291102723.06</v>
      </c>
    </row>
    <row r="70" spans="1:9" ht="24" customHeight="1" x14ac:dyDescent="0.2">
      <c r="A70" s="409">
        <v>4</v>
      </c>
      <c r="B70" s="410" t="s">
        <v>37</v>
      </c>
      <c r="C70" s="410"/>
      <c r="D70" s="443"/>
      <c r="E70" s="411">
        <f t="shared" ref="E70:G71" si="4">E71</f>
        <v>390626733</v>
      </c>
      <c r="F70" s="411">
        <f t="shared" si="4"/>
        <v>340030992</v>
      </c>
      <c r="G70" s="411">
        <f t="shared" si="4"/>
        <v>340030992</v>
      </c>
      <c r="H70" s="1"/>
      <c r="I70" s="1"/>
    </row>
    <row r="71" spans="1:9" ht="24" customHeight="1" x14ac:dyDescent="0.2">
      <c r="A71" s="178"/>
      <c r="B71" s="417">
        <v>45</v>
      </c>
      <c r="C71" s="413" t="s">
        <v>38</v>
      </c>
      <c r="D71" s="426"/>
      <c r="E71" s="415">
        <f t="shared" si="4"/>
        <v>390626733</v>
      </c>
      <c r="F71" s="415">
        <f t="shared" si="4"/>
        <v>340030992</v>
      </c>
      <c r="G71" s="415">
        <f t="shared" si="4"/>
        <v>340030992</v>
      </c>
    </row>
    <row r="72" spans="1:9" s="27" customFormat="1" ht="54.75" customHeight="1" x14ac:dyDescent="0.2">
      <c r="A72" s="184"/>
      <c r="B72" s="73"/>
      <c r="C72" s="44">
        <v>4502</v>
      </c>
      <c r="D72" s="188" t="s">
        <v>60</v>
      </c>
      <c r="E72" s="124">
        <f>SUM('SGTO POAI VIGENCIA 2021'!BP62:BP66)</f>
        <v>390626733</v>
      </c>
      <c r="F72" s="124">
        <f>SUM('SGTO POAI VIGENCIA 2021'!BQ62:BQ66)</f>
        <v>340030992</v>
      </c>
      <c r="G72" s="124">
        <f>SUM('SGTO POAI VIGENCIA 2021'!BR62:BR66)</f>
        <v>340030992</v>
      </c>
    </row>
    <row r="73" spans="1:9" s="7" customFormat="1" x14ac:dyDescent="0.2">
      <c r="A73" s="93"/>
      <c r="B73" s="93"/>
      <c r="C73" s="93"/>
      <c r="D73" s="94"/>
      <c r="E73" s="174"/>
      <c r="F73" s="174"/>
      <c r="G73" s="174"/>
      <c r="H73" s="14"/>
      <c r="I73" s="14"/>
    </row>
    <row r="74" spans="1:9" ht="24" customHeight="1" x14ac:dyDescent="0.2">
      <c r="A74" s="41" t="s">
        <v>359</v>
      </c>
      <c r="B74" s="405"/>
      <c r="C74" s="407"/>
      <c r="D74" s="408"/>
      <c r="E74" s="406">
        <f>E75</f>
        <v>3988607319.3199997</v>
      </c>
      <c r="F74" s="406">
        <f t="shared" ref="E74:G75" si="5">F75</f>
        <v>3398905453.8099999</v>
      </c>
      <c r="G74" s="406">
        <f t="shared" si="5"/>
        <v>3398905453.8099999</v>
      </c>
      <c r="H74" s="1"/>
      <c r="I74" s="1"/>
    </row>
    <row r="75" spans="1:9" ht="24" customHeight="1" x14ac:dyDescent="0.2">
      <c r="A75" s="440">
        <v>1</v>
      </c>
      <c r="B75" s="410" t="s">
        <v>136</v>
      </c>
      <c r="C75" s="410"/>
      <c r="D75" s="410"/>
      <c r="E75" s="411">
        <f t="shared" si="5"/>
        <v>3988607319.3199997</v>
      </c>
      <c r="F75" s="411">
        <f t="shared" si="5"/>
        <v>3398905453.8099999</v>
      </c>
      <c r="G75" s="411">
        <f t="shared" si="5"/>
        <v>3398905453.8099999</v>
      </c>
      <c r="H75" s="1"/>
      <c r="I75" s="1"/>
    </row>
    <row r="76" spans="1:9" ht="24" customHeight="1" x14ac:dyDescent="0.2">
      <c r="A76" s="178"/>
      <c r="B76" s="412">
        <v>33</v>
      </c>
      <c r="C76" s="418" t="s">
        <v>166</v>
      </c>
      <c r="D76" s="419"/>
      <c r="E76" s="415">
        <f>SUM(E77:E78)</f>
        <v>3988607319.3199997</v>
      </c>
      <c r="F76" s="415">
        <f>SUM(F77:F78)</f>
        <v>3398905453.8099999</v>
      </c>
      <c r="G76" s="415">
        <f>SUM(G77:G78)</f>
        <v>3398905453.8099999</v>
      </c>
    </row>
    <row r="77" spans="1:9" s="27" customFormat="1" ht="46.5" customHeight="1" x14ac:dyDescent="0.2">
      <c r="A77" s="207"/>
      <c r="B77" s="208"/>
      <c r="C77" s="73">
        <v>3301</v>
      </c>
      <c r="D77" s="188" t="s">
        <v>167</v>
      </c>
      <c r="E77" s="192">
        <f>SUM('SGTO POAI VIGENCIA 2021'!BP67:BP74)</f>
        <v>3714409083.0199995</v>
      </c>
      <c r="F77" s="192">
        <f>SUM('SGTO POAI VIGENCIA 2021'!BQ67:BQ74)</f>
        <v>3138561985.8099999</v>
      </c>
      <c r="G77" s="192">
        <f>SUM('SGTO POAI VIGENCIA 2021'!BR67:BR74)</f>
        <v>3138561985.8099999</v>
      </c>
    </row>
    <row r="78" spans="1:9" s="27" customFormat="1" ht="51" customHeight="1" x14ac:dyDescent="0.2">
      <c r="A78" s="209"/>
      <c r="B78" s="184"/>
      <c r="C78" s="73">
        <v>3302</v>
      </c>
      <c r="D78" s="188" t="s">
        <v>389</v>
      </c>
      <c r="E78" s="124">
        <f>SUM('SGTO POAI VIGENCIA 2021'!BP75:BP76)</f>
        <v>274198236.30000001</v>
      </c>
      <c r="F78" s="124">
        <f>SUM('SGTO POAI VIGENCIA 2021'!BQ75:BQ76)</f>
        <v>260343468</v>
      </c>
      <c r="G78" s="124">
        <f>SUM('SGTO POAI VIGENCIA 2021'!BR75:BR76)</f>
        <v>260343468</v>
      </c>
    </row>
    <row r="79" spans="1:9" s="7" customFormat="1" x14ac:dyDescent="0.2">
      <c r="A79" s="93"/>
      <c r="B79" s="93"/>
      <c r="C79" s="93"/>
      <c r="D79" s="94"/>
      <c r="E79" s="174"/>
      <c r="F79" s="174"/>
      <c r="G79" s="174"/>
      <c r="H79" s="14"/>
      <c r="I79" s="14"/>
    </row>
    <row r="80" spans="1:9" ht="24" customHeight="1" x14ac:dyDescent="0.2">
      <c r="A80" s="41" t="s">
        <v>399</v>
      </c>
      <c r="B80" s="405"/>
      <c r="C80" s="407"/>
      <c r="D80" s="408"/>
      <c r="E80" s="406">
        <f>E81</f>
        <v>3556587709.6100001</v>
      </c>
      <c r="F80" s="406">
        <f>F81</f>
        <v>2928955045.5100002</v>
      </c>
      <c r="G80" s="406">
        <f>G81</f>
        <v>2928955045.5100002</v>
      </c>
      <c r="H80" s="1"/>
      <c r="I80" s="1"/>
    </row>
    <row r="81" spans="1:9" ht="24" customHeight="1" x14ac:dyDescent="0.2">
      <c r="A81" s="442">
        <v>2</v>
      </c>
      <c r="B81" s="410" t="s">
        <v>400</v>
      </c>
      <c r="C81" s="410"/>
      <c r="D81" s="410"/>
      <c r="E81" s="411">
        <f>E82+E84</f>
        <v>3556587709.6100001</v>
      </c>
      <c r="F81" s="411">
        <f>F82+F84</f>
        <v>2928955045.5100002</v>
      </c>
      <c r="G81" s="411">
        <f>G82+G84</f>
        <v>2928955045.5100002</v>
      </c>
      <c r="H81" s="1"/>
      <c r="I81" s="1"/>
    </row>
    <row r="82" spans="1:9" ht="24" customHeight="1" x14ac:dyDescent="0.2">
      <c r="A82" s="178"/>
      <c r="B82" s="417">
        <v>35</v>
      </c>
      <c r="C82" s="413" t="s">
        <v>401</v>
      </c>
      <c r="D82" s="414"/>
      <c r="E82" s="415">
        <f>E83</f>
        <v>3319087709.6100001</v>
      </c>
      <c r="F82" s="415">
        <f>F83</f>
        <v>2702437594.5100002</v>
      </c>
      <c r="G82" s="415">
        <f>G83</f>
        <v>2702437594.5100002</v>
      </c>
    </row>
    <row r="83" spans="1:9" s="27" customFormat="1" ht="53.25" customHeight="1" x14ac:dyDescent="0.2">
      <c r="A83" s="198"/>
      <c r="B83" s="73"/>
      <c r="C83" s="56">
        <v>3502</v>
      </c>
      <c r="D83" s="188" t="s">
        <v>402</v>
      </c>
      <c r="E83" s="192">
        <f>SUM('SGTO POAI VIGENCIA 2021'!BP77:BP84)</f>
        <v>3319087709.6100001</v>
      </c>
      <c r="F83" s="192">
        <f>SUM('SGTO POAI VIGENCIA 2021'!BQ77:BQ84)</f>
        <v>2702437594.5100002</v>
      </c>
      <c r="G83" s="192">
        <f>SUM('SGTO POAI VIGENCIA 2021'!BR77:BR84)</f>
        <v>2702437594.5100002</v>
      </c>
    </row>
    <row r="84" spans="1:9" ht="24" customHeight="1" x14ac:dyDescent="0.2">
      <c r="A84" s="179"/>
      <c r="B84" s="417">
        <v>36</v>
      </c>
      <c r="C84" s="418" t="s">
        <v>433</v>
      </c>
      <c r="D84" s="419"/>
      <c r="E84" s="415">
        <f>E85</f>
        <v>237500000</v>
      </c>
      <c r="F84" s="415">
        <f>F85</f>
        <v>226517451</v>
      </c>
      <c r="G84" s="415">
        <f>G85</f>
        <v>226517451</v>
      </c>
    </row>
    <row r="85" spans="1:9" s="27" customFormat="1" ht="53.25" customHeight="1" x14ac:dyDescent="0.2">
      <c r="A85" s="184"/>
      <c r="B85" s="73"/>
      <c r="C85" s="56">
        <v>3602</v>
      </c>
      <c r="D85" s="188" t="s">
        <v>434</v>
      </c>
      <c r="E85" s="192">
        <f>SUM('SGTO POAI VIGENCIA 2021'!BP85:BP88)</f>
        <v>237500000</v>
      </c>
      <c r="F85" s="192">
        <f>SUM('SGTO POAI VIGENCIA 2021'!BQ85:BQ88)</f>
        <v>226517451</v>
      </c>
      <c r="G85" s="192">
        <f>SUM('SGTO POAI VIGENCIA 2021'!BR85:BR88)</f>
        <v>226517451</v>
      </c>
    </row>
    <row r="86" spans="1:9" s="7" customFormat="1" x14ac:dyDescent="0.2">
      <c r="A86" s="93"/>
      <c r="B86" s="93"/>
      <c r="C86" s="93"/>
      <c r="D86" s="94"/>
      <c r="E86" s="174"/>
      <c r="F86" s="174"/>
      <c r="G86" s="174"/>
      <c r="H86" s="14"/>
      <c r="I86" s="14"/>
    </row>
    <row r="87" spans="1:9" ht="24" customHeight="1" x14ac:dyDescent="0.2">
      <c r="A87" s="41" t="s">
        <v>450</v>
      </c>
      <c r="B87" s="405"/>
      <c r="C87" s="407"/>
      <c r="D87" s="408"/>
      <c r="E87" s="406">
        <f>E88+E99</f>
        <v>3838799887.6300001</v>
      </c>
      <c r="F87" s="406">
        <f>F88+F99</f>
        <v>2309257005.5699997</v>
      </c>
      <c r="G87" s="406">
        <f>G88+G99</f>
        <v>2309257005.5699997</v>
      </c>
    </row>
    <row r="88" spans="1:9" ht="24" customHeight="1" x14ac:dyDescent="0.2">
      <c r="A88" s="440">
        <v>2</v>
      </c>
      <c r="B88" s="410" t="s">
        <v>400</v>
      </c>
      <c r="C88" s="410"/>
      <c r="D88" s="410"/>
      <c r="E88" s="411">
        <f>E89+E97</f>
        <v>2201711999.6300001</v>
      </c>
      <c r="F88" s="411">
        <f>F89+F97</f>
        <v>1701149489</v>
      </c>
      <c r="G88" s="411">
        <f>G89+G97</f>
        <v>1701149489</v>
      </c>
      <c r="H88" s="17"/>
    </row>
    <row r="89" spans="1:9" ht="24" customHeight="1" x14ac:dyDescent="0.2">
      <c r="A89" s="178"/>
      <c r="B89" s="412">
        <v>17</v>
      </c>
      <c r="C89" s="413" t="s">
        <v>451</v>
      </c>
      <c r="D89" s="414"/>
      <c r="E89" s="415">
        <f>SUM(E90:E96)</f>
        <v>2165711999.6300001</v>
      </c>
      <c r="F89" s="415">
        <f>SUM(F90:F96)</f>
        <v>1666954489</v>
      </c>
      <c r="G89" s="415">
        <f>SUM(G90:G96)</f>
        <v>1666954489</v>
      </c>
    </row>
    <row r="90" spans="1:9" ht="57.75" customHeight="1" x14ac:dyDescent="0.2">
      <c r="A90" s="202"/>
      <c r="B90" s="210"/>
      <c r="C90" s="73">
        <v>1702</v>
      </c>
      <c r="D90" s="188" t="s">
        <v>452</v>
      </c>
      <c r="E90" s="192">
        <f>SUM('SGTO POAI VIGENCIA 2021'!BP89:BP99)</f>
        <v>1562901499.6300001</v>
      </c>
      <c r="F90" s="192">
        <f>SUM('SGTO POAI VIGENCIA 2021'!BQ89:BQ99)</f>
        <v>1092284323</v>
      </c>
      <c r="G90" s="192">
        <f>SUM('SGTO POAI VIGENCIA 2021'!BR89:BR99)</f>
        <v>1092284323</v>
      </c>
      <c r="H90" s="17"/>
    </row>
    <row r="91" spans="1:9" ht="54" customHeight="1" x14ac:dyDescent="0.2">
      <c r="A91" s="202"/>
      <c r="B91" s="204"/>
      <c r="C91" s="73">
        <v>1703</v>
      </c>
      <c r="D91" s="188" t="s">
        <v>500</v>
      </c>
      <c r="E91" s="192">
        <f>SUM('SGTO POAI VIGENCIA 2021'!BP100)</f>
        <v>325000000</v>
      </c>
      <c r="F91" s="192">
        <f>SUM('SGTO POAI VIGENCIA 2021'!BQ100)</f>
        <v>324995000</v>
      </c>
      <c r="G91" s="192">
        <f>SUM('SGTO POAI VIGENCIA 2021'!BR100)</f>
        <v>324995000</v>
      </c>
      <c r="H91" s="17"/>
      <c r="I91" s="1"/>
    </row>
    <row r="92" spans="1:9" ht="62.25" customHeight="1" x14ac:dyDescent="0.2">
      <c r="A92" s="202"/>
      <c r="B92" s="204"/>
      <c r="C92" s="73">
        <v>1704</v>
      </c>
      <c r="D92" s="188" t="s">
        <v>507</v>
      </c>
      <c r="E92" s="192">
        <f>SUM('SGTO POAI VIGENCIA 2021'!BP101:BP102)</f>
        <v>69255500</v>
      </c>
      <c r="F92" s="192">
        <f>SUM('SGTO POAI VIGENCIA 2021'!BQ101:BQ102)</f>
        <v>69255166</v>
      </c>
      <c r="G92" s="192">
        <f>SUM('SGTO POAI VIGENCIA 2021'!BR101:BR102)</f>
        <v>69255166</v>
      </c>
      <c r="H92" s="17"/>
      <c r="I92" s="1"/>
    </row>
    <row r="93" spans="1:9" ht="42" customHeight="1" x14ac:dyDescent="0.2">
      <c r="A93" s="202"/>
      <c r="B93" s="204"/>
      <c r="C93" s="73">
        <v>1706</v>
      </c>
      <c r="D93" s="188" t="s">
        <v>516</v>
      </c>
      <c r="E93" s="192">
        <f>'SGTO POAI VIGENCIA 2021'!BP103</f>
        <v>20000000</v>
      </c>
      <c r="F93" s="192">
        <f>'SGTO POAI VIGENCIA 2021'!BQ103</f>
        <v>20000000</v>
      </c>
      <c r="G93" s="192">
        <f>'SGTO POAI VIGENCIA 2021'!BR103</f>
        <v>20000000</v>
      </c>
      <c r="H93" s="17"/>
      <c r="I93" s="1"/>
    </row>
    <row r="94" spans="1:9" ht="57" customHeight="1" x14ac:dyDescent="0.2">
      <c r="A94" s="202"/>
      <c r="B94" s="204"/>
      <c r="C94" s="73">
        <v>1707</v>
      </c>
      <c r="D94" s="188" t="s">
        <v>523</v>
      </c>
      <c r="E94" s="192">
        <f>'SGTO POAI VIGENCIA 2021'!BP104</f>
        <v>43000000</v>
      </c>
      <c r="F94" s="192">
        <f>'SGTO POAI VIGENCIA 2021'!BQ104</f>
        <v>34865000</v>
      </c>
      <c r="G94" s="192">
        <f>'SGTO POAI VIGENCIA 2021'!BR104</f>
        <v>34865000</v>
      </c>
      <c r="H94" s="17"/>
      <c r="I94" s="1"/>
    </row>
    <row r="95" spans="1:9" ht="60.75" customHeight="1" x14ac:dyDescent="0.2">
      <c r="A95" s="202"/>
      <c r="B95" s="204"/>
      <c r="C95" s="73">
        <v>1708</v>
      </c>
      <c r="D95" s="188" t="s">
        <v>530</v>
      </c>
      <c r="E95" s="192">
        <f>SUM('SGTO POAI VIGENCIA 2021'!BP105:BP106)</f>
        <v>37555000</v>
      </c>
      <c r="F95" s="192">
        <f>SUM('SGTO POAI VIGENCIA 2021'!BQ105:BQ106)</f>
        <v>17555000</v>
      </c>
      <c r="G95" s="192">
        <f>SUM('SGTO POAI VIGENCIA 2021'!BR105:BR106)</f>
        <v>17555000</v>
      </c>
      <c r="H95" s="17"/>
    </row>
    <row r="96" spans="1:9" ht="42" customHeight="1" x14ac:dyDescent="0.2">
      <c r="A96" s="202"/>
      <c r="B96" s="206"/>
      <c r="C96" s="73">
        <v>1709</v>
      </c>
      <c r="D96" s="188" t="s">
        <v>539</v>
      </c>
      <c r="E96" s="192">
        <f>SUM('SGTO POAI VIGENCIA 2021'!BP107:BP109)</f>
        <v>108000000</v>
      </c>
      <c r="F96" s="192">
        <f>SUM('SGTO POAI VIGENCIA 2021'!BQ107:BQ109)</f>
        <v>108000000</v>
      </c>
      <c r="G96" s="192">
        <f>SUM('SGTO POAI VIGENCIA 2021'!BR107:BR109)</f>
        <v>108000000</v>
      </c>
      <c r="H96" s="17"/>
    </row>
    <row r="97" spans="1:9" ht="24" customHeight="1" x14ac:dyDescent="0.2">
      <c r="A97" s="179"/>
      <c r="B97" s="423">
        <v>35</v>
      </c>
      <c r="C97" s="413" t="s">
        <v>401</v>
      </c>
      <c r="D97" s="414"/>
      <c r="E97" s="415">
        <f>E98</f>
        <v>36000000</v>
      </c>
      <c r="F97" s="415">
        <f>F98</f>
        <v>34195000</v>
      </c>
      <c r="G97" s="415">
        <f>G98</f>
        <v>34195000</v>
      </c>
    </row>
    <row r="98" spans="1:9" ht="73.5" customHeight="1" x14ac:dyDescent="0.2">
      <c r="A98" s="194"/>
      <c r="B98" s="201"/>
      <c r="C98" s="44">
        <v>3502</v>
      </c>
      <c r="D98" s="188" t="s">
        <v>402</v>
      </c>
      <c r="E98" s="192">
        <f>SUM('SGTO POAI VIGENCIA 2021'!BP110:BP111)</f>
        <v>36000000</v>
      </c>
      <c r="F98" s="192">
        <f>SUM('SGTO POAI VIGENCIA 2021'!BQ110:BQ111)</f>
        <v>34195000</v>
      </c>
      <c r="G98" s="192">
        <f>SUM('SGTO POAI VIGENCIA 2021'!BR110:BR111)</f>
        <v>34195000</v>
      </c>
      <c r="H98" s="17"/>
    </row>
    <row r="99" spans="1:9" ht="24" customHeight="1" x14ac:dyDescent="0.2">
      <c r="A99" s="409">
        <v>3</v>
      </c>
      <c r="B99" s="410" t="s">
        <v>186</v>
      </c>
      <c r="C99" s="410"/>
      <c r="D99" s="410"/>
      <c r="E99" s="411">
        <f>E100</f>
        <v>1637087888</v>
      </c>
      <c r="F99" s="411">
        <f>F100</f>
        <v>608107516.56999993</v>
      </c>
      <c r="G99" s="411">
        <f>G100</f>
        <v>608107516.56999993</v>
      </c>
      <c r="H99" s="17"/>
    </row>
    <row r="100" spans="1:9" ht="24" customHeight="1" x14ac:dyDescent="0.2">
      <c r="A100" s="178"/>
      <c r="B100" s="412">
        <v>32</v>
      </c>
      <c r="C100" s="413" t="s">
        <v>207</v>
      </c>
      <c r="D100" s="414"/>
      <c r="E100" s="415">
        <f>SUM(E101:E105)</f>
        <v>1637087888</v>
      </c>
      <c r="F100" s="415">
        <f>SUM(F101:F105)</f>
        <v>608107516.56999993</v>
      </c>
      <c r="G100" s="415">
        <f>SUM(G101:G105)</f>
        <v>608107516.56999993</v>
      </c>
    </row>
    <row r="101" spans="1:9" s="27" customFormat="1" ht="52.5" customHeight="1" x14ac:dyDescent="0.2">
      <c r="A101" s="207"/>
      <c r="B101" s="208"/>
      <c r="C101" s="73" t="s">
        <v>557</v>
      </c>
      <c r="D101" s="188" t="s">
        <v>558</v>
      </c>
      <c r="E101" s="192">
        <f>SUM('SGTO POAI VIGENCIA 2021'!BP112:BP113)</f>
        <v>81456499</v>
      </c>
      <c r="F101" s="192">
        <f>SUM('SGTO POAI VIGENCIA 2021'!BQ112:BQ113)</f>
        <v>81456499</v>
      </c>
      <c r="G101" s="192">
        <f>SUM('SGTO POAI VIGENCIA 2021'!BR112:BR113)</f>
        <v>81456499</v>
      </c>
      <c r="H101" s="18"/>
    </row>
    <row r="102" spans="1:9" s="27" customFormat="1" ht="52.5" customHeight="1" x14ac:dyDescent="0.2">
      <c r="A102" s="207"/>
      <c r="B102" s="198"/>
      <c r="C102" s="73">
        <v>3202</v>
      </c>
      <c r="D102" s="188" t="s">
        <v>568</v>
      </c>
      <c r="E102" s="192">
        <f>SUM('SGTO POAI VIGENCIA 2021'!BP114:BP119)</f>
        <v>1235631389</v>
      </c>
      <c r="F102" s="192">
        <f>SUM('SGTO POAI VIGENCIA 2021'!BQ114:BQ119)</f>
        <v>464280684.56999999</v>
      </c>
      <c r="G102" s="192">
        <f>SUM('SGTO POAI VIGENCIA 2021'!BR114:BR119)</f>
        <v>464280684.56999999</v>
      </c>
      <c r="H102" s="18"/>
    </row>
    <row r="103" spans="1:9" s="27" customFormat="1" ht="52.5" customHeight="1" x14ac:dyDescent="0.2">
      <c r="A103" s="207"/>
      <c r="B103" s="198"/>
      <c r="C103" s="73" t="s">
        <v>598</v>
      </c>
      <c r="D103" s="188" t="s">
        <v>599</v>
      </c>
      <c r="E103" s="192">
        <f>SUM('SGTO POAI VIGENCIA 2021'!BP120)</f>
        <v>120000000</v>
      </c>
      <c r="F103" s="192">
        <f>SUM('SGTO POAI VIGENCIA 2021'!BQ120)</f>
        <v>52835333</v>
      </c>
      <c r="G103" s="192">
        <f>SUM('SGTO POAI VIGENCIA 2021'!BR120)</f>
        <v>52835333</v>
      </c>
      <c r="H103" s="18"/>
    </row>
    <row r="104" spans="1:9" s="27" customFormat="1" ht="52.5" customHeight="1" x14ac:dyDescent="0.2">
      <c r="A104" s="207"/>
      <c r="B104" s="198"/>
      <c r="C104" s="73">
        <v>3205</v>
      </c>
      <c r="D104" s="188" t="s">
        <v>208</v>
      </c>
      <c r="E104" s="192">
        <f>SUM('SGTO POAI VIGENCIA 2021'!BP121:BP123)</f>
        <v>82000000</v>
      </c>
      <c r="F104" s="192">
        <f>SUM('SGTO POAI VIGENCIA 2021'!BQ121:BQ123)</f>
        <v>0</v>
      </c>
      <c r="G104" s="192">
        <f>SUM('SGTO POAI VIGENCIA 2021'!BR121:BR123)</f>
        <v>0</v>
      </c>
      <c r="H104" s="18"/>
    </row>
    <row r="105" spans="1:9" s="27" customFormat="1" ht="52.5" customHeight="1" x14ac:dyDescent="0.2">
      <c r="A105" s="209"/>
      <c r="B105" s="184"/>
      <c r="C105" s="73" t="s">
        <v>617</v>
      </c>
      <c r="D105" s="188" t="s">
        <v>618</v>
      </c>
      <c r="E105" s="192">
        <f>SUM('SGTO POAI VIGENCIA 2021'!BP124:BP126)</f>
        <v>118000000</v>
      </c>
      <c r="F105" s="192">
        <f>SUM('SGTO POAI VIGENCIA 2021'!BQ124:BQ126)</f>
        <v>9535000</v>
      </c>
      <c r="G105" s="192">
        <f>SUM('SGTO POAI VIGENCIA 2021'!BR124:BR126)</f>
        <v>9535000</v>
      </c>
      <c r="H105" s="18"/>
    </row>
    <row r="106" spans="1:9" s="7" customFormat="1" x14ac:dyDescent="0.2">
      <c r="A106" s="93"/>
      <c r="B106" s="93"/>
      <c r="C106" s="93"/>
      <c r="D106" s="94"/>
      <c r="E106" s="174"/>
      <c r="F106" s="174"/>
      <c r="G106" s="174"/>
      <c r="H106" s="14"/>
      <c r="I106" s="14"/>
    </row>
    <row r="107" spans="1:9" ht="24" customHeight="1" x14ac:dyDescent="0.2">
      <c r="A107" s="41" t="s">
        <v>633</v>
      </c>
      <c r="B107" s="405"/>
      <c r="C107" s="407"/>
      <c r="D107" s="408"/>
      <c r="E107" s="406">
        <f t="shared" ref="E107:G108" si="6">E108</f>
        <v>1177000000</v>
      </c>
      <c r="F107" s="406">
        <f t="shared" si="6"/>
        <v>1175258655.9299998</v>
      </c>
      <c r="G107" s="406">
        <f t="shared" si="6"/>
        <v>1175258655.9299998</v>
      </c>
    </row>
    <row r="108" spans="1:9" ht="24" customHeight="1" x14ac:dyDescent="0.2">
      <c r="A108" s="440">
        <v>4</v>
      </c>
      <c r="B108" s="410" t="s">
        <v>37</v>
      </c>
      <c r="C108" s="410"/>
      <c r="D108" s="410"/>
      <c r="E108" s="411">
        <f t="shared" si="6"/>
        <v>1177000000</v>
      </c>
      <c r="F108" s="411">
        <f t="shared" si="6"/>
        <v>1175258655.9299998</v>
      </c>
      <c r="G108" s="411">
        <f t="shared" si="6"/>
        <v>1175258655.9299998</v>
      </c>
    </row>
    <row r="109" spans="1:9" ht="24" customHeight="1" x14ac:dyDescent="0.2">
      <c r="A109" s="178"/>
      <c r="B109" s="412">
        <v>45</v>
      </c>
      <c r="C109" s="413" t="s">
        <v>38</v>
      </c>
      <c r="D109" s="414"/>
      <c r="E109" s="415">
        <f>SUM(E110:E111)</f>
        <v>1177000000</v>
      </c>
      <c r="F109" s="415">
        <f>SUM(F110:F111)</f>
        <v>1175258655.9299998</v>
      </c>
      <c r="G109" s="415">
        <f>SUM(G110:G111)</f>
        <v>1175258655.9299998</v>
      </c>
    </row>
    <row r="110" spans="1:9" s="211" customFormat="1" ht="74.25" customHeight="1" x14ac:dyDescent="0.25">
      <c r="A110" s="207"/>
      <c r="B110" s="208"/>
      <c r="C110" s="73">
        <v>4599</v>
      </c>
      <c r="D110" s="188" t="s">
        <v>634</v>
      </c>
      <c r="E110" s="192">
        <f>SUM('SGTO POAI VIGENCIA 2021'!BP127:BP128)</f>
        <v>1032712500.02</v>
      </c>
      <c r="F110" s="192">
        <f>SUM('SGTO POAI VIGENCIA 2021'!BQ127:BQ128)</f>
        <v>1030971155.9499999</v>
      </c>
      <c r="G110" s="192">
        <f>SUM('SGTO POAI VIGENCIA 2021'!BR127:BR128)</f>
        <v>1030971155.9499999</v>
      </c>
    </row>
    <row r="111" spans="1:9" s="27" customFormat="1" ht="54.75" customHeight="1" x14ac:dyDescent="0.2">
      <c r="A111" s="209"/>
      <c r="B111" s="184"/>
      <c r="C111" s="73">
        <v>4502</v>
      </c>
      <c r="D111" s="188" t="s">
        <v>60</v>
      </c>
      <c r="E111" s="124">
        <f>'SGTO POAI VIGENCIA 2021'!BP129</f>
        <v>144287499.97999999</v>
      </c>
      <c r="F111" s="124">
        <f>'SGTO POAI VIGENCIA 2021'!BQ129</f>
        <v>144287499.97999999</v>
      </c>
      <c r="G111" s="124">
        <f>'SGTO POAI VIGENCIA 2021'!BR129</f>
        <v>144287499.97999999</v>
      </c>
    </row>
    <row r="112" spans="1:9" s="7" customFormat="1" x14ac:dyDescent="0.2">
      <c r="A112" s="93"/>
      <c r="B112" s="93"/>
      <c r="C112" s="93"/>
      <c r="D112" s="94"/>
      <c r="E112" s="174"/>
      <c r="F112" s="174"/>
      <c r="G112" s="174"/>
      <c r="H112" s="14"/>
      <c r="I112" s="14"/>
    </row>
    <row r="113" spans="1:9" ht="24" customHeight="1" x14ac:dyDescent="0.2">
      <c r="A113" s="41" t="s">
        <v>651</v>
      </c>
      <c r="B113" s="405"/>
      <c r="C113" s="407"/>
      <c r="D113" s="408"/>
      <c r="E113" s="406">
        <f>E114+E118</f>
        <v>193197400269.78006</v>
      </c>
      <c r="F113" s="406">
        <f>F114+F118</f>
        <v>188842332007.94998</v>
      </c>
      <c r="G113" s="406">
        <f>G114+G118</f>
        <v>188842332007.94998</v>
      </c>
      <c r="H113" s="1"/>
      <c r="I113" s="1"/>
    </row>
    <row r="114" spans="1:9" ht="24" customHeight="1" x14ac:dyDescent="0.2">
      <c r="A114" s="440">
        <v>1</v>
      </c>
      <c r="B114" s="410" t="s">
        <v>136</v>
      </c>
      <c r="C114" s="410"/>
      <c r="D114" s="410"/>
      <c r="E114" s="411">
        <f>E115</f>
        <v>193189900269.78006</v>
      </c>
      <c r="F114" s="411">
        <f>F115</f>
        <v>188834832007.94998</v>
      </c>
      <c r="G114" s="411">
        <f>G115</f>
        <v>188834832007.94998</v>
      </c>
      <c r="H114" s="1"/>
      <c r="I114" s="1"/>
    </row>
    <row r="115" spans="1:9" ht="24" customHeight="1" x14ac:dyDescent="0.2">
      <c r="A115" s="178"/>
      <c r="B115" s="182">
        <v>22</v>
      </c>
      <c r="C115" s="42" t="s">
        <v>156</v>
      </c>
      <c r="D115" s="92"/>
      <c r="E115" s="98">
        <f>SUM(E116:E117)</f>
        <v>193189900269.78006</v>
      </c>
      <c r="F115" s="98">
        <f>SUM(F116:F117)</f>
        <v>188834832007.94998</v>
      </c>
      <c r="G115" s="98">
        <f>SUM(G116:G117)</f>
        <v>188834832007.94998</v>
      </c>
    </row>
    <row r="116" spans="1:9" s="27" customFormat="1" ht="55.5" customHeight="1" x14ac:dyDescent="0.2">
      <c r="A116" s="198"/>
      <c r="B116" s="199"/>
      <c r="C116" s="191">
        <v>2201</v>
      </c>
      <c r="D116" s="188" t="s">
        <v>277</v>
      </c>
      <c r="E116" s="124">
        <f>SUM('SGTO POAI VIGENCIA 2021'!BP130:BP163)</f>
        <v>192750842017.78006</v>
      </c>
      <c r="F116" s="124">
        <f>SUM('SGTO POAI VIGENCIA 2021'!BQ130:BQ163)</f>
        <v>188402251245.94998</v>
      </c>
      <c r="G116" s="124">
        <f>SUM('SGTO POAI VIGENCIA 2021'!BR130:BR163)</f>
        <v>188402251245.94998</v>
      </c>
    </row>
    <row r="117" spans="1:9" s="27" customFormat="1" ht="55.5" customHeight="1" x14ac:dyDescent="0.2">
      <c r="A117" s="184"/>
      <c r="B117" s="200"/>
      <c r="C117" s="73">
        <v>2202</v>
      </c>
      <c r="D117" s="188" t="s">
        <v>1482</v>
      </c>
      <c r="E117" s="192">
        <f>SUM('SGTO POAI VIGENCIA 2021'!BP164)</f>
        <v>439058252</v>
      </c>
      <c r="F117" s="192">
        <f>SUM('SGTO POAI VIGENCIA 2021'!BQ164)</f>
        <v>432580762</v>
      </c>
      <c r="G117" s="192">
        <f>SUM('SGTO POAI VIGENCIA 2021'!BR164)</f>
        <v>432580762</v>
      </c>
    </row>
    <row r="118" spans="1:9" ht="24" customHeight="1" x14ac:dyDescent="0.2">
      <c r="A118" s="409">
        <v>2</v>
      </c>
      <c r="B118" s="441" t="s">
        <v>400</v>
      </c>
      <c r="C118" s="410"/>
      <c r="D118" s="410"/>
      <c r="E118" s="411">
        <f t="shared" ref="E118:G119" si="7">E119</f>
        <v>7500000</v>
      </c>
      <c r="F118" s="411">
        <f t="shared" si="7"/>
        <v>7500000</v>
      </c>
      <c r="G118" s="411">
        <f t="shared" si="7"/>
        <v>7500000</v>
      </c>
      <c r="H118" s="17"/>
    </row>
    <row r="119" spans="1:9" ht="24" customHeight="1" x14ac:dyDescent="0.2">
      <c r="A119" s="178"/>
      <c r="B119" s="417">
        <v>39</v>
      </c>
      <c r="C119" s="413" t="s">
        <v>1483</v>
      </c>
      <c r="D119" s="413"/>
      <c r="E119" s="415">
        <f t="shared" si="7"/>
        <v>7500000</v>
      </c>
      <c r="F119" s="415">
        <f t="shared" si="7"/>
        <v>7500000</v>
      </c>
      <c r="G119" s="415">
        <f t="shared" si="7"/>
        <v>7500000</v>
      </c>
    </row>
    <row r="120" spans="1:9" s="27" customFormat="1" ht="39.75" customHeight="1" x14ac:dyDescent="0.2">
      <c r="A120" s="184"/>
      <c r="B120" s="73"/>
      <c r="C120" s="44">
        <v>3904</v>
      </c>
      <c r="D120" s="188" t="s">
        <v>759</v>
      </c>
      <c r="E120" s="192">
        <f>'SGTO POAI VIGENCIA 2021'!BP165</f>
        <v>7500000</v>
      </c>
      <c r="F120" s="192">
        <f>'SGTO POAI VIGENCIA 2021'!BQ165</f>
        <v>7500000</v>
      </c>
      <c r="G120" s="192">
        <f>'SGTO POAI VIGENCIA 2021'!BR165</f>
        <v>7500000</v>
      </c>
    </row>
    <row r="121" spans="1:9" s="7" customFormat="1" x14ac:dyDescent="0.2">
      <c r="A121" s="93"/>
      <c r="B121" s="93"/>
      <c r="C121" s="93"/>
      <c r="D121" s="94"/>
      <c r="E121" s="174"/>
      <c r="F121" s="174"/>
      <c r="G121" s="174"/>
      <c r="H121" s="14"/>
      <c r="I121" s="14"/>
    </row>
    <row r="122" spans="1:9" s="7" customFormat="1" ht="24" customHeight="1" x14ac:dyDescent="0.2">
      <c r="A122" s="41" t="s">
        <v>767</v>
      </c>
      <c r="B122" s="405"/>
      <c r="C122" s="407"/>
      <c r="D122" s="408"/>
      <c r="E122" s="406">
        <f>E123+E132+E137</f>
        <v>6915266350.0100002</v>
      </c>
      <c r="F122" s="406">
        <f>F123+F132+F137</f>
        <v>5456827952.6399994</v>
      </c>
      <c r="G122" s="406">
        <f>G123+G132+G137</f>
        <v>5456827952.6399994</v>
      </c>
      <c r="H122" s="14"/>
      <c r="I122" s="14"/>
    </row>
    <row r="123" spans="1:9" s="7" customFormat="1" ht="24" customHeight="1" x14ac:dyDescent="0.2">
      <c r="A123" s="440">
        <v>1</v>
      </c>
      <c r="B123" s="410" t="s">
        <v>136</v>
      </c>
      <c r="C123" s="410"/>
      <c r="D123" s="410"/>
      <c r="E123" s="411">
        <f>E124+E126+E128</f>
        <v>6381976847.0100002</v>
      </c>
      <c r="F123" s="411">
        <f>F124+F126+F128</f>
        <v>4991209544.6399994</v>
      </c>
      <c r="G123" s="411">
        <f>G124+G126+G128</f>
        <v>4991209544.6399994</v>
      </c>
      <c r="H123" s="14"/>
      <c r="I123" s="14"/>
    </row>
    <row r="124" spans="1:9" ht="24" customHeight="1" x14ac:dyDescent="0.2">
      <c r="A124" s="178"/>
      <c r="B124" s="417">
        <v>19</v>
      </c>
      <c r="C124" s="413" t="s">
        <v>147</v>
      </c>
      <c r="D124" s="414"/>
      <c r="E124" s="415">
        <f>E125</f>
        <v>170000000</v>
      </c>
      <c r="F124" s="415">
        <f>F125</f>
        <v>165845884</v>
      </c>
      <c r="G124" s="415">
        <f>G125</f>
        <v>165845884</v>
      </c>
    </row>
    <row r="125" spans="1:9" s="28" customFormat="1" ht="51" customHeight="1" x14ac:dyDescent="0.2">
      <c r="A125" s="198"/>
      <c r="B125" s="73"/>
      <c r="C125" s="44">
        <v>1905</v>
      </c>
      <c r="D125" s="47" t="s">
        <v>768</v>
      </c>
      <c r="E125" s="192">
        <f>SUM('SGTO POAI VIGENCIA 2021'!BP166:BP167)</f>
        <v>170000000</v>
      </c>
      <c r="F125" s="192">
        <f>SUM('SGTO POAI VIGENCIA 2021'!BQ166:BQ167)</f>
        <v>165845884</v>
      </c>
      <c r="G125" s="192">
        <f>SUM('SGTO POAI VIGENCIA 2021'!BR166:BR167)</f>
        <v>165845884</v>
      </c>
    </row>
    <row r="126" spans="1:9" ht="24" customHeight="1" x14ac:dyDescent="0.2">
      <c r="A126" s="179"/>
      <c r="B126" s="417">
        <v>33</v>
      </c>
      <c r="C126" s="418" t="s">
        <v>166</v>
      </c>
      <c r="D126" s="419"/>
      <c r="E126" s="415">
        <f>E127</f>
        <v>14250000</v>
      </c>
      <c r="F126" s="415">
        <f>F127</f>
        <v>14250000</v>
      </c>
      <c r="G126" s="415">
        <f>G127</f>
        <v>14250000</v>
      </c>
    </row>
    <row r="127" spans="1:9" s="28" customFormat="1" ht="51.75" customHeight="1" x14ac:dyDescent="0.2">
      <c r="A127" s="198"/>
      <c r="B127" s="73"/>
      <c r="C127" s="44">
        <v>3301</v>
      </c>
      <c r="D127" s="188" t="s">
        <v>167</v>
      </c>
      <c r="E127" s="192">
        <f>'SGTO POAI VIGENCIA 2021'!BP168</f>
        <v>14250000</v>
      </c>
      <c r="F127" s="192">
        <f>'SGTO POAI VIGENCIA 2021'!BQ168</f>
        <v>14250000</v>
      </c>
      <c r="G127" s="192">
        <f>'SGTO POAI VIGENCIA 2021'!BR168</f>
        <v>14250000</v>
      </c>
    </row>
    <row r="128" spans="1:9" ht="24" customHeight="1" x14ac:dyDescent="0.2">
      <c r="A128" s="179"/>
      <c r="B128" s="412">
        <v>41</v>
      </c>
      <c r="C128" s="413" t="s">
        <v>784</v>
      </c>
      <c r="D128" s="414"/>
      <c r="E128" s="415">
        <f>SUM(E129:E131)</f>
        <v>6197726847.0100002</v>
      </c>
      <c r="F128" s="415">
        <f>SUM(F129:F131)</f>
        <v>4811113660.6399994</v>
      </c>
      <c r="G128" s="415">
        <f>SUM(G129:G131)</f>
        <v>4811113660.6399994</v>
      </c>
    </row>
    <row r="129" spans="1:9" s="28" customFormat="1" ht="53.25" customHeight="1" x14ac:dyDescent="0.2">
      <c r="A129" s="207"/>
      <c r="B129" s="208"/>
      <c r="C129" s="73">
        <v>4102</v>
      </c>
      <c r="D129" s="188" t="s">
        <v>785</v>
      </c>
      <c r="E129" s="192">
        <f>SUM('SGTO POAI VIGENCIA 2021'!BP169:BP178)</f>
        <v>1174562889</v>
      </c>
      <c r="F129" s="192">
        <f>SUM('SGTO POAI VIGENCIA 2021'!BQ169:BQ178)</f>
        <v>1067412570</v>
      </c>
      <c r="G129" s="192">
        <f>SUM('SGTO POAI VIGENCIA 2021'!BR169:BR178)</f>
        <v>1067412570</v>
      </c>
    </row>
    <row r="130" spans="1:9" s="28" customFormat="1" ht="48.75" customHeight="1" x14ac:dyDescent="0.2">
      <c r="A130" s="207"/>
      <c r="B130" s="198"/>
      <c r="C130" s="73">
        <v>4103</v>
      </c>
      <c r="D130" s="188" t="s">
        <v>302</v>
      </c>
      <c r="E130" s="192">
        <f>SUM('SGTO POAI VIGENCIA 2021'!BP179:BP185)</f>
        <v>233793714</v>
      </c>
      <c r="F130" s="192">
        <f>SUM('SGTO POAI VIGENCIA 2021'!BQ179:BQ185)</f>
        <v>226708797.38999999</v>
      </c>
      <c r="G130" s="192">
        <f>SUM('SGTO POAI VIGENCIA 2021'!BR179:BR185)</f>
        <v>226708797.38999999</v>
      </c>
    </row>
    <row r="131" spans="1:9" s="28" customFormat="1" ht="51.75" customHeight="1" x14ac:dyDescent="0.2">
      <c r="A131" s="209"/>
      <c r="B131" s="184"/>
      <c r="C131" s="73">
        <v>4104</v>
      </c>
      <c r="D131" s="188" t="s">
        <v>893</v>
      </c>
      <c r="E131" s="192">
        <f>SUM('SGTO POAI VIGENCIA 2021'!BP186:BP190)</f>
        <v>4789370244.0100002</v>
      </c>
      <c r="F131" s="192">
        <f>SUM('SGTO POAI VIGENCIA 2021'!BQ186:BQ190)</f>
        <v>3516992293.25</v>
      </c>
      <c r="G131" s="192">
        <f>SUM('SGTO POAI VIGENCIA 2021'!BR186:BR190)</f>
        <v>3516992293.25</v>
      </c>
    </row>
    <row r="132" spans="1:9" s="7" customFormat="1" ht="24" customHeight="1" x14ac:dyDescent="0.2">
      <c r="A132" s="409">
        <v>2</v>
      </c>
      <c r="B132" s="441" t="s">
        <v>400</v>
      </c>
      <c r="C132" s="410"/>
      <c r="D132" s="410"/>
      <c r="E132" s="411">
        <f>E133+E135</f>
        <v>56195000</v>
      </c>
      <c r="F132" s="411">
        <f>F133+F135</f>
        <v>55005000</v>
      </c>
      <c r="G132" s="411">
        <f>G133+G135</f>
        <v>55005000</v>
      </c>
      <c r="H132" s="14"/>
      <c r="I132" s="14"/>
    </row>
    <row r="133" spans="1:9" ht="24" customHeight="1" x14ac:dyDescent="0.2">
      <c r="A133" s="178"/>
      <c r="B133" s="417">
        <v>17</v>
      </c>
      <c r="C133" s="413" t="s">
        <v>451</v>
      </c>
      <c r="D133" s="414"/>
      <c r="E133" s="415">
        <f>E134</f>
        <v>18000000</v>
      </c>
      <c r="F133" s="415">
        <f>F134</f>
        <v>17310000</v>
      </c>
      <c r="G133" s="415">
        <f>G134</f>
        <v>17310000</v>
      </c>
    </row>
    <row r="134" spans="1:9" s="28" customFormat="1" ht="51.75" customHeight="1" x14ac:dyDescent="0.2">
      <c r="A134" s="198"/>
      <c r="B134" s="73"/>
      <c r="C134" s="44">
        <v>1702</v>
      </c>
      <c r="D134" s="188" t="s">
        <v>452</v>
      </c>
      <c r="E134" s="192">
        <f>SUM('SGTO POAI VIGENCIA 2021'!BP191)</f>
        <v>18000000</v>
      </c>
      <c r="F134" s="192">
        <f>SUM('SGTO POAI VIGENCIA 2021'!BQ191)</f>
        <v>17310000</v>
      </c>
      <c r="G134" s="192">
        <f>SUM('SGTO POAI VIGENCIA 2021'!BR191)</f>
        <v>17310000</v>
      </c>
    </row>
    <row r="135" spans="1:9" ht="25.5" customHeight="1" x14ac:dyDescent="0.2">
      <c r="A135" s="179"/>
      <c r="B135" s="417">
        <v>36</v>
      </c>
      <c r="C135" s="418" t="s">
        <v>433</v>
      </c>
      <c r="D135" s="419"/>
      <c r="E135" s="415">
        <f>E136</f>
        <v>38195000</v>
      </c>
      <c r="F135" s="415">
        <f>F136</f>
        <v>37695000</v>
      </c>
      <c r="G135" s="415">
        <f>G136</f>
        <v>37695000</v>
      </c>
    </row>
    <row r="136" spans="1:9" s="28" customFormat="1" ht="51" customHeight="1" x14ac:dyDescent="0.2">
      <c r="A136" s="184"/>
      <c r="B136" s="73"/>
      <c r="C136" s="44">
        <v>3604</v>
      </c>
      <c r="D136" s="188" t="s">
        <v>932</v>
      </c>
      <c r="E136" s="192">
        <f>'SGTO POAI VIGENCIA 2021'!BP192</f>
        <v>38195000</v>
      </c>
      <c r="F136" s="192">
        <f>'SGTO POAI VIGENCIA 2021'!BQ192</f>
        <v>37695000</v>
      </c>
      <c r="G136" s="192">
        <f>'SGTO POAI VIGENCIA 2021'!BR192</f>
        <v>37695000</v>
      </c>
    </row>
    <row r="137" spans="1:9" s="7" customFormat="1" ht="24" customHeight="1" x14ac:dyDescent="0.2">
      <c r="A137" s="409">
        <v>4</v>
      </c>
      <c r="B137" s="410" t="s">
        <v>37</v>
      </c>
      <c r="C137" s="410"/>
      <c r="D137" s="410"/>
      <c r="E137" s="411">
        <f>E138</f>
        <v>477094503</v>
      </c>
      <c r="F137" s="411">
        <f>F138</f>
        <v>410613408</v>
      </c>
      <c r="G137" s="411">
        <f>G138</f>
        <v>410613408</v>
      </c>
      <c r="H137" s="14"/>
      <c r="I137" s="14"/>
    </row>
    <row r="138" spans="1:9" ht="24" customHeight="1" x14ac:dyDescent="0.2">
      <c r="A138" s="178"/>
      <c r="B138" s="412">
        <v>45</v>
      </c>
      <c r="C138" s="427" t="s">
        <v>938</v>
      </c>
      <c r="D138" s="428"/>
      <c r="E138" s="429">
        <f>SUM(E139:E140)</f>
        <v>477094503</v>
      </c>
      <c r="F138" s="429">
        <f>SUM(F139:F140)</f>
        <v>410613408</v>
      </c>
      <c r="G138" s="429">
        <f>SUM(G139:G140)</f>
        <v>410613408</v>
      </c>
    </row>
    <row r="139" spans="1:9" ht="50.25" customHeight="1" x14ac:dyDescent="0.2">
      <c r="A139" s="198"/>
      <c r="B139" s="212"/>
      <c r="C139" s="213">
        <v>4502</v>
      </c>
      <c r="D139" s="214" t="s">
        <v>60</v>
      </c>
      <c r="E139" s="215">
        <f>SUM('SGTO POAI VIGENCIA 2021'!BP193:BP197)</f>
        <v>266000000</v>
      </c>
      <c r="F139" s="215">
        <f>SUM('SGTO POAI VIGENCIA 2021'!BQ193:BQ197)</f>
        <v>238134764</v>
      </c>
      <c r="G139" s="215">
        <f>SUM('SGTO POAI VIGENCIA 2021'!BR193:BR197)</f>
        <v>238134764</v>
      </c>
    </row>
    <row r="140" spans="1:9" ht="76.5" customHeight="1" x14ac:dyDescent="0.2">
      <c r="A140" s="184"/>
      <c r="B140" s="212"/>
      <c r="C140" s="213">
        <v>4599</v>
      </c>
      <c r="D140" s="216" t="s">
        <v>634</v>
      </c>
      <c r="E140" s="215">
        <f>SUM('SGTO POAI VIGENCIA 2021'!BP198:BP200)</f>
        <v>211094503</v>
      </c>
      <c r="F140" s="215">
        <f>SUM('SGTO POAI VIGENCIA 2021'!BQ198:BQ200)</f>
        <v>172478644</v>
      </c>
      <c r="G140" s="215">
        <f>SUM('SGTO POAI VIGENCIA 2021'!BR198:BR200)</f>
        <v>172478644</v>
      </c>
    </row>
    <row r="141" spans="1:9" s="7" customFormat="1" x14ac:dyDescent="0.2">
      <c r="A141" s="93"/>
      <c r="B141" s="93"/>
      <c r="C141" s="93"/>
      <c r="D141" s="94"/>
      <c r="E141" s="174"/>
      <c r="F141" s="174"/>
      <c r="G141" s="174"/>
      <c r="H141" s="14"/>
      <c r="I141" s="14"/>
    </row>
    <row r="142" spans="1:9" ht="24" customHeight="1" x14ac:dyDescent="0.2">
      <c r="A142" s="41" t="s">
        <v>986</v>
      </c>
      <c r="B142" s="405"/>
      <c r="C142" s="407"/>
      <c r="D142" s="408"/>
      <c r="E142" s="406">
        <f>E143</f>
        <v>75161612366.110001</v>
      </c>
      <c r="F142" s="406">
        <f t="shared" ref="E142:G143" si="8">F143</f>
        <v>69848426417.649994</v>
      </c>
      <c r="G142" s="406">
        <f t="shared" si="8"/>
        <v>69848426417.649994</v>
      </c>
    </row>
    <row r="143" spans="1:9" ht="24" customHeight="1" x14ac:dyDescent="0.2">
      <c r="A143" s="440">
        <v>1</v>
      </c>
      <c r="B143" s="410" t="s">
        <v>136</v>
      </c>
      <c r="C143" s="52"/>
      <c r="D143" s="410"/>
      <c r="E143" s="411">
        <f t="shared" si="8"/>
        <v>75161612366.110001</v>
      </c>
      <c r="F143" s="411">
        <f t="shared" si="8"/>
        <v>69848426417.649994</v>
      </c>
      <c r="G143" s="411">
        <f t="shared" si="8"/>
        <v>69848426417.649994</v>
      </c>
    </row>
    <row r="144" spans="1:9" ht="24" customHeight="1" x14ac:dyDescent="0.2">
      <c r="A144" s="178"/>
      <c r="B144" s="182">
        <v>19</v>
      </c>
      <c r="C144" s="41" t="s">
        <v>147</v>
      </c>
      <c r="D144" s="92"/>
      <c r="E144" s="98">
        <f>SUM(E145:E147)</f>
        <v>75161612366.110001</v>
      </c>
      <c r="F144" s="98">
        <f>SUM(F145:F147)</f>
        <v>69848426417.649994</v>
      </c>
      <c r="G144" s="98">
        <f>SUM(G145:G147)</f>
        <v>69848426417.649994</v>
      </c>
    </row>
    <row r="145" spans="1:9" s="27" customFormat="1" ht="35.25" customHeight="1" x14ac:dyDescent="0.2">
      <c r="A145" s="198"/>
      <c r="B145" s="199"/>
      <c r="C145" s="73">
        <v>1903</v>
      </c>
      <c r="D145" s="188" t="s">
        <v>987</v>
      </c>
      <c r="E145" s="192">
        <f>SUM('SGTO POAI VIGENCIA 2021'!BP201:BP222)</f>
        <v>3182666735.21</v>
      </c>
      <c r="F145" s="192">
        <f>SUM('SGTO POAI VIGENCIA 2021'!BQ201:BQ222)</f>
        <v>2169681626.6599998</v>
      </c>
      <c r="G145" s="192">
        <f>SUM('SGTO POAI VIGENCIA 2021'!BR201:BR222)</f>
        <v>2169681626.6599998</v>
      </c>
    </row>
    <row r="146" spans="1:9" s="27" customFormat="1" ht="31.5" customHeight="1" x14ac:dyDescent="0.2">
      <c r="A146" s="198"/>
      <c r="B146" s="205"/>
      <c r="C146" s="73">
        <v>1905</v>
      </c>
      <c r="D146" s="188" t="s">
        <v>768</v>
      </c>
      <c r="E146" s="192">
        <f>SUM('SGTO POAI VIGENCIA 2021'!BP223:BP251)</f>
        <v>6992718049.7600002</v>
      </c>
      <c r="F146" s="192">
        <f>SUM('SGTO POAI VIGENCIA 2021'!BQ223:BQ251)</f>
        <v>4494770472.7600002</v>
      </c>
      <c r="G146" s="192">
        <f>SUM('SGTO POAI VIGENCIA 2021'!BR223:BR251)</f>
        <v>4494770472.7600002</v>
      </c>
    </row>
    <row r="147" spans="1:9" s="27" customFormat="1" ht="57.75" customHeight="1" x14ac:dyDescent="0.2">
      <c r="A147" s="184"/>
      <c r="B147" s="200"/>
      <c r="C147" s="73">
        <v>1906</v>
      </c>
      <c r="D147" s="188" t="s">
        <v>148</v>
      </c>
      <c r="E147" s="192">
        <f>SUM('SGTO POAI VIGENCIA 2021'!BP252:BP261)</f>
        <v>64986227581.139999</v>
      </c>
      <c r="F147" s="192">
        <f>SUM('SGTO POAI VIGENCIA 2021'!BQ252:BQ261)</f>
        <v>63183974318.229996</v>
      </c>
      <c r="G147" s="192">
        <f>SUM('SGTO POAI VIGENCIA 2021'!BR252:BR261)</f>
        <v>63183974318.229996</v>
      </c>
    </row>
    <row r="148" spans="1:9" s="7" customFormat="1" x14ac:dyDescent="0.2">
      <c r="A148" s="93"/>
      <c r="B148" s="93"/>
      <c r="C148" s="93"/>
      <c r="D148" s="94"/>
      <c r="E148" s="174"/>
      <c r="F148" s="174"/>
      <c r="G148" s="174"/>
      <c r="H148" s="14"/>
      <c r="I148" s="14"/>
    </row>
    <row r="149" spans="1:9" s="6" customFormat="1" ht="24" customHeight="1" x14ac:dyDescent="0.25">
      <c r="A149" s="41" t="s">
        <v>1197</v>
      </c>
      <c r="B149" s="405"/>
      <c r="C149" s="407"/>
      <c r="D149" s="408"/>
      <c r="E149" s="406">
        <f>E150+E154+E158</f>
        <v>1196000000</v>
      </c>
      <c r="F149" s="406">
        <f>F150+F154+F158</f>
        <v>1057106946.9200001</v>
      </c>
      <c r="G149" s="406">
        <f>G150+G154+G158</f>
        <v>1057106946.9200001</v>
      </c>
      <c r="H149" s="5"/>
      <c r="I149" s="5"/>
    </row>
    <row r="150" spans="1:9" s="6" customFormat="1" ht="24" customHeight="1" x14ac:dyDescent="0.25">
      <c r="A150" s="440">
        <v>1</v>
      </c>
      <c r="B150" s="410" t="s">
        <v>136</v>
      </c>
      <c r="C150" s="410"/>
      <c r="D150" s="410"/>
      <c r="E150" s="411">
        <f>E151</f>
        <v>820000000</v>
      </c>
      <c r="F150" s="411">
        <f>F151</f>
        <v>714748949.42000008</v>
      </c>
      <c r="G150" s="411">
        <f>G151</f>
        <v>714748949.42000008</v>
      </c>
      <c r="H150" s="5"/>
      <c r="I150" s="5"/>
    </row>
    <row r="151" spans="1:9" ht="24" customHeight="1" x14ac:dyDescent="0.2">
      <c r="A151" s="178"/>
      <c r="B151" s="412">
        <v>23</v>
      </c>
      <c r="C151" s="413" t="s">
        <v>1198</v>
      </c>
      <c r="D151" s="414"/>
      <c r="E151" s="415">
        <f>SUM(E152:E153)</f>
        <v>820000000</v>
      </c>
      <c r="F151" s="415">
        <f>SUM(F152:F153)</f>
        <v>714748949.42000008</v>
      </c>
      <c r="G151" s="415">
        <f>SUM(G152:G153)</f>
        <v>714748949.42000008</v>
      </c>
    </row>
    <row r="152" spans="1:9" s="211" customFormat="1" ht="75.75" customHeight="1" x14ac:dyDescent="0.25">
      <c r="A152" s="198"/>
      <c r="B152" s="199"/>
      <c r="C152" s="191">
        <v>2301</v>
      </c>
      <c r="D152" s="188" t="s">
        <v>1199</v>
      </c>
      <c r="E152" s="192">
        <f>SUM('SGTO POAI VIGENCIA 2021'!BP262:BP270)</f>
        <v>674000000</v>
      </c>
      <c r="F152" s="192">
        <f>SUM('SGTO POAI VIGENCIA 2021'!BQ262:BQ270)</f>
        <v>584138115.42000008</v>
      </c>
      <c r="G152" s="192">
        <f>SUM('SGTO POAI VIGENCIA 2021'!BR262:BR270)</f>
        <v>584138115.42000008</v>
      </c>
    </row>
    <row r="153" spans="1:9" s="211" customFormat="1" ht="76.5" customHeight="1" x14ac:dyDescent="0.25">
      <c r="A153" s="184"/>
      <c r="B153" s="200"/>
      <c r="C153" s="191">
        <v>2302</v>
      </c>
      <c r="D153" s="188" t="s">
        <v>1487</v>
      </c>
      <c r="E153" s="192">
        <f>SUM('SGTO POAI VIGENCIA 2021'!BP271:BP275)</f>
        <v>146000000</v>
      </c>
      <c r="F153" s="192">
        <f>SUM('SGTO POAI VIGENCIA 2021'!BQ271:BQ275)</f>
        <v>130610834</v>
      </c>
      <c r="G153" s="192">
        <f>SUM('SGTO POAI VIGENCIA 2021'!BR271:BR275)</f>
        <v>130610834</v>
      </c>
    </row>
    <row r="154" spans="1:9" s="6" customFormat="1" ht="24" customHeight="1" x14ac:dyDescent="0.25">
      <c r="A154" s="409">
        <v>2</v>
      </c>
      <c r="B154" s="441" t="s">
        <v>400</v>
      </c>
      <c r="C154" s="410"/>
      <c r="D154" s="410"/>
      <c r="E154" s="411">
        <f>E155</f>
        <v>78000000</v>
      </c>
      <c r="F154" s="411">
        <f>F155</f>
        <v>64780832</v>
      </c>
      <c r="G154" s="411">
        <f>G155</f>
        <v>64780832</v>
      </c>
      <c r="H154" s="5"/>
      <c r="I154" s="5"/>
    </row>
    <row r="155" spans="1:9" ht="24" customHeight="1" x14ac:dyDescent="0.2">
      <c r="A155" s="178"/>
      <c r="B155" s="412">
        <v>39</v>
      </c>
      <c r="C155" s="427" t="s">
        <v>1483</v>
      </c>
      <c r="D155" s="414"/>
      <c r="E155" s="415">
        <f>SUM(E156:E157)</f>
        <v>78000000</v>
      </c>
      <c r="F155" s="415">
        <f>SUM(F156:F157)</f>
        <v>64780832</v>
      </c>
      <c r="G155" s="415">
        <f>SUM(G156:G157)</f>
        <v>64780832</v>
      </c>
    </row>
    <row r="156" spans="1:9" s="211" customFormat="1" ht="44.25" customHeight="1" x14ac:dyDescent="0.25">
      <c r="A156" s="198"/>
      <c r="B156" s="75"/>
      <c r="C156" s="217" t="s">
        <v>1239</v>
      </c>
      <c r="D156" s="218" t="s">
        <v>1240</v>
      </c>
      <c r="E156" s="192">
        <f>SUM('SGTO POAI VIGENCIA 2021'!BP276:BP278)</f>
        <v>60000000</v>
      </c>
      <c r="F156" s="192">
        <f>SUM('SGTO POAI VIGENCIA 2021'!BQ276:BQ278)</f>
        <v>58180832</v>
      </c>
      <c r="G156" s="192">
        <f>SUM('SGTO POAI VIGENCIA 2021'!BR276:BR278)</f>
        <v>58180832</v>
      </c>
    </row>
    <row r="157" spans="1:9" s="211" customFormat="1" ht="44.25" customHeight="1" x14ac:dyDescent="0.25">
      <c r="A157" s="184"/>
      <c r="B157" s="75"/>
      <c r="C157" s="217">
        <v>3904</v>
      </c>
      <c r="D157" s="218" t="s">
        <v>759</v>
      </c>
      <c r="E157" s="192">
        <f>'SGTO POAI VIGENCIA 2021'!BP279</f>
        <v>18000000</v>
      </c>
      <c r="F157" s="192">
        <f>'SGTO POAI VIGENCIA 2021'!BQ279</f>
        <v>6600000</v>
      </c>
      <c r="G157" s="192">
        <f>'SGTO POAI VIGENCIA 2021'!BR279</f>
        <v>6600000</v>
      </c>
    </row>
    <row r="158" spans="1:9" s="6" customFormat="1" ht="24" customHeight="1" x14ac:dyDescent="0.25">
      <c r="A158" s="409">
        <v>4</v>
      </c>
      <c r="B158" s="441" t="s">
        <v>37</v>
      </c>
      <c r="C158" s="441"/>
      <c r="D158" s="410"/>
      <c r="E158" s="411">
        <f t="shared" ref="E158:G159" si="9">E159</f>
        <v>298000000</v>
      </c>
      <c r="F158" s="411">
        <f t="shared" si="9"/>
        <v>277577165.5</v>
      </c>
      <c r="G158" s="411">
        <f t="shared" si="9"/>
        <v>277577165.5</v>
      </c>
      <c r="H158" s="5"/>
      <c r="I158" s="5"/>
    </row>
    <row r="159" spans="1:9" ht="24" customHeight="1" x14ac:dyDescent="0.2">
      <c r="A159" s="178"/>
      <c r="B159" s="417">
        <v>23</v>
      </c>
      <c r="C159" s="413" t="s">
        <v>1198</v>
      </c>
      <c r="D159" s="413"/>
      <c r="E159" s="415">
        <f t="shared" si="9"/>
        <v>298000000</v>
      </c>
      <c r="F159" s="415">
        <f t="shared" si="9"/>
        <v>277577165.5</v>
      </c>
      <c r="G159" s="415">
        <f t="shared" si="9"/>
        <v>277577165.5</v>
      </c>
    </row>
    <row r="160" spans="1:9" s="211" customFormat="1" ht="99.75" customHeight="1" x14ac:dyDescent="0.25">
      <c r="A160" s="184"/>
      <c r="B160" s="73"/>
      <c r="C160" s="56">
        <v>2302</v>
      </c>
      <c r="D160" s="188" t="s">
        <v>1487</v>
      </c>
      <c r="E160" s="192">
        <f>SUM('SGTO POAI VIGENCIA 2021'!BP280:BP285)</f>
        <v>298000000</v>
      </c>
      <c r="F160" s="192">
        <f>SUM('SGTO POAI VIGENCIA 2021'!BQ280:BQ285)</f>
        <v>277577165.5</v>
      </c>
      <c r="G160" s="192">
        <f>SUM('SGTO POAI VIGENCIA 2021'!BR280:BR285)</f>
        <v>277577165.5</v>
      </c>
    </row>
    <row r="161" spans="1:9" s="7" customFormat="1" ht="18.75" customHeight="1" x14ac:dyDescent="0.2">
      <c r="A161" s="93"/>
      <c r="B161" s="93"/>
      <c r="C161" s="93"/>
      <c r="D161" s="94"/>
      <c r="E161" s="174"/>
      <c r="F161" s="174"/>
      <c r="G161" s="174"/>
      <c r="H161" s="14"/>
      <c r="I161" s="14"/>
    </row>
    <row r="162" spans="1:9" s="20" customFormat="1" ht="30" customHeight="1" x14ac:dyDescent="0.25">
      <c r="A162" s="41" t="s">
        <v>1272</v>
      </c>
      <c r="B162" s="41"/>
      <c r="C162" s="433"/>
      <c r="D162" s="68"/>
      <c r="E162" s="250">
        <f>E7+E13+E19+E24+E52+E74+E80+E87+E107+E113+E122+E142+E149</f>
        <v>319490464131.91003</v>
      </c>
      <c r="F162" s="250">
        <f>F7+F13+F19+F24+F52+F74+F80+F87+F107+F113+F122+F142+F149</f>
        <v>286065239361.58002</v>
      </c>
      <c r="G162" s="250">
        <f>G7+G13+G19+G24+G52+G74+G80+G87+G107+G113+G122+G142+G149</f>
        <v>286065239361.58002</v>
      </c>
      <c r="H162" s="19"/>
      <c r="I162" s="19"/>
    </row>
    <row r="163" spans="1:9" s="7" customFormat="1" ht="29.25" customHeight="1" x14ac:dyDescent="0.2">
      <c r="A163" s="93"/>
      <c r="B163" s="93"/>
      <c r="C163" s="93"/>
      <c r="D163" s="94"/>
      <c r="E163" s="174"/>
      <c r="F163" s="174"/>
      <c r="G163" s="174"/>
      <c r="H163" s="14"/>
      <c r="I163" s="14"/>
    </row>
    <row r="164" spans="1:9" ht="24" customHeight="1" x14ac:dyDescent="0.2">
      <c r="A164" s="41" t="s">
        <v>1273</v>
      </c>
      <c r="B164" s="405"/>
      <c r="C164" s="407"/>
      <c r="D164" s="408"/>
      <c r="E164" s="406">
        <f t="shared" ref="E164:G165" si="10">E165</f>
        <v>7160417690.0300007</v>
      </c>
      <c r="F164" s="406">
        <f t="shared" si="10"/>
        <v>4672994056.9699993</v>
      </c>
      <c r="G164" s="406">
        <f t="shared" si="10"/>
        <v>4652079056.9699993</v>
      </c>
    </row>
    <row r="165" spans="1:9" ht="24" customHeight="1" x14ac:dyDescent="0.2">
      <c r="A165" s="440">
        <v>1</v>
      </c>
      <c r="B165" s="410" t="s">
        <v>136</v>
      </c>
      <c r="C165" s="410"/>
      <c r="D165" s="410"/>
      <c r="E165" s="411">
        <f t="shared" si="10"/>
        <v>7160417690.0300007</v>
      </c>
      <c r="F165" s="411">
        <f t="shared" si="10"/>
        <v>4672994056.9699993</v>
      </c>
      <c r="G165" s="411">
        <f t="shared" si="10"/>
        <v>4652079056.9699993</v>
      </c>
    </row>
    <row r="166" spans="1:9" ht="24" customHeight="1" x14ac:dyDescent="0.2">
      <c r="A166" s="178"/>
      <c r="B166" s="412">
        <v>43</v>
      </c>
      <c r="C166" s="413" t="s">
        <v>176</v>
      </c>
      <c r="D166" s="414"/>
      <c r="E166" s="415">
        <f>SUM(E167:E168)</f>
        <v>7160417690.0300007</v>
      </c>
      <c r="F166" s="415">
        <f>SUM(F167:F168)</f>
        <v>4672994056.9699993</v>
      </c>
      <c r="G166" s="415">
        <f>SUM(G167:G168)</f>
        <v>4652079056.9699993</v>
      </c>
    </row>
    <row r="167" spans="1:9" s="27" customFormat="1" ht="76.5" customHeight="1" x14ac:dyDescent="0.2">
      <c r="A167" s="207"/>
      <c r="B167" s="208"/>
      <c r="C167" s="73">
        <v>4301</v>
      </c>
      <c r="D167" s="219" t="s">
        <v>177</v>
      </c>
      <c r="E167" s="192">
        <f>SUM('SGTO POAI VIGENCIA 2021'!BP286:BP289)</f>
        <v>2847287098.98</v>
      </c>
      <c r="F167" s="192">
        <f>SUM('SGTO POAI VIGENCIA 2021'!BQ286:BQ289)</f>
        <v>2191949700.79</v>
      </c>
      <c r="G167" s="192">
        <f>SUM('SGTO POAI VIGENCIA 2021'!BR286:BR289)</f>
        <v>2191949700.79</v>
      </c>
    </row>
    <row r="168" spans="1:9" s="27" customFormat="1" ht="37.5" customHeight="1" x14ac:dyDescent="0.2">
      <c r="A168" s="209"/>
      <c r="B168" s="184"/>
      <c r="C168" s="73">
        <v>4302</v>
      </c>
      <c r="D168" s="219" t="s">
        <v>1287</v>
      </c>
      <c r="E168" s="192">
        <f>SUM('SGTO POAI VIGENCIA 2021'!BP290:BP291)</f>
        <v>4313130591.0500002</v>
      </c>
      <c r="F168" s="192">
        <f>SUM('SGTO POAI VIGENCIA 2021'!BQ290:BQ291)</f>
        <v>2481044356.1799998</v>
      </c>
      <c r="G168" s="192">
        <f>SUM('SGTO POAI VIGENCIA 2021'!BR290:BR291)</f>
        <v>2460129356.1799998</v>
      </c>
    </row>
    <row r="169" spans="1:9" s="7" customFormat="1" ht="18.75" customHeight="1" x14ac:dyDescent="0.2">
      <c r="A169" s="93"/>
      <c r="B169" s="93"/>
      <c r="C169" s="93"/>
      <c r="D169" s="94"/>
      <c r="E169" s="174"/>
      <c r="F169" s="174"/>
      <c r="G169" s="174"/>
      <c r="H169" s="14"/>
      <c r="I169" s="14"/>
    </row>
    <row r="170" spans="1:9" s="7" customFormat="1" ht="24" customHeight="1" x14ac:dyDescent="0.2">
      <c r="A170" s="41" t="s">
        <v>1299</v>
      </c>
      <c r="B170" s="405"/>
      <c r="C170" s="407"/>
      <c r="D170" s="408"/>
      <c r="E170" s="406">
        <f>E171+E176</f>
        <v>2637286334.9400001</v>
      </c>
      <c r="F170" s="406">
        <f>F171+F176</f>
        <v>2383790557.2240133</v>
      </c>
      <c r="G170" s="406">
        <f>G171+G176</f>
        <v>2216880294.2925234</v>
      </c>
      <c r="H170" s="14"/>
      <c r="I170" s="14"/>
    </row>
    <row r="171" spans="1:9" s="7" customFormat="1" ht="24" customHeight="1" x14ac:dyDescent="0.2">
      <c r="A171" s="440">
        <v>1</v>
      </c>
      <c r="B171" s="410" t="s">
        <v>136</v>
      </c>
      <c r="C171" s="410"/>
      <c r="D171" s="410"/>
      <c r="E171" s="411">
        <f>E172+E174</f>
        <v>1019472941.71</v>
      </c>
      <c r="F171" s="411">
        <f>F172+F174</f>
        <v>974351224.8099997</v>
      </c>
      <c r="G171" s="411">
        <f>G172+G174</f>
        <v>974351224.8099997</v>
      </c>
      <c r="H171" s="14"/>
      <c r="I171" s="14"/>
    </row>
    <row r="172" spans="1:9" ht="24" customHeight="1" x14ac:dyDescent="0.2">
      <c r="A172" s="178"/>
      <c r="B172" s="430">
        <v>43</v>
      </c>
      <c r="C172" s="431" t="s">
        <v>176</v>
      </c>
      <c r="D172" s="414"/>
      <c r="E172" s="415">
        <f>E173</f>
        <v>690464077.75999999</v>
      </c>
      <c r="F172" s="415">
        <f>F173</f>
        <v>683590194.49999976</v>
      </c>
      <c r="G172" s="415">
        <f>G173</f>
        <v>683590194.49999976</v>
      </c>
    </row>
    <row r="173" spans="1:9" s="28" customFormat="1" ht="76.5" customHeight="1" x14ac:dyDescent="0.2">
      <c r="A173" s="220"/>
      <c r="B173" s="191"/>
      <c r="C173" s="44">
        <v>4301</v>
      </c>
      <c r="D173" s="188" t="s">
        <v>177</v>
      </c>
      <c r="E173" s="192">
        <f>'SGTO POAI VIGENCIA 2021'!BP292</f>
        <v>690464077.75999999</v>
      </c>
      <c r="F173" s="192">
        <f>'SGTO POAI VIGENCIA 2021'!BQ292</f>
        <v>683590194.49999976</v>
      </c>
      <c r="G173" s="192">
        <f>'SGTO POAI VIGENCIA 2021'!BR292</f>
        <v>683590194.49999976</v>
      </c>
    </row>
    <row r="174" spans="1:9" ht="24" customHeight="1" x14ac:dyDescent="0.2">
      <c r="A174" s="179"/>
      <c r="B174" s="430">
        <v>22</v>
      </c>
      <c r="C174" s="417" t="s">
        <v>156</v>
      </c>
      <c r="D174" s="414"/>
      <c r="E174" s="415">
        <f>E175</f>
        <v>329008863.94999999</v>
      </c>
      <c r="F174" s="415">
        <f>F175</f>
        <v>290761030.31</v>
      </c>
      <c r="G174" s="415">
        <f>G175</f>
        <v>290761030.31</v>
      </c>
    </row>
    <row r="175" spans="1:9" s="28" customFormat="1" ht="53.25" customHeight="1" x14ac:dyDescent="0.2">
      <c r="A175" s="221"/>
      <c r="B175" s="191"/>
      <c r="C175" s="44">
        <v>2201</v>
      </c>
      <c r="D175" s="188" t="s">
        <v>277</v>
      </c>
      <c r="E175" s="192">
        <f>'SGTO POAI VIGENCIA 2021'!BP293</f>
        <v>329008863.94999999</v>
      </c>
      <c r="F175" s="192">
        <f>'SGTO POAI VIGENCIA 2021'!BQ293</f>
        <v>290761030.31</v>
      </c>
      <c r="G175" s="192">
        <f>'SGTO POAI VIGENCIA 2021'!BR293</f>
        <v>290761030.31</v>
      </c>
    </row>
    <row r="176" spans="1:9" s="7" customFormat="1" ht="24" customHeight="1" x14ac:dyDescent="0.2">
      <c r="A176" s="409">
        <v>3</v>
      </c>
      <c r="B176" s="410" t="s">
        <v>186</v>
      </c>
      <c r="C176" s="410"/>
      <c r="D176" s="410"/>
      <c r="E176" s="411">
        <f>E177+E179</f>
        <v>1617813393.23</v>
      </c>
      <c r="F176" s="411">
        <f>F177+F179</f>
        <v>1409439332.4140139</v>
      </c>
      <c r="G176" s="411">
        <f>G177+G179</f>
        <v>1242529069.4825239</v>
      </c>
      <c r="H176" s="14"/>
      <c r="I176" s="14"/>
    </row>
    <row r="177" spans="1:9" ht="24" customHeight="1" x14ac:dyDescent="0.2">
      <c r="A177" s="178"/>
      <c r="B177" s="430">
        <v>24</v>
      </c>
      <c r="C177" s="417" t="s">
        <v>187</v>
      </c>
      <c r="D177" s="419"/>
      <c r="E177" s="415">
        <f>E178</f>
        <v>348896731.19999999</v>
      </c>
      <c r="F177" s="415">
        <f>F178</f>
        <v>347384923.11000001</v>
      </c>
      <c r="G177" s="415">
        <f>G178</f>
        <v>240924657.09</v>
      </c>
    </row>
    <row r="178" spans="1:9" s="7" customFormat="1" ht="42" customHeight="1" x14ac:dyDescent="0.2">
      <c r="A178" s="222"/>
      <c r="B178" s="223"/>
      <c r="C178" s="44">
        <v>2402</v>
      </c>
      <c r="D178" s="187" t="s">
        <v>188</v>
      </c>
      <c r="E178" s="224">
        <f>'SGTO POAI VIGENCIA 2021'!BP294</f>
        <v>348896731.19999999</v>
      </c>
      <c r="F178" s="224">
        <f>'SGTO POAI VIGENCIA 2021'!BQ294</f>
        <v>347384923.11000001</v>
      </c>
      <c r="G178" s="224">
        <f>'SGTO POAI VIGENCIA 2021'!BR294</f>
        <v>240924657.09</v>
      </c>
      <c r="H178" s="14"/>
      <c r="I178" s="14"/>
    </row>
    <row r="179" spans="1:9" ht="24" customHeight="1" x14ac:dyDescent="0.2">
      <c r="A179" s="179"/>
      <c r="B179" s="430">
        <v>40</v>
      </c>
      <c r="C179" s="431" t="s">
        <v>221</v>
      </c>
      <c r="D179" s="419"/>
      <c r="E179" s="415">
        <f>E180</f>
        <v>1268916662.03</v>
      </c>
      <c r="F179" s="415">
        <f>F180</f>
        <v>1062054409.304014</v>
      </c>
      <c r="G179" s="415">
        <f>G180</f>
        <v>1001604412.3925239</v>
      </c>
    </row>
    <row r="180" spans="1:9" s="7" customFormat="1" ht="44.25" customHeight="1" x14ac:dyDescent="0.2">
      <c r="A180" s="225"/>
      <c r="B180" s="223"/>
      <c r="C180" s="44">
        <v>4001</v>
      </c>
      <c r="D180" s="226" t="s">
        <v>222</v>
      </c>
      <c r="E180" s="224">
        <f>SUM('SGTO POAI VIGENCIA 2021'!BP295:BP301)</f>
        <v>1268916662.03</v>
      </c>
      <c r="F180" s="224">
        <f>SUM('SGTO POAI VIGENCIA 2021'!BQ295:BQ301)</f>
        <v>1062054409.304014</v>
      </c>
      <c r="G180" s="224">
        <f>SUM('SGTO POAI VIGENCIA 2021'!BR295:BR301)</f>
        <v>1001604412.3925239</v>
      </c>
      <c r="H180" s="14"/>
      <c r="I180" s="14"/>
    </row>
    <row r="181" spans="1:9" s="7" customFormat="1" ht="18.75" customHeight="1" x14ac:dyDescent="0.2">
      <c r="A181" s="93"/>
      <c r="B181" s="93"/>
      <c r="C181" s="93"/>
      <c r="D181" s="94"/>
      <c r="E181" s="174"/>
      <c r="F181" s="174"/>
      <c r="G181" s="174"/>
      <c r="H181" s="14"/>
      <c r="I181" s="14"/>
    </row>
    <row r="182" spans="1:9" ht="24" customHeight="1" x14ac:dyDescent="0.2">
      <c r="A182" s="41" t="s">
        <v>1333</v>
      </c>
      <c r="B182" s="405"/>
      <c r="C182" s="407"/>
      <c r="D182" s="408"/>
      <c r="E182" s="406">
        <f>E183</f>
        <v>110210000</v>
      </c>
      <c r="F182" s="406">
        <f t="shared" ref="F182:G184" si="11">F183</f>
        <v>107716000</v>
      </c>
      <c r="G182" s="406">
        <f t="shared" si="11"/>
        <v>107716000</v>
      </c>
    </row>
    <row r="183" spans="1:9" ht="24" customHeight="1" x14ac:dyDescent="0.2">
      <c r="A183" s="440">
        <v>3</v>
      </c>
      <c r="B183" s="410" t="s">
        <v>186</v>
      </c>
      <c r="C183" s="410"/>
      <c r="D183" s="410"/>
      <c r="E183" s="411">
        <f>E184</f>
        <v>110210000</v>
      </c>
      <c r="F183" s="411">
        <f t="shared" si="11"/>
        <v>107716000</v>
      </c>
      <c r="G183" s="411">
        <f t="shared" si="11"/>
        <v>107716000</v>
      </c>
    </row>
    <row r="184" spans="1:9" ht="24" customHeight="1" x14ac:dyDescent="0.2">
      <c r="A184" s="178"/>
      <c r="B184" s="417">
        <v>24</v>
      </c>
      <c r="C184" s="432" t="s">
        <v>187</v>
      </c>
      <c r="D184" s="419"/>
      <c r="E184" s="415">
        <f>E185</f>
        <v>110210000</v>
      </c>
      <c r="F184" s="415">
        <f t="shared" si="11"/>
        <v>107716000</v>
      </c>
      <c r="G184" s="415">
        <f t="shared" si="11"/>
        <v>107716000</v>
      </c>
    </row>
    <row r="185" spans="1:9" s="27" customFormat="1" ht="54" customHeight="1" x14ac:dyDescent="0.2">
      <c r="A185" s="184"/>
      <c r="B185" s="73"/>
      <c r="C185" s="44">
        <v>2409</v>
      </c>
      <c r="D185" s="188" t="s">
        <v>1334</v>
      </c>
      <c r="E185" s="192">
        <f>SUM('SGTO POAI VIGENCIA 2021'!BP302:BP305)</f>
        <v>110210000</v>
      </c>
      <c r="F185" s="192">
        <f>SUM('SGTO POAI VIGENCIA 2021'!BQ302:BQ305)</f>
        <v>107716000</v>
      </c>
      <c r="G185" s="192">
        <f>SUM('SGTO POAI VIGENCIA 2021'!BR302:BR305)</f>
        <v>107716000</v>
      </c>
    </row>
    <row r="186" spans="1:9" s="30" customFormat="1" ht="23.25" customHeight="1" x14ac:dyDescent="0.2">
      <c r="A186" s="9"/>
      <c r="B186" s="9"/>
      <c r="C186" s="9"/>
      <c r="D186" s="10"/>
      <c r="E186" s="175"/>
      <c r="F186" s="175"/>
      <c r="G186" s="175"/>
      <c r="H186" s="14"/>
      <c r="I186" s="14"/>
    </row>
    <row r="187" spans="1:9" s="26" customFormat="1" ht="30" customHeight="1" x14ac:dyDescent="0.25">
      <c r="A187" s="41" t="s">
        <v>1351</v>
      </c>
      <c r="B187" s="41"/>
      <c r="C187" s="41"/>
      <c r="D187" s="41"/>
      <c r="E187" s="250">
        <f>E182+E170+E164</f>
        <v>9907914024.9700012</v>
      </c>
      <c r="F187" s="250">
        <f>F182+F170+F164</f>
        <v>7164500614.1940126</v>
      </c>
      <c r="G187" s="250">
        <f>G182+G170+G164</f>
        <v>6976675351.2625227</v>
      </c>
    </row>
    <row r="188" spans="1:9" s="26" customFormat="1" ht="16.5" thickBot="1" x14ac:dyDescent="0.3">
      <c r="A188" s="24"/>
      <c r="B188" s="24"/>
      <c r="C188" s="24"/>
      <c r="D188" s="25"/>
      <c r="E188" s="176"/>
      <c r="F188" s="176"/>
      <c r="G188" s="176"/>
    </row>
    <row r="189" spans="1:9" s="26" customFormat="1" ht="30" customHeight="1" thickBot="1" x14ac:dyDescent="0.3">
      <c r="A189" s="59" t="s">
        <v>1352</v>
      </c>
      <c r="B189" s="60"/>
      <c r="C189" s="60"/>
      <c r="D189" s="434"/>
      <c r="E189" s="435">
        <f>E162+E187</f>
        <v>329398378156.88</v>
      </c>
      <c r="F189" s="435">
        <f>F162+F187</f>
        <v>293229739975.77405</v>
      </c>
      <c r="G189" s="435">
        <f>G162+G187</f>
        <v>293041914712.84253</v>
      </c>
    </row>
    <row r="191" spans="1:9" ht="28.5" customHeight="1" x14ac:dyDescent="0.2"/>
  </sheetData>
  <mergeCells count="5">
    <mergeCell ref="E5:G5"/>
    <mergeCell ref="A1:G3"/>
    <mergeCell ref="A5:A6"/>
    <mergeCell ref="B5:B6"/>
    <mergeCell ref="C5:D6"/>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I216"/>
  <sheetViews>
    <sheetView showGridLines="0" zoomScale="60" zoomScaleNormal="60" workbookViewId="0">
      <selection sqref="A1:N1"/>
    </sheetView>
  </sheetViews>
  <sheetFormatPr baseColWidth="10" defaultColWidth="11.42578125" defaultRowHeight="15" x14ac:dyDescent="0.2"/>
  <cols>
    <col min="1" max="1" width="15.85546875" style="1" customWidth="1"/>
    <col min="2" max="2" width="18.5703125" style="9" customWidth="1"/>
    <col min="3" max="3" width="13.85546875" style="9" customWidth="1"/>
    <col min="4" max="4" width="15" style="9" customWidth="1"/>
    <col min="5" max="5" width="70.7109375" style="10" customWidth="1"/>
    <col min="6" max="6" width="35.85546875" style="10" customWidth="1"/>
    <col min="7" max="7" width="35.140625" style="16" customWidth="1"/>
    <col min="8" max="8" width="33.5703125" style="2" customWidth="1"/>
    <col min="9" max="9" width="36.28515625" style="2" customWidth="1"/>
    <col min="10" max="10" width="32.140625" style="2" customWidth="1"/>
    <col min="11" max="11" width="33.140625" style="2" customWidth="1"/>
    <col min="12" max="12" width="31.5703125" style="31" customWidth="1"/>
    <col min="13" max="13" width="35.5703125" style="1" customWidth="1"/>
    <col min="14" max="14" width="32.5703125" style="1" customWidth="1"/>
    <col min="15" max="15" width="30.7109375" style="1" customWidth="1"/>
    <col min="16" max="18" width="29.5703125" style="1" customWidth="1"/>
    <col min="19" max="21" width="31.7109375" style="1" customWidth="1"/>
    <col min="22" max="24" width="32.28515625" style="1" customWidth="1"/>
    <col min="25" max="27" width="30.140625" style="1" customWidth="1"/>
    <col min="28" max="30" width="33.7109375" style="1" customWidth="1"/>
    <col min="31" max="16384" width="11.42578125" style="1"/>
  </cols>
  <sheetData>
    <row r="1" spans="1:14" ht="55.5" customHeight="1" x14ac:dyDescent="0.2">
      <c r="A1" s="610" t="s">
        <v>1689</v>
      </c>
      <c r="B1" s="611"/>
      <c r="C1" s="611"/>
      <c r="D1" s="611"/>
      <c r="E1" s="611"/>
      <c r="F1" s="611"/>
      <c r="G1" s="611"/>
      <c r="H1" s="611"/>
      <c r="I1" s="611"/>
      <c r="J1" s="611"/>
      <c r="K1" s="611"/>
      <c r="L1" s="611"/>
      <c r="M1" s="611"/>
      <c r="N1" s="611"/>
    </row>
    <row r="2" spans="1:14" ht="24.75" customHeight="1" x14ac:dyDescent="0.2">
      <c r="A2" s="460"/>
      <c r="B2" s="404"/>
      <c r="C2" s="22"/>
      <c r="D2" s="22"/>
      <c r="E2" s="22"/>
      <c r="F2" s="22"/>
    </row>
    <row r="3" spans="1:14" s="4" customFormat="1" ht="24" customHeight="1" x14ac:dyDescent="0.25">
      <c r="A3" s="608" t="s">
        <v>4</v>
      </c>
      <c r="B3" s="601" t="s">
        <v>5</v>
      </c>
      <c r="C3" s="601" t="s">
        <v>6</v>
      </c>
      <c r="D3" s="601" t="s">
        <v>1355</v>
      </c>
      <c r="E3" s="602" t="s">
        <v>7</v>
      </c>
      <c r="F3" s="587" t="s">
        <v>1356</v>
      </c>
      <c r="G3" s="587"/>
      <c r="H3" s="587"/>
      <c r="I3" s="3"/>
      <c r="J3" s="3"/>
      <c r="K3" s="3"/>
      <c r="L3" s="32"/>
    </row>
    <row r="4" spans="1:14" s="4" customFormat="1" ht="24" customHeight="1" x14ac:dyDescent="0.25">
      <c r="A4" s="609"/>
      <c r="B4" s="601"/>
      <c r="C4" s="601"/>
      <c r="D4" s="601"/>
      <c r="E4" s="602"/>
      <c r="F4" s="447" t="s">
        <v>1641</v>
      </c>
      <c r="G4" s="447" t="s">
        <v>1490</v>
      </c>
      <c r="H4" s="447" t="s">
        <v>1491</v>
      </c>
      <c r="I4" s="3"/>
      <c r="J4" s="3"/>
      <c r="K4" s="3"/>
      <c r="L4" s="32"/>
    </row>
    <row r="5" spans="1:14" s="6" customFormat="1" ht="24" customHeight="1" x14ac:dyDescent="0.25">
      <c r="A5" s="92" t="s">
        <v>36</v>
      </c>
      <c r="B5" s="467"/>
      <c r="C5" s="467"/>
      <c r="D5" s="467"/>
      <c r="E5" s="473"/>
      <c r="F5" s="470">
        <f t="shared" ref="F5:H6" si="0">F6</f>
        <v>457524940</v>
      </c>
      <c r="G5" s="470">
        <f t="shared" si="0"/>
        <v>421596834.77999997</v>
      </c>
      <c r="H5" s="470">
        <f t="shared" si="0"/>
        <v>421596834.77999997</v>
      </c>
      <c r="I5" s="5"/>
      <c r="J5" s="5"/>
      <c r="K5" s="5"/>
      <c r="L5" s="33"/>
    </row>
    <row r="6" spans="1:14" s="6" customFormat="1" ht="24" customHeight="1" x14ac:dyDescent="0.25">
      <c r="A6" s="48"/>
      <c r="B6" s="450">
        <v>4</v>
      </c>
      <c r="C6" s="451" t="s">
        <v>37</v>
      </c>
      <c r="D6" s="451"/>
      <c r="E6" s="451"/>
      <c r="F6" s="453">
        <f t="shared" si="0"/>
        <v>457524940</v>
      </c>
      <c r="G6" s="453">
        <f t="shared" si="0"/>
        <v>421596834.77999997</v>
      </c>
      <c r="H6" s="453">
        <f t="shared" si="0"/>
        <v>421596834.77999997</v>
      </c>
      <c r="I6" s="5"/>
      <c r="J6" s="5"/>
      <c r="K6" s="5"/>
      <c r="L6" s="33"/>
    </row>
    <row r="7" spans="1:14" s="6" customFormat="1" ht="24" customHeight="1" x14ac:dyDescent="0.25">
      <c r="A7" s="48"/>
      <c r="B7" s="45"/>
      <c r="C7" s="422">
        <v>45</v>
      </c>
      <c r="D7" s="413" t="s">
        <v>38</v>
      </c>
      <c r="E7" s="414"/>
      <c r="F7" s="415">
        <f>SUM(F8:F9)</f>
        <v>457524940</v>
      </c>
      <c r="G7" s="415">
        <f>SUM(G8:G9)</f>
        <v>421596834.77999997</v>
      </c>
      <c r="H7" s="415">
        <f>SUM(H8:H9)</f>
        <v>421596834.77999997</v>
      </c>
      <c r="I7" s="5"/>
      <c r="J7" s="5"/>
      <c r="K7" s="5"/>
      <c r="L7" s="33"/>
    </row>
    <row r="8" spans="1:14" ht="52.5" customHeight="1" x14ac:dyDescent="0.2">
      <c r="A8" s="49"/>
      <c r="B8" s="186"/>
      <c r="C8" s="186"/>
      <c r="D8" s="56">
        <v>4599</v>
      </c>
      <c r="E8" s="188" t="s">
        <v>39</v>
      </c>
      <c r="F8" s="192">
        <f>SUM('SGTO POAI VIGENCIA 2021'!BP8:BP10)</f>
        <v>376981574</v>
      </c>
      <c r="G8" s="192">
        <f>SUM('SGTO POAI VIGENCIA 2021'!BQ8:BQ10)</f>
        <v>355164820</v>
      </c>
      <c r="H8" s="192">
        <f>SUM('SGTO POAI VIGENCIA 2021'!BR8:BR10)</f>
        <v>355164820</v>
      </c>
    </row>
    <row r="9" spans="1:14" ht="59.25" customHeight="1" x14ac:dyDescent="0.2">
      <c r="A9" s="49"/>
      <c r="B9" s="186"/>
      <c r="C9" s="186"/>
      <c r="D9" s="56">
        <v>4502</v>
      </c>
      <c r="E9" s="188" t="s">
        <v>60</v>
      </c>
      <c r="F9" s="124">
        <f>'SGTO POAI VIGENCIA 2021'!BP11</f>
        <v>80543366</v>
      </c>
      <c r="G9" s="124">
        <f>'SGTO POAI VIGENCIA 2021'!BQ11</f>
        <v>66432014.780000001</v>
      </c>
      <c r="H9" s="124">
        <f>'SGTO POAI VIGENCIA 2021'!BR11</f>
        <v>66432014.780000001</v>
      </c>
    </row>
    <row r="10" spans="1:14" ht="18" customHeight="1" x14ac:dyDescent="0.2">
      <c r="A10" s="36"/>
      <c r="B10" s="93"/>
      <c r="C10" s="93"/>
      <c r="D10" s="93"/>
      <c r="E10" s="43"/>
      <c r="F10" s="94"/>
    </row>
    <row r="11" spans="1:14" s="4" customFormat="1" ht="24" customHeight="1" x14ac:dyDescent="0.25">
      <c r="A11" s="608" t="s">
        <v>4</v>
      </c>
      <c r="B11" s="601" t="s">
        <v>5</v>
      </c>
      <c r="C11" s="601" t="s">
        <v>6</v>
      </c>
      <c r="D11" s="601" t="s">
        <v>1355</v>
      </c>
      <c r="E11" s="602" t="s">
        <v>7</v>
      </c>
      <c r="F11" s="587" t="s">
        <v>1356</v>
      </c>
      <c r="G11" s="587"/>
      <c r="H11" s="587"/>
      <c r="I11" s="3"/>
      <c r="J11" s="3"/>
      <c r="K11" s="3"/>
      <c r="L11" s="32"/>
    </row>
    <row r="12" spans="1:14" s="4" customFormat="1" ht="24" customHeight="1" x14ac:dyDescent="0.25">
      <c r="A12" s="609"/>
      <c r="B12" s="601"/>
      <c r="C12" s="601"/>
      <c r="D12" s="601"/>
      <c r="E12" s="602"/>
      <c r="F12" s="447" t="s">
        <v>1641</v>
      </c>
      <c r="G12" s="447" t="s">
        <v>1490</v>
      </c>
      <c r="H12" s="447" t="s">
        <v>1491</v>
      </c>
      <c r="I12" s="3"/>
      <c r="J12" s="3"/>
      <c r="K12" s="3"/>
      <c r="L12" s="32"/>
    </row>
    <row r="13" spans="1:14" s="6" customFormat="1" ht="24" customHeight="1" x14ac:dyDescent="0.25">
      <c r="A13" s="41" t="s">
        <v>69</v>
      </c>
      <c r="B13" s="405"/>
      <c r="C13" s="405"/>
      <c r="D13" s="405"/>
      <c r="E13" s="472"/>
      <c r="F13" s="470">
        <f t="shared" ref="F13:H14" si="1">F14</f>
        <v>910965833</v>
      </c>
      <c r="G13" s="470">
        <f t="shared" si="1"/>
        <v>877866456</v>
      </c>
      <c r="H13" s="470">
        <f t="shared" si="1"/>
        <v>877866456</v>
      </c>
      <c r="I13" s="5"/>
      <c r="J13" s="5"/>
      <c r="K13" s="5"/>
      <c r="L13" s="33"/>
    </row>
    <row r="14" spans="1:14" ht="24" customHeight="1" x14ac:dyDescent="0.2">
      <c r="A14" s="49"/>
      <c r="B14" s="450">
        <v>4</v>
      </c>
      <c r="C14" s="451" t="s">
        <v>37</v>
      </c>
      <c r="D14" s="451"/>
      <c r="E14" s="452"/>
      <c r="F14" s="453">
        <f t="shared" si="1"/>
        <v>910965833</v>
      </c>
      <c r="G14" s="453">
        <f t="shared" si="1"/>
        <v>877866456</v>
      </c>
      <c r="H14" s="453">
        <f t="shared" si="1"/>
        <v>877866456</v>
      </c>
    </row>
    <row r="15" spans="1:14" ht="24" customHeight="1" x14ac:dyDescent="0.2">
      <c r="A15" s="49"/>
      <c r="B15" s="45"/>
      <c r="C15" s="422">
        <v>45</v>
      </c>
      <c r="D15" s="413" t="s">
        <v>38</v>
      </c>
      <c r="E15" s="414"/>
      <c r="F15" s="415">
        <f>SUM(F16:F17)</f>
        <v>910965833</v>
      </c>
      <c r="G15" s="415">
        <f>SUM(G16:G17)</f>
        <v>877866456</v>
      </c>
      <c r="H15" s="415">
        <f>SUM(H16:H17)</f>
        <v>877866456</v>
      </c>
    </row>
    <row r="16" spans="1:14" s="27" customFormat="1" ht="58.5" customHeight="1" x14ac:dyDescent="0.2">
      <c r="A16" s="54"/>
      <c r="B16" s="44"/>
      <c r="C16" s="44"/>
      <c r="D16" s="56">
        <v>4502</v>
      </c>
      <c r="E16" s="188" t="s">
        <v>60</v>
      </c>
      <c r="F16" s="192">
        <f>SUM('SGTO POAI VIGENCIA 2021'!BP12:BP13)</f>
        <v>125525000</v>
      </c>
      <c r="G16" s="192">
        <f>SUM('SGTO POAI VIGENCIA 2021'!BQ12:BQ13)</f>
        <v>102033467</v>
      </c>
      <c r="H16" s="192">
        <f>SUM('SGTO POAI VIGENCIA 2021'!BR12:BR13)</f>
        <v>102033467</v>
      </c>
      <c r="L16" s="34"/>
    </row>
    <row r="17" spans="1:24" s="27" customFormat="1" ht="60.75" customHeight="1" x14ac:dyDescent="0.2">
      <c r="A17" s="54"/>
      <c r="B17" s="44"/>
      <c r="C17" s="44"/>
      <c r="D17" s="56">
        <v>4599</v>
      </c>
      <c r="E17" s="188" t="s">
        <v>39</v>
      </c>
      <c r="F17" s="192">
        <f>SUM('SGTO POAI VIGENCIA 2021'!BP14:BP23)</f>
        <v>785440833</v>
      </c>
      <c r="G17" s="192">
        <f>SUM('SGTO POAI VIGENCIA 2021'!BQ14:BQ23)</f>
        <v>775832989</v>
      </c>
      <c r="H17" s="192">
        <f>SUM('SGTO POAI VIGENCIA 2021'!BR14:BR23)</f>
        <v>775832989</v>
      </c>
      <c r="L17" s="34"/>
    </row>
    <row r="18" spans="1:24" ht="18" customHeight="1" x14ac:dyDescent="0.2">
      <c r="A18" s="36"/>
      <c r="B18" s="93"/>
      <c r="C18" s="93"/>
      <c r="D18" s="93"/>
      <c r="E18" s="43"/>
      <c r="F18" s="94"/>
    </row>
    <row r="19" spans="1:24" ht="24" customHeight="1" x14ac:dyDescent="0.2">
      <c r="A19" s="601" t="s">
        <v>4</v>
      </c>
      <c r="B19" s="601" t="s">
        <v>5</v>
      </c>
      <c r="C19" s="601" t="s">
        <v>6</v>
      </c>
      <c r="D19" s="601" t="s">
        <v>1355</v>
      </c>
      <c r="E19" s="602" t="s">
        <v>7</v>
      </c>
      <c r="F19" s="606" t="s">
        <v>1356</v>
      </c>
      <c r="G19" s="604"/>
      <c r="H19" s="605"/>
      <c r="I19" s="603" t="s">
        <v>1357</v>
      </c>
      <c r="J19" s="604"/>
      <c r="K19" s="604"/>
      <c r="L19" s="587" t="s">
        <v>12</v>
      </c>
      <c r="M19" s="587"/>
      <c r="N19" s="587"/>
    </row>
    <row r="20" spans="1:24" ht="24" customHeight="1" x14ac:dyDescent="0.2">
      <c r="A20" s="601"/>
      <c r="B20" s="601"/>
      <c r="C20" s="601"/>
      <c r="D20" s="601"/>
      <c r="E20" s="602"/>
      <c r="F20" s="447" t="s">
        <v>1641</v>
      </c>
      <c r="G20" s="447" t="s">
        <v>1490</v>
      </c>
      <c r="H20" s="447" t="s">
        <v>1491</v>
      </c>
      <c r="I20" s="447" t="s">
        <v>1641</v>
      </c>
      <c r="J20" s="447" t="s">
        <v>1490</v>
      </c>
      <c r="K20" s="447" t="s">
        <v>1491</v>
      </c>
      <c r="L20" s="447" t="s">
        <v>1641</v>
      </c>
      <c r="M20" s="447" t="s">
        <v>1490</v>
      </c>
      <c r="N20" s="447" t="s">
        <v>1491</v>
      </c>
    </row>
    <row r="21" spans="1:24" ht="24" customHeight="1" x14ac:dyDescent="0.2">
      <c r="A21" s="466" t="s">
        <v>1354</v>
      </c>
      <c r="B21" s="467"/>
      <c r="C21" s="467"/>
      <c r="D21" s="467"/>
      <c r="E21" s="468"/>
      <c r="F21" s="470">
        <f t="shared" ref="F21:N23" si="2">F22</f>
        <v>2297395879</v>
      </c>
      <c r="G21" s="470">
        <f t="shared" si="2"/>
        <v>1842253929</v>
      </c>
      <c r="H21" s="470">
        <f t="shared" si="2"/>
        <v>1842253929</v>
      </c>
      <c r="I21" s="470">
        <f t="shared" si="2"/>
        <v>504229463.83999997</v>
      </c>
      <c r="J21" s="470">
        <f t="shared" si="2"/>
        <v>347030689.68000001</v>
      </c>
      <c r="K21" s="470">
        <f t="shared" si="2"/>
        <v>347030689.68000001</v>
      </c>
      <c r="L21" s="470">
        <f t="shared" si="2"/>
        <v>2801625342.8400002</v>
      </c>
      <c r="M21" s="470">
        <f t="shared" si="2"/>
        <v>2189284618.6799998</v>
      </c>
      <c r="N21" s="470">
        <f t="shared" si="2"/>
        <v>2189284618.6799998</v>
      </c>
      <c r="O21" s="2"/>
      <c r="P21" s="31"/>
    </row>
    <row r="22" spans="1:24" ht="24" customHeight="1" x14ac:dyDescent="0.2">
      <c r="A22" s="49"/>
      <c r="B22" s="450">
        <v>4</v>
      </c>
      <c r="C22" s="451" t="s">
        <v>37</v>
      </c>
      <c r="D22" s="451"/>
      <c r="E22" s="452"/>
      <c r="F22" s="453">
        <f>F23</f>
        <v>2297395879</v>
      </c>
      <c r="G22" s="453">
        <f t="shared" si="2"/>
        <v>1842253929</v>
      </c>
      <c r="H22" s="453">
        <f t="shared" si="2"/>
        <v>1842253929</v>
      </c>
      <c r="I22" s="453">
        <f t="shared" si="2"/>
        <v>504229463.83999997</v>
      </c>
      <c r="J22" s="453">
        <f t="shared" si="2"/>
        <v>347030689.68000001</v>
      </c>
      <c r="K22" s="453">
        <f t="shared" si="2"/>
        <v>347030689.68000001</v>
      </c>
      <c r="L22" s="453">
        <f t="shared" si="2"/>
        <v>2801625342.8400002</v>
      </c>
      <c r="M22" s="453">
        <f t="shared" si="2"/>
        <v>2189284618.6799998</v>
      </c>
      <c r="N22" s="453">
        <f t="shared" si="2"/>
        <v>2189284618.6799998</v>
      </c>
      <c r="O22" s="2"/>
      <c r="P22" s="31"/>
    </row>
    <row r="23" spans="1:24" ht="24" customHeight="1" x14ac:dyDescent="0.2">
      <c r="A23" s="49"/>
      <c r="B23" s="45"/>
      <c r="C23" s="422">
        <v>45</v>
      </c>
      <c r="D23" s="413" t="s">
        <v>38</v>
      </c>
      <c r="E23" s="414"/>
      <c r="F23" s="415">
        <f>F24</f>
        <v>2297395879</v>
      </c>
      <c r="G23" s="415">
        <f t="shared" si="2"/>
        <v>1842253929</v>
      </c>
      <c r="H23" s="415">
        <f t="shared" si="2"/>
        <v>1842253929</v>
      </c>
      <c r="I23" s="415">
        <f>I24</f>
        <v>504229463.83999997</v>
      </c>
      <c r="J23" s="415">
        <f t="shared" si="2"/>
        <v>347030689.68000001</v>
      </c>
      <c r="K23" s="415">
        <f t="shared" si="2"/>
        <v>347030689.68000001</v>
      </c>
      <c r="L23" s="415">
        <f t="shared" si="2"/>
        <v>2801625342.8400002</v>
      </c>
      <c r="M23" s="415">
        <f t="shared" si="2"/>
        <v>2189284618.6799998</v>
      </c>
      <c r="N23" s="415">
        <f t="shared" si="2"/>
        <v>2189284618.6799998</v>
      </c>
      <c r="O23" s="2"/>
      <c r="P23" s="31"/>
    </row>
    <row r="24" spans="1:24" ht="54.75" customHeight="1" x14ac:dyDescent="0.2">
      <c r="A24" s="49"/>
      <c r="B24" s="186"/>
      <c r="C24" s="186"/>
      <c r="D24" s="56">
        <v>4599</v>
      </c>
      <c r="E24" s="188" t="s">
        <v>39</v>
      </c>
      <c r="F24" s="192">
        <f>SUM('SGTO POAI VIGENCIA 2021'!BD24:BD25)</f>
        <v>2297395879</v>
      </c>
      <c r="G24" s="192">
        <f>SUM('SGTO POAI VIGENCIA 2021'!BE24:BE25)</f>
        <v>1842253929</v>
      </c>
      <c r="H24" s="192">
        <f>SUM('SGTO POAI VIGENCIA 2021'!BF24:BF25)</f>
        <v>1842253929</v>
      </c>
      <c r="I24" s="192">
        <f>'SGTO POAI VIGENCIA 2021'!BJ24</f>
        <v>504229463.83999997</v>
      </c>
      <c r="J24" s="192">
        <f>'SGTO POAI VIGENCIA 2021'!BK24</f>
        <v>347030689.68000001</v>
      </c>
      <c r="K24" s="192">
        <f>'SGTO POAI VIGENCIA 2021'!BL24</f>
        <v>347030689.68000001</v>
      </c>
      <c r="L24" s="192">
        <f>F24+I24</f>
        <v>2801625342.8400002</v>
      </c>
      <c r="M24" s="192">
        <f>G24+J24</f>
        <v>2189284618.6799998</v>
      </c>
      <c r="N24" s="192">
        <f>H24+K24</f>
        <v>2189284618.6799998</v>
      </c>
      <c r="O24" s="2"/>
      <c r="P24" s="31"/>
    </row>
    <row r="25" spans="1:24" s="7" customFormat="1" x14ac:dyDescent="0.2">
      <c r="A25" s="36"/>
      <c r="B25" s="93"/>
      <c r="C25" s="93"/>
      <c r="D25" s="93"/>
      <c r="E25" s="97"/>
      <c r="F25" s="94"/>
      <c r="G25" s="29"/>
      <c r="H25" s="14"/>
      <c r="I25" s="14"/>
      <c r="J25" s="14"/>
      <c r="K25" s="14"/>
      <c r="L25" s="35"/>
    </row>
    <row r="26" spans="1:24" s="7" customFormat="1" ht="24" customHeight="1" x14ac:dyDescent="0.2">
      <c r="A26" s="601" t="s">
        <v>4</v>
      </c>
      <c r="B26" s="601" t="s">
        <v>5</v>
      </c>
      <c r="C26" s="601" t="s">
        <v>6</v>
      </c>
      <c r="D26" s="601" t="s">
        <v>1355</v>
      </c>
      <c r="E26" s="602" t="s">
        <v>7</v>
      </c>
      <c r="F26" s="599" t="s">
        <v>1500</v>
      </c>
      <c r="G26" s="599"/>
      <c r="H26" s="600"/>
      <c r="I26" s="598" t="s">
        <v>1498</v>
      </c>
      <c r="J26" s="599"/>
      <c r="K26" s="600"/>
      <c r="L26" s="598" t="s">
        <v>1358</v>
      </c>
      <c r="M26" s="599"/>
      <c r="N26" s="599"/>
      <c r="O26" s="587" t="s">
        <v>1359</v>
      </c>
      <c r="P26" s="587"/>
      <c r="Q26" s="587"/>
      <c r="R26" s="587" t="s">
        <v>1503</v>
      </c>
      <c r="S26" s="587"/>
      <c r="T26" s="587"/>
      <c r="U26" s="587" t="s">
        <v>12</v>
      </c>
      <c r="V26" s="587"/>
      <c r="W26" s="587"/>
      <c r="X26" s="35"/>
    </row>
    <row r="27" spans="1:24" s="7" customFormat="1" ht="24" customHeight="1" x14ac:dyDescent="0.2">
      <c r="A27" s="601"/>
      <c r="B27" s="601"/>
      <c r="C27" s="601"/>
      <c r="D27" s="601"/>
      <c r="E27" s="602"/>
      <c r="F27" s="448" t="s">
        <v>1641</v>
      </c>
      <c r="G27" s="447" t="s">
        <v>1490</v>
      </c>
      <c r="H27" s="447" t="s">
        <v>1491</v>
      </c>
      <c r="I27" s="447" t="s">
        <v>1641</v>
      </c>
      <c r="J27" s="447" t="s">
        <v>1490</v>
      </c>
      <c r="K27" s="447" t="s">
        <v>1491</v>
      </c>
      <c r="L27" s="447" t="s">
        <v>1641</v>
      </c>
      <c r="M27" s="447" t="s">
        <v>1490</v>
      </c>
      <c r="N27" s="447" t="s">
        <v>1491</v>
      </c>
      <c r="O27" s="447" t="s">
        <v>1641</v>
      </c>
      <c r="P27" s="447" t="s">
        <v>1490</v>
      </c>
      <c r="Q27" s="447" t="s">
        <v>1491</v>
      </c>
      <c r="R27" s="447" t="s">
        <v>1641</v>
      </c>
      <c r="S27" s="447" t="s">
        <v>1490</v>
      </c>
      <c r="T27" s="447" t="s">
        <v>1491</v>
      </c>
      <c r="U27" s="447" t="s">
        <v>1641</v>
      </c>
      <c r="V27" s="447" t="s">
        <v>1490</v>
      </c>
      <c r="W27" s="447" t="s">
        <v>1491</v>
      </c>
      <c r="X27" s="35"/>
    </row>
    <row r="28" spans="1:24" ht="24" customHeight="1" x14ac:dyDescent="0.2">
      <c r="A28" s="466" t="s">
        <v>135</v>
      </c>
      <c r="B28" s="467"/>
      <c r="C28" s="467"/>
      <c r="D28" s="467"/>
      <c r="E28" s="468"/>
      <c r="F28" s="470">
        <f t="shared" ref="F28:N28" si="3">F29+F43+F51</f>
        <v>5231878639.6000004</v>
      </c>
      <c r="G28" s="470">
        <f t="shared" si="3"/>
        <v>1033262817.51</v>
      </c>
      <c r="H28" s="470">
        <f t="shared" si="3"/>
        <v>1033262817.51</v>
      </c>
      <c r="I28" s="470">
        <f t="shared" si="3"/>
        <v>56108067</v>
      </c>
      <c r="J28" s="470">
        <f t="shared" si="3"/>
        <v>37529205.509999998</v>
      </c>
      <c r="K28" s="470">
        <f t="shared" si="3"/>
        <v>37529205.509999998</v>
      </c>
      <c r="L28" s="470">
        <f t="shared" si="3"/>
        <v>2895159641.6800003</v>
      </c>
      <c r="M28" s="470">
        <f t="shared" si="3"/>
        <v>2895132862</v>
      </c>
      <c r="N28" s="470">
        <f t="shared" si="3"/>
        <v>2895132862</v>
      </c>
      <c r="O28" s="470">
        <f>O29+O43+O51+O40</f>
        <v>3863882240</v>
      </c>
      <c r="P28" s="470">
        <f t="shared" ref="P28:W28" si="4">P29+P43+P51+P40</f>
        <v>965795534.95000005</v>
      </c>
      <c r="Q28" s="470">
        <f t="shared" si="4"/>
        <v>965795534.95000005</v>
      </c>
      <c r="R28" s="470">
        <f t="shared" si="4"/>
        <v>7798323517</v>
      </c>
      <c r="S28" s="470">
        <f t="shared" si="4"/>
        <v>44406667</v>
      </c>
      <c r="T28" s="470">
        <f t="shared" si="4"/>
        <v>44406667</v>
      </c>
      <c r="U28" s="470">
        <f t="shared" si="4"/>
        <v>19845352105.279999</v>
      </c>
      <c r="V28" s="470">
        <f t="shared" si="4"/>
        <v>4976127086.9700003</v>
      </c>
      <c r="W28" s="470">
        <f t="shared" si="4"/>
        <v>4976127086.9700003</v>
      </c>
      <c r="X28" s="31"/>
    </row>
    <row r="29" spans="1:24" ht="24" customHeight="1" x14ac:dyDescent="0.2">
      <c r="A29" s="49"/>
      <c r="B29" s="450">
        <v>1</v>
      </c>
      <c r="C29" s="451" t="s">
        <v>136</v>
      </c>
      <c r="D29" s="451"/>
      <c r="E29" s="452"/>
      <c r="F29" s="453">
        <f>F30+F32+F34+F36+F38</f>
        <v>4526878639.5</v>
      </c>
      <c r="G29" s="453">
        <f>G30+G32+G34+G36+G38</f>
        <v>871702566.50999999</v>
      </c>
      <c r="H29" s="453">
        <f>H30+H32+H34+H36+H38</f>
        <v>871702566.50999999</v>
      </c>
      <c r="I29" s="453"/>
      <c r="J29" s="453"/>
      <c r="K29" s="453"/>
      <c r="L29" s="453">
        <f>L30+L32+L34+L36+L38</f>
        <v>0</v>
      </c>
      <c r="M29" s="453">
        <f>M30+M32+M34+M36+M38</f>
        <v>0</v>
      </c>
      <c r="N29" s="453">
        <f>N30+N32+N34+N36+N38</f>
        <v>0</v>
      </c>
      <c r="O29" s="453">
        <f>O30+O32+O34+O36+O38</f>
        <v>594601769</v>
      </c>
      <c r="P29" s="453">
        <f t="shared" ref="P29:W29" si="5">P30+P32+P34+P36+P38</f>
        <v>81883895</v>
      </c>
      <c r="Q29" s="453">
        <f t="shared" si="5"/>
        <v>81883895</v>
      </c>
      <c r="R29" s="453">
        <f t="shared" si="5"/>
        <v>0</v>
      </c>
      <c r="S29" s="453">
        <f t="shared" si="5"/>
        <v>0</v>
      </c>
      <c r="T29" s="453">
        <f t="shared" si="5"/>
        <v>0</v>
      </c>
      <c r="U29" s="453">
        <f t="shared" si="5"/>
        <v>5121480408.5</v>
      </c>
      <c r="V29" s="453">
        <f t="shared" si="5"/>
        <v>953586461.50999999</v>
      </c>
      <c r="W29" s="453">
        <f t="shared" si="5"/>
        <v>953586461.50999999</v>
      </c>
      <c r="X29" s="31"/>
    </row>
    <row r="30" spans="1:24" ht="24" customHeight="1" x14ac:dyDescent="0.2">
      <c r="A30" s="49"/>
      <c r="B30" s="45"/>
      <c r="C30" s="422">
        <v>12</v>
      </c>
      <c r="D30" s="413" t="s">
        <v>137</v>
      </c>
      <c r="E30" s="413"/>
      <c r="F30" s="461">
        <f>F31</f>
        <v>0</v>
      </c>
      <c r="G30" s="461">
        <f>G31</f>
        <v>0</v>
      </c>
      <c r="H30" s="461">
        <f>H31</f>
        <v>0</v>
      </c>
      <c r="I30" s="461"/>
      <c r="J30" s="461"/>
      <c r="K30" s="461"/>
      <c r="L30" s="461">
        <f t="shared" ref="L30:W30" si="6">L31</f>
        <v>0</v>
      </c>
      <c r="M30" s="461">
        <f t="shared" si="6"/>
        <v>0</v>
      </c>
      <c r="N30" s="461">
        <f t="shared" si="6"/>
        <v>0</v>
      </c>
      <c r="O30" s="461">
        <f t="shared" si="6"/>
        <v>24750000</v>
      </c>
      <c r="P30" s="461">
        <f t="shared" si="6"/>
        <v>22616827</v>
      </c>
      <c r="Q30" s="461">
        <f t="shared" si="6"/>
        <v>22616827</v>
      </c>
      <c r="R30" s="461">
        <f t="shared" si="6"/>
        <v>0</v>
      </c>
      <c r="S30" s="461">
        <f t="shared" si="6"/>
        <v>0</v>
      </c>
      <c r="T30" s="461">
        <f t="shared" si="6"/>
        <v>0</v>
      </c>
      <c r="U30" s="461">
        <f t="shared" si="6"/>
        <v>24750000</v>
      </c>
      <c r="V30" s="461">
        <f t="shared" si="6"/>
        <v>22616827</v>
      </c>
      <c r="W30" s="461">
        <f t="shared" si="6"/>
        <v>22616827</v>
      </c>
      <c r="X30" s="31"/>
    </row>
    <row r="31" spans="1:24" ht="44.25" customHeight="1" x14ac:dyDescent="0.2">
      <c r="A31" s="49"/>
      <c r="B31" s="186"/>
      <c r="C31" s="186"/>
      <c r="D31" s="44">
        <v>1202</v>
      </c>
      <c r="E31" s="188" t="s">
        <v>138</v>
      </c>
      <c r="F31" s="192"/>
      <c r="G31" s="192"/>
      <c r="H31" s="192"/>
      <c r="I31" s="192"/>
      <c r="J31" s="192"/>
      <c r="K31" s="192"/>
      <c r="L31" s="192"/>
      <c r="M31" s="192"/>
      <c r="N31" s="192"/>
      <c r="O31" s="192">
        <f>'SGTO POAI VIGENCIA 2021'!BD26</f>
        <v>24750000</v>
      </c>
      <c r="P31" s="192">
        <f>'SGTO POAI VIGENCIA 2021'!BE26</f>
        <v>22616827</v>
      </c>
      <c r="Q31" s="192">
        <f>'SGTO POAI VIGENCIA 2021'!BF26</f>
        <v>22616827</v>
      </c>
      <c r="R31" s="192"/>
      <c r="S31" s="192"/>
      <c r="T31" s="192"/>
      <c r="U31" s="192">
        <f>F31+L31+O31+I31</f>
        <v>24750000</v>
      </c>
      <c r="V31" s="192">
        <f>G31+M31+P31+J31</f>
        <v>22616827</v>
      </c>
      <c r="W31" s="192">
        <f>H31+N31+Q31+K31</f>
        <v>22616827</v>
      </c>
      <c r="X31" s="31"/>
    </row>
    <row r="32" spans="1:24" ht="24" customHeight="1" x14ac:dyDescent="0.2">
      <c r="A32" s="49"/>
      <c r="B32" s="45"/>
      <c r="C32" s="422">
        <v>19</v>
      </c>
      <c r="D32" s="413" t="s">
        <v>147</v>
      </c>
      <c r="E32" s="414"/>
      <c r="F32" s="415">
        <f>F33</f>
        <v>0</v>
      </c>
      <c r="G32" s="415">
        <f>G33</f>
        <v>0</v>
      </c>
      <c r="H32" s="415">
        <f>H33</f>
        <v>0</v>
      </c>
      <c r="I32" s="415"/>
      <c r="J32" s="415"/>
      <c r="K32" s="415"/>
      <c r="L32" s="415">
        <f t="shared" ref="L32:Q32" si="7">L33</f>
        <v>0</v>
      </c>
      <c r="M32" s="415">
        <f t="shared" si="7"/>
        <v>0</v>
      </c>
      <c r="N32" s="415">
        <f t="shared" si="7"/>
        <v>0</v>
      </c>
      <c r="O32" s="415">
        <f t="shared" si="7"/>
        <v>459746979</v>
      </c>
      <c r="P32" s="415">
        <f t="shared" si="7"/>
        <v>6880000</v>
      </c>
      <c r="Q32" s="415">
        <f t="shared" si="7"/>
        <v>6880000</v>
      </c>
      <c r="R32" s="415"/>
      <c r="S32" s="415"/>
      <c r="T32" s="415"/>
      <c r="U32" s="415">
        <f>U33</f>
        <v>459746979</v>
      </c>
      <c r="V32" s="415">
        <f>V33</f>
        <v>6880000</v>
      </c>
      <c r="W32" s="415">
        <f>W33</f>
        <v>6880000</v>
      </c>
      <c r="X32" s="31"/>
    </row>
    <row r="33" spans="1:24" ht="42.75" customHeight="1" x14ac:dyDescent="0.2">
      <c r="A33" s="49"/>
      <c r="B33" s="186"/>
      <c r="C33" s="186"/>
      <c r="D33" s="44">
        <v>1906</v>
      </c>
      <c r="E33" s="188" t="s">
        <v>148</v>
      </c>
      <c r="F33" s="192"/>
      <c r="G33" s="192"/>
      <c r="H33" s="192"/>
      <c r="I33" s="192"/>
      <c r="J33" s="192"/>
      <c r="K33" s="192"/>
      <c r="L33" s="192"/>
      <c r="M33" s="192"/>
      <c r="N33" s="192"/>
      <c r="O33" s="192">
        <f>'SGTO POAI VIGENCIA 2021'!BD27</f>
        <v>459746979</v>
      </c>
      <c r="P33" s="192">
        <f>'SGTO POAI VIGENCIA 2021'!BE27</f>
        <v>6880000</v>
      </c>
      <c r="Q33" s="192">
        <f>'SGTO POAI VIGENCIA 2021'!BF27</f>
        <v>6880000</v>
      </c>
      <c r="R33" s="192"/>
      <c r="S33" s="192"/>
      <c r="T33" s="192"/>
      <c r="U33" s="192">
        <f>F33+L33+O33+I33</f>
        <v>459746979</v>
      </c>
      <c r="V33" s="192">
        <f>G33+M33+P33+J33</f>
        <v>6880000</v>
      </c>
      <c r="W33" s="192">
        <f>H33+N33+Q33+K33</f>
        <v>6880000</v>
      </c>
      <c r="X33" s="31"/>
    </row>
    <row r="34" spans="1:24" ht="24" customHeight="1" x14ac:dyDescent="0.2">
      <c r="A34" s="49"/>
      <c r="B34" s="45"/>
      <c r="C34" s="422">
        <v>22</v>
      </c>
      <c r="D34" s="413" t="s">
        <v>156</v>
      </c>
      <c r="E34" s="419"/>
      <c r="F34" s="462">
        <f>F35</f>
        <v>1765974462.4000001</v>
      </c>
      <c r="G34" s="462">
        <f>G35</f>
        <v>298522254</v>
      </c>
      <c r="H34" s="462">
        <f>H35</f>
        <v>298522254</v>
      </c>
      <c r="I34" s="462"/>
      <c r="J34" s="462"/>
      <c r="K34" s="462"/>
      <c r="L34" s="462">
        <f t="shared" ref="L34:Q34" si="8">L35</f>
        <v>0</v>
      </c>
      <c r="M34" s="462">
        <f t="shared" si="8"/>
        <v>0</v>
      </c>
      <c r="N34" s="462">
        <f t="shared" si="8"/>
        <v>0</v>
      </c>
      <c r="O34" s="462">
        <f t="shared" si="8"/>
        <v>0</v>
      </c>
      <c r="P34" s="462">
        <f t="shared" si="8"/>
        <v>0</v>
      </c>
      <c r="Q34" s="462">
        <f t="shared" si="8"/>
        <v>0</v>
      </c>
      <c r="R34" s="462"/>
      <c r="S34" s="462"/>
      <c r="T34" s="462"/>
      <c r="U34" s="462">
        <f>U35</f>
        <v>1765974462.4000001</v>
      </c>
      <c r="V34" s="462">
        <f>V35</f>
        <v>298522254</v>
      </c>
      <c r="W34" s="462">
        <f>W35</f>
        <v>298522254</v>
      </c>
      <c r="X34" s="31"/>
    </row>
    <row r="35" spans="1:24" ht="52.5" customHeight="1" x14ac:dyDescent="0.2">
      <c r="A35" s="49"/>
      <c r="B35" s="186"/>
      <c r="C35" s="186"/>
      <c r="D35" s="44">
        <v>2201</v>
      </c>
      <c r="E35" s="188" t="s">
        <v>157</v>
      </c>
      <c r="F35" s="192">
        <f>'SGTO POAI VIGENCIA 2021'!Z28</f>
        <v>1765974462.4000001</v>
      </c>
      <c r="G35" s="192">
        <f>'SGTO POAI VIGENCIA 2021'!AA28</f>
        <v>298522254</v>
      </c>
      <c r="H35" s="192">
        <f>'SGTO POAI VIGENCIA 2021'!AB28</f>
        <v>298522254</v>
      </c>
      <c r="I35" s="192"/>
      <c r="J35" s="192"/>
      <c r="K35" s="192"/>
      <c r="L35" s="192"/>
      <c r="M35" s="192"/>
      <c r="N35" s="192"/>
      <c r="O35" s="192"/>
      <c r="P35" s="192"/>
      <c r="Q35" s="192"/>
      <c r="R35" s="192"/>
      <c r="S35" s="192"/>
      <c r="T35" s="192"/>
      <c r="U35" s="192">
        <f>F35+L35+O35+I35</f>
        <v>1765974462.4000001</v>
      </c>
      <c r="V35" s="192">
        <f>G35+M35+P35+J35</f>
        <v>298522254</v>
      </c>
      <c r="W35" s="192">
        <f>H35+N35+Q35+K35</f>
        <v>298522254</v>
      </c>
      <c r="X35" s="31"/>
    </row>
    <row r="36" spans="1:24" ht="24" customHeight="1" x14ac:dyDescent="0.2">
      <c r="A36" s="49"/>
      <c r="B36" s="45"/>
      <c r="C36" s="422">
        <v>33</v>
      </c>
      <c r="D36" s="418" t="s">
        <v>166</v>
      </c>
      <c r="E36" s="419"/>
      <c r="F36" s="462">
        <f>SUM(F37)</f>
        <v>0</v>
      </c>
      <c r="G36" s="462">
        <f>SUM(G37)</f>
        <v>0</v>
      </c>
      <c r="H36" s="462">
        <f>SUM(H37)</f>
        <v>0</v>
      </c>
      <c r="I36" s="462"/>
      <c r="J36" s="462"/>
      <c r="K36" s="462"/>
      <c r="L36" s="462">
        <f t="shared" ref="L36:Q36" si="9">SUM(L37)</f>
        <v>0</v>
      </c>
      <c r="M36" s="462">
        <f t="shared" si="9"/>
        <v>0</v>
      </c>
      <c r="N36" s="462">
        <f t="shared" si="9"/>
        <v>0</v>
      </c>
      <c r="O36" s="462">
        <f t="shared" si="9"/>
        <v>110104790</v>
      </c>
      <c r="P36" s="462">
        <f t="shared" si="9"/>
        <v>52387068</v>
      </c>
      <c r="Q36" s="462">
        <f t="shared" si="9"/>
        <v>52387068</v>
      </c>
      <c r="R36" s="462"/>
      <c r="S36" s="462"/>
      <c r="T36" s="462"/>
      <c r="U36" s="462">
        <f>SUM(U37)</f>
        <v>110104790</v>
      </c>
      <c r="V36" s="462">
        <f>SUM(V37)</f>
        <v>52387068</v>
      </c>
      <c r="W36" s="462">
        <f>SUM(W37)</f>
        <v>52387068</v>
      </c>
      <c r="X36" s="31"/>
    </row>
    <row r="37" spans="1:24" ht="48" customHeight="1" x14ac:dyDescent="0.2">
      <c r="A37" s="49"/>
      <c r="B37" s="186"/>
      <c r="C37" s="186"/>
      <c r="D37" s="44">
        <v>3301</v>
      </c>
      <c r="E37" s="188" t="s">
        <v>167</v>
      </c>
      <c r="F37" s="192"/>
      <c r="G37" s="192"/>
      <c r="H37" s="192"/>
      <c r="I37" s="192"/>
      <c r="J37" s="192"/>
      <c r="K37" s="192"/>
      <c r="L37" s="192"/>
      <c r="M37" s="192"/>
      <c r="N37" s="192"/>
      <c r="O37" s="192">
        <f>'SGTO POAI VIGENCIA 2021'!BD29</f>
        <v>110104790</v>
      </c>
      <c r="P37" s="192">
        <f>'SGTO POAI VIGENCIA 2021'!BE29</f>
        <v>52387068</v>
      </c>
      <c r="Q37" s="192">
        <f>'SGTO POAI VIGENCIA 2021'!BF29</f>
        <v>52387068</v>
      </c>
      <c r="R37" s="192"/>
      <c r="S37" s="192"/>
      <c r="T37" s="192"/>
      <c r="U37" s="192">
        <f>F37+L37+O37+I37</f>
        <v>110104790</v>
      </c>
      <c r="V37" s="192">
        <f>G37+M37+P37+J37</f>
        <v>52387068</v>
      </c>
      <c r="W37" s="192">
        <f>H37+N37+Q37+K37</f>
        <v>52387068</v>
      </c>
      <c r="X37" s="31"/>
    </row>
    <row r="38" spans="1:24" ht="24" customHeight="1" x14ac:dyDescent="0.2">
      <c r="A38" s="49"/>
      <c r="B38" s="45"/>
      <c r="C38" s="422">
        <v>43</v>
      </c>
      <c r="D38" s="413" t="s">
        <v>176</v>
      </c>
      <c r="E38" s="463"/>
      <c r="F38" s="461">
        <f>SUM(F39)</f>
        <v>2760904177.1000004</v>
      </c>
      <c r="G38" s="461">
        <f>SUM(G39)</f>
        <v>573180312.50999999</v>
      </c>
      <c r="H38" s="461">
        <f>SUM(H39)</f>
        <v>573180312.50999999</v>
      </c>
      <c r="I38" s="461"/>
      <c r="J38" s="461"/>
      <c r="K38" s="461"/>
      <c r="L38" s="461">
        <f t="shared" ref="L38:Q38" si="10">SUM(L39)</f>
        <v>0</v>
      </c>
      <c r="M38" s="461">
        <f t="shared" si="10"/>
        <v>0</v>
      </c>
      <c r="N38" s="461">
        <f t="shared" si="10"/>
        <v>0</v>
      </c>
      <c r="O38" s="461">
        <f t="shared" si="10"/>
        <v>0</v>
      </c>
      <c r="P38" s="461">
        <f t="shared" si="10"/>
        <v>0</v>
      </c>
      <c r="Q38" s="461">
        <f t="shared" si="10"/>
        <v>0</v>
      </c>
      <c r="R38" s="461"/>
      <c r="S38" s="461"/>
      <c r="T38" s="461"/>
      <c r="U38" s="461">
        <f>SUM(U39)</f>
        <v>2760904177.1000004</v>
      </c>
      <c r="V38" s="461">
        <f>SUM(V39)</f>
        <v>573180312.50999999</v>
      </c>
      <c r="W38" s="461">
        <f>SUM(W39)</f>
        <v>573180312.50999999</v>
      </c>
      <c r="X38" s="31"/>
    </row>
    <row r="39" spans="1:24" ht="69.75" customHeight="1" x14ac:dyDescent="0.2">
      <c r="A39" s="49"/>
      <c r="B39" s="186"/>
      <c r="C39" s="186"/>
      <c r="D39" s="44">
        <v>4301</v>
      </c>
      <c r="E39" s="188" t="s">
        <v>177</v>
      </c>
      <c r="F39" s="192">
        <f>'SGTO POAI VIGENCIA 2021'!Z30</f>
        <v>2760904177.1000004</v>
      </c>
      <c r="G39" s="192">
        <f>'SGTO POAI VIGENCIA 2021'!AA30</f>
        <v>573180312.50999999</v>
      </c>
      <c r="H39" s="192">
        <f>'SGTO POAI VIGENCIA 2021'!AB30</f>
        <v>573180312.50999999</v>
      </c>
      <c r="I39" s="192"/>
      <c r="J39" s="192"/>
      <c r="K39" s="192"/>
      <c r="L39" s="192"/>
      <c r="M39" s="192"/>
      <c r="N39" s="192"/>
      <c r="O39" s="192"/>
      <c r="P39" s="192"/>
      <c r="Q39" s="192"/>
      <c r="R39" s="192"/>
      <c r="S39" s="192"/>
      <c r="T39" s="192"/>
      <c r="U39" s="192">
        <f>F39+L39+O39+I39</f>
        <v>2760904177.1000004</v>
      </c>
      <c r="V39" s="192">
        <f>G39+M39+P39+J39</f>
        <v>573180312.50999999</v>
      </c>
      <c r="W39" s="192">
        <f>H39+N39+Q39+K39</f>
        <v>573180312.50999999</v>
      </c>
      <c r="X39" s="36"/>
    </row>
    <row r="40" spans="1:24" ht="30" customHeight="1" x14ac:dyDescent="0.2">
      <c r="B40" s="458">
        <v>2</v>
      </c>
      <c r="C40" s="459" t="s">
        <v>400</v>
      </c>
      <c r="D40" s="451"/>
      <c r="E40" s="451"/>
      <c r="F40" s="453">
        <f t="shared" ref="F40:O41" si="11">F41</f>
        <v>0</v>
      </c>
      <c r="G40" s="453">
        <f t="shared" si="11"/>
        <v>0</v>
      </c>
      <c r="H40" s="453">
        <f t="shared" si="11"/>
        <v>0</v>
      </c>
      <c r="I40" s="453">
        <f t="shared" si="11"/>
        <v>0</v>
      </c>
      <c r="J40" s="453">
        <f t="shared" si="11"/>
        <v>0</v>
      </c>
      <c r="K40" s="453">
        <f t="shared" si="11"/>
        <v>0</v>
      </c>
      <c r="L40" s="453">
        <f t="shared" si="11"/>
        <v>0</v>
      </c>
      <c r="M40" s="453">
        <f t="shared" si="11"/>
        <v>0</v>
      </c>
      <c r="N40" s="453">
        <f t="shared" si="11"/>
        <v>0</v>
      </c>
      <c r="O40" s="453">
        <f t="shared" si="11"/>
        <v>1</v>
      </c>
      <c r="P40" s="453">
        <f t="shared" ref="P40:W41" si="12">P41</f>
        <v>0</v>
      </c>
      <c r="Q40" s="453">
        <f t="shared" si="12"/>
        <v>0</v>
      </c>
      <c r="R40" s="453">
        <f t="shared" si="12"/>
        <v>0</v>
      </c>
      <c r="S40" s="453">
        <f t="shared" si="12"/>
        <v>0</v>
      </c>
      <c r="T40" s="453">
        <f t="shared" si="12"/>
        <v>0</v>
      </c>
      <c r="U40" s="453">
        <f t="shared" si="12"/>
        <v>1</v>
      </c>
      <c r="V40" s="453">
        <f t="shared" si="12"/>
        <v>0</v>
      </c>
      <c r="W40" s="453">
        <f t="shared" si="12"/>
        <v>0</v>
      </c>
    </row>
    <row r="41" spans="1:24" ht="27.75" customHeight="1" x14ac:dyDescent="0.2">
      <c r="A41" s="375"/>
      <c r="B41" s="374"/>
      <c r="C41" s="420">
        <v>35</v>
      </c>
      <c r="D41" s="413" t="s">
        <v>401</v>
      </c>
      <c r="E41" s="464"/>
      <c r="F41" s="429">
        <f t="shared" si="11"/>
        <v>0</v>
      </c>
      <c r="G41" s="429">
        <f t="shared" si="11"/>
        <v>0</v>
      </c>
      <c r="H41" s="429">
        <f t="shared" si="11"/>
        <v>0</v>
      </c>
      <c r="I41" s="429">
        <f t="shared" si="11"/>
        <v>0</v>
      </c>
      <c r="J41" s="429">
        <f t="shared" si="11"/>
        <v>0</v>
      </c>
      <c r="K41" s="429">
        <f t="shared" si="11"/>
        <v>0</v>
      </c>
      <c r="L41" s="429">
        <f t="shared" si="11"/>
        <v>0</v>
      </c>
      <c r="M41" s="429">
        <f t="shared" si="11"/>
        <v>0</v>
      </c>
      <c r="N41" s="429">
        <f t="shared" si="11"/>
        <v>0</v>
      </c>
      <c r="O41" s="429">
        <f t="shared" si="11"/>
        <v>1</v>
      </c>
      <c r="P41" s="429">
        <f t="shared" si="12"/>
        <v>0</v>
      </c>
      <c r="Q41" s="429">
        <f t="shared" si="12"/>
        <v>0</v>
      </c>
      <c r="R41" s="429">
        <f t="shared" si="12"/>
        <v>0</v>
      </c>
      <c r="S41" s="429">
        <f t="shared" si="12"/>
        <v>0</v>
      </c>
      <c r="T41" s="429">
        <f t="shared" si="12"/>
        <v>0</v>
      </c>
      <c r="U41" s="429">
        <f t="shared" si="12"/>
        <v>1</v>
      </c>
      <c r="V41" s="429">
        <f t="shared" si="12"/>
        <v>0</v>
      </c>
      <c r="W41" s="429">
        <f t="shared" si="12"/>
        <v>0</v>
      </c>
    </row>
    <row r="42" spans="1:24" ht="65.25" customHeight="1" x14ac:dyDescent="0.2">
      <c r="B42" s="186"/>
      <c r="C42" s="186"/>
      <c r="D42" s="376">
        <v>3502</v>
      </c>
      <c r="E42" s="214" t="s">
        <v>1680</v>
      </c>
      <c r="F42" s="215"/>
      <c r="G42" s="215"/>
      <c r="H42" s="215"/>
      <c r="I42" s="375"/>
      <c r="J42" s="375"/>
      <c r="K42" s="375"/>
      <c r="L42" s="375"/>
      <c r="M42" s="375"/>
      <c r="N42" s="375"/>
      <c r="O42" s="192">
        <f>'SGTO POAI VIGENCIA 2021'!BP31</f>
        <v>1</v>
      </c>
      <c r="P42" s="192">
        <f>'SGTO POAI VIGENCIA 2021'!BQ31</f>
        <v>0</v>
      </c>
      <c r="Q42" s="192">
        <f>'SGTO POAI VIGENCIA 2021'!BR31</f>
        <v>0</v>
      </c>
      <c r="R42" s="375"/>
      <c r="S42" s="375"/>
      <c r="T42" s="375"/>
      <c r="U42" s="192">
        <f>F42+L42+O42+I42</f>
        <v>1</v>
      </c>
      <c r="V42" s="192">
        <f>G42+M42+P42+J42</f>
        <v>0</v>
      </c>
      <c r="W42" s="192">
        <f>H42+N42+Q42+K42</f>
        <v>0</v>
      </c>
    </row>
    <row r="43" spans="1:24" ht="24" customHeight="1" x14ac:dyDescent="0.2">
      <c r="A43" s="49"/>
      <c r="B43" s="450">
        <v>3</v>
      </c>
      <c r="C43" s="451" t="s">
        <v>186</v>
      </c>
      <c r="D43" s="451"/>
      <c r="E43" s="456"/>
      <c r="F43" s="457">
        <f t="shared" ref="F43:W43" si="13">F44+F46+F48</f>
        <v>705000000.10000002</v>
      </c>
      <c r="G43" s="457">
        <f t="shared" si="13"/>
        <v>161560251</v>
      </c>
      <c r="H43" s="457">
        <f t="shared" si="13"/>
        <v>161560251</v>
      </c>
      <c r="I43" s="457">
        <f t="shared" si="13"/>
        <v>56108067</v>
      </c>
      <c r="J43" s="457">
        <f t="shared" si="13"/>
        <v>37529205.509999998</v>
      </c>
      <c r="K43" s="457">
        <f t="shared" si="13"/>
        <v>37529205.509999998</v>
      </c>
      <c r="L43" s="457">
        <f t="shared" si="13"/>
        <v>2895159641.6800003</v>
      </c>
      <c r="M43" s="457">
        <f t="shared" si="13"/>
        <v>2895132862</v>
      </c>
      <c r="N43" s="457">
        <f t="shared" si="13"/>
        <v>2895132862</v>
      </c>
      <c r="O43" s="457">
        <f t="shared" si="13"/>
        <v>3019284071</v>
      </c>
      <c r="P43" s="457">
        <f t="shared" si="13"/>
        <v>719956873.27999997</v>
      </c>
      <c r="Q43" s="457">
        <f t="shared" si="13"/>
        <v>719956873.27999997</v>
      </c>
      <c r="R43" s="457">
        <f t="shared" si="13"/>
        <v>7798323517</v>
      </c>
      <c r="S43" s="457">
        <f t="shared" si="13"/>
        <v>44406667</v>
      </c>
      <c r="T43" s="457">
        <f t="shared" si="13"/>
        <v>44406667</v>
      </c>
      <c r="U43" s="457">
        <f t="shared" si="13"/>
        <v>14473875296.780001</v>
      </c>
      <c r="V43" s="457">
        <f t="shared" si="13"/>
        <v>3858585858.79</v>
      </c>
      <c r="W43" s="457">
        <f t="shared" si="13"/>
        <v>3858585858.79</v>
      </c>
      <c r="X43" s="36"/>
    </row>
    <row r="44" spans="1:24" ht="24" customHeight="1" x14ac:dyDescent="0.2">
      <c r="A44" s="49"/>
      <c r="B44" s="45"/>
      <c r="C44" s="420">
        <v>24</v>
      </c>
      <c r="D44" s="413" t="s">
        <v>187</v>
      </c>
      <c r="E44" s="414"/>
      <c r="F44" s="415">
        <f>F45</f>
        <v>0</v>
      </c>
      <c r="G44" s="415">
        <f>G45</f>
        <v>0</v>
      </c>
      <c r="H44" s="415">
        <f>H45</f>
        <v>0</v>
      </c>
      <c r="I44" s="415"/>
      <c r="J44" s="415"/>
      <c r="K44" s="415"/>
      <c r="L44" s="415">
        <f t="shared" ref="L44:Q44" si="14">L45</f>
        <v>0</v>
      </c>
      <c r="M44" s="415">
        <f t="shared" si="14"/>
        <v>0</v>
      </c>
      <c r="N44" s="415">
        <f t="shared" si="14"/>
        <v>0</v>
      </c>
      <c r="O44" s="415">
        <f t="shared" si="14"/>
        <v>792284071</v>
      </c>
      <c r="P44" s="415">
        <f t="shared" si="14"/>
        <v>325025003</v>
      </c>
      <c r="Q44" s="415">
        <f t="shared" si="14"/>
        <v>325025003</v>
      </c>
      <c r="R44" s="415">
        <f t="shared" ref="R44:W44" si="15">R45</f>
        <v>7798323517</v>
      </c>
      <c r="S44" s="415">
        <f t="shared" si="15"/>
        <v>44406667</v>
      </c>
      <c r="T44" s="415">
        <f t="shared" si="15"/>
        <v>44406667</v>
      </c>
      <c r="U44" s="415">
        <f t="shared" si="15"/>
        <v>8590607588</v>
      </c>
      <c r="V44" s="415">
        <f t="shared" si="15"/>
        <v>369431670</v>
      </c>
      <c r="W44" s="415">
        <f t="shared" si="15"/>
        <v>369431670</v>
      </c>
      <c r="X44" s="36"/>
    </row>
    <row r="45" spans="1:24" ht="48" customHeight="1" x14ac:dyDescent="0.2">
      <c r="A45" s="49"/>
      <c r="B45" s="186"/>
      <c r="C45" s="186"/>
      <c r="D45" s="44">
        <v>2402</v>
      </c>
      <c r="E45" s="188" t="s">
        <v>188</v>
      </c>
      <c r="F45" s="192"/>
      <c r="G45" s="192"/>
      <c r="H45" s="192"/>
      <c r="I45" s="192"/>
      <c r="J45" s="192"/>
      <c r="K45" s="192"/>
      <c r="L45" s="192"/>
      <c r="M45" s="192"/>
      <c r="N45" s="192"/>
      <c r="O45" s="192">
        <f>SUM('SGTO POAI VIGENCIA 2021'!BD32:BD34)</f>
        <v>792284071</v>
      </c>
      <c r="P45" s="192">
        <f>SUM('SGTO POAI VIGENCIA 2021'!BE32:BE34)</f>
        <v>325025003</v>
      </c>
      <c r="Q45" s="192">
        <f>SUM('SGTO POAI VIGENCIA 2021'!BF32:BF34)</f>
        <v>325025003</v>
      </c>
      <c r="R45" s="192">
        <f>SUM('SGTO POAI VIGENCIA 2021'!BJ32:BJ34)</f>
        <v>7798323517</v>
      </c>
      <c r="S45" s="192">
        <f>SUM('SGTO POAI VIGENCIA 2021'!BK32:BK34)</f>
        <v>44406667</v>
      </c>
      <c r="T45" s="192">
        <f>SUM('SGTO POAI VIGENCIA 2021'!BL32:BL34)</f>
        <v>44406667</v>
      </c>
      <c r="U45" s="192">
        <f>O45+R45</f>
        <v>8590607588</v>
      </c>
      <c r="V45" s="192">
        <f>P45+S45</f>
        <v>369431670</v>
      </c>
      <c r="W45" s="192">
        <f>Q45+T45</f>
        <v>369431670</v>
      </c>
      <c r="X45" s="36"/>
    </row>
    <row r="46" spans="1:24" ht="24" customHeight="1" x14ac:dyDescent="0.2">
      <c r="A46" s="49"/>
      <c r="B46" s="45"/>
      <c r="C46" s="422">
        <v>32</v>
      </c>
      <c r="D46" s="413" t="s">
        <v>207</v>
      </c>
      <c r="E46" s="463"/>
      <c r="F46" s="461">
        <f t="shared" ref="F46:Q46" si="16">F47</f>
        <v>0</v>
      </c>
      <c r="G46" s="461">
        <f t="shared" si="16"/>
        <v>0</v>
      </c>
      <c r="H46" s="461">
        <f t="shared" si="16"/>
        <v>0</v>
      </c>
      <c r="I46" s="461">
        <f t="shared" si="16"/>
        <v>56108067</v>
      </c>
      <c r="J46" s="461">
        <f t="shared" si="16"/>
        <v>37529205.509999998</v>
      </c>
      <c r="K46" s="461">
        <f t="shared" si="16"/>
        <v>37529205.509999998</v>
      </c>
      <c r="L46" s="461">
        <f t="shared" si="16"/>
        <v>0</v>
      </c>
      <c r="M46" s="461">
        <f t="shared" si="16"/>
        <v>0</v>
      </c>
      <c r="N46" s="461">
        <f t="shared" si="16"/>
        <v>0</v>
      </c>
      <c r="O46" s="461">
        <f t="shared" si="16"/>
        <v>2207000000</v>
      </c>
      <c r="P46" s="461">
        <f t="shared" si="16"/>
        <v>394931870.27999997</v>
      </c>
      <c r="Q46" s="461">
        <f t="shared" si="16"/>
        <v>394931870.27999997</v>
      </c>
      <c r="R46" s="461"/>
      <c r="S46" s="461"/>
      <c r="T46" s="461"/>
      <c r="U46" s="461">
        <f>U47</f>
        <v>2263108067</v>
      </c>
      <c r="V46" s="461">
        <f>V47</f>
        <v>432461075.78999996</v>
      </c>
      <c r="W46" s="461">
        <f>W47</f>
        <v>432461075.78999996</v>
      </c>
      <c r="X46" s="36"/>
    </row>
    <row r="47" spans="1:24" ht="41.25" customHeight="1" x14ac:dyDescent="0.2">
      <c r="A47" s="49"/>
      <c r="B47" s="186"/>
      <c r="C47" s="186"/>
      <c r="D47" s="44">
        <v>3205</v>
      </c>
      <c r="E47" s="188" t="s">
        <v>208</v>
      </c>
      <c r="F47" s="192"/>
      <c r="G47" s="192"/>
      <c r="H47" s="192"/>
      <c r="I47" s="192">
        <f>SUM('SGTO POAI VIGENCIA 2021'!AF35:AF36)</f>
        <v>56108067</v>
      </c>
      <c r="J47" s="192">
        <f>SUM('SGTO POAI VIGENCIA 2021'!AG35:AG36)</f>
        <v>37529205.509999998</v>
      </c>
      <c r="K47" s="192">
        <f>SUM('SGTO POAI VIGENCIA 2021'!AH35:AH36)</f>
        <v>37529205.509999998</v>
      </c>
      <c r="L47" s="192"/>
      <c r="M47" s="192"/>
      <c r="N47" s="192"/>
      <c r="O47" s="192">
        <f>SUM('SGTO POAI VIGENCIA 2021'!BD35:BD36)</f>
        <v>2207000000</v>
      </c>
      <c r="P47" s="192">
        <f>SUM('SGTO POAI VIGENCIA 2021'!BE35:BE36)</f>
        <v>394931870.27999997</v>
      </c>
      <c r="Q47" s="192">
        <f>SUM('SGTO POAI VIGENCIA 2021'!BF35:BF36)</f>
        <v>394931870.27999997</v>
      </c>
      <c r="R47" s="192"/>
      <c r="S47" s="192"/>
      <c r="T47" s="192"/>
      <c r="U47" s="192">
        <f>F47+L47+O47+I47</f>
        <v>2263108067</v>
      </c>
      <c r="V47" s="192">
        <f>G47+M47+P47+J47</f>
        <v>432461075.78999996</v>
      </c>
      <c r="W47" s="192">
        <f>H47+N47+Q47+K47</f>
        <v>432461075.78999996</v>
      </c>
      <c r="X47" s="36"/>
    </row>
    <row r="48" spans="1:24" ht="24" customHeight="1" x14ac:dyDescent="0.2">
      <c r="A48" s="49"/>
      <c r="B48" s="45"/>
      <c r="C48" s="422">
        <v>40</v>
      </c>
      <c r="D48" s="413" t="s">
        <v>221</v>
      </c>
      <c r="E48" s="463"/>
      <c r="F48" s="461">
        <f>SUM(F49:F50)</f>
        <v>705000000.10000002</v>
      </c>
      <c r="G48" s="461">
        <f>SUM(G49:G50)</f>
        <v>161560251</v>
      </c>
      <c r="H48" s="461">
        <f>SUM(H49:H50)</f>
        <v>161560251</v>
      </c>
      <c r="I48" s="461"/>
      <c r="J48" s="461"/>
      <c r="K48" s="461"/>
      <c r="L48" s="461">
        <f t="shared" ref="L48:Q48" si="17">SUM(L49:L50)</f>
        <v>2895159641.6800003</v>
      </c>
      <c r="M48" s="461">
        <f t="shared" si="17"/>
        <v>2895132862</v>
      </c>
      <c r="N48" s="461">
        <f t="shared" si="17"/>
        <v>2895132862</v>
      </c>
      <c r="O48" s="461">
        <f t="shared" si="17"/>
        <v>20000000</v>
      </c>
      <c r="P48" s="461">
        <f t="shared" si="17"/>
        <v>0</v>
      </c>
      <c r="Q48" s="461">
        <f t="shared" si="17"/>
        <v>0</v>
      </c>
      <c r="R48" s="461"/>
      <c r="S48" s="461"/>
      <c r="T48" s="461"/>
      <c r="U48" s="461">
        <f>SUM(U49:U50)</f>
        <v>3620159641.7800002</v>
      </c>
      <c r="V48" s="461">
        <f>SUM(V49:V50)</f>
        <v>3056693113</v>
      </c>
      <c r="W48" s="461">
        <f>SUM(W49:W50)</f>
        <v>3056693113</v>
      </c>
      <c r="X48" s="36"/>
    </row>
    <row r="49" spans="1:24" ht="42" customHeight="1" x14ac:dyDescent="0.2">
      <c r="A49" s="49"/>
      <c r="B49" s="186"/>
      <c r="C49" s="186"/>
      <c r="D49" s="44">
        <v>4001</v>
      </c>
      <c r="E49" s="188" t="s">
        <v>222</v>
      </c>
      <c r="F49" s="192">
        <f>'SGTO POAI VIGENCIA 2021'!Z37</f>
        <v>100000000.09999999</v>
      </c>
      <c r="G49" s="192">
        <f>'SGTO POAI VIGENCIA 2021'!AA37</f>
        <v>0</v>
      </c>
      <c r="H49" s="192">
        <f>'SGTO POAI VIGENCIA 2021'!AB37</f>
        <v>0</v>
      </c>
      <c r="I49" s="192"/>
      <c r="J49" s="192"/>
      <c r="K49" s="192"/>
      <c r="L49" s="192"/>
      <c r="M49" s="192"/>
      <c r="N49" s="192"/>
      <c r="O49" s="192">
        <f>'SGTO POAI VIGENCIA 2021'!BD37</f>
        <v>20000000</v>
      </c>
      <c r="P49" s="192">
        <f>'SGTO POAI VIGENCIA 2021'!BE37</f>
        <v>0</v>
      </c>
      <c r="Q49" s="192">
        <f>'SGTO POAI VIGENCIA 2021'!BF37</f>
        <v>0</v>
      </c>
      <c r="R49" s="192"/>
      <c r="S49" s="192"/>
      <c r="T49" s="192"/>
      <c r="U49" s="192">
        <f t="shared" ref="U49:W50" si="18">F49+L49+O49+I49</f>
        <v>120000000.09999999</v>
      </c>
      <c r="V49" s="192">
        <f t="shared" si="18"/>
        <v>0</v>
      </c>
      <c r="W49" s="192">
        <f t="shared" si="18"/>
        <v>0</v>
      </c>
      <c r="X49" s="36"/>
    </row>
    <row r="50" spans="1:24" ht="51.75" customHeight="1" x14ac:dyDescent="0.2">
      <c r="A50" s="49"/>
      <c r="B50" s="186"/>
      <c r="C50" s="186"/>
      <c r="D50" s="44">
        <v>4003</v>
      </c>
      <c r="E50" s="188" t="s">
        <v>230</v>
      </c>
      <c r="F50" s="192">
        <f>SUM('SGTO POAI VIGENCIA 2021'!Z38:Z43)</f>
        <v>605000000</v>
      </c>
      <c r="G50" s="192">
        <f>SUM('SGTO POAI VIGENCIA 2021'!AA38:AA43)</f>
        <v>161560251</v>
      </c>
      <c r="H50" s="192">
        <f>SUM('SGTO POAI VIGENCIA 2021'!AB38:AB43)</f>
        <v>161560251</v>
      </c>
      <c r="I50" s="192"/>
      <c r="J50" s="192"/>
      <c r="K50" s="192"/>
      <c r="L50" s="192">
        <f>SUM('SGTO POAI VIGENCIA 2021'!BA38:BA43)</f>
        <v>2895159641.6800003</v>
      </c>
      <c r="M50" s="192">
        <f>SUM('SGTO POAI VIGENCIA 2021'!BB38:BB43)</f>
        <v>2895132862</v>
      </c>
      <c r="N50" s="192">
        <f>SUM('SGTO POAI VIGENCIA 2021'!BC38:BC43)</f>
        <v>2895132862</v>
      </c>
      <c r="O50" s="192">
        <f>SUM('SGTO POAI VIGENCIA 2021'!BD38:BD43)</f>
        <v>0</v>
      </c>
      <c r="P50" s="192">
        <f>SUM('SGTO POAI VIGENCIA 2021'!BE38:BE43)</f>
        <v>0</v>
      </c>
      <c r="Q50" s="192">
        <f>SUM('SGTO POAI VIGENCIA 2021'!BF38:BF43)</f>
        <v>0</v>
      </c>
      <c r="R50" s="192"/>
      <c r="S50" s="192"/>
      <c r="T50" s="192"/>
      <c r="U50" s="192">
        <f t="shared" si="18"/>
        <v>3500159641.6800003</v>
      </c>
      <c r="V50" s="192">
        <f t="shared" si="18"/>
        <v>3056693113</v>
      </c>
      <c r="W50" s="192">
        <f t="shared" si="18"/>
        <v>3056693113</v>
      </c>
      <c r="X50" s="36"/>
    </row>
    <row r="51" spans="1:24" ht="24" customHeight="1" x14ac:dyDescent="0.2">
      <c r="A51" s="49"/>
      <c r="B51" s="450">
        <v>4</v>
      </c>
      <c r="C51" s="451" t="s">
        <v>37</v>
      </c>
      <c r="D51" s="451"/>
      <c r="E51" s="452"/>
      <c r="F51" s="453">
        <f>F52</f>
        <v>0</v>
      </c>
      <c r="G51" s="453">
        <f>G52</f>
        <v>0</v>
      </c>
      <c r="H51" s="453">
        <f>H52</f>
        <v>0</v>
      </c>
      <c r="I51" s="453"/>
      <c r="J51" s="453"/>
      <c r="K51" s="453"/>
      <c r="L51" s="453">
        <f t="shared" ref="L51:Q51" si="19">L52</f>
        <v>0</v>
      </c>
      <c r="M51" s="453">
        <f t="shared" si="19"/>
        <v>0</v>
      </c>
      <c r="N51" s="453">
        <f t="shared" si="19"/>
        <v>0</v>
      </c>
      <c r="O51" s="453">
        <f t="shared" si="19"/>
        <v>249996399</v>
      </c>
      <c r="P51" s="453">
        <f t="shared" si="19"/>
        <v>163954766.67000002</v>
      </c>
      <c r="Q51" s="453">
        <f t="shared" si="19"/>
        <v>163954766.67000002</v>
      </c>
      <c r="R51" s="453"/>
      <c r="S51" s="453"/>
      <c r="T51" s="453"/>
      <c r="U51" s="453">
        <f>U52</f>
        <v>249996399</v>
      </c>
      <c r="V51" s="453">
        <f>V52</f>
        <v>163954766.67000002</v>
      </c>
      <c r="W51" s="453">
        <f>W52</f>
        <v>163954766.67000002</v>
      </c>
      <c r="X51" s="36"/>
    </row>
    <row r="52" spans="1:24" ht="24" customHeight="1" x14ac:dyDescent="0.2">
      <c r="A52" s="49"/>
      <c r="B52" s="55"/>
      <c r="C52" s="422">
        <v>45</v>
      </c>
      <c r="D52" s="413" t="s">
        <v>38</v>
      </c>
      <c r="E52" s="414"/>
      <c r="F52" s="415">
        <f>SUM(F53:F54)</f>
        <v>0</v>
      </c>
      <c r="G52" s="415">
        <f>SUM(G53:G54)</f>
        <v>0</v>
      </c>
      <c r="H52" s="415">
        <f>SUM(H53:H54)</f>
        <v>0</v>
      </c>
      <c r="I52" s="415"/>
      <c r="J52" s="415"/>
      <c r="K52" s="415"/>
      <c r="L52" s="415">
        <f t="shared" ref="L52:Q52" si="20">SUM(L53:L54)</f>
        <v>0</v>
      </c>
      <c r="M52" s="415">
        <f t="shared" si="20"/>
        <v>0</v>
      </c>
      <c r="N52" s="415">
        <f t="shared" si="20"/>
        <v>0</v>
      </c>
      <c r="O52" s="415">
        <f t="shared" si="20"/>
        <v>249996399</v>
      </c>
      <c r="P52" s="415">
        <f t="shared" si="20"/>
        <v>163954766.67000002</v>
      </c>
      <c r="Q52" s="415">
        <f t="shared" si="20"/>
        <v>163954766.67000002</v>
      </c>
      <c r="R52" s="415"/>
      <c r="S52" s="415"/>
      <c r="T52" s="415"/>
      <c r="U52" s="415">
        <f>SUM(U53:U54)</f>
        <v>249996399</v>
      </c>
      <c r="V52" s="415">
        <f>SUM(V53:V54)</f>
        <v>163954766.67000002</v>
      </c>
      <c r="W52" s="415">
        <f>SUM(W53:W54)</f>
        <v>163954766.67000002</v>
      </c>
      <c r="X52" s="36"/>
    </row>
    <row r="53" spans="1:24" ht="69" customHeight="1" x14ac:dyDescent="0.2">
      <c r="A53" s="49"/>
      <c r="B53" s="186"/>
      <c r="C53" s="186"/>
      <c r="D53" s="44">
        <v>4599</v>
      </c>
      <c r="E53" s="188" t="s">
        <v>39</v>
      </c>
      <c r="F53" s="192"/>
      <c r="G53" s="192"/>
      <c r="H53" s="192"/>
      <c r="I53" s="192"/>
      <c r="J53" s="192"/>
      <c r="K53" s="192"/>
      <c r="L53" s="192"/>
      <c r="M53" s="192"/>
      <c r="N53" s="192"/>
      <c r="O53" s="192">
        <f>'SGTO POAI VIGENCIA 2021'!BD44</f>
        <v>218394939</v>
      </c>
      <c r="P53" s="192">
        <f>'SGTO POAI VIGENCIA 2021'!BE44</f>
        <v>132461956</v>
      </c>
      <c r="Q53" s="192">
        <f>'SGTO POAI VIGENCIA 2021'!BF44</f>
        <v>132461956</v>
      </c>
      <c r="R53" s="192"/>
      <c r="S53" s="192"/>
      <c r="T53" s="192"/>
      <c r="U53" s="192">
        <f t="shared" ref="U53:W54" si="21">F53+L53+O53+I53</f>
        <v>218394939</v>
      </c>
      <c r="V53" s="192">
        <f t="shared" si="21"/>
        <v>132461956</v>
      </c>
      <c r="W53" s="192">
        <f t="shared" si="21"/>
        <v>132461956</v>
      </c>
      <c r="X53" s="36"/>
    </row>
    <row r="54" spans="1:24" ht="51.75" customHeight="1" x14ac:dyDescent="0.2">
      <c r="A54" s="49"/>
      <c r="B54" s="186"/>
      <c r="C54" s="186"/>
      <c r="D54" s="44">
        <v>4502</v>
      </c>
      <c r="E54" s="188" t="s">
        <v>60</v>
      </c>
      <c r="F54" s="192"/>
      <c r="G54" s="192"/>
      <c r="H54" s="192"/>
      <c r="I54" s="192"/>
      <c r="J54" s="192"/>
      <c r="K54" s="192"/>
      <c r="L54" s="192"/>
      <c r="M54" s="192"/>
      <c r="N54" s="192"/>
      <c r="O54" s="192">
        <f>'SGTO POAI VIGENCIA 2021'!BD45</f>
        <v>31601460</v>
      </c>
      <c r="P54" s="192">
        <f>'SGTO POAI VIGENCIA 2021'!BE45</f>
        <v>31492810.670000002</v>
      </c>
      <c r="Q54" s="192">
        <f>'SGTO POAI VIGENCIA 2021'!BF45</f>
        <v>31492810.670000002</v>
      </c>
      <c r="R54" s="192"/>
      <c r="S54" s="192"/>
      <c r="T54" s="192"/>
      <c r="U54" s="192">
        <f t="shared" si="21"/>
        <v>31601460</v>
      </c>
      <c r="V54" s="192">
        <f t="shared" si="21"/>
        <v>31492810.670000002</v>
      </c>
      <c r="W54" s="192">
        <f t="shared" si="21"/>
        <v>31492810.670000002</v>
      </c>
      <c r="X54" s="31"/>
    </row>
    <row r="55" spans="1:24" s="7" customFormat="1" x14ac:dyDescent="0.2">
      <c r="A55" s="36"/>
      <c r="B55" s="93"/>
      <c r="C55" s="93"/>
      <c r="D55" s="93"/>
      <c r="E55" s="97"/>
      <c r="F55" s="94"/>
      <c r="G55" s="29"/>
      <c r="H55" s="14"/>
      <c r="I55" s="14"/>
      <c r="J55" s="14"/>
      <c r="K55" s="14"/>
      <c r="L55" s="35"/>
    </row>
    <row r="56" spans="1:24" ht="24" customHeight="1" x14ac:dyDescent="0.2">
      <c r="A56" s="601" t="s">
        <v>4</v>
      </c>
      <c r="B56" s="601" t="s">
        <v>5</v>
      </c>
      <c r="C56" s="601" t="s">
        <v>6</v>
      </c>
      <c r="D56" s="601" t="s">
        <v>1355</v>
      </c>
      <c r="E56" s="602" t="s">
        <v>7</v>
      </c>
      <c r="F56" s="606" t="s">
        <v>1360</v>
      </c>
      <c r="G56" s="604"/>
      <c r="H56" s="605"/>
      <c r="I56" s="603" t="s">
        <v>1356</v>
      </c>
      <c r="J56" s="604"/>
      <c r="K56" s="605"/>
      <c r="L56" s="603" t="s">
        <v>12</v>
      </c>
      <c r="M56" s="604"/>
      <c r="N56" s="605"/>
      <c r="O56" s="2"/>
      <c r="P56" s="31"/>
    </row>
    <row r="57" spans="1:24" ht="24" customHeight="1" x14ac:dyDescent="0.2">
      <c r="A57" s="601"/>
      <c r="B57" s="601"/>
      <c r="C57" s="601"/>
      <c r="D57" s="601"/>
      <c r="E57" s="602"/>
      <c r="F57" s="447" t="s">
        <v>1641</v>
      </c>
      <c r="G57" s="447" t="s">
        <v>1490</v>
      </c>
      <c r="H57" s="447" t="s">
        <v>1491</v>
      </c>
      <c r="I57" s="447" t="s">
        <v>1641</v>
      </c>
      <c r="J57" s="447" t="s">
        <v>1490</v>
      </c>
      <c r="K57" s="447" t="s">
        <v>1491</v>
      </c>
      <c r="L57" s="447" t="s">
        <v>1641</v>
      </c>
      <c r="M57" s="447" t="s">
        <v>1490</v>
      </c>
      <c r="N57" s="447" t="s">
        <v>1491</v>
      </c>
      <c r="O57" s="2"/>
      <c r="P57" s="31"/>
    </row>
    <row r="58" spans="1:24" ht="24" customHeight="1" x14ac:dyDescent="0.2">
      <c r="A58" s="466" t="s">
        <v>261</v>
      </c>
      <c r="B58" s="467"/>
      <c r="C58" s="467"/>
      <c r="D58" s="467"/>
      <c r="E58" s="468"/>
      <c r="F58" s="406">
        <f t="shared" ref="F58:N58" si="22">F59+F71+F76</f>
        <v>4387879528.3299999</v>
      </c>
      <c r="G58" s="406">
        <f t="shared" si="22"/>
        <v>1133578214.1599998</v>
      </c>
      <c r="H58" s="406">
        <f t="shared" si="22"/>
        <v>1133578214.1599998</v>
      </c>
      <c r="I58" s="406">
        <f t="shared" si="22"/>
        <v>2055842480</v>
      </c>
      <c r="J58" s="406">
        <f t="shared" si="22"/>
        <v>1449716665.01</v>
      </c>
      <c r="K58" s="406">
        <f t="shared" si="22"/>
        <v>1449716665.01</v>
      </c>
      <c r="L58" s="406">
        <f t="shared" si="22"/>
        <v>6443722008.3299999</v>
      </c>
      <c r="M58" s="406">
        <f t="shared" si="22"/>
        <v>2583294879.1700001</v>
      </c>
      <c r="N58" s="406">
        <f t="shared" si="22"/>
        <v>2583294879.1700001</v>
      </c>
      <c r="O58" s="16"/>
      <c r="P58" s="31"/>
    </row>
    <row r="59" spans="1:24" ht="24" customHeight="1" x14ac:dyDescent="0.2">
      <c r="A59" s="49"/>
      <c r="B59" s="450">
        <v>1</v>
      </c>
      <c r="C59" s="451" t="s">
        <v>136</v>
      </c>
      <c r="D59" s="451"/>
      <c r="E59" s="452"/>
      <c r="F59" s="453">
        <f t="shared" ref="F59:N59" si="23">F60+F64+F66+F69</f>
        <v>4387879528.3299999</v>
      </c>
      <c r="G59" s="453">
        <f t="shared" si="23"/>
        <v>1133578214.1599998</v>
      </c>
      <c r="H59" s="453">
        <f t="shared" si="23"/>
        <v>1133578214.1599998</v>
      </c>
      <c r="I59" s="453">
        <f t="shared" si="23"/>
        <v>893050643</v>
      </c>
      <c r="J59" s="453">
        <f t="shared" si="23"/>
        <v>717981616.95000005</v>
      </c>
      <c r="K59" s="453">
        <f t="shared" si="23"/>
        <v>717981616.95000005</v>
      </c>
      <c r="L59" s="453">
        <f t="shared" si="23"/>
        <v>5280930171.3299999</v>
      </c>
      <c r="M59" s="453">
        <f t="shared" si="23"/>
        <v>1851559831.1099999</v>
      </c>
      <c r="N59" s="453">
        <f t="shared" si="23"/>
        <v>1851559831.1099999</v>
      </c>
      <c r="O59" s="2"/>
      <c r="P59" s="31"/>
    </row>
    <row r="60" spans="1:24" ht="24" customHeight="1" x14ac:dyDescent="0.2">
      <c r="A60" s="49"/>
      <c r="B60" s="55"/>
      <c r="C60" s="422">
        <v>12</v>
      </c>
      <c r="D60" s="413" t="s">
        <v>137</v>
      </c>
      <c r="E60" s="413"/>
      <c r="F60" s="415">
        <f t="shared" ref="F60:N60" si="24">SUM(F61:F63)</f>
        <v>0</v>
      </c>
      <c r="G60" s="415">
        <f t="shared" si="24"/>
        <v>0</v>
      </c>
      <c r="H60" s="415">
        <f t="shared" si="24"/>
        <v>0</v>
      </c>
      <c r="I60" s="415">
        <f t="shared" si="24"/>
        <v>232578401</v>
      </c>
      <c r="J60" s="415">
        <f t="shared" si="24"/>
        <v>204899055</v>
      </c>
      <c r="K60" s="415">
        <f t="shared" si="24"/>
        <v>204899055</v>
      </c>
      <c r="L60" s="415">
        <f t="shared" si="24"/>
        <v>232578401</v>
      </c>
      <c r="M60" s="415">
        <f t="shared" si="24"/>
        <v>204899055</v>
      </c>
      <c r="N60" s="415">
        <f t="shared" si="24"/>
        <v>204899055</v>
      </c>
      <c r="O60" s="2"/>
      <c r="P60" s="31"/>
    </row>
    <row r="61" spans="1:24" ht="31.5" customHeight="1" x14ac:dyDescent="0.2">
      <c r="A61" s="49"/>
      <c r="B61" s="186"/>
      <c r="C61" s="186"/>
      <c r="D61" s="44">
        <v>1202</v>
      </c>
      <c r="E61" s="188" t="s">
        <v>138</v>
      </c>
      <c r="F61" s="192"/>
      <c r="G61" s="192"/>
      <c r="H61" s="192"/>
      <c r="I61" s="192">
        <f>'SGTO POAI VIGENCIA 2021'!BD46</f>
        <v>135355000</v>
      </c>
      <c r="J61" s="192">
        <f>'SGTO POAI VIGENCIA 2021'!BE46</f>
        <v>129803000</v>
      </c>
      <c r="K61" s="192">
        <f>'SGTO POAI VIGENCIA 2021'!BF46</f>
        <v>129803000</v>
      </c>
      <c r="L61" s="192">
        <f>F61+I61</f>
        <v>135355000</v>
      </c>
      <c r="M61" s="192">
        <f t="shared" ref="M61:N63" si="25">G61+J61</f>
        <v>129803000</v>
      </c>
      <c r="N61" s="192">
        <f t="shared" si="25"/>
        <v>129803000</v>
      </c>
      <c r="O61" s="2"/>
      <c r="P61" s="31"/>
    </row>
    <row r="62" spans="1:24" ht="36.75" customHeight="1" x14ac:dyDescent="0.2">
      <c r="A62" s="49"/>
      <c r="B62" s="186"/>
      <c r="C62" s="186"/>
      <c r="D62" s="44">
        <v>1203</v>
      </c>
      <c r="E62" s="188" t="s">
        <v>265</v>
      </c>
      <c r="F62" s="192"/>
      <c r="G62" s="192"/>
      <c r="H62" s="192"/>
      <c r="I62" s="192">
        <f>SUM('SGTO POAI VIGENCIA 2021'!BD47)</f>
        <v>67223401</v>
      </c>
      <c r="J62" s="192">
        <f>SUM('SGTO POAI VIGENCIA 2021'!BE47)</f>
        <v>65096055</v>
      </c>
      <c r="K62" s="192">
        <f>SUM('SGTO POAI VIGENCIA 2021'!BF47)</f>
        <v>65096055</v>
      </c>
      <c r="L62" s="192">
        <f>F62+I62</f>
        <v>67223401</v>
      </c>
      <c r="M62" s="192">
        <f t="shared" si="25"/>
        <v>65096055</v>
      </c>
      <c r="N62" s="192">
        <f t="shared" si="25"/>
        <v>65096055</v>
      </c>
      <c r="O62" s="2"/>
      <c r="P62" s="31"/>
    </row>
    <row r="63" spans="1:24" ht="57" customHeight="1" x14ac:dyDescent="0.2">
      <c r="A63" s="49"/>
      <c r="B63" s="186"/>
      <c r="C63" s="186"/>
      <c r="D63" s="44">
        <v>1206</v>
      </c>
      <c r="E63" s="188" t="s">
        <v>271</v>
      </c>
      <c r="F63" s="192"/>
      <c r="G63" s="192"/>
      <c r="H63" s="192"/>
      <c r="I63" s="192">
        <f>SUM('SGTO POAI VIGENCIA 2021'!BD48)</f>
        <v>30000000</v>
      </c>
      <c r="J63" s="192">
        <f>SUM('SGTO POAI VIGENCIA 2021'!BE48)</f>
        <v>10000000</v>
      </c>
      <c r="K63" s="192">
        <f>SUM('SGTO POAI VIGENCIA 2021'!BF48)</f>
        <v>10000000</v>
      </c>
      <c r="L63" s="192">
        <f>F63+I63</f>
        <v>30000000</v>
      </c>
      <c r="M63" s="192">
        <f t="shared" si="25"/>
        <v>10000000</v>
      </c>
      <c r="N63" s="192">
        <f t="shared" si="25"/>
        <v>10000000</v>
      </c>
      <c r="O63" s="2"/>
      <c r="P63" s="31"/>
    </row>
    <row r="64" spans="1:24" ht="24" customHeight="1" x14ac:dyDescent="0.2">
      <c r="A64" s="49"/>
      <c r="B64" s="45"/>
      <c r="C64" s="422">
        <v>22</v>
      </c>
      <c r="D64" s="413" t="s">
        <v>156</v>
      </c>
      <c r="E64" s="465"/>
      <c r="F64" s="462">
        <f t="shared" ref="F64:N64" si="26">F65</f>
        <v>0</v>
      </c>
      <c r="G64" s="462">
        <f t="shared" si="26"/>
        <v>0</v>
      </c>
      <c r="H64" s="462">
        <f t="shared" si="26"/>
        <v>0</v>
      </c>
      <c r="I64" s="462">
        <f t="shared" si="26"/>
        <v>74287500</v>
      </c>
      <c r="J64" s="462">
        <f t="shared" si="26"/>
        <v>61854666</v>
      </c>
      <c r="K64" s="462">
        <f t="shared" si="26"/>
        <v>61854666</v>
      </c>
      <c r="L64" s="462">
        <f t="shared" si="26"/>
        <v>74287500</v>
      </c>
      <c r="M64" s="462">
        <f t="shared" si="26"/>
        <v>61854666</v>
      </c>
      <c r="N64" s="462">
        <f t="shared" si="26"/>
        <v>61854666</v>
      </c>
      <c r="O64" s="2"/>
      <c r="P64" s="31"/>
    </row>
    <row r="65" spans="1:22" ht="64.5" customHeight="1" x14ac:dyDescent="0.2">
      <c r="A65" s="49"/>
      <c r="B65" s="186"/>
      <c r="C65" s="186"/>
      <c r="D65" s="44">
        <v>2201</v>
      </c>
      <c r="E65" s="188" t="s">
        <v>277</v>
      </c>
      <c r="F65" s="192"/>
      <c r="G65" s="192"/>
      <c r="H65" s="192"/>
      <c r="I65" s="192">
        <f>'SGTO POAI VIGENCIA 2021'!BD49</f>
        <v>74287500</v>
      </c>
      <c r="J65" s="192">
        <f>'SGTO POAI VIGENCIA 2021'!BE49</f>
        <v>61854666</v>
      </c>
      <c r="K65" s="192">
        <f>'SGTO POAI VIGENCIA 2021'!BF49</f>
        <v>61854666</v>
      </c>
      <c r="L65" s="192">
        <f>F65+I65</f>
        <v>74287500</v>
      </c>
      <c r="M65" s="192">
        <f>G65+J65</f>
        <v>61854666</v>
      </c>
      <c r="N65" s="192">
        <f>H65+K65</f>
        <v>61854666</v>
      </c>
      <c r="O65" s="2"/>
      <c r="P65" s="31"/>
    </row>
    <row r="66" spans="1:22" ht="24" customHeight="1" x14ac:dyDescent="0.2">
      <c r="A66" s="49"/>
      <c r="B66" s="45"/>
      <c r="C66" s="422">
        <v>41</v>
      </c>
      <c r="D66" s="413" t="s">
        <v>284</v>
      </c>
      <c r="E66" s="413"/>
      <c r="F66" s="415">
        <f t="shared" ref="F66:N66" si="27">SUM(F67:F68)</f>
        <v>0</v>
      </c>
      <c r="G66" s="415">
        <f t="shared" si="27"/>
        <v>0</v>
      </c>
      <c r="H66" s="415">
        <f t="shared" si="27"/>
        <v>0</v>
      </c>
      <c r="I66" s="415">
        <f t="shared" si="27"/>
        <v>536684742</v>
      </c>
      <c r="J66" s="415">
        <f t="shared" si="27"/>
        <v>404311396.94999999</v>
      </c>
      <c r="K66" s="415">
        <f t="shared" si="27"/>
        <v>404311396.94999999</v>
      </c>
      <c r="L66" s="415">
        <f t="shared" si="27"/>
        <v>536684742</v>
      </c>
      <c r="M66" s="415">
        <f t="shared" si="27"/>
        <v>404311396.94999999</v>
      </c>
      <c r="N66" s="415">
        <f t="shared" si="27"/>
        <v>404311396.94999999</v>
      </c>
      <c r="O66" s="2"/>
      <c r="P66" s="31"/>
    </row>
    <row r="67" spans="1:22" ht="41.25" customHeight="1" x14ac:dyDescent="0.2">
      <c r="A67" s="49"/>
      <c r="B67" s="186"/>
      <c r="C67" s="186"/>
      <c r="D67" s="44">
        <v>4101</v>
      </c>
      <c r="E67" s="188" t="s">
        <v>285</v>
      </c>
      <c r="F67" s="192"/>
      <c r="G67" s="192"/>
      <c r="H67" s="192"/>
      <c r="I67" s="192">
        <f>SUM('SGTO POAI VIGENCIA 2021'!BD50:BD54)</f>
        <v>502657113</v>
      </c>
      <c r="J67" s="192">
        <f>SUM('SGTO POAI VIGENCIA 2021'!BE50:BE54)</f>
        <v>388019267.94999999</v>
      </c>
      <c r="K67" s="192">
        <f>SUM('SGTO POAI VIGENCIA 2021'!BF50:BF54)</f>
        <v>388019267.94999999</v>
      </c>
      <c r="L67" s="192">
        <f t="shared" ref="L67:N68" si="28">F67+I67</f>
        <v>502657113</v>
      </c>
      <c r="M67" s="192">
        <f t="shared" si="28"/>
        <v>388019267.94999999</v>
      </c>
      <c r="N67" s="192">
        <f t="shared" si="28"/>
        <v>388019267.94999999</v>
      </c>
      <c r="O67" s="2"/>
      <c r="P67" s="31"/>
    </row>
    <row r="68" spans="1:22" ht="51" customHeight="1" x14ac:dyDescent="0.2">
      <c r="A68" s="49"/>
      <c r="B68" s="186"/>
      <c r="C68" s="186"/>
      <c r="D68" s="44">
        <v>4103</v>
      </c>
      <c r="E68" s="188" t="s">
        <v>302</v>
      </c>
      <c r="F68" s="192"/>
      <c r="G68" s="192"/>
      <c r="H68" s="192"/>
      <c r="I68" s="192">
        <f>SUM('SGTO POAI VIGENCIA 2021'!BD55)</f>
        <v>34027629</v>
      </c>
      <c r="J68" s="192">
        <f>SUM('SGTO POAI VIGENCIA 2021'!BE55)</f>
        <v>16292129</v>
      </c>
      <c r="K68" s="192">
        <f>SUM('SGTO POAI VIGENCIA 2021'!BF55)</f>
        <v>16292129</v>
      </c>
      <c r="L68" s="192">
        <f t="shared" si="28"/>
        <v>34027629</v>
      </c>
      <c r="M68" s="192">
        <f t="shared" si="28"/>
        <v>16292129</v>
      </c>
      <c r="N68" s="192">
        <f t="shared" si="28"/>
        <v>16292129</v>
      </c>
      <c r="P68" s="36"/>
    </row>
    <row r="69" spans="1:22" ht="24" customHeight="1" x14ac:dyDescent="0.2">
      <c r="A69" s="49"/>
      <c r="B69" s="45"/>
      <c r="C69" s="422">
        <v>45</v>
      </c>
      <c r="D69" s="413" t="s">
        <v>38</v>
      </c>
      <c r="E69" s="413"/>
      <c r="F69" s="415">
        <f t="shared" ref="F69:N69" si="29">F70</f>
        <v>4387879528.3299999</v>
      </c>
      <c r="G69" s="415">
        <f t="shared" si="29"/>
        <v>1133578214.1599998</v>
      </c>
      <c r="H69" s="415">
        <f t="shared" si="29"/>
        <v>1133578214.1599998</v>
      </c>
      <c r="I69" s="415">
        <f t="shared" si="29"/>
        <v>49500000</v>
      </c>
      <c r="J69" s="415">
        <f t="shared" si="29"/>
        <v>46916499</v>
      </c>
      <c r="K69" s="415">
        <f t="shared" si="29"/>
        <v>46916499</v>
      </c>
      <c r="L69" s="415">
        <f t="shared" si="29"/>
        <v>4437379528.3299999</v>
      </c>
      <c r="M69" s="415">
        <f t="shared" si="29"/>
        <v>1180494713.1599998</v>
      </c>
      <c r="N69" s="415">
        <f t="shared" si="29"/>
        <v>1180494713.1599998</v>
      </c>
      <c r="P69" s="36"/>
    </row>
    <row r="70" spans="1:22" s="20" customFormat="1" ht="42" customHeight="1" x14ac:dyDescent="0.25">
      <c r="A70" s="228"/>
      <c r="B70" s="45"/>
      <c r="C70" s="45"/>
      <c r="D70" s="44">
        <v>4501</v>
      </c>
      <c r="E70" s="249" t="s">
        <v>311</v>
      </c>
      <c r="F70" s="192">
        <f>SUM('SGTO POAI VIGENCIA 2021'!AC56:AC57)</f>
        <v>4387879528.3299999</v>
      </c>
      <c r="G70" s="192">
        <f>SUM('SGTO POAI VIGENCIA 2021'!AD56:AD57)</f>
        <v>1133578214.1599998</v>
      </c>
      <c r="H70" s="192">
        <f>SUM('SGTO POAI VIGENCIA 2021'!AE56:AE57)</f>
        <v>1133578214.1599998</v>
      </c>
      <c r="I70" s="192">
        <f>SUM('SGTO POAI VIGENCIA 2021'!BD56:BD57)</f>
        <v>49500000</v>
      </c>
      <c r="J70" s="192">
        <f>SUM('SGTO POAI VIGENCIA 2021'!BE56:BE57)</f>
        <v>46916499</v>
      </c>
      <c r="K70" s="192">
        <f>SUM('SGTO POAI VIGENCIA 2021'!BF56:BF57)</f>
        <v>46916499</v>
      </c>
      <c r="L70" s="251">
        <f>F70+I70</f>
        <v>4437379528.3299999</v>
      </c>
      <c r="M70" s="251">
        <f>G70+J70</f>
        <v>1180494713.1599998</v>
      </c>
      <c r="N70" s="251">
        <f>H70+K70</f>
        <v>1180494713.1599998</v>
      </c>
      <c r="P70" s="230"/>
    </row>
    <row r="71" spans="1:22" ht="24" customHeight="1" x14ac:dyDescent="0.2">
      <c r="A71" s="49"/>
      <c r="B71" s="450">
        <v>3</v>
      </c>
      <c r="C71" s="451" t="s">
        <v>186</v>
      </c>
      <c r="D71" s="451"/>
      <c r="E71" s="452"/>
      <c r="F71" s="453">
        <f t="shared" ref="F71:N71" si="30">F72+F74</f>
        <v>0</v>
      </c>
      <c r="G71" s="453">
        <f t="shared" si="30"/>
        <v>0</v>
      </c>
      <c r="H71" s="453">
        <f t="shared" si="30"/>
        <v>0</v>
      </c>
      <c r="I71" s="453">
        <f t="shared" si="30"/>
        <v>772165104</v>
      </c>
      <c r="J71" s="453">
        <f t="shared" si="30"/>
        <v>391704056.06</v>
      </c>
      <c r="K71" s="453">
        <f t="shared" si="30"/>
        <v>391704056.06</v>
      </c>
      <c r="L71" s="453">
        <f t="shared" si="30"/>
        <v>772165104</v>
      </c>
      <c r="M71" s="453">
        <f t="shared" si="30"/>
        <v>391704056.06</v>
      </c>
      <c r="N71" s="453">
        <f t="shared" si="30"/>
        <v>391704056.06</v>
      </c>
      <c r="P71" s="36"/>
    </row>
    <row r="72" spans="1:22" ht="24" customHeight="1" x14ac:dyDescent="0.2">
      <c r="A72" s="49"/>
      <c r="B72" s="55"/>
      <c r="C72" s="422">
        <v>32</v>
      </c>
      <c r="D72" s="413" t="s">
        <v>207</v>
      </c>
      <c r="E72" s="419"/>
      <c r="F72" s="415">
        <f t="shared" ref="F72:N72" si="31">F73</f>
        <v>0</v>
      </c>
      <c r="G72" s="415">
        <f t="shared" si="31"/>
        <v>0</v>
      </c>
      <c r="H72" s="415">
        <f t="shared" si="31"/>
        <v>0</v>
      </c>
      <c r="I72" s="415">
        <f t="shared" si="31"/>
        <v>243850000</v>
      </c>
      <c r="J72" s="415">
        <f t="shared" si="31"/>
        <v>100601333</v>
      </c>
      <c r="K72" s="415">
        <f t="shared" si="31"/>
        <v>100601333</v>
      </c>
      <c r="L72" s="415">
        <f t="shared" si="31"/>
        <v>243850000</v>
      </c>
      <c r="M72" s="415">
        <f t="shared" si="31"/>
        <v>100601333</v>
      </c>
      <c r="N72" s="415">
        <f t="shared" si="31"/>
        <v>100601333</v>
      </c>
      <c r="P72" s="36"/>
    </row>
    <row r="73" spans="1:22" s="27" customFormat="1" ht="48.75" customHeight="1" x14ac:dyDescent="0.2">
      <c r="A73" s="54"/>
      <c r="B73" s="44"/>
      <c r="C73" s="44"/>
      <c r="D73" s="44">
        <v>3205</v>
      </c>
      <c r="E73" s="188" t="s">
        <v>207</v>
      </c>
      <c r="F73" s="192"/>
      <c r="G73" s="192"/>
      <c r="H73" s="192"/>
      <c r="I73" s="192">
        <f>SUM('SGTO POAI VIGENCIA 2021'!BD58)</f>
        <v>243850000</v>
      </c>
      <c r="J73" s="192">
        <f>SUM('SGTO POAI VIGENCIA 2021'!BE58)</f>
        <v>100601333</v>
      </c>
      <c r="K73" s="192">
        <f>SUM('SGTO POAI VIGENCIA 2021'!BF58)</f>
        <v>100601333</v>
      </c>
      <c r="L73" s="192">
        <f>F73+I73</f>
        <v>243850000</v>
      </c>
      <c r="M73" s="192">
        <f>G73+J73</f>
        <v>100601333</v>
      </c>
      <c r="N73" s="192">
        <f>H73+K73</f>
        <v>100601333</v>
      </c>
      <c r="P73" s="34"/>
    </row>
    <row r="74" spans="1:22" s="27" customFormat="1" ht="24" customHeight="1" x14ac:dyDescent="0.2">
      <c r="A74" s="54"/>
      <c r="B74" s="55"/>
      <c r="C74" s="422">
        <v>45</v>
      </c>
      <c r="D74" s="413" t="s">
        <v>38</v>
      </c>
      <c r="E74" s="414"/>
      <c r="F74" s="415">
        <f t="shared" ref="F74:N74" si="32">F75</f>
        <v>0</v>
      </c>
      <c r="G74" s="415">
        <f t="shared" si="32"/>
        <v>0</v>
      </c>
      <c r="H74" s="415">
        <f t="shared" si="32"/>
        <v>0</v>
      </c>
      <c r="I74" s="415">
        <f t="shared" si="32"/>
        <v>528315104</v>
      </c>
      <c r="J74" s="415">
        <f t="shared" si="32"/>
        <v>291102723.06</v>
      </c>
      <c r="K74" s="415">
        <f t="shared" si="32"/>
        <v>291102723.06</v>
      </c>
      <c r="L74" s="415">
        <f t="shared" si="32"/>
        <v>528315104</v>
      </c>
      <c r="M74" s="415">
        <f t="shared" si="32"/>
        <v>291102723.06</v>
      </c>
      <c r="N74" s="415">
        <f t="shared" si="32"/>
        <v>291102723.06</v>
      </c>
      <c r="P74" s="34"/>
    </row>
    <row r="75" spans="1:22" s="27" customFormat="1" ht="45.75" customHeight="1" x14ac:dyDescent="0.2">
      <c r="A75" s="54"/>
      <c r="B75" s="44"/>
      <c r="C75" s="44"/>
      <c r="D75" s="44">
        <v>4503</v>
      </c>
      <c r="E75" s="188" t="s">
        <v>1476</v>
      </c>
      <c r="F75" s="192"/>
      <c r="G75" s="192"/>
      <c r="H75" s="192"/>
      <c r="I75" s="192">
        <f>SUM('SGTO POAI VIGENCIA 2021'!BD59:BD61)</f>
        <v>528315104</v>
      </c>
      <c r="J75" s="192">
        <f>SUM('SGTO POAI VIGENCIA 2021'!BE59:BE61)</f>
        <v>291102723.06</v>
      </c>
      <c r="K75" s="192">
        <f>SUM('SGTO POAI VIGENCIA 2021'!BF59:BF61)</f>
        <v>291102723.06</v>
      </c>
      <c r="L75" s="192">
        <f>F75+I75</f>
        <v>528315104</v>
      </c>
      <c r="M75" s="192">
        <f>G75+J75</f>
        <v>291102723.06</v>
      </c>
      <c r="N75" s="192">
        <f>H75+K75</f>
        <v>291102723.06</v>
      </c>
      <c r="P75" s="34"/>
    </row>
    <row r="76" spans="1:22" ht="24" customHeight="1" x14ac:dyDescent="0.2">
      <c r="A76" s="49"/>
      <c r="B76" s="450">
        <v>4</v>
      </c>
      <c r="C76" s="451" t="s">
        <v>37</v>
      </c>
      <c r="D76" s="451"/>
      <c r="E76" s="452"/>
      <c r="F76" s="453">
        <f t="shared" ref="F76:N77" si="33">F77</f>
        <v>0</v>
      </c>
      <c r="G76" s="453">
        <f t="shared" si="33"/>
        <v>0</v>
      </c>
      <c r="H76" s="453">
        <f t="shared" si="33"/>
        <v>0</v>
      </c>
      <c r="I76" s="453">
        <f t="shared" si="33"/>
        <v>390626733</v>
      </c>
      <c r="J76" s="453">
        <f t="shared" si="33"/>
        <v>340030992</v>
      </c>
      <c r="K76" s="453">
        <f t="shared" si="33"/>
        <v>340030992</v>
      </c>
      <c r="L76" s="453">
        <f t="shared" si="33"/>
        <v>390626733</v>
      </c>
      <c r="M76" s="453">
        <f t="shared" si="33"/>
        <v>340030992</v>
      </c>
      <c r="N76" s="453">
        <f t="shared" si="33"/>
        <v>340030992</v>
      </c>
      <c r="P76" s="36"/>
    </row>
    <row r="77" spans="1:22" ht="24" customHeight="1" x14ac:dyDescent="0.2">
      <c r="A77" s="49"/>
      <c r="B77" s="55"/>
      <c r="C77" s="422">
        <v>45</v>
      </c>
      <c r="D77" s="413" t="s">
        <v>38</v>
      </c>
      <c r="E77" s="414"/>
      <c r="F77" s="415">
        <f t="shared" si="33"/>
        <v>0</v>
      </c>
      <c r="G77" s="415">
        <f t="shared" si="33"/>
        <v>0</v>
      </c>
      <c r="H77" s="415">
        <f t="shared" si="33"/>
        <v>0</v>
      </c>
      <c r="I77" s="415">
        <f t="shared" si="33"/>
        <v>390626733</v>
      </c>
      <c r="J77" s="415">
        <f t="shared" si="33"/>
        <v>340030992</v>
      </c>
      <c r="K77" s="415">
        <f t="shared" si="33"/>
        <v>340030992</v>
      </c>
      <c r="L77" s="415">
        <f t="shared" si="33"/>
        <v>390626733</v>
      </c>
      <c r="M77" s="415">
        <f t="shared" si="33"/>
        <v>340030992</v>
      </c>
      <c r="N77" s="415">
        <f t="shared" si="33"/>
        <v>340030992</v>
      </c>
      <c r="P77" s="36"/>
    </row>
    <row r="78" spans="1:22" s="27" customFormat="1" ht="55.5" customHeight="1" x14ac:dyDescent="0.2">
      <c r="A78" s="54"/>
      <c r="B78" s="44"/>
      <c r="C78" s="44"/>
      <c r="D78" s="44">
        <v>4502</v>
      </c>
      <c r="E78" s="188" t="s">
        <v>60</v>
      </c>
      <c r="F78" s="124"/>
      <c r="G78" s="124"/>
      <c r="H78" s="124"/>
      <c r="I78" s="124">
        <f>SUM('SGTO POAI VIGENCIA 2021'!BD62:BD66)</f>
        <v>390626733</v>
      </c>
      <c r="J78" s="124">
        <f>SUM('SGTO POAI VIGENCIA 2021'!BE62:BE66)</f>
        <v>340030992</v>
      </c>
      <c r="K78" s="124">
        <f>SUM('SGTO POAI VIGENCIA 2021'!BF62:BF66)</f>
        <v>340030992</v>
      </c>
      <c r="L78" s="192">
        <f>F78+I78</f>
        <v>390626733</v>
      </c>
      <c r="M78" s="192">
        <f>G78+J78</f>
        <v>340030992</v>
      </c>
      <c r="N78" s="192">
        <f>H78+K78</f>
        <v>340030992</v>
      </c>
      <c r="P78" s="34"/>
    </row>
    <row r="79" spans="1:22" s="7" customFormat="1" x14ac:dyDescent="0.2">
      <c r="A79" s="36"/>
      <c r="B79" s="93"/>
      <c r="C79" s="93"/>
      <c r="D79" s="93"/>
      <c r="E79" s="97"/>
      <c r="F79" s="94"/>
      <c r="G79" s="29"/>
      <c r="H79" s="14"/>
      <c r="I79" s="14"/>
      <c r="J79" s="14"/>
      <c r="K79" s="14"/>
      <c r="L79" s="35"/>
    </row>
    <row r="80" spans="1:22" ht="24" customHeight="1" x14ac:dyDescent="0.2">
      <c r="A80" s="601" t="s">
        <v>4</v>
      </c>
      <c r="B80" s="601" t="s">
        <v>5</v>
      </c>
      <c r="C80" s="601" t="s">
        <v>6</v>
      </c>
      <c r="D80" s="601" t="s">
        <v>1355</v>
      </c>
      <c r="E80" s="602" t="s">
        <v>7</v>
      </c>
      <c r="F80" s="607" t="s">
        <v>1499</v>
      </c>
      <c r="G80" s="599"/>
      <c r="H80" s="600"/>
      <c r="I80" s="598" t="s">
        <v>1356</v>
      </c>
      <c r="J80" s="599"/>
      <c r="K80" s="600"/>
      <c r="L80" s="598" t="s">
        <v>1361</v>
      </c>
      <c r="M80" s="599"/>
      <c r="N80" s="600"/>
      <c r="O80" s="598" t="s">
        <v>1665</v>
      </c>
      <c r="P80" s="599"/>
      <c r="Q80" s="600"/>
      <c r="R80" s="603" t="s">
        <v>12</v>
      </c>
      <c r="S80" s="604"/>
      <c r="T80" s="605"/>
      <c r="U80" s="227"/>
      <c r="V80" s="31"/>
    </row>
    <row r="81" spans="1:22" ht="24" customHeight="1" x14ac:dyDescent="0.2">
      <c r="A81" s="601"/>
      <c r="B81" s="601"/>
      <c r="C81" s="601"/>
      <c r="D81" s="601"/>
      <c r="E81" s="602"/>
      <c r="F81" s="447" t="s">
        <v>1641</v>
      </c>
      <c r="G81" s="447" t="s">
        <v>1490</v>
      </c>
      <c r="H81" s="447" t="s">
        <v>1491</v>
      </c>
      <c r="I81" s="447" t="s">
        <v>1641</v>
      </c>
      <c r="J81" s="447" t="s">
        <v>1490</v>
      </c>
      <c r="K81" s="447" t="s">
        <v>1491</v>
      </c>
      <c r="L81" s="447" t="s">
        <v>1641</v>
      </c>
      <c r="M81" s="447" t="s">
        <v>1490</v>
      </c>
      <c r="N81" s="447" t="s">
        <v>1491</v>
      </c>
      <c r="O81" s="447" t="s">
        <v>1641</v>
      </c>
      <c r="P81" s="447" t="s">
        <v>1490</v>
      </c>
      <c r="Q81" s="447" t="s">
        <v>1491</v>
      </c>
      <c r="R81" s="447" t="s">
        <v>1641</v>
      </c>
      <c r="S81" s="447" t="s">
        <v>1490</v>
      </c>
      <c r="T81" s="447" t="s">
        <v>1491</v>
      </c>
      <c r="U81" s="227"/>
      <c r="V81" s="31"/>
    </row>
    <row r="82" spans="1:22" ht="24" customHeight="1" x14ac:dyDescent="0.2">
      <c r="A82" s="466" t="s">
        <v>359</v>
      </c>
      <c r="B82" s="467"/>
      <c r="C82" s="467"/>
      <c r="D82" s="467"/>
      <c r="E82" s="468"/>
      <c r="F82" s="406">
        <f t="shared" ref="F82:Q83" si="34">F83</f>
        <v>2980319083.0199995</v>
      </c>
      <c r="G82" s="406">
        <f t="shared" si="34"/>
        <v>2491351020.1599998</v>
      </c>
      <c r="H82" s="406">
        <f t="shared" si="34"/>
        <v>2491351020.1599998</v>
      </c>
      <c r="I82" s="406">
        <f t="shared" si="34"/>
        <v>855000000</v>
      </c>
      <c r="J82" s="406">
        <f t="shared" si="34"/>
        <v>757185630.64999998</v>
      </c>
      <c r="K82" s="406">
        <f t="shared" si="34"/>
        <v>757185630.64999998</v>
      </c>
      <c r="L82" s="406">
        <f t="shared" si="34"/>
        <v>141198236.30000001</v>
      </c>
      <c r="M82" s="406">
        <f t="shared" si="34"/>
        <v>141163803</v>
      </c>
      <c r="N82" s="406">
        <f t="shared" si="34"/>
        <v>141163803</v>
      </c>
      <c r="O82" s="406">
        <f t="shared" si="34"/>
        <v>12090000</v>
      </c>
      <c r="P82" s="406">
        <f t="shared" si="34"/>
        <v>9205000</v>
      </c>
      <c r="Q82" s="406">
        <f t="shared" si="34"/>
        <v>9205000</v>
      </c>
      <c r="R82" s="406">
        <f t="shared" ref="R82:T83" si="35">R83</f>
        <v>3988607319.3199997</v>
      </c>
      <c r="S82" s="406">
        <f t="shared" si="35"/>
        <v>3398905453.8099999</v>
      </c>
      <c r="T82" s="406">
        <f t="shared" si="35"/>
        <v>3398905453.8099999</v>
      </c>
      <c r="U82" s="227"/>
      <c r="V82" s="36"/>
    </row>
    <row r="83" spans="1:22" ht="24" customHeight="1" x14ac:dyDescent="0.2">
      <c r="A83" s="49"/>
      <c r="B83" s="450">
        <v>1</v>
      </c>
      <c r="C83" s="451" t="s">
        <v>136</v>
      </c>
      <c r="D83" s="451"/>
      <c r="E83" s="452"/>
      <c r="F83" s="453">
        <f t="shared" si="34"/>
        <v>2980319083.0199995</v>
      </c>
      <c r="G83" s="453">
        <f t="shared" si="34"/>
        <v>2491351020.1599998</v>
      </c>
      <c r="H83" s="453">
        <f t="shared" si="34"/>
        <v>2491351020.1599998</v>
      </c>
      <c r="I83" s="453">
        <f t="shared" si="34"/>
        <v>855000000</v>
      </c>
      <c r="J83" s="453">
        <f t="shared" si="34"/>
        <v>757185630.64999998</v>
      </c>
      <c r="K83" s="453">
        <f t="shared" si="34"/>
        <v>757185630.64999998</v>
      </c>
      <c r="L83" s="453">
        <f t="shared" si="34"/>
        <v>141198236.30000001</v>
      </c>
      <c r="M83" s="453">
        <f t="shared" si="34"/>
        <v>141163803</v>
      </c>
      <c r="N83" s="453">
        <f t="shared" si="34"/>
        <v>141163803</v>
      </c>
      <c r="O83" s="453">
        <f t="shared" si="34"/>
        <v>12090000</v>
      </c>
      <c r="P83" s="453">
        <f t="shared" si="34"/>
        <v>9205000</v>
      </c>
      <c r="Q83" s="453">
        <f t="shared" si="34"/>
        <v>9205000</v>
      </c>
      <c r="R83" s="453">
        <f>R84</f>
        <v>3988607319.3199997</v>
      </c>
      <c r="S83" s="453">
        <f t="shared" si="35"/>
        <v>3398905453.8099999</v>
      </c>
      <c r="T83" s="453">
        <f t="shared" si="35"/>
        <v>3398905453.8099999</v>
      </c>
      <c r="U83" s="227"/>
      <c r="V83" s="36"/>
    </row>
    <row r="84" spans="1:22" ht="25.5" customHeight="1" x14ac:dyDescent="0.2">
      <c r="A84" s="49"/>
      <c r="B84" s="55"/>
      <c r="C84" s="422">
        <v>33</v>
      </c>
      <c r="D84" s="418" t="s">
        <v>166</v>
      </c>
      <c r="E84" s="419"/>
      <c r="F84" s="415">
        <f t="shared" ref="F84:Q84" si="36">SUM(F85:F86)</f>
        <v>2980319083.0199995</v>
      </c>
      <c r="G84" s="415">
        <f t="shared" si="36"/>
        <v>2491351020.1599998</v>
      </c>
      <c r="H84" s="415">
        <f t="shared" si="36"/>
        <v>2491351020.1599998</v>
      </c>
      <c r="I84" s="415">
        <f t="shared" si="36"/>
        <v>855000000</v>
      </c>
      <c r="J84" s="415">
        <f t="shared" si="36"/>
        <v>757185630.64999998</v>
      </c>
      <c r="K84" s="415">
        <f t="shared" si="36"/>
        <v>757185630.64999998</v>
      </c>
      <c r="L84" s="415">
        <f t="shared" si="36"/>
        <v>141198236.30000001</v>
      </c>
      <c r="M84" s="415">
        <f t="shared" si="36"/>
        <v>141163803</v>
      </c>
      <c r="N84" s="415">
        <f t="shared" si="36"/>
        <v>141163803</v>
      </c>
      <c r="O84" s="415">
        <f t="shared" si="36"/>
        <v>12090000</v>
      </c>
      <c r="P84" s="415">
        <f t="shared" si="36"/>
        <v>9205000</v>
      </c>
      <c r="Q84" s="415">
        <f t="shared" si="36"/>
        <v>9205000</v>
      </c>
      <c r="R84" s="415">
        <f>SUM(R85:R86)</f>
        <v>3988607319.3199997</v>
      </c>
      <c r="S84" s="415">
        <f>SUM(S85:S86)</f>
        <v>3398905453.8099999</v>
      </c>
      <c r="T84" s="415">
        <f>SUM(T85:T86)</f>
        <v>3398905453.8099999</v>
      </c>
      <c r="U84" s="227"/>
      <c r="V84" s="36"/>
    </row>
    <row r="85" spans="1:22" s="27" customFormat="1" ht="54.75" customHeight="1" x14ac:dyDescent="0.2">
      <c r="A85" s="54"/>
      <c r="B85" s="44"/>
      <c r="C85" s="44"/>
      <c r="D85" s="44">
        <v>3301</v>
      </c>
      <c r="E85" s="188" t="s">
        <v>167</v>
      </c>
      <c r="F85" s="192">
        <f>SUM('SGTO POAI VIGENCIA 2021'!Z67:Z74)</f>
        <v>2980319083.0199995</v>
      </c>
      <c r="G85" s="192">
        <f>SUM('SGTO POAI VIGENCIA 2021'!AA67:AA74)</f>
        <v>2491351020.1599998</v>
      </c>
      <c r="H85" s="192">
        <f>SUM('SGTO POAI VIGENCIA 2021'!AB67:AB74)</f>
        <v>2491351020.1599998</v>
      </c>
      <c r="I85" s="192">
        <f>SUM('SGTO POAI VIGENCIA 2021'!BD67:BD74)</f>
        <v>722000000</v>
      </c>
      <c r="J85" s="192">
        <f>SUM('SGTO POAI VIGENCIA 2021'!BE67:BE74)</f>
        <v>638005965.64999998</v>
      </c>
      <c r="K85" s="192">
        <f>SUM('SGTO POAI VIGENCIA 2021'!BF67:BF74)</f>
        <v>638005965.64999998</v>
      </c>
      <c r="L85" s="192"/>
      <c r="M85" s="192"/>
      <c r="N85" s="192"/>
      <c r="O85" s="192">
        <f>SUM('SGTO POAI VIGENCIA 2021'!BJ67:BJ74)</f>
        <v>12090000</v>
      </c>
      <c r="P85" s="192">
        <f>SUM('SGTO POAI VIGENCIA 2021'!BK67:BK74)</f>
        <v>9205000</v>
      </c>
      <c r="Q85" s="192">
        <f>SUM('SGTO POAI VIGENCIA 2021'!BL67:BL74)</f>
        <v>9205000</v>
      </c>
      <c r="R85" s="192">
        <f t="shared" ref="R85:T86" si="37">F85+I85+L85+O85</f>
        <v>3714409083.0199995</v>
      </c>
      <c r="S85" s="192">
        <f t="shared" si="37"/>
        <v>3138561985.8099999</v>
      </c>
      <c r="T85" s="192">
        <f t="shared" si="37"/>
        <v>3138561985.8099999</v>
      </c>
      <c r="U85" s="231"/>
      <c r="V85" s="34"/>
    </row>
    <row r="86" spans="1:22" s="27" customFormat="1" ht="60" customHeight="1" x14ac:dyDescent="0.2">
      <c r="A86" s="54"/>
      <c r="B86" s="44"/>
      <c r="C86" s="44"/>
      <c r="D86" s="44">
        <v>3302</v>
      </c>
      <c r="E86" s="188" t="s">
        <v>389</v>
      </c>
      <c r="F86" s="124">
        <f>SUM('SGTO POAI VIGENCIA 2021'!Z75:Z76)</f>
        <v>0</v>
      </c>
      <c r="G86" s="124">
        <f>SUM('SGTO POAI VIGENCIA 2021'!AA75:AA76)</f>
        <v>0</v>
      </c>
      <c r="H86" s="124">
        <f>SUM('SGTO POAI VIGENCIA 2021'!AB75:AB76)</f>
        <v>0</v>
      </c>
      <c r="I86" s="124">
        <f>SUM('SGTO POAI VIGENCIA 2021'!BD75:BD76)</f>
        <v>133000000</v>
      </c>
      <c r="J86" s="124">
        <f>SUM('SGTO POAI VIGENCIA 2021'!BE75:BE76)</f>
        <v>119179665</v>
      </c>
      <c r="K86" s="124">
        <f>SUM('SGTO POAI VIGENCIA 2021'!BF75:BF76)</f>
        <v>119179665</v>
      </c>
      <c r="L86" s="124">
        <f>SUM('SGTO POAI VIGENCIA 2021'!BG75:BG76)</f>
        <v>141198236.30000001</v>
      </c>
      <c r="M86" s="124">
        <f>SUM('SGTO POAI VIGENCIA 2021'!BH75:BH76)</f>
        <v>141163803</v>
      </c>
      <c r="N86" s="124">
        <f>SUM('SGTO POAI VIGENCIA 2021'!BI75:BI76)</f>
        <v>141163803</v>
      </c>
      <c r="O86" s="124"/>
      <c r="P86" s="124"/>
      <c r="Q86" s="124"/>
      <c r="R86" s="192">
        <f t="shared" si="37"/>
        <v>274198236.30000001</v>
      </c>
      <c r="S86" s="192">
        <f t="shared" si="37"/>
        <v>260343468</v>
      </c>
      <c r="T86" s="192">
        <f t="shared" si="37"/>
        <v>260343468</v>
      </c>
      <c r="U86" s="231"/>
      <c r="V86" s="34"/>
    </row>
    <row r="87" spans="1:22" s="7" customFormat="1" x14ac:dyDescent="0.2">
      <c r="A87" s="36"/>
      <c r="B87" s="93"/>
      <c r="C87" s="93"/>
      <c r="D87" s="93"/>
      <c r="E87" s="97"/>
      <c r="F87" s="94"/>
      <c r="G87" s="29"/>
      <c r="H87" s="14"/>
      <c r="I87" s="14"/>
      <c r="J87" s="14"/>
      <c r="K87" s="14"/>
      <c r="L87" s="35"/>
    </row>
    <row r="88" spans="1:22" ht="24" customHeight="1" x14ac:dyDescent="0.2">
      <c r="A88" s="601" t="s">
        <v>4</v>
      </c>
      <c r="B88" s="601" t="s">
        <v>5</v>
      </c>
      <c r="C88" s="601" t="s">
        <v>6</v>
      </c>
      <c r="D88" s="601" t="s">
        <v>1355</v>
      </c>
      <c r="E88" s="602" t="s">
        <v>7</v>
      </c>
      <c r="F88" s="607" t="s">
        <v>1356</v>
      </c>
      <c r="G88" s="599"/>
      <c r="H88" s="600"/>
      <c r="I88" s="598" t="s">
        <v>1362</v>
      </c>
      <c r="J88" s="599"/>
      <c r="K88" s="600"/>
      <c r="L88" s="598" t="s">
        <v>12</v>
      </c>
      <c r="M88" s="599"/>
      <c r="N88" s="600"/>
      <c r="O88" s="2"/>
      <c r="P88" s="31"/>
    </row>
    <row r="89" spans="1:22" ht="24" customHeight="1" x14ac:dyDescent="0.2">
      <c r="A89" s="601"/>
      <c r="B89" s="601"/>
      <c r="C89" s="601"/>
      <c r="D89" s="601"/>
      <c r="E89" s="602"/>
      <c r="F89" s="447" t="s">
        <v>1641</v>
      </c>
      <c r="G89" s="447" t="s">
        <v>1490</v>
      </c>
      <c r="H89" s="447" t="s">
        <v>1491</v>
      </c>
      <c r="I89" s="447" t="s">
        <v>1641</v>
      </c>
      <c r="J89" s="447" t="s">
        <v>1490</v>
      </c>
      <c r="K89" s="447" t="s">
        <v>1491</v>
      </c>
      <c r="L89" s="447" t="s">
        <v>1641</v>
      </c>
      <c r="M89" s="447" t="s">
        <v>1490</v>
      </c>
      <c r="N89" s="447" t="s">
        <v>1491</v>
      </c>
      <c r="O89" s="2"/>
      <c r="P89" s="31"/>
    </row>
    <row r="90" spans="1:22" ht="24" customHeight="1" x14ac:dyDescent="0.2">
      <c r="A90" s="466" t="s">
        <v>399</v>
      </c>
      <c r="B90" s="467"/>
      <c r="C90" s="467"/>
      <c r="D90" s="467"/>
      <c r="E90" s="468"/>
      <c r="F90" s="406">
        <f t="shared" ref="F90:N90" si="38">F91</f>
        <v>2551356036</v>
      </c>
      <c r="G90" s="406">
        <f t="shared" si="38"/>
        <v>2467034650</v>
      </c>
      <c r="H90" s="406">
        <f t="shared" si="38"/>
        <v>2467034650</v>
      </c>
      <c r="I90" s="406">
        <f t="shared" si="38"/>
        <v>1005231673.61</v>
      </c>
      <c r="J90" s="406">
        <f t="shared" si="38"/>
        <v>461920395.50999999</v>
      </c>
      <c r="K90" s="406">
        <f t="shared" si="38"/>
        <v>461920395.50999999</v>
      </c>
      <c r="L90" s="406">
        <f t="shared" si="38"/>
        <v>3556587709.6100001</v>
      </c>
      <c r="M90" s="406">
        <f t="shared" si="38"/>
        <v>2928955045.5100002</v>
      </c>
      <c r="N90" s="406">
        <f t="shared" si="38"/>
        <v>2928955045.5100002</v>
      </c>
      <c r="P90" s="36"/>
    </row>
    <row r="91" spans="1:22" ht="24" customHeight="1" x14ac:dyDescent="0.2">
      <c r="A91" s="49"/>
      <c r="B91" s="455">
        <v>2</v>
      </c>
      <c r="C91" s="451" t="s">
        <v>400</v>
      </c>
      <c r="D91" s="451"/>
      <c r="E91" s="452"/>
      <c r="F91" s="453">
        <f t="shared" ref="F91:N91" si="39">F92+F94</f>
        <v>2551356036</v>
      </c>
      <c r="G91" s="453">
        <f t="shared" si="39"/>
        <v>2467034650</v>
      </c>
      <c r="H91" s="453">
        <f t="shared" si="39"/>
        <v>2467034650</v>
      </c>
      <c r="I91" s="453">
        <f t="shared" si="39"/>
        <v>1005231673.61</v>
      </c>
      <c r="J91" s="453">
        <f t="shared" si="39"/>
        <v>461920395.50999999</v>
      </c>
      <c r="K91" s="453">
        <f t="shared" si="39"/>
        <v>461920395.50999999</v>
      </c>
      <c r="L91" s="453">
        <f t="shared" si="39"/>
        <v>3556587709.6100001</v>
      </c>
      <c r="M91" s="453">
        <f t="shared" si="39"/>
        <v>2928955045.5100002</v>
      </c>
      <c r="N91" s="453">
        <f t="shared" si="39"/>
        <v>2928955045.5100002</v>
      </c>
      <c r="P91" s="36"/>
    </row>
    <row r="92" spans="1:22" ht="24" customHeight="1" x14ac:dyDescent="0.2">
      <c r="A92" s="49"/>
      <c r="B92" s="55"/>
      <c r="C92" s="422">
        <v>35</v>
      </c>
      <c r="D92" s="413" t="s">
        <v>401</v>
      </c>
      <c r="E92" s="414"/>
      <c r="F92" s="415">
        <f t="shared" ref="F92:N92" si="40">F93</f>
        <v>2313856036</v>
      </c>
      <c r="G92" s="415">
        <f t="shared" si="40"/>
        <v>2240517199</v>
      </c>
      <c r="H92" s="415">
        <f t="shared" si="40"/>
        <v>2240517199</v>
      </c>
      <c r="I92" s="415">
        <f t="shared" si="40"/>
        <v>1005231673.61</v>
      </c>
      <c r="J92" s="415">
        <f t="shared" si="40"/>
        <v>461920395.50999999</v>
      </c>
      <c r="K92" s="415">
        <f t="shared" si="40"/>
        <v>461920395.50999999</v>
      </c>
      <c r="L92" s="415">
        <f t="shared" si="40"/>
        <v>3319087709.6100001</v>
      </c>
      <c r="M92" s="415">
        <f t="shared" si="40"/>
        <v>2702437594.5100002</v>
      </c>
      <c r="N92" s="415">
        <f t="shared" si="40"/>
        <v>2702437594.5100002</v>
      </c>
      <c r="P92" s="36"/>
    </row>
    <row r="93" spans="1:22" s="27" customFormat="1" ht="44.25" customHeight="1" x14ac:dyDescent="0.2">
      <c r="A93" s="54"/>
      <c r="B93" s="44"/>
      <c r="C93" s="44"/>
      <c r="D93" s="56">
        <v>3502</v>
      </c>
      <c r="E93" s="188" t="s">
        <v>402</v>
      </c>
      <c r="F93" s="192">
        <f>SUM('SGTO POAI VIGENCIA 2021'!BD77:BD84)</f>
        <v>2313856036</v>
      </c>
      <c r="G93" s="192">
        <f>SUM('SGTO POAI VIGENCIA 2021'!BE77:BE84)</f>
        <v>2240517199</v>
      </c>
      <c r="H93" s="192">
        <f>SUM('SGTO POAI VIGENCIA 2021'!BF77:BF84)</f>
        <v>2240517199</v>
      </c>
      <c r="I93" s="192">
        <f>SUM('SGTO POAI VIGENCIA 2021'!BG77:BG84)</f>
        <v>1005231673.61</v>
      </c>
      <c r="J93" s="192">
        <f>SUM('SGTO POAI VIGENCIA 2021'!BH77:BH84)</f>
        <v>461920395.50999999</v>
      </c>
      <c r="K93" s="192">
        <f>SUM('SGTO POAI VIGENCIA 2021'!BI77:BI84)</f>
        <v>461920395.50999999</v>
      </c>
      <c r="L93" s="192">
        <f>F93+I93</f>
        <v>3319087709.6100001</v>
      </c>
      <c r="M93" s="192">
        <f>G93+J93</f>
        <v>2702437594.5100002</v>
      </c>
      <c r="N93" s="192">
        <f>H93+K93</f>
        <v>2702437594.5100002</v>
      </c>
      <c r="P93" s="34"/>
    </row>
    <row r="94" spans="1:22" s="27" customFormat="1" ht="24" customHeight="1" x14ac:dyDescent="0.2">
      <c r="A94" s="54"/>
      <c r="B94" s="55"/>
      <c r="C94" s="422">
        <v>36</v>
      </c>
      <c r="D94" s="418" t="s">
        <v>433</v>
      </c>
      <c r="E94" s="419"/>
      <c r="F94" s="461">
        <f t="shared" ref="F94:N94" si="41">F95</f>
        <v>237500000</v>
      </c>
      <c r="G94" s="461">
        <f t="shared" si="41"/>
        <v>226517451</v>
      </c>
      <c r="H94" s="461">
        <f t="shared" si="41"/>
        <v>226517451</v>
      </c>
      <c r="I94" s="461">
        <f t="shared" si="41"/>
        <v>0</v>
      </c>
      <c r="J94" s="461">
        <f t="shared" si="41"/>
        <v>0</v>
      </c>
      <c r="K94" s="461">
        <f t="shared" si="41"/>
        <v>0</v>
      </c>
      <c r="L94" s="461">
        <f t="shared" si="41"/>
        <v>237500000</v>
      </c>
      <c r="M94" s="461">
        <f t="shared" si="41"/>
        <v>226517451</v>
      </c>
      <c r="N94" s="461">
        <f t="shared" si="41"/>
        <v>226517451</v>
      </c>
      <c r="P94" s="34"/>
    </row>
    <row r="95" spans="1:22" s="27" customFormat="1" ht="45.75" customHeight="1" x14ac:dyDescent="0.2">
      <c r="A95" s="54"/>
      <c r="B95" s="44"/>
      <c r="C95" s="44"/>
      <c r="D95" s="56">
        <v>3602</v>
      </c>
      <c r="E95" s="188" t="s">
        <v>434</v>
      </c>
      <c r="F95" s="192">
        <f>SUM('SGTO POAI VIGENCIA 2021'!BD85:BD88)</f>
        <v>237500000</v>
      </c>
      <c r="G95" s="192">
        <f>SUM('SGTO POAI VIGENCIA 2021'!BE85:BE88)</f>
        <v>226517451</v>
      </c>
      <c r="H95" s="192">
        <f>SUM('SGTO POAI VIGENCIA 2021'!BF85:BF88)</f>
        <v>226517451</v>
      </c>
      <c r="I95" s="192"/>
      <c r="J95" s="192"/>
      <c r="K95" s="192"/>
      <c r="L95" s="192">
        <f>F95+I95</f>
        <v>237500000</v>
      </c>
      <c r="M95" s="192">
        <f>G95+J95</f>
        <v>226517451</v>
      </c>
      <c r="N95" s="192">
        <f>H95+K95</f>
        <v>226517451</v>
      </c>
      <c r="P95" s="34"/>
    </row>
    <row r="96" spans="1:22" s="7" customFormat="1" x14ac:dyDescent="0.2">
      <c r="A96" s="36"/>
      <c r="B96" s="93"/>
      <c r="C96" s="93"/>
      <c r="D96" s="93"/>
      <c r="E96" s="97"/>
      <c r="F96" s="94"/>
      <c r="G96" s="29"/>
      <c r="H96" s="14"/>
      <c r="I96" s="14"/>
      <c r="J96" s="14"/>
      <c r="K96" s="14"/>
      <c r="L96" s="35"/>
    </row>
    <row r="97" spans="1:14" s="7" customFormat="1" ht="24" customHeight="1" x14ac:dyDescent="0.2">
      <c r="A97" s="601" t="s">
        <v>4</v>
      </c>
      <c r="B97" s="601" t="s">
        <v>5</v>
      </c>
      <c r="C97" s="601" t="s">
        <v>6</v>
      </c>
      <c r="D97" s="601" t="s">
        <v>1355</v>
      </c>
      <c r="E97" s="602" t="s">
        <v>7</v>
      </c>
      <c r="F97" s="612" t="s">
        <v>1356</v>
      </c>
      <c r="G97" s="613"/>
      <c r="H97" s="614"/>
      <c r="I97" s="598" t="s">
        <v>1554</v>
      </c>
      <c r="J97" s="599"/>
      <c r="K97" s="600"/>
      <c r="L97" s="598" t="s">
        <v>12</v>
      </c>
      <c r="M97" s="599"/>
      <c r="N97" s="600"/>
    </row>
    <row r="98" spans="1:14" s="7" customFormat="1" ht="24" customHeight="1" x14ac:dyDescent="0.2">
      <c r="A98" s="601"/>
      <c r="B98" s="601"/>
      <c r="C98" s="601"/>
      <c r="D98" s="601"/>
      <c r="E98" s="602"/>
      <c r="F98" s="447" t="s">
        <v>1641</v>
      </c>
      <c r="G98" s="447" t="s">
        <v>1490</v>
      </c>
      <c r="H98" s="447" t="s">
        <v>1491</v>
      </c>
      <c r="I98" s="447" t="s">
        <v>1641</v>
      </c>
      <c r="J98" s="447" t="s">
        <v>1490</v>
      </c>
      <c r="K98" s="447" t="s">
        <v>1491</v>
      </c>
      <c r="L98" s="447" t="s">
        <v>1641</v>
      </c>
      <c r="M98" s="447" t="s">
        <v>1490</v>
      </c>
      <c r="N98" s="447" t="s">
        <v>1491</v>
      </c>
    </row>
    <row r="99" spans="1:14" ht="24" customHeight="1" x14ac:dyDescent="0.2">
      <c r="A99" s="466" t="s">
        <v>450</v>
      </c>
      <c r="B99" s="467"/>
      <c r="C99" s="467"/>
      <c r="D99" s="467"/>
      <c r="E99" s="468"/>
      <c r="F99" s="470">
        <f>F100+F111</f>
        <v>3183193301.9700003</v>
      </c>
      <c r="G99" s="470">
        <f t="shared" ref="G99:N99" si="42">G100+G111</f>
        <v>1759257005.5699999</v>
      </c>
      <c r="H99" s="470">
        <f t="shared" si="42"/>
        <v>1759257005.5699999</v>
      </c>
      <c r="I99" s="470">
        <f t="shared" si="42"/>
        <v>655606585.65999997</v>
      </c>
      <c r="J99" s="470">
        <f t="shared" si="42"/>
        <v>550000000</v>
      </c>
      <c r="K99" s="470">
        <f t="shared" si="42"/>
        <v>550000000</v>
      </c>
      <c r="L99" s="470">
        <f t="shared" si="42"/>
        <v>3838799887.6300001</v>
      </c>
      <c r="M99" s="470">
        <f t="shared" si="42"/>
        <v>2309257005.5699997</v>
      </c>
      <c r="N99" s="470">
        <f t="shared" si="42"/>
        <v>2309257005.5699997</v>
      </c>
    </row>
    <row r="100" spans="1:14" ht="24" customHeight="1" x14ac:dyDescent="0.2">
      <c r="A100" s="49"/>
      <c r="B100" s="450">
        <v>2</v>
      </c>
      <c r="C100" s="451" t="s">
        <v>400</v>
      </c>
      <c r="D100" s="451"/>
      <c r="E100" s="452"/>
      <c r="F100" s="453">
        <f>F101+F109</f>
        <v>1546105413.97</v>
      </c>
      <c r="G100" s="453">
        <f t="shared" ref="G100:N100" si="43">G101+G109</f>
        <v>1151149489</v>
      </c>
      <c r="H100" s="453">
        <f t="shared" si="43"/>
        <v>1151149489</v>
      </c>
      <c r="I100" s="453">
        <f t="shared" si="43"/>
        <v>655606585.65999997</v>
      </c>
      <c r="J100" s="453">
        <f t="shared" si="43"/>
        <v>550000000</v>
      </c>
      <c r="K100" s="453">
        <f t="shared" si="43"/>
        <v>550000000</v>
      </c>
      <c r="L100" s="453">
        <f t="shared" si="43"/>
        <v>2201711999.6300001</v>
      </c>
      <c r="M100" s="453">
        <f t="shared" si="43"/>
        <v>1701149489</v>
      </c>
      <c r="N100" s="453">
        <f t="shared" si="43"/>
        <v>1701149489</v>
      </c>
    </row>
    <row r="101" spans="1:14" ht="24" customHeight="1" x14ac:dyDescent="0.2">
      <c r="A101" s="49"/>
      <c r="C101" s="422">
        <v>17</v>
      </c>
      <c r="D101" s="413" t="s">
        <v>451</v>
      </c>
      <c r="E101" s="414"/>
      <c r="F101" s="415">
        <f>SUM(F102:F108)</f>
        <v>1510105413.97</v>
      </c>
      <c r="G101" s="415">
        <f t="shared" ref="G101:N101" si="44">SUM(G102:G108)</f>
        <v>1116954489</v>
      </c>
      <c r="H101" s="415">
        <f t="shared" si="44"/>
        <v>1116954489</v>
      </c>
      <c r="I101" s="415">
        <f t="shared" si="44"/>
        <v>655606585.65999997</v>
      </c>
      <c r="J101" s="415">
        <f t="shared" si="44"/>
        <v>550000000</v>
      </c>
      <c r="K101" s="415">
        <f t="shared" si="44"/>
        <v>550000000</v>
      </c>
      <c r="L101" s="415">
        <f t="shared" si="44"/>
        <v>2165711999.6300001</v>
      </c>
      <c r="M101" s="415">
        <f t="shared" si="44"/>
        <v>1666954489</v>
      </c>
      <c r="N101" s="415">
        <f t="shared" si="44"/>
        <v>1666954489</v>
      </c>
    </row>
    <row r="102" spans="1:14" ht="52.5" customHeight="1" x14ac:dyDescent="0.2">
      <c r="A102" s="49"/>
      <c r="B102" s="186"/>
      <c r="C102" s="186"/>
      <c r="D102" s="44">
        <v>1702</v>
      </c>
      <c r="E102" s="188" t="s">
        <v>452</v>
      </c>
      <c r="F102" s="192">
        <f>SUM('SGTO POAI VIGENCIA 2021'!BD89:BD99)</f>
        <v>1157294913.97</v>
      </c>
      <c r="G102" s="192">
        <f>SUM('SGTO POAI VIGENCIA 2021'!BE89:BE99)</f>
        <v>792284323</v>
      </c>
      <c r="H102" s="192">
        <f>SUM('SGTO POAI VIGENCIA 2021'!BF89:BF99)</f>
        <v>792284323</v>
      </c>
      <c r="I102" s="192">
        <f>SUM('SGTO POAI VIGENCIA 2021'!BM89:BM99)</f>
        <v>405606585.65999997</v>
      </c>
      <c r="J102" s="192">
        <f>SUM('SGTO POAI VIGENCIA 2021'!BN89:BN99)</f>
        <v>300000000</v>
      </c>
      <c r="K102" s="192">
        <f>SUM('SGTO POAI VIGENCIA 2021'!BO89:BO99)</f>
        <v>300000000</v>
      </c>
      <c r="L102" s="192">
        <f>F102+I102</f>
        <v>1562901499.6300001</v>
      </c>
      <c r="M102" s="192">
        <f>G102+J102</f>
        <v>1092284323</v>
      </c>
      <c r="N102" s="192">
        <f>H102+K102</f>
        <v>1092284323</v>
      </c>
    </row>
    <row r="103" spans="1:14" ht="62.25" customHeight="1" x14ac:dyDescent="0.2">
      <c r="A103" s="49"/>
      <c r="B103" s="186"/>
      <c r="C103" s="186"/>
      <c r="D103" s="44">
        <v>1703</v>
      </c>
      <c r="E103" s="188" t="s">
        <v>500</v>
      </c>
      <c r="F103" s="192">
        <f>SUM('SGTO POAI VIGENCIA 2021'!BD100)</f>
        <v>75000000</v>
      </c>
      <c r="G103" s="192">
        <f>SUM('SGTO POAI VIGENCIA 2021'!BE100)</f>
        <v>74995000</v>
      </c>
      <c r="H103" s="192">
        <f>SUM('SGTO POAI VIGENCIA 2021'!BF100)</f>
        <v>74995000</v>
      </c>
      <c r="I103" s="192">
        <f>'SGTO POAI VIGENCIA 2021'!BM100</f>
        <v>250000000</v>
      </c>
      <c r="J103" s="192">
        <f>'SGTO POAI VIGENCIA 2021'!BN100</f>
        <v>250000000</v>
      </c>
      <c r="K103" s="192">
        <f>'SGTO POAI VIGENCIA 2021'!BO100</f>
        <v>250000000</v>
      </c>
      <c r="L103" s="192">
        <f t="shared" ref="L103:L108" si="45">F103+I103</f>
        <v>325000000</v>
      </c>
      <c r="M103" s="192">
        <f t="shared" ref="M103:M108" si="46">G103+J103</f>
        <v>324995000</v>
      </c>
      <c r="N103" s="192">
        <f t="shared" ref="N103:N108" si="47">H103+K103</f>
        <v>324995000</v>
      </c>
    </row>
    <row r="104" spans="1:14" ht="49.5" customHeight="1" x14ac:dyDescent="0.2">
      <c r="A104" s="49"/>
      <c r="B104" s="186"/>
      <c r="C104" s="186"/>
      <c r="D104" s="44">
        <v>1704</v>
      </c>
      <c r="E104" s="188" t="s">
        <v>507</v>
      </c>
      <c r="F104" s="192">
        <f>SUM('SGTO POAI VIGENCIA 2021'!BD101:BD102)</f>
        <v>69255500</v>
      </c>
      <c r="G104" s="192">
        <f>SUM('SGTO POAI VIGENCIA 2021'!BE101:BE102)</f>
        <v>69255166</v>
      </c>
      <c r="H104" s="192">
        <f>SUM('SGTO POAI VIGENCIA 2021'!BF101:BF102)</f>
        <v>69255166</v>
      </c>
      <c r="I104" s="192"/>
      <c r="J104" s="192"/>
      <c r="K104" s="192"/>
      <c r="L104" s="192">
        <f t="shared" si="45"/>
        <v>69255500</v>
      </c>
      <c r="M104" s="192">
        <f t="shared" si="46"/>
        <v>69255166</v>
      </c>
      <c r="N104" s="192">
        <f t="shared" si="47"/>
        <v>69255166</v>
      </c>
    </row>
    <row r="105" spans="1:14" ht="39.75" customHeight="1" x14ac:dyDescent="0.2">
      <c r="A105" s="49"/>
      <c r="B105" s="186"/>
      <c r="C105" s="186"/>
      <c r="D105" s="44">
        <v>1706</v>
      </c>
      <c r="E105" s="188" t="s">
        <v>516</v>
      </c>
      <c r="F105" s="192">
        <f>'SGTO POAI VIGENCIA 2021'!BD103</f>
        <v>20000000</v>
      </c>
      <c r="G105" s="192">
        <f>'SGTO POAI VIGENCIA 2021'!BE103</f>
        <v>20000000</v>
      </c>
      <c r="H105" s="192">
        <f>'SGTO POAI VIGENCIA 2021'!BF103</f>
        <v>20000000</v>
      </c>
      <c r="I105" s="192"/>
      <c r="J105" s="192"/>
      <c r="K105" s="192"/>
      <c r="L105" s="192">
        <f t="shared" si="45"/>
        <v>20000000</v>
      </c>
      <c r="M105" s="192">
        <f t="shared" si="46"/>
        <v>20000000</v>
      </c>
      <c r="N105" s="192">
        <f t="shared" si="47"/>
        <v>20000000</v>
      </c>
    </row>
    <row r="106" spans="1:14" ht="57" customHeight="1" x14ac:dyDescent="0.2">
      <c r="A106" s="49"/>
      <c r="B106" s="186"/>
      <c r="C106" s="186"/>
      <c r="D106" s="44">
        <v>1707</v>
      </c>
      <c r="E106" s="188" t="s">
        <v>523</v>
      </c>
      <c r="F106" s="192">
        <f>'SGTO POAI VIGENCIA 2021'!BD104</f>
        <v>43000000</v>
      </c>
      <c r="G106" s="192">
        <f>'SGTO POAI VIGENCIA 2021'!BE104</f>
        <v>34865000</v>
      </c>
      <c r="H106" s="192">
        <f>'SGTO POAI VIGENCIA 2021'!BF104</f>
        <v>34865000</v>
      </c>
      <c r="I106" s="192"/>
      <c r="J106" s="192"/>
      <c r="K106" s="192"/>
      <c r="L106" s="192">
        <f t="shared" si="45"/>
        <v>43000000</v>
      </c>
      <c r="M106" s="192">
        <f t="shared" si="46"/>
        <v>34865000</v>
      </c>
      <c r="N106" s="192">
        <f t="shared" si="47"/>
        <v>34865000</v>
      </c>
    </row>
    <row r="107" spans="1:14" ht="57" customHeight="1" x14ac:dyDescent="0.2">
      <c r="A107" s="49"/>
      <c r="B107" s="186"/>
      <c r="C107" s="186"/>
      <c r="D107" s="44">
        <v>1708</v>
      </c>
      <c r="E107" s="188" t="s">
        <v>530</v>
      </c>
      <c r="F107" s="192">
        <f>SUM('SGTO POAI VIGENCIA 2021'!BD105:BD106)</f>
        <v>37555000</v>
      </c>
      <c r="G107" s="192">
        <f>SUM('SGTO POAI VIGENCIA 2021'!BE105:BE106)</f>
        <v>17555000</v>
      </c>
      <c r="H107" s="192">
        <f>SUM('SGTO POAI VIGENCIA 2021'!BF105:BF106)</f>
        <v>17555000</v>
      </c>
      <c r="I107" s="192"/>
      <c r="J107" s="192"/>
      <c r="K107" s="192"/>
      <c r="L107" s="192">
        <f t="shared" si="45"/>
        <v>37555000</v>
      </c>
      <c r="M107" s="192">
        <f t="shared" si="46"/>
        <v>17555000</v>
      </c>
      <c r="N107" s="192">
        <f t="shared" si="47"/>
        <v>17555000</v>
      </c>
    </row>
    <row r="108" spans="1:14" ht="39.75" customHeight="1" x14ac:dyDescent="0.2">
      <c r="A108" s="49"/>
      <c r="B108" s="186"/>
      <c r="C108" s="186"/>
      <c r="D108" s="44">
        <v>1709</v>
      </c>
      <c r="E108" s="188" t="s">
        <v>539</v>
      </c>
      <c r="F108" s="192">
        <f>SUM('SGTO POAI VIGENCIA 2021'!BD107:BD109)</f>
        <v>108000000</v>
      </c>
      <c r="G108" s="192">
        <f>SUM('SGTO POAI VIGENCIA 2021'!BE107:BE109)</f>
        <v>108000000</v>
      </c>
      <c r="H108" s="192">
        <f>SUM('SGTO POAI VIGENCIA 2021'!BF107:BF109)</f>
        <v>108000000</v>
      </c>
      <c r="I108" s="192"/>
      <c r="J108" s="192"/>
      <c r="K108" s="192"/>
      <c r="L108" s="192">
        <f t="shared" si="45"/>
        <v>108000000</v>
      </c>
      <c r="M108" s="192">
        <f t="shared" si="46"/>
        <v>108000000</v>
      </c>
      <c r="N108" s="192">
        <f t="shared" si="47"/>
        <v>108000000</v>
      </c>
    </row>
    <row r="109" spans="1:14" ht="24" customHeight="1" x14ac:dyDescent="0.2">
      <c r="A109" s="49"/>
      <c r="B109" s="45"/>
      <c r="C109" s="422">
        <v>35</v>
      </c>
      <c r="D109" s="413" t="s">
        <v>401</v>
      </c>
      <c r="E109" s="414"/>
      <c r="F109" s="415">
        <f>F110</f>
        <v>36000000</v>
      </c>
      <c r="G109" s="415">
        <f t="shared" ref="G109:N109" si="48">G110</f>
        <v>34195000</v>
      </c>
      <c r="H109" s="415">
        <f t="shared" si="48"/>
        <v>34195000</v>
      </c>
      <c r="I109" s="415">
        <f t="shared" si="48"/>
        <v>0</v>
      </c>
      <c r="J109" s="415">
        <f t="shared" si="48"/>
        <v>0</v>
      </c>
      <c r="K109" s="415">
        <f t="shared" si="48"/>
        <v>0</v>
      </c>
      <c r="L109" s="415">
        <f t="shared" si="48"/>
        <v>36000000</v>
      </c>
      <c r="M109" s="415">
        <f t="shared" si="48"/>
        <v>34195000</v>
      </c>
      <c r="N109" s="415">
        <f t="shared" si="48"/>
        <v>34195000</v>
      </c>
    </row>
    <row r="110" spans="1:14" ht="62.25" customHeight="1" x14ac:dyDescent="0.2">
      <c r="A110" s="49"/>
      <c r="B110" s="186"/>
      <c r="C110" s="186"/>
      <c r="D110" s="44">
        <v>3502</v>
      </c>
      <c r="E110" s="188" t="s">
        <v>402</v>
      </c>
      <c r="F110" s="192">
        <f>SUM('SGTO POAI VIGENCIA 2021'!BD110:BD111)</f>
        <v>36000000</v>
      </c>
      <c r="G110" s="192">
        <f>SUM('SGTO POAI VIGENCIA 2021'!BE110:BE111)</f>
        <v>34195000</v>
      </c>
      <c r="H110" s="192">
        <f>SUM('SGTO POAI VIGENCIA 2021'!BF110:BF111)</f>
        <v>34195000</v>
      </c>
      <c r="I110" s="192"/>
      <c r="J110" s="192"/>
      <c r="K110" s="192"/>
      <c r="L110" s="192">
        <f>F110+I110</f>
        <v>36000000</v>
      </c>
      <c r="M110" s="192">
        <f>G110+J110</f>
        <v>34195000</v>
      </c>
      <c r="N110" s="192">
        <f>H110+K110</f>
        <v>34195000</v>
      </c>
    </row>
    <row r="111" spans="1:14" ht="24" customHeight="1" x14ac:dyDescent="0.2">
      <c r="A111" s="49"/>
      <c r="B111" s="450">
        <v>3</v>
      </c>
      <c r="C111" s="451" t="s">
        <v>186</v>
      </c>
      <c r="D111" s="451"/>
      <c r="E111" s="452"/>
      <c r="F111" s="453">
        <f>F112</f>
        <v>1637087888</v>
      </c>
      <c r="G111" s="453">
        <f t="shared" ref="G111:N111" si="49">G112</f>
        <v>608107516.56999993</v>
      </c>
      <c r="H111" s="453">
        <f t="shared" si="49"/>
        <v>608107516.56999993</v>
      </c>
      <c r="I111" s="453">
        <f t="shared" si="49"/>
        <v>0</v>
      </c>
      <c r="J111" s="453">
        <f t="shared" si="49"/>
        <v>0</v>
      </c>
      <c r="K111" s="453">
        <f t="shared" si="49"/>
        <v>0</v>
      </c>
      <c r="L111" s="453">
        <f t="shared" si="49"/>
        <v>1637087888</v>
      </c>
      <c r="M111" s="453">
        <f t="shared" si="49"/>
        <v>608107516.56999993</v>
      </c>
      <c r="N111" s="453">
        <f t="shared" si="49"/>
        <v>608107516.56999993</v>
      </c>
    </row>
    <row r="112" spans="1:14" ht="24" customHeight="1" x14ac:dyDescent="0.2">
      <c r="A112" s="49"/>
      <c r="B112" s="55"/>
      <c r="C112" s="422">
        <v>32</v>
      </c>
      <c r="D112" s="413" t="s">
        <v>207</v>
      </c>
      <c r="E112" s="414"/>
      <c r="F112" s="415">
        <f t="shared" ref="F112:N112" si="50">SUM(F113:F117)</f>
        <v>1637087888</v>
      </c>
      <c r="G112" s="415">
        <f t="shared" si="50"/>
        <v>608107516.56999993</v>
      </c>
      <c r="H112" s="415">
        <f t="shared" si="50"/>
        <v>608107516.56999993</v>
      </c>
      <c r="I112" s="415">
        <f t="shared" si="50"/>
        <v>0</v>
      </c>
      <c r="J112" s="415">
        <f t="shared" si="50"/>
        <v>0</v>
      </c>
      <c r="K112" s="415">
        <f t="shared" si="50"/>
        <v>0</v>
      </c>
      <c r="L112" s="415">
        <f t="shared" si="50"/>
        <v>1637087888</v>
      </c>
      <c r="M112" s="415">
        <f t="shared" si="50"/>
        <v>608107516.56999993</v>
      </c>
      <c r="N112" s="415">
        <f t="shared" si="50"/>
        <v>608107516.56999993</v>
      </c>
    </row>
    <row r="113" spans="1:35" s="27" customFormat="1" ht="57" customHeight="1" x14ac:dyDescent="0.2">
      <c r="A113" s="54"/>
      <c r="B113" s="44"/>
      <c r="C113" s="44"/>
      <c r="D113" s="44" t="s">
        <v>557</v>
      </c>
      <c r="E113" s="188" t="s">
        <v>558</v>
      </c>
      <c r="F113" s="192">
        <f>SUM('SGTO POAI VIGENCIA 2021'!BD112:BD113)</f>
        <v>81456499</v>
      </c>
      <c r="G113" s="192">
        <f>SUM('SGTO POAI VIGENCIA 2021'!BE112:BE113)</f>
        <v>81456499</v>
      </c>
      <c r="H113" s="192">
        <f>SUM('SGTO POAI VIGENCIA 2021'!BF112:BF113)</f>
        <v>81456499</v>
      </c>
      <c r="I113" s="192"/>
      <c r="J113" s="192"/>
      <c r="K113" s="192"/>
      <c r="L113" s="192">
        <f t="shared" ref="L113:N117" si="51">F113+I113</f>
        <v>81456499</v>
      </c>
      <c r="M113" s="192">
        <f t="shared" si="51"/>
        <v>81456499</v>
      </c>
      <c r="N113" s="192">
        <f t="shared" si="51"/>
        <v>81456499</v>
      </c>
    </row>
    <row r="114" spans="1:35" s="27" customFormat="1" ht="60.75" customHeight="1" x14ac:dyDescent="0.2">
      <c r="A114" s="54"/>
      <c r="B114" s="44"/>
      <c r="C114" s="44"/>
      <c r="D114" s="44">
        <v>3202</v>
      </c>
      <c r="E114" s="188" t="s">
        <v>568</v>
      </c>
      <c r="F114" s="192">
        <f>SUM('SGTO POAI VIGENCIA 2021'!BD114:BD119)</f>
        <v>1235631389</v>
      </c>
      <c r="G114" s="192">
        <f>SUM('SGTO POAI VIGENCIA 2021'!BE114:BE119)</f>
        <v>464280684.56999999</v>
      </c>
      <c r="H114" s="192">
        <f>SUM('SGTO POAI VIGENCIA 2021'!BF114:BF119)</f>
        <v>464280684.56999999</v>
      </c>
      <c r="I114" s="192"/>
      <c r="J114" s="192"/>
      <c r="K114" s="192"/>
      <c r="L114" s="192">
        <f t="shared" si="51"/>
        <v>1235631389</v>
      </c>
      <c r="M114" s="192">
        <f t="shared" si="51"/>
        <v>464280684.56999999</v>
      </c>
      <c r="N114" s="192">
        <f t="shared" si="51"/>
        <v>464280684.56999999</v>
      </c>
    </row>
    <row r="115" spans="1:35" s="27" customFormat="1" ht="59.25" customHeight="1" x14ac:dyDescent="0.2">
      <c r="A115" s="54"/>
      <c r="B115" s="44"/>
      <c r="C115" s="44"/>
      <c r="D115" s="44" t="s">
        <v>598</v>
      </c>
      <c r="E115" s="188" t="s">
        <v>599</v>
      </c>
      <c r="F115" s="192">
        <f>SUM('SGTO POAI VIGENCIA 2021'!BD120)</f>
        <v>120000000</v>
      </c>
      <c r="G115" s="192">
        <f>SUM('SGTO POAI VIGENCIA 2021'!BE120)</f>
        <v>52835333</v>
      </c>
      <c r="H115" s="192">
        <f>SUM('SGTO POAI VIGENCIA 2021'!BF120)</f>
        <v>52835333</v>
      </c>
      <c r="I115" s="192"/>
      <c r="J115" s="192"/>
      <c r="K115" s="192"/>
      <c r="L115" s="192">
        <f t="shared" si="51"/>
        <v>120000000</v>
      </c>
      <c r="M115" s="192">
        <f t="shared" si="51"/>
        <v>52835333</v>
      </c>
      <c r="N115" s="192">
        <f t="shared" si="51"/>
        <v>52835333</v>
      </c>
    </row>
    <row r="116" spans="1:35" s="27" customFormat="1" ht="51" customHeight="1" x14ac:dyDescent="0.2">
      <c r="A116" s="54"/>
      <c r="B116" s="44"/>
      <c r="C116" s="44"/>
      <c r="D116" s="44">
        <v>3205</v>
      </c>
      <c r="E116" s="188" t="s">
        <v>208</v>
      </c>
      <c r="F116" s="192">
        <f>SUM('SGTO POAI VIGENCIA 2021'!BD121:BD123)</f>
        <v>82000000</v>
      </c>
      <c r="G116" s="192">
        <f>SUM('SGTO POAI VIGENCIA 2021'!BE121:BE123)</f>
        <v>0</v>
      </c>
      <c r="H116" s="192">
        <f>SUM('SGTO POAI VIGENCIA 2021'!BF121:BF123)</f>
        <v>0</v>
      </c>
      <c r="I116" s="192"/>
      <c r="J116" s="192"/>
      <c r="K116" s="192"/>
      <c r="L116" s="192">
        <f t="shared" si="51"/>
        <v>82000000</v>
      </c>
      <c r="M116" s="192">
        <f t="shared" si="51"/>
        <v>0</v>
      </c>
      <c r="N116" s="192">
        <f t="shared" si="51"/>
        <v>0</v>
      </c>
    </row>
    <row r="117" spans="1:35" s="27" customFormat="1" ht="51.75" customHeight="1" x14ac:dyDescent="0.2">
      <c r="A117" s="54"/>
      <c r="B117" s="44"/>
      <c r="C117" s="44"/>
      <c r="D117" s="44" t="s">
        <v>617</v>
      </c>
      <c r="E117" s="188" t="s">
        <v>618</v>
      </c>
      <c r="F117" s="192">
        <f>SUM('SGTO POAI VIGENCIA 2021'!BD124:BD126)</f>
        <v>118000000</v>
      </c>
      <c r="G117" s="192">
        <f>SUM('SGTO POAI VIGENCIA 2021'!BE124:BE126)</f>
        <v>9535000</v>
      </c>
      <c r="H117" s="192">
        <f>SUM('SGTO POAI VIGENCIA 2021'!BF124:BF126)</f>
        <v>9535000</v>
      </c>
      <c r="I117" s="192"/>
      <c r="J117" s="192"/>
      <c r="K117" s="192"/>
      <c r="L117" s="192">
        <f t="shared" si="51"/>
        <v>118000000</v>
      </c>
      <c r="M117" s="192">
        <f t="shared" si="51"/>
        <v>9535000</v>
      </c>
      <c r="N117" s="192">
        <f t="shared" si="51"/>
        <v>9535000</v>
      </c>
    </row>
    <row r="118" spans="1:35" s="7" customFormat="1" x14ac:dyDescent="0.2">
      <c r="A118" s="36"/>
      <c r="B118" s="93"/>
      <c r="C118" s="93"/>
      <c r="D118" s="93"/>
      <c r="E118" s="97"/>
      <c r="F118" s="94"/>
      <c r="G118" s="29"/>
      <c r="H118" s="14"/>
      <c r="I118" s="14"/>
      <c r="J118" s="14"/>
      <c r="K118" s="14"/>
      <c r="L118" s="35"/>
    </row>
    <row r="119" spans="1:35" s="7" customFormat="1" ht="24" customHeight="1" x14ac:dyDescent="0.2">
      <c r="A119" s="616" t="s">
        <v>4</v>
      </c>
      <c r="B119" s="601" t="s">
        <v>5</v>
      </c>
      <c r="C119" s="601" t="s">
        <v>6</v>
      </c>
      <c r="D119" s="601" t="s">
        <v>1355</v>
      </c>
      <c r="E119" s="602" t="s">
        <v>7</v>
      </c>
      <c r="F119" s="606" t="s">
        <v>1356</v>
      </c>
      <c r="G119" s="604"/>
      <c r="H119" s="615"/>
      <c r="I119" s="14"/>
      <c r="J119" s="14"/>
      <c r="K119" s="14"/>
      <c r="L119" s="35"/>
    </row>
    <row r="120" spans="1:35" s="7" customFormat="1" ht="24" customHeight="1" x14ac:dyDescent="0.2">
      <c r="A120" s="617"/>
      <c r="B120" s="601"/>
      <c r="C120" s="601"/>
      <c r="D120" s="601"/>
      <c r="E120" s="602"/>
      <c r="F120" s="447" t="s">
        <v>1641</v>
      </c>
      <c r="G120" s="447" t="s">
        <v>1490</v>
      </c>
      <c r="H120" s="447" t="s">
        <v>1491</v>
      </c>
      <c r="I120" s="14"/>
      <c r="J120" s="14"/>
      <c r="K120" s="14"/>
      <c r="L120" s="35"/>
    </row>
    <row r="121" spans="1:35" ht="24" customHeight="1" x14ac:dyDescent="0.2">
      <c r="A121" s="41" t="s">
        <v>633</v>
      </c>
      <c r="B121" s="467"/>
      <c r="C121" s="467"/>
      <c r="D121" s="467"/>
      <c r="E121" s="468"/>
      <c r="F121" s="406">
        <f t="shared" ref="F121:H122" si="52">F122</f>
        <v>1177000000</v>
      </c>
      <c r="G121" s="406">
        <f t="shared" si="52"/>
        <v>1175258655.9299998</v>
      </c>
      <c r="H121" s="406">
        <f t="shared" si="52"/>
        <v>1175258655.9299998</v>
      </c>
    </row>
    <row r="122" spans="1:35" ht="24" customHeight="1" x14ac:dyDescent="0.2">
      <c r="A122" s="49"/>
      <c r="B122" s="450">
        <v>4</v>
      </c>
      <c r="C122" s="451" t="s">
        <v>37</v>
      </c>
      <c r="D122" s="451"/>
      <c r="E122" s="452"/>
      <c r="F122" s="453">
        <f t="shared" si="52"/>
        <v>1177000000</v>
      </c>
      <c r="G122" s="453">
        <f t="shared" si="52"/>
        <v>1175258655.9299998</v>
      </c>
      <c r="H122" s="453">
        <f t="shared" si="52"/>
        <v>1175258655.9299998</v>
      </c>
    </row>
    <row r="123" spans="1:35" ht="24" customHeight="1" x14ac:dyDescent="0.2">
      <c r="A123" s="49"/>
      <c r="B123" s="55"/>
      <c r="C123" s="422">
        <v>45</v>
      </c>
      <c r="D123" s="413" t="s">
        <v>38</v>
      </c>
      <c r="E123" s="414"/>
      <c r="F123" s="415">
        <f>SUM(F124:F125)</f>
        <v>1177000000</v>
      </c>
      <c r="G123" s="415">
        <f>SUM(G124:G125)</f>
        <v>1175258655.9299998</v>
      </c>
      <c r="H123" s="415">
        <f>SUM(H124:H125)</f>
        <v>1175258655.9299998</v>
      </c>
    </row>
    <row r="124" spans="1:35" s="211" customFormat="1" ht="79.5" customHeight="1" x14ac:dyDescent="0.25">
      <c r="A124" s="229"/>
      <c r="B124" s="44"/>
      <c r="C124" s="44"/>
      <c r="D124" s="44">
        <v>4599</v>
      </c>
      <c r="E124" s="188" t="s">
        <v>634</v>
      </c>
      <c r="F124" s="192">
        <f>SUM('SGTO POAI VIGENCIA 2021'!BP127:BP128)</f>
        <v>1032712500.02</v>
      </c>
      <c r="G124" s="192">
        <f>SUM('SGTO POAI VIGENCIA 2021'!BQ127:BQ128)</f>
        <v>1030971155.9499999</v>
      </c>
      <c r="H124" s="192">
        <f>SUM('SGTO POAI VIGENCIA 2021'!BR127:BR128)</f>
        <v>1030971155.9499999</v>
      </c>
      <c r="L124" s="232"/>
    </row>
    <row r="125" spans="1:35" s="27" customFormat="1" ht="66" customHeight="1" x14ac:dyDescent="0.2">
      <c r="A125" s="54"/>
      <c r="B125" s="44"/>
      <c r="C125" s="44"/>
      <c r="D125" s="44">
        <v>4502</v>
      </c>
      <c r="E125" s="188" t="s">
        <v>60</v>
      </c>
      <c r="F125" s="124">
        <f>SUM('SGTO POAI VIGENCIA 2021'!BP129)</f>
        <v>144287499.97999999</v>
      </c>
      <c r="G125" s="124">
        <f>SUM('SGTO POAI VIGENCIA 2021'!BQ129)</f>
        <v>144287499.97999999</v>
      </c>
      <c r="H125" s="124">
        <f>SUM('SGTO POAI VIGENCIA 2021'!BR129)</f>
        <v>144287499.97999999</v>
      </c>
      <c r="L125" s="34"/>
      <c r="M125" s="63"/>
      <c r="N125" s="63"/>
      <c r="O125" s="63"/>
      <c r="P125" s="63"/>
      <c r="Q125" s="63"/>
      <c r="R125" s="63"/>
      <c r="S125" s="63"/>
    </row>
    <row r="126" spans="1:35" s="7" customFormat="1" x14ac:dyDescent="0.2">
      <c r="A126" s="36"/>
      <c r="B126" s="93"/>
      <c r="C126" s="93"/>
      <c r="D126" s="93"/>
      <c r="E126" s="97"/>
      <c r="F126" s="94"/>
      <c r="G126" s="29"/>
      <c r="H126" s="14"/>
      <c r="I126" s="14"/>
      <c r="J126" s="14"/>
      <c r="K126" s="14"/>
      <c r="L126" s="35"/>
      <c r="M126" s="64"/>
      <c r="N126" s="64"/>
      <c r="O126" s="64"/>
      <c r="P126" s="64"/>
      <c r="Q126" s="64"/>
      <c r="R126" s="64"/>
      <c r="S126" s="64"/>
    </row>
    <row r="127" spans="1:35" s="7" customFormat="1" ht="24" customHeight="1" x14ac:dyDescent="0.2">
      <c r="A127" s="601" t="s">
        <v>4</v>
      </c>
      <c r="B127" s="601" t="s">
        <v>5</v>
      </c>
      <c r="C127" s="601" t="s">
        <v>6</v>
      </c>
      <c r="D127" s="601" t="s">
        <v>1355</v>
      </c>
      <c r="E127" s="602" t="s">
        <v>7</v>
      </c>
      <c r="F127" s="607" t="s">
        <v>1363</v>
      </c>
      <c r="G127" s="599"/>
      <c r="H127" s="600"/>
      <c r="I127" s="598" t="s">
        <v>1364</v>
      </c>
      <c r="J127" s="599"/>
      <c r="K127" s="600"/>
      <c r="L127" s="598" t="s">
        <v>1365</v>
      </c>
      <c r="M127" s="599"/>
      <c r="N127" s="600"/>
      <c r="O127" s="598" t="s">
        <v>1366</v>
      </c>
      <c r="P127" s="599"/>
      <c r="Q127" s="599"/>
      <c r="R127" s="449"/>
      <c r="S127" s="587" t="s">
        <v>1356</v>
      </c>
      <c r="T127" s="587"/>
      <c r="U127" s="587"/>
      <c r="V127" s="587" t="s">
        <v>1501</v>
      </c>
      <c r="W127" s="587"/>
      <c r="X127" s="587"/>
      <c r="Y127" s="587" t="s">
        <v>1555</v>
      </c>
      <c r="Z127" s="587"/>
      <c r="AA127" s="587"/>
      <c r="AB127" s="587" t="s">
        <v>12</v>
      </c>
      <c r="AC127" s="587"/>
      <c r="AD127" s="587"/>
      <c r="AE127" s="65"/>
      <c r="AF127" s="65"/>
      <c r="AG127" s="65"/>
      <c r="AH127" s="65"/>
      <c r="AI127" s="65"/>
    </row>
    <row r="128" spans="1:35" s="7" customFormat="1" ht="24" customHeight="1" x14ac:dyDescent="0.2">
      <c r="A128" s="601"/>
      <c r="B128" s="601"/>
      <c r="C128" s="601"/>
      <c r="D128" s="601"/>
      <c r="E128" s="602"/>
      <c r="F128" s="447" t="s">
        <v>1641</v>
      </c>
      <c r="G128" s="447" t="s">
        <v>1490</v>
      </c>
      <c r="H128" s="447" t="s">
        <v>1491</v>
      </c>
      <c r="I128" s="447" t="s">
        <v>1641</v>
      </c>
      <c r="J128" s="447" t="s">
        <v>1490</v>
      </c>
      <c r="K128" s="447" t="s">
        <v>1491</v>
      </c>
      <c r="L128" s="447" t="s">
        <v>1641</v>
      </c>
      <c r="M128" s="447" t="s">
        <v>1490</v>
      </c>
      <c r="N128" s="447" t="s">
        <v>1491</v>
      </c>
      <c r="O128" s="447" t="s">
        <v>1641</v>
      </c>
      <c r="P128" s="447" t="s">
        <v>1490</v>
      </c>
      <c r="Q128" s="447" t="s">
        <v>1491</v>
      </c>
      <c r="R128" s="447"/>
      <c r="S128" s="447" t="s">
        <v>1641</v>
      </c>
      <c r="T128" s="447" t="s">
        <v>1490</v>
      </c>
      <c r="U128" s="447" t="s">
        <v>1491</v>
      </c>
      <c r="V128" s="447" t="s">
        <v>1641</v>
      </c>
      <c r="W128" s="447" t="s">
        <v>1490</v>
      </c>
      <c r="X128" s="447" t="s">
        <v>1491</v>
      </c>
      <c r="Y128" s="447" t="s">
        <v>1641</v>
      </c>
      <c r="Z128" s="447" t="s">
        <v>1490</v>
      </c>
      <c r="AA128" s="447" t="s">
        <v>1491</v>
      </c>
      <c r="AB128" s="447" t="s">
        <v>1641</v>
      </c>
      <c r="AC128" s="447" t="s">
        <v>1490</v>
      </c>
      <c r="AD128" s="447" t="s">
        <v>1491</v>
      </c>
      <c r="AE128" s="65"/>
      <c r="AF128" s="65"/>
      <c r="AG128" s="65"/>
      <c r="AH128" s="65"/>
      <c r="AI128" s="65"/>
    </row>
    <row r="129" spans="1:30" ht="24" customHeight="1" x14ac:dyDescent="0.2">
      <c r="A129" s="466" t="s">
        <v>651</v>
      </c>
      <c r="B129" s="467"/>
      <c r="C129" s="467"/>
      <c r="D129" s="467"/>
      <c r="E129" s="468"/>
      <c r="F129" s="406">
        <f t="shared" ref="F129:Q129" si="53">F130+F134</f>
        <v>1575738582.6600001</v>
      </c>
      <c r="G129" s="406">
        <f t="shared" si="53"/>
        <v>1500367376.7800002</v>
      </c>
      <c r="H129" s="406">
        <f t="shared" si="53"/>
        <v>1500367376.7800002</v>
      </c>
      <c r="I129" s="406">
        <f t="shared" si="53"/>
        <v>137945793424.22</v>
      </c>
      <c r="J129" s="406">
        <f t="shared" si="53"/>
        <v>136497820334.14999</v>
      </c>
      <c r="K129" s="406">
        <f t="shared" si="53"/>
        <v>136497820334.14999</v>
      </c>
      <c r="L129" s="406">
        <f t="shared" si="53"/>
        <v>28315024554</v>
      </c>
      <c r="M129" s="406">
        <f t="shared" si="53"/>
        <v>28315024554</v>
      </c>
      <c r="N129" s="406">
        <f t="shared" si="53"/>
        <v>28315024554</v>
      </c>
      <c r="O129" s="406">
        <f t="shared" si="53"/>
        <v>12544566918.389999</v>
      </c>
      <c r="P129" s="406">
        <f t="shared" si="53"/>
        <v>10751473890</v>
      </c>
      <c r="Q129" s="406">
        <f t="shared" si="53"/>
        <v>10751473890</v>
      </c>
      <c r="R129" s="471"/>
      <c r="S129" s="471">
        <f t="shared" ref="S129:AD129" si="54">S130+S134</f>
        <v>9499634437.2200012</v>
      </c>
      <c r="T129" s="471">
        <f t="shared" si="54"/>
        <v>8779807673.2200012</v>
      </c>
      <c r="U129" s="471">
        <f t="shared" si="54"/>
        <v>8779807673.2200012</v>
      </c>
      <c r="V129" s="471">
        <f t="shared" si="54"/>
        <v>3316642291.1900001</v>
      </c>
      <c r="W129" s="471">
        <f t="shared" si="54"/>
        <v>2997838179.8000002</v>
      </c>
      <c r="X129" s="471">
        <f t="shared" si="54"/>
        <v>2997838179.8000002</v>
      </c>
      <c r="Y129" s="471">
        <f t="shared" si="54"/>
        <v>62.1</v>
      </c>
      <c r="Z129" s="471">
        <f t="shared" si="54"/>
        <v>0</v>
      </c>
      <c r="AA129" s="471">
        <f t="shared" si="54"/>
        <v>0</v>
      </c>
      <c r="AB129" s="406">
        <f t="shared" si="54"/>
        <v>193197400269.78003</v>
      </c>
      <c r="AC129" s="406">
        <f t="shared" si="54"/>
        <v>188842332007.94998</v>
      </c>
      <c r="AD129" s="406">
        <f t="shared" si="54"/>
        <v>188842332007.94998</v>
      </c>
    </row>
    <row r="130" spans="1:30" ht="24" customHeight="1" x14ac:dyDescent="0.2">
      <c r="A130" s="49"/>
      <c r="B130" s="450">
        <v>1</v>
      </c>
      <c r="C130" s="451" t="s">
        <v>136</v>
      </c>
      <c r="D130" s="451"/>
      <c r="E130" s="452"/>
      <c r="F130" s="453">
        <f t="shared" ref="F130:AD130" si="55">F131</f>
        <v>1575738582.6600001</v>
      </c>
      <c r="G130" s="453">
        <f t="shared" si="55"/>
        <v>1500367376.7800002</v>
      </c>
      <c r="H130" s="453">
        <f t="shared" si="55"/>
        <v>1500367376.7800002</v>
      </c>
      <c r="I130" s="453">
        <f t="shared" si="55"/>
        <v>137945793424.22</v>
      </c>
      <c r="J130" s="453">
        <f t="shared" si="55"/>
        <v>136497820334.14999</v>
      </c>
      <c r="K130" s="453">
        <f t="shared" si="55"/>
        <v>136497820334.14999</v>
      </c>
      <c r="L130" s="453">
        <f t="shared" si="55"/>
        <v>28315024554</v>
      </c>
      <c r="M130" s="453">
        <f t="shared" si="55"/>
        <v>28315024554</v>
      </c>
      <c r="N130" s="453">
        <f t="shared" si="55"/>
        <v>28315024554</v>
      </c>
      <c r="O130" s="453">
        <f t="shared" si="55"/>
        <v>12544566918.389999</v>
      </c>
      <c r="P130" s="453">
        <f t="shared" si="55"/>
        <v>10751473890</v>
      </c>
      <c r="Q130" s="453">
        <f t="shared" si="55"/>
        <v>10751473890</v>
      </c>
      <c r="R130" s="453"/>
      <c r="S130" s="453">
        <f t="shared" si="55"/>
        <v>9492134437.2200012</v>
      </c>
      <c r="T130" s="453">
        <f t="shared" si="55"/>
        <v>8772307673.2200012</v>
      </c>
      <c r="U130" s="453">
        <f t="shared" si="55"/>
        <v>8772307673.2200012</v>
      </c>
      <c r="V130" s="453">
        <f t="shared" si="55"/>
        <v>3316642291.1900001</v>
      </c>
      <c r="W130" s="453">
        <f t="shared" si="55"/>
        <v>2997838179.8000002</v>
      </c>
      <c r="X130" s="453">
        <f t="shared" si="55"/>
        <v>2997838179.8000002</v>
      </c>
      <c r="Y130" s="453">
        <f t="shared" si="55"/>
        <v>62.1</v>
      </c>
      <c r="Z130" s="453">
        <f t="shared" si="55"/>
        <v>0</v>
      </c>
      <c r="AA130" s="453">
        <f t="shared" si="55"/>
        <v>0</v>
      </c>
      <c r="AB130" s="453">
        <f t="shared" si="55"/>
        <v>193189900269.78003</v>
      </c>
      <c r="AC130" s="453">
        <f t="shared" si="55"/>
        <v>188834832007.94998</v>
      </c>
      <c r="AD130" s="453">
        <f t="shared" si="55"/>
        <v>188834832007.94998</v>
      </c>
    </row>
    <row r="131" spans="1:30" ht="24" customHeight="1" x14ac:dyDescent="0.2">
      <c r="A131" s="49"/>
      <c r="B131" s="55"/>
      <c r="C131" s="422">
        <v>22</v>
      </c>
      <c r="D131" s="413" t="s">
        <v>156</v>
      </c>
      <c r="E131" s="414"/>
      <c r="F131" s="415">
        <f t="shared" ref="F131:Q131" si="56">SUM(F132:F133)</f>
        <v>1575738582.6600001</v>
      </c>
      <c r="G131" s="415">
        <f t="shared" si="56"/>
        <v>1500367376.7800002</v>
      </c>
      <c r="H131" s="415">
        <f t="shared" si="56"/>
        <v>1500367376.7800002</v>
      </c>
      <c r="I131" s="415">
        <f t="shared" si="56"/>
        <v>137945793424.22</v>
      </c>
      <c r="J131" s="415">
        <f t="shared" si="56"/>
        <v>136497820334.14999</v>
      </c>
      <c r="K131" s="415">
        <f t="shared" si="56"/>
        <v>136497820334.14999</v>
      </c>
      <c r="L131" s="415">
        <f t="shared" si="56"/>
        <v>28315024554</v>
      </c>
      <c r="M131" s="415">
        <f t="shared" si="56"/>
        <v>28315024554</v>
      </c>
      <c r="N131" s="415">
        <f t="shared" si="56"/>
        <v>28315024554</v>
      </c>
      <c r="O131" s="415">
        <f t="shared" si="56"/>
        <v>12544566918.389999</v>
      </c>
      <c r="P131" s="415">
        <f t="shared" si="56"/>
        <v>10751473890</v>
      </c>
      <c r="Q131" s="415">
        <f t="shared" si="56"/>
        <v>10751473890</v>
      </c>
      <c r="R131" s="415"/>
      <c r="S131" s="415">
        <f t="shared" ref="S131:AD131" si="57">SUM(S132:S133)</f>
        <v>9492134437.2200012</v>
      </c>
      <c r="T131" s="415">
        <f t="shared" si="57"/>
        <v>8772307673.2200012</v>
      </c>
      <c r="U131" s="415">
        <f t="shared" si="57"/>
        <v>8772307673.2200012</v>
      </c>
      <c r="V131" s="415">
        <f t="shared" si="57"/>
        <v>3316642291.1900001</v>
      </c>
      <c r="W131" s="415">
        <f t="shared" si="57"/>
        <v>2997838179.8000002</v>
      </c>
      <c r="X131" s="415">
        <f t="shared" si="57"/>
        <v>2997838179.8000002</v>
      </c>
      <c r="Y131" s="415">
        <f t="shared" si="57"/>
        <v>62.1</v>
      </c>
      <c r="Z131" s="415">
        <f t="shared" si="57"/>
        <v>0</v>
      </c>
      <c r="AA131" s="415">
        <f t="shared" si="57"/>
        <v>0</v>
      </c>
      <c r="AB131" s="415">
        <f t="shared" si="57"/>
        <v>193189900269.78003</v>
      </c>
      <c r="AC131" s="415">
        <f t="shared" si="57"/>
        <v>188834832007.94998</v>
      </c>
      <c r="AD131" s="415">
        <f t="shared" si="57"/>
        <v>188834832007.94998</v>
      </c>
    </row>
    <row r="132" spans="1:30" s="27" customFormat="1" ht="56.25" customHeight="1" x14ac:dyDescent="0.2">
      <c r="A132" s="54"/>
      <c r="B132" s="44"/>
      <c r="C132" s="44"/>
      <c r="D132" s="56">
        <v>2201</v>
      </c>
      <c r="E132" s="188" t="s">
        <v>277</v>
      </c>
      <c r="F132" s="124">
        <f>SUM('SGTO POAI VIGENCIA 2021'!AI130:AI163)</f>
        <v>1573920278.6600001</v>
      </c>
      <c r="G132" s="124">
        <f>SUM('SGTO POAI VIGENCIA 2021'!AJ130:AJ163)</f>
        <v>1498549072.7800002</v>
      </c>
      <c r="H132" s="124">
        <f>SUM('SGTO POAI VIGENCIA 2021'!AK130:AK163)</f>
        <v>1498549072.7800002</v>
      </c>
      <c r="I132" s="124">
        <f>SUM('SGTO POAI VIGENCIA 2021'!AR130:AR163)</f>
        <v>137945793424.22</v>
      </c>
      <c r="J132" s="124">
        <f>SUM('SGTO POAI VIGENCIA 2021'!AS130:AS163)</f>
        <v>136497820334.14999</v>
      </c>
      <c r="K132" s="124">
        <f>SUM('SGTO POAI VIGENCIA 2021'!AT130:AT163)</f>
        <v>136497820334.14999</v>
      </c>
      <c r="L132" s="124">
        <f>SUM('SGTO POAI VIGENCIA 2021'!AU130:AU163)</f>
        <v>28315024554</v>
      </c>
      <c r="M132" s="124">
        <f>SUM('SGTO POAI VIGENCIA 2021'!AV130:AV163)</f>
        <v>28315024554</v>
      </c>
      <c r="N132" s="124">
        <f>SUM('SGTO POAI VIGENCIA 2021'!AW130:AW163)</f>
        <v>28315024554</v>
      </c>
      <c r="O132" s="124">
        <f>SUM('SGTO POAI VIGENCIA 2021'!AX130:AX163)</f>
        <v>12544566918.389999</v>
      </c>
      <c r="P132" s="124">
        <f>SUM('SGTO POAI VIGENCIA 2021'!AY130:AY163)</f>
        <v>10751473890</v>
      </c>
      <c r="Q132" s="124">
        <f>SUM('SGTO POAI VIGENCIA 2021'!AZ130:AZ163)</f>
        <v>10751473890</v>
      </c>
      <c r="R132" s="254"/>
      <c r="S132" s="254">
        <f>SUM('SGTO POAI VIGENCIA 2021'!BD130:BD163)</f>
        <v>9054894489.2200012</v>
      </c>
      <c r="T132" s="254">
        <f>SUM('SGTO POAI VIGENCIA 2021'!BE130:BE163)</f>
        <v>8341545215.2200003</v>
      </c>
      <c r="U132" s="254">
        <f>SUM('SGTO POAI VIGENCIA 2021'!BF130:BF163)</f>
        <v>8341545215.2200003</v>
      </c>
      <c r="V132" s="254">
        <f>SUM('SGTO POAI VIGENCIA 2021'!BJ130:BJ163)</f>
        <v>3316642291.1900001</v>
      </c>
      <c r="W132" s="254">
        <f>SUM('SGTO POAI VIGENCIA 2021'!BK130:BK163)</f>
        <v>2997838179.8000002</v>
      </c>
      <c r="X132" s="254">
        <f>SUM('SGTO POAI VIGENCIA 2021'!BL130:BL163)</f>
        <v>2997838179.8000002</v>
      </c>
      <c r="Y132" s="254">
        <f>SUM('SGTO POAI VIGENCIA 2021'!BG130:BG163)</f>
        <v>62.1</v>
      </c>
      <c r="Z132" s="254">
        <f>SUM('SGTO POAI VIGENCIA 2021'!BH130:BH163)</f>
        <v>0</v>
      </c>
      <c r="AA132" s="254">
        <f>SUM('SGTO POAI VIGENCIA 2021'!BI130:BI163)</f>
        <v>0</v>
      </c>
      <c r="AB132" s="124">
        <f>F132+I132+L132+O132+S132+V132+Y132</f>
        <v>192750842017.78003</v>
      </c>
      <c r="AC132" s="124">
        <f>G132+J132+M132+P132+T132+W132+Z132</f>
        <v>188402251245.94998</v>
      </c>
      <c r="AD132" s="124">
        <f>H132+K132+N132+Q132+U132+X132+AA132</f>
        <v>188402251245.94998</v>
      </c>
    </row>
    <row r="133" spans="1:30" s="27" customFormat="1" ht="51" customHeight="1" x14ac:dyDescent="0.2">
      <c r="A133" s="54"/>
      <c r="B133" s="44"/>
      <c r="C133" s="44"/>
      <c r="D133" s="44">
        <v>2202</v>
      </c>
      <c r="E133" s="188" t="s">
        <v>1482</v>
      </c>
      <c r="F133" s="192">
        <f>SUM('SGTO POAI VIGENCIA 2021'!AI164)</f>
        <v>1818304</v>
      </c>
      <c r="G133" s="192">
        <f>SUM('SGTO POAI VIGENCIA 2021'!AJ164)</f>
        <v>1818304</v>
      </c>
      <c r="H133" s="192">
        <f>SUM('SGTO POAI VIGENCIA 2021'!AK164)</f>
        <v>1818304</v>
      </c>
      <c r="I133" s="124"/>
      <c r="J133" s="124"/>
      <c r="K133" s="124"/>
      <c r="L133" s="124"/>
      <c r="M133" s="124"/>
      <c r="N133" s="124"/>
      <c r="O133" s="124"/>
      <c r="P133" s="124"/>
      <c r="Q133" s="124"/>
      <c r="R133" s="254"/>
      <c r="S133" s="254">
        <f>SUM('SGTO POAI VIGENCIA 2021'!BD164)</f>
        <v>437239948</v>
      </c>
      <c r="T133" s="254">
        <f>SUM('SGTO POAI VIGENCIA 2021'!BE164)</f>
        <v>430762458</v>
      </c>
      <c r="U133" s="254">
        <f>SUM('SGTO POAI VIGENCIA 2021'!BF164)</f>
        <v>430762458</v>
      </c>
      <c r="V133" s="254"/>
      <c r="W133" s="254"/>
      <c r="X133" s="254"/>
      <c r="Y133" s="254"/>
      <c r="Z133" s="254"/>
      <c r="AA133" s="254"/>
      <c r="AB133" s="124">
        <f>F133+I133+L133+O133+S133</f>
        <v>439058252</v>
      </c>
      <c r="AC133" s="124">
        <f>G133+J133+M133+P133+T133+W133</f>
        <v>432580762</v>
      </c>
      <c r="AD133" s="124">
        <f>H133+K133+N133+Q133+U133+X133</f>
        <v>432580762</v>
      </c>
    </row>
    <row r="134" spans="1:30" ht="24" customHeight="1" x14ac:dyDescent="0.2">
      <c r="A134" s="49"/>
      <c r="B134" s="450">
        <v>2</v>
      </c>
      <c r="C134" s="451" t="s">
        <v>400</v>
      </c>
      <c r="D134" s="451"/>
      <c r="E134" s="452"/>
      <c r="F134" s="453">
        <f t="shared" ref="F134:AC135" si="58">F135</f>
        <v>0</v>
      </c>
      <c r="G134" s="453">
        <f t="shared" si="58"/>
        <v>0</v>
      </c>
      <c r="H134" s="453">
        <f t="shared" si="58"/>
        <v>0</v>
      </c>
      <c r="I134" s="453">
        <f t="shared" si="58"/>
        <v>0</v>
      </c>
      <c r="J134" s="453">
        <f t="shared" si="58"/>
        <v>0</v>
      </c>
      <c r="K134" s="453">
        <f t="shared" si="58"/>
        <v>0</v>
      </c>
      <c r="L134" s="453">
        <f t="shared" si="58"/>
        <v>0</v>
      </c>
      <c r="M134" s="453">
        <f t="shared" si="58"/>
        <v>0</v>
      </c>
      <c r="N134" s="453">
        <f t="shared" si="58"/>
        <v>0</v>
      </c>
      <c r="O134" s="453">
        <f t="shared" si="58"/>
        <v>0</v>
      </c>
      <c r="P134" s="453">
        <f t="shared" si="58"/>
        <v>0</v>
      </c>
      <c r="Q134" s="453">
        <f t="shared" si="58"/>
        <v>0</v>
      </c>
      <c r="R134" s="453"/>
      <c r="S134" s="453">
        <f t="shared" si="58"/>
        <v>7500000</v>
      </c>
      <c r="T134" s="453">
        <f t="shared" si="58"/>
        <v>7500000</v>
      </c>
      <c r="U134" s="453">
        <f t="shared" si="58"/>
        <v>7500000</v>
      </c>
      <c r="V134" s="453">
        <f t="shared" si="58"/>
        <v>0</v>
      </c>
      <c r="W134" s="453">
        <f t="shared" si="58"/>
        <v>0</v>
      </c>
      <c r="X134" s="453">
        <f t="shared" si="58"/>
        <v>0</v>
      </c>
      <c r="Y134" s="453"/>
      <c r="Z134" s="453"/>
      <c r="AA134" s="453"/>
      <c r="AB134" s="453">
        <f t="shared" si="58"/>
        <v>7500000</v>
      </c>
      <c r="AC134" s="453">
        <f t="shared" si="58"/>
        <v>7500000</v>
      </c>
      <c r="AD134" s="453">
        <f>AD135</f>
        <v>7500000</v>
      </c>
    </row>
    <row r="135" spans="1:30" ht="24" customHeight="1" x14ac:dyDescent="0.2">
      <c r="A135" s="49"/>
      <c r="B135" s="55"/>
      <c r="C135" s="422">
        <v>39</v>
      </c>
      <c r="D135" s="413" t="s">
        <v>1483</v>
      </c>
      <c r="E135" s="413"/>
      <c r="F135" s="415">
        <f t="shared" si="58"/>
        <v>0</v>
      </c>
      <c r="G135" s="415">
        <f t="shared" si="58"/>
        <v>0</v>
      </c>
      <c r="H135" s="415">
        <f t="shared" si="58"/>
        <v>0</v>
      </c>
      <c r="I135" s="415">
        <f t="shared" si="58"/>
        <v>0</v>
      </c>
      <c r="J135" s="415">
        <f t="shared" si="58"/>
        <v>0</v>
      </c>
      <c r="K135" s="415">
        <f t="shared" si="58"/>
        <v>0</v>
      </c>
      <c r="L135" s="415">
        <f t="shared" si="58"/>
        <v>0</v>
      </c>
      <c r="M135" s="415">
        <f t="shared" si="58"/>
        <v>0</v>
      </c>
      <c r="N135" s="415">
        <f t="shared" si="58"/>
        <v>0</v>
      </c>
      <c r="O135" s="415">
        <f t="shared" si="58"/>
        <v>0</v>
      </c>
      <c r="P135" s="415">
        <f t="shared" si="58"/>
        <v>0</v>
      </c>
      <c r="Q135" s="415">
        <f t="shared" si="58"/>
        <v>0</v>
      </c>
      <c r="R135" s="415"/>
      <c r="S135" s="415">
        <f t="shared" si="58"/>
        <v>7500000</v>
      </c>
      <c r="T135" s="415">
        <f t="shared" si="58"/>
        <v>7500000</v>
      </c>
      <c r="U135" s="415">
        <f t="shared" si="58"/>
        <v>7500000</v>
      </c>
      <c r="V135" s="415">
        <f t="shared" si="58"/>
        <v>0</v>
      </c>
      <c r="W135" s="415">
        <f t="shared" si="58"/>
        <v>0</v>
      </c>
      <c r="X135" s="415">
        <f t="shared" si="58"/>
        <v>0</v>
      </c>
      <c r="Y135" s="415"/>
      <c r="Z135" s="415"/>
      <c r="AA135" s="415"/>
      <c r="AB135" s="415">
        <f t="shared" si="58"/>
        <v>7500000</v>
      </c>
      <c r="AC135" s="415">
        <f>AC136</f>
        <v>7500000</v>
      </c>
      <c r="AD135" s="415">
        <f>AD136</f>
        <v>7500000</v>
      </c>
    </row>
    <row r="136" spans="1:30" s="27" customFormat="1" ht="45.75" customHeight="1" x14ac:dyDescent="0.2">
      <c r="A136" s="54"/>
      <c r="B136" s="44"/>
      <c r="C136" s="44"/>
      <c r="D136" s="44">
        <v>3904</v>
      </c>
      <c r="E136" s="188" t="s">
        <v>759</v>
      </c>
      <c r="F136" s="192">
        <f>SUM('SGTO POAI VIGENCIA 2021'!AI165)</f>
        <v>0</v>
      </c>
      <c r="G136" s="192">
        <f>SUM('SGTO POAI VIGENCIA 2021'!AJ165)</f>
        <v>0</v>
      </c>
      <c r="H136" s="192">
        <f>SUM('SGTO POAI VIGENCIA 2021'!AK165)</f>
        <v>0</v>
      </c>
      <c r="I136" s="124"/>
      <c r="J136" s="124"/>
      <c r="K136" s="124"/>
      <c r="L136" s="124"/>
      <c r="M136" s="124"/>
      <c r="N136" s="124"/>
      <c r="O136" s="124"/>
      <c r="P136" s="124"/>
      <c r="Q136" s="124"/>
      <c r="R136" s="254"/>
      <c r="S136" s="254">
        <f>SUM('SGTO POAI VIGENCIA 2021'!BD165)</f>
        <v>7500000</v>
      </c>
      <c r="T136" s="254">
        <f>SUM('SGTO POAI VIGENCIA 2021'!BE165)</f>
        <v>7500000</v>
      </c>
      <c r="U136" s="254">
        <f>SUM('SGTO POAI VIGENCIA 2021'!BF165)</f>
        <v>7500000</v>
      </c>
      <c r="V136" s="254">
        <f>'SGTO POAI VIGENCIA 2021'!BJ165</f>
        <v>0</v>
      </c>
      <c r="W136" s="254">
        <f>'SGTO POAI VIGENCIA 2021'!BK165</f>
        <v>0</v>
      </c>
      <c r="X136" s="254">
        <f>'SGTO POAI VIGENCIA 2021'!BL165</f>
        <v>0</v>
      </c>
      <c r="Y136" s="254"/>
      <c r="Z136" s="254"/>
      <c r="AA136" s="254"/>
      <c r="AB136" s="124">
        <f>F136+I136+L136+O136+S136</f>
        <v>7500000</v>
      </c>
      <c r="AC136" s="124">
        <f>G136+J136+M136+P136+T136</f>
        <v>7500000</v>
      </c>
      <c r="AD136" s="124">
        <f>H136+K136+N136+Q136+U136</f>
        <v>7500000</v>
      </c>
    </row>
    <row r="137" spans="1:30" s="7" customFormat="1" x14ac:dyDescent="0.2">
      <c r="A137" s="36"/>
      <c r="B137" s="93"/>
      <c r="C137" s="93"/>
      <c r="D137" s="93"/>
      <c r="E137" s="97"/>
      <c r="F137" s="94"/>
      <c r="G137" s="29"/>
      <c r="H137" s="14"/>
      <c r="I137" s="14"/>
      <c r="J137" s="14"/>
      <c r="K137" s="14"/>
      <c r="L137" s="35"/>
    </row>
    <row r="138" spans="1:30" ht="27.75" customHeight="1" x14ac:dyDescent="0.2">
      <c r="A138" s="601" t="s">
        <v>4</v>
      </c>
      <c r="B138" s="601" t="s">
        <v>5</v>
      </c>
      <c r="C138" s="601" t="s">
        <v>6</v>
      </c>
      <c r="D138" s="601" t="s">
        <v>1355</v>
      </c>
      <c r="E138" s="602" t="s">
        <v>7</v>
      </c>
      <c r="F138" s="599" t="s">
        <v>1502</v>
      </c>
      <c r="G138" s="599"/>
      <c r="H138" s="600"/>
      <c r="I138" s="598" t="s">
        <v>1356</v>
      </c>
      <c r="J138" s="599"/>
      <c r="K138" s="600"/>
      <c r="L138" s="598" t="s">
        <v>12</v>
      </c>
      <c r="M138" s="599"/>
      <c r="N138" s="600"/>
      <c r="O138" s="2"/>
      <c r="P138" s="31"/>
    </row>
    <row r="139" spans="1:30" ht="27.75" customHeight="1" x14ac:dyDescent="0.2">
      <c r="A139" s="601"/>
      <c r="B139" s="601"/>
      <c r="C139" s="601"/>
      <c r="D139" s="601"/>
      <c r="E139" s="602"/>
      <c r="F139" s="448" t="s">
        <v>1641</v>
      </c>
      <c r="G139" s="447" t="s">
        <v>1490</v>
      </c>
      <c r="H139" s="447" t="s">
        <v>1491</v>
      </c>
      <c r="I139" s="447" t="s">
        <v>1641</v>
      </c>
      <c r="J139" s="447" t="s">
        <v>1490</v>
      </c>
      <c r="K139" s="447" t="s">
        <v>1491</v>
      </c>
      <c r="L139" s="447" t="s">
        <v>1641</v>
      </c>
      <c r="M139" s="447" t="s">
        <v>1490</v>
      </c>
      <c r="N139" s="447" t="s">
        <v>1491</v>
      </c>
      <c r="O139" s="2"/>
      <c r="P139" s="31"/>
    </row>
    <row r="140" spans="1:30" s="7" customFormat="1" ht="24.75" customHeight="1" x14ac:dyDescent="0.2">
      <c r="A140" s="466" t="s">
        <v>767</v>
      </c>
      <c r="B140" s="467"/>
      <c r="C140" s="467"/>
      <c r="D140" s="467"/>
      <c r="E140" s="468"/>
      <c r="F140" s="470">
        <f t="shared" ref="F140:N140" si="59">F141+F150+F155</f>
        <v>4621490244.0100002</v>
      </c>
      <c r="G140" s="470">
        <f t="shared" si="59"/>
        <v>3361086793.25</v>
      </c>
      <c r="H140" s="470">
        <f t="shared" si="59"/>
        <v>3361086793.25</v>
      </c>
      <c r="I140" s="470">
        <f t="shared" si="59"/>
        <v>2293776106</v>
      </c>
      <c r="J140" s="470">
        <f t="shared" si="59"/>
        <v>2095741159.3899999</v>
      </c>
      <c r="K140" s="470">
        <f t="shared" si="59"/>
        <v>2095741159.3899999</v>
      </c>
      <c r="L140" s="470">
        <f t="shared" si="59"/>
        <v>6915266350.0100002</v>
      </c>
      <c r="M140" s="470">
        <f t="shared" si="59"/>
        <v>5456827952.6399994</v>
      </c>
      <c r="N140" s="470">
        <f t="shared" si="59"/>
        <v>5456827952.6399994</v>
      </c>
      <c r="O140" s="14"/>
      <c r="P140" s="35"/>
    </row>
    <row r="141" spans="1:30" s="7" customFormat="1" ht="20.25" customHeight="1" x14ac:dyDescent="0.2">
      <c r="A141" s="95"/>
      <c r="B141" s="450">
        <v>1</v>
      </c>
      <c r="C141" s="451" t="s">
        <v>136</v>
      </c>
      <c r="D141" s="451"/>
      <c r="E141" s="452"/>
      <c r="F141" s="453">
        <f t="shared" ref="F141:N141" si="60">F142+F144+F146</f>
        <v>4621490244.0100002</v>
      </c>
      <c r="G141" s="453">
        <f t="shared" si="60"/>
        <v>3361086793.25</v>
      </c>
      <c r="H141" s="453">
        <f t="shared" si="60"/>
        <v>3361086793.25</v>
      </c>
      <c r="I141" s="453">
        <f t="shared" si="60"/>
        <v>1760486603</v>
      </c>
      <c r="J141" s="453">
        <f t="shared" si="60"/>
        <v>1630122751.3899999</v>
      </c>
      <c r="K141" s="453">
        <f t="shared" si="60"/>
        <v>1630122751.3899999</v>
      </c>
      <c r="L141" s="453">
        <f t="shared" si="60"/>
        <v>6381976847.0100002</v>
      </c>
      <c r="M141" s="453">
        <f t="shared" si="60"/>
        <v>4991209544.6399994</v>
      </c>
      <c r="N141" s="453">
        <f t="shared" si="60"/>
        <v>4991209544.6399994</v>
      </c>
      <c r="O141" s="14"/>
      <c r="P141" s="35"/>
    </row>
    <row r="142" spans="1:30" s="7" customFormat="1" ht="20.25" customHeight="1" x14ac:dyDescent="0.2">
      <c r="A142" s="95"/>
      <c r="B142" s="55"/>
      <c r="C142" s="422">
        <v>19</v>
      </c>
      <c r="D142" s="413" t="s">
        <v>147</v>
      </c>
      <c r="E142" s="414"/>
      <c r="F142" s="415">
        <f t="shared" ref="F142:N142" si="61">F143</f>
        <v>0</v>
      </c>
      <c r="G142" s="415">
        <f t="shared" si="61"/>
        <v>0</v>
      </c>
      <c r="H142" s="415">
        <f t="shared" si="61"/>
        <v>0</v>
      </c>
      <c r="I142" s="415">
        <f t="shared" si="61"/>
        <v>170000000</v>
      </c>
      <c r="J142" s="415">
        <f t="shared" si="61"/>
        <v>165845884</v>
      </c>
      <c r="K142" s="415">
        <f t="shared" si="61"/>
        <v>165845884</v>
      </c>
      <c r="L142" s="415">
        <f t="shared" si="61"/>
        <v>170000000</v>
      </c>
      <c r="M142" s="415">
        <f t="shared" si="61"/>
        <v>165845884</v>
      </c>
      <c r="N142" s="415">
        <f t="shared" si="61"/>
        <v>165845884</v>
      </c>
      <c r="O142" s="14"/>
      <c r="P142" s="35"/>
    </row>
    <row r="143" spans="1:30" s="28" customFormat="1" ht="32.25" customHeight="1" x14ac:dyDescent="0.2">
      <c r="A143" s="96"/>
      <c r="B143" s="44"/>
      <c r="C143" s="44"/>
      <c r="D143" s="44">
        <v>1905</v>
      </c>
      <c r="E143" s="47" t="s">
        <v>768</v>
      </c>
      <c r="F143" s="192"/>
      <c r="G143" s="192"/>
      <c r="H143" s="192"/>
      <c r="I143" s="192">
        <f>SUM('SGTO POAI VIGENCIA 2021'!BD166:BD167)</f>
        <v>170000000</v>
      </c>
      <c r="J143" s="192">
        <f>SUM('SGTO POAI VIGENCIA 2021'!BE166:BE167)</f>
        <v>165845884</v>
      </c>
      <c r="K143" s="192">
        <f>SUM('SGTO POAI VIGENCIA 2021'!BF166:BF167)</f>
        <v>165845884</v>
      </c>
      <c r="L143" s="192">
        <f>F143+I143</f>
        <v>170000000</v>
      </c>
      <c r="M143" s="192">
        <f>G143+J143</f>
        <v>165845884</v>
      </c>
      <c r="N143" s="192">
        <f>H143+K143</f>
        <v>165845884</v>
      </c>
      <c r="P143" s="37"/>
    </row>
    <row r="144" spans="1:30" s="28" customFormat="1" ht="32.25" customHeight="1" x14ac:dyDescent="0.2">
      <c r="A144" s="96"/>
      <c r="B144" s="55"/>
      <c r="C144" s="422">
        <v>33</v>
      </c>
      <c r="D144" s="418" t="s">
        <v>166</v>
      </c>
      <c r="E144" s="419"/>
      <c r="F144" s="415">
        <f t="shared" ref="F144:N144" si="62">F145</f>
        <v>0</v>
      </c>
      <c r="G144" s="415">
        <f t="shared" si="62"/>
        <v>0</v>
      </c>
      <c r="H144" s="415">
        <f t="shared" si="62"/>
        <v>0</v>
      </c>
      <c r="I144" s="415">
        <f t="shared" si="62"/>
        <v>14250000</v>
      </c>
      <c r="J144" s="415">
        <f t="shared" si="62"/>
        <v>14250000</v>
      </c>
      <c r="K144" s="415">
        <f t="shared" si="62"/>
        <v>14250000</v>
      </c>
      <c r="L144" s="415">
        <f t="shared" si="62"/>
        <v>14250000</v>
      </c>
      <c r="M144" s="415">
        <f t="shared" si="62"/>
        <v>14250000</v>
      </c>
      <c r="N144" s="415">
        <f t="shared" si="62"/>
        <v>14250000</v>
      </c>
      <c r="P144" s="37"/>
    </row>
    <row r="145" spans="1:27" s="28" customFormat="1" ht="48" customHeight="1" x14ac:dyDescent="0.2">
      <c r="A145" s="96"/>
      <c r="B145" s="44"/>
      <c r="C145" s="44"/>
      <c r="D145" s="44">
        <v>3301</v>
      </c>
      <c r="E145" s="188" t="s">
        <v>167</v>
      </c>
      <c r="F145" s="192"/>
      <c r="G145" s="192"/>
      <c r="H145" s="192"/>
      <c r="I145" s="192">
        <f>'SGTO POAI VIGENCIA 2021'!BD168</f>
        <v>14250000</v>
      </c>
      <c r="J145" s="192">
        <f>'SGTO POAI VIGENCIA 2021'!BE168</f>
        <v>14250000</v>
      </c>
      <c r="K145" s="192">
        <f>'SGTO POAI VIGENCIA 2021'!BF168</f>
        <v>14250000</v>
      </c>
      <c r="L145" s="192">
        <f>F145+I145</f>
        <v>14250000</v>
      </c>
      <c r="M145" s="192">
        <f>G145+J145</f>
        <v>14250000</v>
      </c>
      <c r="N145" s="192">
        <f>H145+K145</f>
        <v>14250000</v>
      </c>
      <c r="P145" s="37"/>
    </row>
    <row r="146" spans="1:27" s="28" customFormat="1" ht="28.5" customHeight="1" x14ac:dyDescent="0.2">
      <c r="A146" s="96"/>
      <c r="B146" s="55"/>
      <c r="C146" s="422">
        <v>41</v>
      </c>
      <c r="D146" s="413" t="s">
        <v>784</v>
      </c>
      <c r="E146" s="414"/>
      <c r="F146" s="415">
        <f t="shared" ref="F146:N146" si="63">SUM(F147:F149)</f>
        <v>4621490244.0100002</v>
      </c>
      <c r="G146" s="415">
        <f t="shared" si="63"/>
        <v>3361086793.25</v>
      </c>
      <c r="H146" s="415">
        <f t="shared" si="63"/>
        <v>3361086793.25</v>
      </c>
      <c r="I146" s="415">
        <f t="shared" si="63"/>
        <v>1576236603</v>
      </c>
      <c r="J146" s="415">
        <f t="shared" si="63"/>
        <v>1450026867.3899999</v>
      </c>
      <c r="K146" s="415">
        <f t="shared" si="63"/>
        <v>1450026867.3899999</v>
      </c>
      <c r="L146" s="415">
        <f t="shared" si="63"/>
        <v>6197726847.0100002</v>
      </c>
      <c r="M146" s="415">
        <f t="shared" si="63"/>
        <v>4811113660.6399994</v>
      </c>
      <c r="N146" s="415">
        <f t="shared" si="63"/>
        <v>4811113660.6399994</v>
      </c>
      <c r="P146" s="37"/>
    </row>
    <row r="147" spans="1:27" s="28" customFormat="1" ht="54" customHeight="1" x14ac:dyDescent="0.2">
      <c r="A147" s="96"/>
      <c r="B147" s="44"/>
      <c r="C147" s="44"/>
      <c r="D147" s="44">
        <v>4102</v>
      </c>
      <c r="E147" s="188" t="s">
        <v>785</v>
      </c>
      <c r="F147" s="192"/>
      <c r="G147" s="192"/>
      <c r="H147" s="192"/>
      <c r="I147" s="192">
        <f>SUM('SGTO POAI VIGENCIA 2021'!BD169:BD178)</f>
        <v>1174562889</v>
      </c>
      <c r="J147" s="192">
        <f>SUM('SGTO POAI VIGENCIA 2021'!BE169:BE178)</f>
        <v>1067412570</v>
      </c>
      <c r="K147" s="192">
        <f>SUM('SGTO POAI VIGENCIA 2021'!BF169:BF178)</f>
        <v>1067412570</v>
      </c>
      <c r="L147" s="192">
        <f>F147+I147</f>
        <v>1174562889</v>
      </c>
      <c r="M147" s="192">
        <f t="shared" ref="M147:N149" si="64">G147+J147</f>
        <v>1067412570</v>
      </c>
      <c r="N147" s="192">
        <f t="shared" si="64"/>
        <v>1067412570</v>
      </c>
      <c r="P147" s="37"/>
    </row>
    <row r="148" spans="1:27" s="28" customFormat="1" ht="54" customHeight="1" x14ac:dyDescent="0.2">
      <c r="A148" s="96"/>
      <c r="B148" s="44"/>
      <c r="C148" s="44"/>
      <c r="D148" s="44">
        <v>4103</v>
      </c>
      <c r="E148" s="188" t="s">
        <v>302</v>
      </c>
      <c r="F148" s="192"/>
      <c r="G148" s="192"/>
      <c r="H148" s="192"/>
      <c r="I148" s="192">
        <f>SUM('SGTO POAI VIGENCIA 2021'!BD179:BD185)</f>
        <v>233793714</v>
      </c>
      <c r="J148" s="192">
        <f>SUM('SGTO POAI VIGENCIA 2021'!BE179:BE185)</f>
        <v>226708797.38999999</v>
      </c>
      <c r="K148" s="192">
        <f>SUM('SGTO POAI VIGENCIA 2021'!BF179:BF185)</f>
        <v>226708797.38999999</v>
      </c>
      <c r="L148" s="192">
        <f>F148+I148</f>
        <v>233793714</v>
      </c>
      <c r="M148" s="192">
        <f t="shared" si="64"/>
        <v>226708797.38999999</v>
      </c>
      <c r="N148" s="192">
        <f t="shared" si="64"/>
        <v>226708797.38999999</v>
      </c>
      <c r="P148" s="37"/>
    </row>
    <row r="149" spans="1:27" s="28" customFormat="1" ht="54" customHeight="1" x14ac:dyDescent="0.2">
      <c r="A149" s="96"/>
      <c r="B149" s="44"/>
      <c r="C149" s="44"/>
      <c r="D149" s="44">
        <v>4104</v>
      </c>
      <c r="E149" s="188" t="s">
        <v>893</v>
      </c>
      <c r="F149" s="192">
        <f>'SGTO POAI VIGENCIA 2021'!Z190</f>
        <v>4621490244.0100002</v>
      </c>
      <c r="G149" s="192">
        <f>'SGTO POAI VIGENCIA 2021'!AA190</f>
        <v>3361086793.25</v>
      </c>
      <c r="H149" s="192">
        <f>'SGTO POAI VIGENCIA 2021'!AB190</f>
        <v>3361086793.25</v>
      </c>
      <c r="I149" s="192">
        <f>SUM('SGTO POAI VIGENCIA 2021'!BD186:BD190)</f>
        <v>167880000</v>
      </c>
      <c r="J149" s="192">
        <f>SUM('SGTO POAI VIGENCIA 2021'!BE186:BE190)</f>
        <v>155905500</v>
      </c>
      <c r="K149" s="192">
        <f>SUM('SGTO POAI VIGENCIA 2021'!BF186:BF190)</f>
        <v>155905500</v>
      </c>
      <c r="L149" s="192">
        <f>F149+I149</f>
        <v>4789370244.0100002</v>
      </c>
      <c r="M149" s="192">
        <f t="shared" si="64"/>
        <v>3516992293.25</v>
      </c>
      <c r="N149" s="192">
        <f t="shared" si="64"/>
        <v>3516992293.25</v>
      </c>
      <c r="P149" s="37"/>
    </row>
    <row r="150" spans="1:27" s="7" customFormat="1" ht="20.25" customHeight="1" x14ac:dyDescent="0.2">
      <c r="A150" s="95"/>
      <c r="B150" s="450">
        <v>2</v>
      </c>
      <c r="C150" s="451" t="s">
        <v>400</v>
      </c>
      <c r="D150" s="451"/>
      <c r="E150" s="452"/>
      <c r="F150" s="453">
        <f t="shared" ref="F150:N150" si="65">F151+F153</f>
        <v>0</v>
      </c>
      <c r="G150" s="453">
        <f t="shared" si="65"/>
        <v>0</v>
      </c>
      <c r="H150" s="453">
        <f t="shared" si="65"/>
        <v>0</v>
      </c>
      <c r="I150" s="453">
        <f t="shared" si="65"/>
        <v>56195000</v>
      </c>
      <c r="J150" s="453">
        <f t="shared" si="65"/>
        <v>55005000</v>
      </c>
      <c r="K150" s="453">
        <f t="shared" si="65"/>
        <v>55005000</v>
      </c>
      <c r="L150" s="453">
        <f t="shared" si="65"/>
        <v>56195000</v>
      </c>
      <c r="M150" s="453">
        <f t="shared" si="65"/>
        <v>55005000</v>
      </c>
      <c r="N150" s="453">
        <f t="shared" si="65"/>
        <v>55005000</v>
      </c>
      <c r="O150" s="14"/>
      <c r="P150" s="35"/>
    </row>
    <row r="151" spans="1:27" s="7" customFormat="1" ht="20.25" customHeight="1" x14ac:dyDescent="0.2">
      <c r="A151" s="95"/>
      <c r="B151" s="55"/>
      <c r="C151" s="422">
        <v>17</v>
      </c>
      <c r="D151" s="413" t="s">
        <v>451</v>
      </c>
      <c r="E151" s="414"/>
      <c r="F151" s="415">
        <f t="shared" ref="F151:N151" si="66">F152</f>
        <v>0</v>
      </c>
      <c r="G151" s="415">
        <f t="shared" si="66"/>
        <v>0</v>
      </c>
      <c r="H151" s="415">
        <f t="shared" si="66"/>
        <v>0</v>
      </c>
      <c r="I151" s="415">
        <f t="shared" si="66"/>
        <v>18000000</v>
      </c>
      <c r="J151" s="415">
        <f t="shared" si="66"/>
        <v>17310000</v>
      </c>
      <c r="K151" s="415">
        <f t="shared" si="66"/>
        <v>17310000</v>
      </c>
      <c r="L151" s="415">
        <f t="shared" si="66"/>
        <v>18000000</v>
      </c>
      <c r="M151" s="415">
        <f t="shared" si="66"/>
        <v>17310000</v>
      </c>
      <c r="N151" s="415">
        <f t="shared" si="66"/>
        <v>17310000</v>
      </c>
      <c r="O151" s="14"/>
      <c r="P151" s="35"/>
    </row>
    <row r="152" spans="1:27" s="28" customFormat="1" ht="60" customHeight="1" x14ac:dyDescent="0.2">
      <c r="A152" s="96"/>
      <c r="B152" s="44"/>
      <c r="C152" s="44"/>
      <c r="D152" s="44">
        <v>1702</v>
      </c>
      <c r="E152" s="188" t="s">
        <v>452</v>
      </c>
      <c r="F152" s="192"/>
      <c r="G152" s="192"/>
      <c r="H152" s="192"/>
      <c r="I152" s="192">
        <f>'SGTO POAI VIGENCIA 2021'!BD191</f>
        <v>18000000</v>
      </c>
      <c r="J152" s="192">
        <f>'SGTO POAI VIGENCIA 2021'!BE191</f>
        <v>17310000</v>
      </c>
      <c r="K152" s="192">
        <f>'SGTO POAI VIGENCIA 2021'!BF191</f>
        <v>17310000</v>
      </c>
      <c r="L152" s="192">
        <f>F152+I152</f>
        <v>18000000</v>
      </c>
      <c r="M152" s="192">
        <f>G152+J152</f>
        <v>17310000</v>
      </c>
      <c r="N152" s="192">
        <f>H152+K152</f>
        <v>17310000</v>
      </c>
      <c r="P152" s="37"/>
    </row>
    <row r="153" spans="1:27" s="28" customFormat="1" ht="25.5" customHeight="1" x14ac:dyDescent="0.2">
      <c r="A153" s="96"/>
      <c r="B153" s="55"/>
      <c r="C153" s="422">
        <v>36</v>
      </c>
      <c r="D153" s="418" t="s">
        <v>433</v>
      </c>
      <c r="E153" s="419"/>
      <c r="F153" s="415">
        <f t="shared" ref="F153:N153" si="67">F154</f>
        <v>0</v>
      </c>
      <c r="G153" s="415">
        <f t="shared" si="67"/>
        <v>0</v>
      </c>
      <c r="H153" s="415">
        <f t="shared" si="67"/>
        <v>0</v>
      </c>
      <c r="I153" s="415">
        <f t="shared" si="67"/>
        <v>38195000</v>
      </c>
      <c r="J153" s="415">
        <f t="shared" si="67"/>
        <v>37695000</v>
      </c>
      <c r="K153" s="415">
        <f t="shared" si="67"/>
        <v>37695000</v>
      </c>
      <c r="L153" s="415">
        <f t="shared" si="67"/>
        <v>38195000</v>
      </c>
      <c r="M153" s="415">
        <f t="shared" si="67"/>
        <v>37695000</v>
      </c>
      <c r="N153" s="415">
        <f t="shared" si="67"/>
        <v>37695000</v>
      </c>
      <c r="P153" s="37"/>
    </row>
    <row r="154" spans="1:27" s="28" customFormat="1" ht="54" customHeight="1" x14ac:dyDescent="0.2">
      <c r="A154" s="96"/>
      <c r="B154" s="44"/>
      <c r="C154" s="44"/>
      <c r="D154" s="44">
        <v>3604</v>
      </c>
      <c r="E154" s="188" t="s">
        <v>932</v>
      </c>
      <c r="F154" s="192"/>
      <c r="G154" s="192"/>
      <c r="H154" s="192"/>
      <c r="I154" s="192">
        <f>'SGTO POAI VIGENCIA 2021'!BD192</f>
        <v>38195000</v>
      </c>
      <c r="J154" s="192">
        <f>'SGTO POAI VIGENCIA 2021'!BE192</f>
        <v>37695000</v>
      </c>
      <c r="K154" s="192">
        <f>'SGTO POAI VIGENCIA 2021'!BF192</f>
        <v>37695000</v>
      </c>
      <c r="L154" s="192">
        <f>F154+I154</f>
        <v>38195000</v>
      </c>
      <c r="M154" s="192">
        <f>G154+J154</f>
        <v>37695000</v>
      </c>
      <c r="N154" s="192">
        <f>H154+K154</f>
        <v>37695000</v>
      </c>
      <c r="P154" s="37"/>
    </row>
    <row r="155" spans="1:27" s="7" customFormat="1" ht="21" customHeight="1" x14ac:dyDescent="0.2">
      <c r="A155" s="95"/>
      <c r="B155" s="450">
        <v>4</v>
      </c>
      <c r="C155" s="451" t="s">
        <v>37</v>
      </c>
      <c r="D155" s="451"/>
      <c r="E155" s="452"/>
      <c r="F155" s="453">
        <f t="shared" ref="F155:N156" si="68">F156</f>
        <v>0</v>
      </c>
      <c r="G155" s="453">
        <f t="shared" si="68"/>
        <v>0</v>
      </c>
      <c r="H155" s="453">
        <f t="shared" si="68"/>
        <v>0</v>
      </c>
      <c r="I155" s="453">
        <f t="shared" si="68"/>
        <v>477094503</v>
      </c>
      <c r="J155" s="453">
        <f t="shared" si="68"/>
        <v>410613408</v>
      </c>
      <c r="K155" s="453">
        <f t="shared" si="68"/>
        <v>410613408</v>
      </c>
      <c r="L155" s="453">
        <f t="shared" si="68"/>
        <v>477094503</v>
      </c>
      <c r="M155" s="453">
        <f t="shared" si="68"/>
        <v>410613408</v>
      </c>
      <c r="N155" s="453">
        <f t="shared" si="68"/>
        <v>410613408</v>
      </c>
      <c r="O155" s="14"/>
      <c r="P155" s="35"/>
    </row>
    <row r="156" spans="1:27" s="7" customFormat="1" ht="21" customHeight="1" x14ac:dyDescent="0.2">
      <c r="A156" s="95"/>
      <c r="B156" s="55"/>
      <c r="C156" s="422">
        <v>45</v>
      </c>
      <c r="D156" s="413" t="s">
        <v>938</v>
      </c>
      <c r="E156" s="414"/>
      <c r="F156" s="415">
        <f t="shared" si="68"/>
        <v>0</v>
      </c>
      <c r="G156" s="415">
        <f t="shared" si="68"/>
        <v>0</v>
      </c>
      <c r="H156" s="415">
        <f t="shared" si="68"/>
        <v>0</v>
      </c>
      <c r="I156" s="415">
        <f t="shared" ref="I156:N156" si="69">SUM(I157:I158)</f>
        <v>477094503</v>
      </c>
      <c r="J156" s="415">
        <f t="shared" si="69"/>
        <v>410613408</v>
      </c>
      <c r="K156" s="415">
        <f t="shared" si="69"/>
        <v>410613408</v>
      </c>
      <c r="L156" s="415">
        <f t="shared" si="69"/>
        <v>477094503</v>
      </c>
      <c r="M156" s="415">
        <f t="shared" si="69"/>
        <v>410613408</v>
      </c>
      <c r="N156" s="415">
        <f t="shared" si="69"/>
        <v>410613408</v>
      </c>
      <c r="O156" s="14"/>
      <c r="P156" s="35"/>
    </row>
    <row r="157" spans="1:27" s="28" customFormat="1" ht="67.5" customHeight="1" x14ac:dyDescent="0.2">
      <c r="A157" s="96"/>
      <c r="B157" s="44"/>
      <c r="C157" s="44"/>
      <c r="D157" s="44">
        <v>4502</v>
      </c>
      <c r="E157" s="188" t="s">
        <v>60</v>
      </c>
      <c r="F157" s="192"/>
      <c r="G157" s="192"/>
      <c r="H157" s="192"/>
      <c r="I157" s="192">
        <f>SUM('SGTO POAI VIGENCIA 2021'!BD193:BD197)</f>
        <v>266000000</v>
      </c>
      <c r="J157" s="192">
        <f>SUM('SGTO POAI VIGENCIA 2021'!BE193:BE197)</f>
        <v>238134764</v>
      </c>
      <c r="K157" s="192">
        <f>SUM('SGTO POAI VIGENCIA 2021'!BF193:BF197)</f>
        <v>238134764</v>
      </c>
      <c r="L157" s="192">
        <f t="shared" ref="L157:N158" si="70">F157+I157</f>
        <v>266000000</v>
      </c>
      <c r="M157" s="192">
        <f t="shared" si="70"/>
        <v>238134764</v>
      </c>
      <c r="N157" s="192">
        <f t="shared" si="70"/>
        <v>238134764</v>
      </c>
      <c r="P157" s="37"/>
    </row>
    <row r="158" spans="1:27" s="28" customFormat="1" ht="84.75" customHeight="1" x14ac:dyDescent="0.2">
      <c r="A158" s="96"/>
      <c r="B158" s="44"/>
      <c r="C158" s="44"/>
      <c r="D158" s="44">
        <v>4599</v>
      </c>
      <c r="E158" s="187" t="s">
        <v>634</v>
      </c>
      <c r="F158" s="192">
        <f>'SGTO POAI VIGENCIA 2021'!Z193</f>
        <v>0</v>
      </c>
      <c r="G158" s="192">
        <f>'SGTO POAI VIGENCIA 2021'!AA193</f>
        <v>0</v>
      </c>
      <c r="H158" s="192">
        <f>'SGTO POAI VIGENCIA 2021'!AB193</f>
        <v>0</v>
      </c>
      <c r="I158" s="192">
        <f>SUM('SGTO POAI VIGENCIA 2021'!BD198:BD200)</f>
        <v>211094503</v>
      </c>
      <c r="J158" s="192">
        <f>SUM('SGTO POAI VIGENCIA 2021'!BE198:BE200)</f>
        <v>172478644</v>
      </c>
      <c r="K158" s="192">
        <f>SUM('SGTO POAI VIGENCIA 2021'!BF198:BF200)</f>
        <v>172478644</v>
      </c>
      <c r="L158" s="192">
        <f t="shared" si="70"/>
        <v>211094503</v>
      </c>
      <c r="M158" s="192">
        <f t="shared" si="70"/>
        <v>172478644</v>
      </c>
      <c r="N158" s="192">
        <f t="shared" si="70"/>
        <v>172478644</v>
      </c>
      <c r="P158" s="37"/>
    </row>
    <row r="159" spans="1:27" s="7" customFormat="1" x14ac:dyDescent="0.2">
      <c r="A159" s="36"/>
      <c r="B159" s="93"/>
      <c r="C159" s="93"/>
      <c r="D159" s="93"/>
      <c r="E159" s="97"/>
      <c r="F159" s="94"/>
      <c r="G159" s="29"/>
      <c r="H159" s="14"/>
      <c r="I159" s="14"/>
      <c r="J159" s="14"/>
      <c r="K159" s="14"/>
      <c r="L159" s="35"/>
    </row>
    <row r="160" spans="1:27" s="7" customFormat="1" ht="24" customHeight="1" x14ac:dyDescent="0.2">
      <c r="A160" s="601" t="s">
        <v>4</v>
      </c>
      <c r="B160" s="601" t="s">
        <v>5</v>
      </c>
      <c r="C160" s="601" t="s">
        <v>6</v>
      </c>
      <c r="D160" s="601" t="s">
        <v>1355</v>
      </c>
      <c r="E160" s="602" t="s">
        <v>7</v>
      </c>
      <c r="F160" s="599" t="s">
        <v>1367</v>
      </c>
      <c r="G160" s="599"/>
      <c r="H160" s="600"/>
      <c r="I160" s="598" t="s">
        <v>1511</v>
      </c>
      <c r="J160" s="599"/>
      <c r="K160" s="600"/>
      <c r="L160" s="598" t="s">
        <v>1666</v>
      </c>
      <c r="M160" s="599"/>
      <c r="N160" s="600"/>
      <c r="O160" s="598" t="s">
        <v>1356</v>
      </c>
      <c r="P160" s="599"/>
      <c r="Q160" s="600"/>
      <c r="R160" s="598" t="s">
        <v>1503</v>
      </c>
      <c r="S160" s="599"/>
      <c r="T160" s="600"/>
      <c r="U160" s="598" t="s">
        <v>12</v>
      </c>
      <c r="V160" s="599"/>
      <c r="W160" s="600"/>
      <c r="X160" s="66"/>
      <c r="Y160" s="67"/>
      <c r="AA160" s="66"/>
    </row>
    <row r="161" spans="1:27" s="7" customFormat="1" ht="24" customHeight="1" x14ac:dyDescent="0.2">
      <c r="A161" s="601"/>
      <c r="B161" s="601"/>
      <c r="C161" s="601"/>
      <c r="D161" s="601"/>
      <c r="E161" s="602"/>
      <c r="F161" s="448" t="s">
        <v>1641</v>
      </c>
      <c r="G161" s="447" t="s">
        <v>1490</v>
      </c>
      <c r="H161" s="447" t="s">
        <v>1491</v>
      </c>
      <c r="I161" s="447" t="s">
        <v>1641</v>
      </c>
      <c r="J161" s="447" t="s">
        <v>1490</v>
      </c>
      <c r="K161" s="447" t="s">
        <v>1491</v>
      </c>
      <c r="L161" s="447" t="s">
        <v>1641</v>
      </c>
      <c r="M161" s="447" t="s">
        <v>1490</v>
      </c>
      <c r="N161" s="447" t="s">
        <v>1491</v>
      </c>
      <c r="O161" s="447" t="s">
        <v>1641</v>
      </c>
      <c r="P161" s="447" t="s">
        <v>1490</v>
      </c>
      <c r="Q161" s="447" t="s">
        <v>1491</v>
      </c>
      <c r="R161" s="447" t="s">
        <v>1641</v>
      </c>
      <c r="S161" s="447" t="s">
        <v>1490</v>
      </c>
      <c r="T161" s="447" t="s">
        <v>1491</v>
      </c>
      <c r="U161" s="447" t="s">
        <v>1641</v>
      </c>
      <c r="V161" s="447" t="s">
        <v>1490</v>
      </c>
      <c r="W161" s="447" t="s">
        <v>1491</v>
      </c>
      <c r="X161" s="66"/>
      <c r="Y161" s="67"/>
      <c r="AA161" s="66"/>
    </row>
    <row r="162" spans="1:27" ht="24" customHeight="1" x14ac:dyDescent="0.2">
      <c r="A162" s="466" t="s">
        <v>986</v>
      </c>
      <c r="B162" s="467"/>
      <c r="C162" s="467"/>
      <c r="D162" s="467"/>
      <c r="E162" s="468"/>
      <c r="F162" s="406">
        <f t="shared" ref="F162:N163" si="71">F163</f>
        <v>7620632943.1700001</v>
      </c>
      <c r="G162" s="406">
        <f t="shared" si="71"/>
        <v>5484034494.96</v>
      </c>
      <c r="H162" s="406">
        <f t="shared" si="71"/>
        <v>5484034494.96</v>
      </c>
      <c r="I162" s="406">
        <f t="shared" si="71"/>
        <v>800000000</v>
      </c>
      <c r="J162" s="406">
        <f t="shared" si="71"/>
        <v>800000000</v>
      </c>
      <c r="K162" s="406">
        <f t="shared" si="71"/>
        <v>800000000</v>
      </c>
      <c r="L162" s="406">
        <f t="shared" si="71"/>
        <v>43392723005.519997</v>
      </c>
      <c r="M162" s="406">
        <f t="shared" si="71"/>
        <v>42321921638.82</v>
      </c>
      <c r="N162" s="406">
        <f t="shared" si="71"/>
        <v>42321921638.82</v>
      </c>
      <c r="O162" s="406">
        <f t="shared" ref="O162:W163" si="72">O163</f>
        <v>9865803402.2099991</v>
      </c>
      <c r="P162" s="406">
        <f t="shared" si="72"/>
        <v>9627453684.2099991</v>
      </c>
      <c r="Q162" s="406">
        <f t="shared" si="72"/>
        <v>9627453684.2099991</v>
      </c>
      <c r="R162" s="406">
        <f t="shared" si="72"/>
        <v>13482453015.209999</v>
      </c>
      <c r="S162" s="406">
        <f t="shared" si="72"/>
        <v>11615016599.66</v>
      </c>
      <c r="T162" s="406">
        <f t="shared" si="72"/>
        <v>11615016599.66</v>
      </c>
      <c r="U162" s="406">
        <f t="shared" si="72"/>
        <v>75161612366.109985</v>
      </c>
      <c r="V162" s="406">
        <f t="shared" si="72"/>
        <v>69848426417.649994</v>
      </c>
      <c r="W162" s="406">
        <f t="shared" si="72"/>
        <v>69848426417.649994</v>
      </c>
      <c r="Y162" s="16"/>
    </row>
    <row r="163" spans="1:27" ht="24" customHeight="1" x14ac:dyDescent="0.2">
      <c r="A163" s="49"/>
      <c r="B163" s="450">
        <v>1</v>
      </c>
      <c r="C163" s="451" t="s">
        <v>136</v>
      </c>
      <c r="D163" s="451"/>
      <c r="E163" s="452"/>
      <c r="F163" s="453">
        <f t="shared" si="71"/>
        <v>7620632943.1700001</v>
      </c>
      <c r="G163" s="453">
        <f t="shared" si="71"/>
        <v>5484034494.96</v>
      </c>
      <c r="H163" s="453">
        <f t="shared" si="71"/>
        <v>5484034494.96</v>
      </c>
      <c r="I163" s="453">
        <f t="shared" si="71"/>
        <v>800000000</v>
      </c>
      <c r="J163" s="453">
        <f t="shared" si="71"/>
        <v>800000000</v>
      </c>
      <c r="K163" s="453">
        <f t="shared" si="71"/>
        <v>800000000</v>
      </c>
      <c r="L163" s="453">
        <f t="shared" si="71"/>
        <v>43392723005.519997</v>
      </c>
      <c r="M163" s="453">
        <f t="shared" si="71"/>
        <v>42321921638.82</v>
      </c>
      <c r="N163" s="453">
        <f t="shared" si="71"/>
        <v>42321921638.82</v>
      </c>
      <c r="O163" s="453">
        <f t="shared" si="72"/>
        <v>9865803402.2099991</v>
      </c>
      <c r="P163" s="453">
        <f t="shared" si="72"/>
        <v>9627453684.2099991</v>
      </c>
      <c r="Q163" s="453">
        <f t="shared" si="72"/>
        <v>9627453684.2099991</v>
      </c>
      <c r="R163" s="453">
        <f t="shared" si="72"/>
        <v>13482453015.209999</v>
      </c>
      <c r="S163" s="453">
        <f t="shared" si="72"/>
        <v>11615016599.66</v>
      </c>
      <c r="T163" s="453">
        <f t="shared" si="72"/>
        <v>11615016599.66</v>
      </c>
      <c r="U163" s="453">
        <f>U164</f>
        <v>75161612366.109985</v>
      </c>
      <c r="V163" s="453">
        <f t="shared" si="72"/>
        <v>69848426417.649994</v>
      </c>
      <c r="W163" s="453">
        <f t="shared" si="72"/>
        <v>69848426417.649994</v>
      </c>
    </row>
    <row r="164" spans="1:27" ht="24" customHeight="1" x14ac:dyDescent="0.2">
      <c r="A164" s="49"/>
      <c r="B164" s="55"/>
      <c r="C164" s="422">
        <v>19</v>
      </c>
      <c r="D164" s="413" t="s">
        <v>147</v>
      </c>
      <c r="E164" s="414"/>
      <c r="F164" s="415">
        <f t="shared" ref="F164:W164" si="73">SUM(F165:F167)</f>
        <v>7620632943.1700001</v>
      </c>
      <c r="G164" s="415">
        <f t="shared" si="73"/>
        <v>5484034494.96</v>
      </c>
      <c r="H164" s="415">
        <f t="shared" si="73"/>
        <v>5484034494.96</v>
      </c>
      <c r="I164" s="415">
        <f t="shared" si="73"/>
        <v>800000000</v>
      </c>
      <c r="J164" s="415">
        <f t="shared" si="73"/>
        <v>800000000</v>
      </c>
      <c r="K164" s="415">
        <f t="shared" si="73"/>
        <v>800000000</v>
      </c>
      <c r="L164" s="415">
        <f t="shared" si="73"/>
        <v>43392723005.519997</v>
      </c>
      <c r="M164" s="415">
        <f t="shared" si="73"/>
        <v>42321921638.82</v>
      </c>
      <c r="N164" s="415">
        <f t="shared" si="73"/>
        <v>42321921638.82</v>
      </c>
      <c r="O164" s="415">
        <f t="shared" si="73"/>
        <v>9865803402.2099991</v>
      </c>
      <c r="P164" s="415">
        <f t="shared" si="73"/>
        <v>9627453684.2099991</v>
      </c>
      <c r="Q164" s="415">
        <f t="shared" si="73"/>
        <v>9627453684.2099991</v>
      </c>
      <c r="R164" s="415">
        <f t="shared" si="73"/>
        <v>13482453015.209999</v>
      </c>
      <c r="S164" s="415">
        <f t="shared" si="73"/>
        <v>11615016599.66</v>
      </c>
      <c r="T164" s="415">
        <f t="shared" si="73"/>
        <v>11615016599.66</v>
      </c>
      <c r="U164" s="415">
        <f t="shared" si="73"/>
        <v>75161612366.109985</v>
      </c>
      <c r="V164" s="415">
        <f t="shared" si="73"/>
        <v>69848426417.649994</v>
      </c>
      <c r="W164" s="415">
        <f t="shared" si="73"/>
        <v>69848426417.649994</v>
      </c>
    </row>
    <row r="165" spans="1:27" s="27" customFormat="1" ht="35.25" customHeight="1" x14ac:dyDescent="0.2">
      <c r="A165" s="54"/>
      <c r="B165" s="44"/>
      <c r="C165" s="44"/>
      <c r="D165" s="44">
        <v>1903</v>
      </c>
      <c r="E165" s="188" t="s">
        <v>987</v>
      </c>
      <c r="F165" s="192">
        <f>SUM('SGTO POAI VIGENCIA 2021'!AL201:AL222)</f>
        <v>1389901448</v>
      </c>
      <c r="G165" s="192">
        <f>SUM('SGTO POAI VIGENCIA 2021'!AM201:AM222)</f>
        <v>1245149958</v>
      </c>
      <c r="H165" s="192">
        <f>SUM('SGTO POAI VIGENCIA 2021'!AN201:AN222)</f>
        <v>1245149958</v>
      </c>
      <c r="I165" s="192">
        <f>SUM('SGTO POAI VIGENCIA 2021'!AI201:AI222)</f>
        <v>0</v>
      </c>
      <c r="J165" s="192">
        <f>SUM('SGTO POAI VIGENCIA 2021'!AJ201:AJ222)</f>
        <v>0</v>
      </c>
      <c r="K165" s="192">
        <f>SUM('SGTO POAI VIGENCIA 2021'!AK201:AK222)</f>
        <v>0</v>
      </c>
      <c r="L165" s="192">
        <f>SUM('SGTO POAI VIGENCIA 2021'!AO201:AO222)</f>
        <v>91081005</v>
      </c>
      <c r="M165" s="192">
        <f>SUM('SGTO POAI VIGENCIA 2021'!AP201:AP222)</f>
        <v>60093833</v>
      </c>
      <c r="N165" s="192">
        <f>SUM('SGTO POAI VIGENCIA 2021'!AQ201:AQ222)</f>
        <v>60093833</v>
      </c>
      <c r="O165" s="192">
        <f>SUM('SGTO POAI VIGENCIA 2021'!BD201:BD222)</f>
        <v>252324569</v>
      </c>
      <c r="P165" s="192">
        <f>SUM('SGTO POAI VIGENCIA 2021'!BE201:BE222)</f>
        <v>209481401</v>
      </c>
      <c r="Q165" s="192">
        <f>SUM('SGTO POAI VIGENCIA 2021'!BF201:BF222)</f>
        <v>209481401</v>
      </c>
      <c r="R165" s="192">
        <f>SUM('SGTO POAI VIGENCIA 2021'!BJ201:BJ222)</f>
        <v>1449359713.21</v>
      </c>
      <c r="S165" s="192">
        <f>SUM('SGTO POAI VIGENCIA 2021'!BK201:BK222)</f>
        <v>654956434.65999997</v>
      </c>
      <c r="T165" s="192">
        <f>SUM('SGTO POAI VIGENCIA 2021'!BL201:BL222)</f>
        <v>654956434.65999997</v>
      </c>
      <c r="U165" s="192">
        <f t="shared" ref="U165:W167" si="74">F165+I165+L165+O165+R165</f>
        <v>3182666735.21</v>
      </c>
      <c r="V165" s="192">
        <f t="shared" si="74"/>
        <v>2169681626.6599998</v>
      </c>
      <c r="W165" s="192">
        <f t="shared" si="74"/>
        <v>2169681626.6599998</v>
      </c>
    </row>
    <row r="166" spans="1:27" s="27" customFormat="1" ht="31.5" customHeight="1" x14ac:dyDescent="0.2">
      <c r="A166" s="54"/>
      <c r="B166" s="44"/>
      <c r="C166" s="44"/>
      <c r="D166" s="44">
        <v>1905</v>
      </c>
      <c r="E166" s="188" t="s">
        <v>768</v>
      </c>
      <c r="F166" s="192">
        <f>SUM('SGTO POAI VIGENCIA 2021'!AL223:AL251)</f>
        <v>4489864641.7600002</v>
      </c>
      <c r="G166" s="192">
        <f>SUM('SGTO POAI VIGENCIA 2021'!AM223:AM251)</f>
        <v>2651727725.7600002</v>
      </c>
      <c r="H166" s="192">
        <f>SUM('SGTO POAI VIGENCIA 2021'!AN223:AN251)</f>
        <v>2651727725.7600002</v>
      </c>
      <c r="I166" s="192">
        <f>SUM('SGTO POAI VIGENCIA 2021'!AI223:AI251)</f>
        <v>0</v>
      </c>
      <c r="J166" s="192">
        <f>SUM('SGTO POAI VIGENCIA 2021'!AJ223:AJ251)</f>
        <v>0</v>
      </c>
      <c r="K166" s="192">
        <f>SUM('SGTO POAI VIGENCIA 2021'!AK223:AK251)</f>
        <v>0</v>
      </c>
      <c r="L166" s="192">
        <f>SUM('SGTO POAI VIGENCIA 2021'!AO223:AO251)</f>
        <v>0</v>
      </c>
      <c r="M166" s="192">
        <f>SUM('SGTO POAI VIGENCIA 2021'!AP223:AP251)</f>
        <v>0</v>
      </c>
      <c r="N166" s="192">
        <f>SUM('SGTO POAI VIGENCIA 2021'!AQ223:AQ251)</f>
        <v>0</v>
      </c>
      <c r="O166" s="192">
        <f>SUM('SGTO POAI VIGENCIA 2021'!BD223:BD251)</f>
        <v>1551904376</v>
      </c>
      <c r="P166" s="192">
        <f>SUM('SGTO POAI VIGENCIA 2021'!BE223:BE251)</f>
        <v>1492813159</v>
      </c>
      <c r="Q166" s="192">
        <f>SUM('SGTO POAI VIGENCIA 2021'!BF223:BF251)</f>
        <v>1492813159</v>
      </c>
      <c r="R166" s="192">
        <f>SUM('SGTO POAI VIGENCIA 2021'!BJ223:BJ251)</f>
        <v>950949032</v>
      </c>
      <c r="S166" s="192">
        <f>SUM('SGTO POAI VIGENCIA 2021'!BK223:BK251)</f>
        <v>350229588</v>
      </c>
      <c r="T166" s="192">
        <f>SUM('SGTO POAI VIGENCIA 2021'!BL223:BL251)</f>
        <v>350229588</v>
      </c>
      <c r="U166" s="192">
        <f t="shared" si="74"/>
        <v>6992718049.7600002</v>
      </c>
      <c r="V166" s="192">
        <f t="shared" si="74"/>
        <v>4494770472.7600002</v>
      </c>
      <c r="W166" s="192">
        <f t="shared" si="74"/>
        <v>4494770472.7600002</v>
      </c>
    </row>
    <row r="167" spans="1:27" s="27" customFormat="1" ht="57.75" customHeight="1" x14ac:dyDescent="0.2">
      <c r="A167" s="54"/>
      <c r="B167" s="44"/>
      <c r="C167" s="44"/>
      <c r="D167" s="44">
        <v>1906</v>
      </c>
      <c r="E167" s="188" t="s">
        <v>148</v>
      </c>
      <c r="F167" s="192">
        <f>SUM('SGTO POAI VIGENCIA 2021'!AL252:AL261)</f>
        <v>1740866853.4100001</v>
      </c>
      <c r="G167" s="192">
        <f>SUM('SGTO POAI VIGENCIA 2021'!AM252:AM261)</f>
        <v>1587156811.2</v>
      </c>
      <c r="H167" s="192">
        <f>SUM('SGTO POAI VIGENCIA 2021'!AN252:AN261)</f>
        <v>1587156811.2</v>
      </c>
      <c r="I167" s="192">
        <f>SUM('SGTO POAI VIGENCIA 2021'!AI252:AI261)</f>
        <v>800000000</v>
      </c>
      <c r="J167" s="192">
        <f>SUM('SGTO POAI VIGENCIA 2021'!AJ252:AJ261)</f>
        <v>800000000</v>
      </c>
      <c r="K167" s="192">
        <f>SUM('SGTO POAI VIGENCIA 2021'!AK252:AK261)</f>
        <v>800000000</v>
      </c>
      <c r="L167" s="192">
        <f>SUM('SGTO POAI VIGENCIA 2021'!AO252:AO261)</f>
        <v>43301642000.519997</v>
      </c>
      <c r="M167" s="192">
        <f>SUM('SGTO POAI VIGENCIA 2021'!AP252:AP261)</f>
        <v>42261827805.82</v>
      </c>
      <c r="N167" s="192">
        <f>SUM('SGTO POAI VIGENCIA 2021'!AQ252:AQ261)</f>
        <v>42261827805.82</v>
      </c>
      <c r="O167" s="192">
        <f>SUM('SGTO POAI VIGENCIA 2021'!BD252:BD261)</f>
        <v>8061574457.21</v>
      </c>
      <c r="P167" s="192">
        <f>SUM('SGTO POAI VIGENCIA 2021'!BE252:BE261)</f>
        <v>7925159124.21</v>
      </c>
      <c r="Q167" s="192">
        <f>SUM('SGTO POAI VIGENCIA 2021'!BF252:BF261)</f>
        <v>7925159124.21</v>
      </c>
      <c r="R167" s="192">
        <f>SUM('SGTO POAI VIGENCIA 2021'!BJ252:BJ261)</f>
        <v>11082144270</v>
      </c>
      <c r="S167" s="192">
        <f>SUM('SGTO POAI VIGENCIA 2021'!BK252:BK261)</f>
        <v>10609830577</v>
      </c>
      <c r="T167" s="192">
        <f>SUM('SGTO POAI VIGENCIA 2021'!BL252:BL261)</f>
        <v>10609830577</v>
      </c>
      <c r="U167" s="192">
        <f t="shared" si="74"/>
        <v>64986227581.139992</v>
      </c>
      <c r="V167" s="192">
        <f t="shared" si="74"/>
        <v>63183974318.229996</v>
      </c>
      <c r="W167" s="192">
        <f t="shared" si="74"/>
        <v>63183974318.229996</v>
      </c>
    </row>
    <row r="168" spans="1:27" s="7" customFormat="1" x14ac:dyDescent="0.2">
      <c r="A168" s="36"/>
      <c r="B168" s="93"/>
      <c r="C168" s="93"/>
      <c r="D168" s="93"/>
      <c r="E168" s="97"/>
      <c r="F168" s="94"/>
      <c r="G168" s="29"/>
      <c r="H168" s="14"/>
      <c r="I168" s="14"/>
      <c r="J168" s="14"/>
      <c r="K168" s="14"/>
      <c r="L168" s="35"/>
    </row>
    <row r="169" spans="1:27" s="7" customFormat="1" ht="24" customHeight="1" x14ac:dyDescent="0.2">
      <c r="A169" s="601" t="s">
        <v>4</v>
      </c>
      <c r="B169" s="601" t="s">
        <v>5</v>
      </c>
      <c r="C169" s="601" t="s">
        <v>6</v>
      </c>
      <c r="D169" s="601" t="s">
        <v>1355</v>
      </c>
      <c r="E169" s="602" t="s">
        <v>7</v>
      </c>
      <c r="F169" s="618" t="s">
        <v>1356</v>
      </c>
      <c r="G169" s="618"/>
      <c r="H169" s="619"/>
      <c r="I169" s="14"/>
      <c r="J169" s="14"/>
      <c r="K169" s="14"/>
      <c r="L169" s="35"/>
    </row>
    <row r="170" spans="1:27" s="7" customFormat="1" ht="24" customHeight="1" x14ac:dyDescent="0.2">
      <c r="A170" s="601"/>
      <c r="B170" s="601"/>
      <c r="C170" s="601"/>
      <c r="D170" s="601"/>
      <c r="E170" s="602"/>
      <c r="F170" s="448" t="s">
        <v>1641</v>
      </c>
      <c r="G170" s="447" t="s">
        <v>1490</v>
      </c>
      <c r="H170" s="447" t="s">
        <v>1491</v>
      </c>
      <c r="I170" s="14"/>
      <c r="J170" s="14"/>
      <c r="K170" s="14"/>
      <c r="L170" s="35"/>
    </row>
    <row r="171" spans="1:27" s="6" customFormat="1" ht="24" customHeight="1" x14ac:dyDescent="0.25">
      <c r="A171" s="466" t="s">
        <v>1197</v>
      </c>
      <c r="B171" s="467"/>
      <c r="C171" s="467"/>
      <c r="D171" s="467"/>
      <c r="E171" s="468"/>
      <c r="F171" s="470">
        <f>F172+F176+F180</f>
        <v>1196000000</v>
      </c>
      <c r="G171" s="470">
        <f>G172+G176+G180</f>
        <v>1057106946.9200001</v>
      </c>
      <c r="H171" s="470">
        <f>H172+H176+H180</f>
        <v>1057106946.9200001</v>
      </c>
      <c r="I171" s="5"/>
      <c r="J171" s="5"/>
      <c r="K171" s="5"/>
      <c r="L171" s="33"/>
    </row>
    <row r="172" spans="1:27" s="6" customFormat="1" ht="24" customHeight="1" x14ac:dyDescent="0.25">
      <c r="A172" s="48"/>
      <c r="B172" s="450">
        <v>1</v>
      </c>
      <c r="C172" s="451" t="s">
        <v>136</v>
      </c>
      <c r="D172" s="451"/>
      <c r="E172" s="452"/>
      <c r="F172" s="453">
        <f>F173</f>
        <v>820000000</v>
      </c>
      <c r="G172" s="453">
        <f>G173</f>
        <v>714748949.42000008</v>
      </c>
      <c r="H172" s="453">
        <f>H173</f>
        <v>714748949.42000008</v>
      </c>
      <c r="I172" s="5"/>
      <c r="J172" s="5"/>
      <c r="K172" s="5"/>
      <c r="L172" s="33"/>
    </row>
    <row r="173" spans="1:27" s="6" customFormat="1" ht="24" customHeight="1" x14ac:dyDescent="0.25">
      <c r="A173" s="48"/>
      <c r="B173" s="55"/>
      <c r="C173" s="422">
        <v>23</v>
      </c>
      <c r="D173" s="413" t="s">
        <v>1198</v>
      </c>
      <c r="E173" s="414"/>
      <c r="F173" s="415">
        <f>SUM(F174:F175)</f>
        <v>820000000</v>
      </c>
      <c r="G173" s="415">
        <f>SUM(G174:G175)</f>
        <v>714748949.42000008</v>
      </c>
      <c r="H173" s="415">
        <f>SUM(H174:H175)</f>
        <v>714748949.42000008</v>
      </c>
      <c r="I173" s="5"/>
      <c r="J173" s="5"/>
      <c r="K173" s="5"/>
      <c r="L173" s="33"/>
    </row>
    <row r="174" spans="1:27" s="211" customFormat="1" ht="57" customHeight="1" x14ac:dyDescent="0.25">
      <c r="A174" s="229"/>
      <c r="B174" s="44"/>
      <c r="C174" s="44"/>
      <c r="D174" s="56">
        <v>2301</v>
      </c>
      <c r="E174" s="188" t="s">
        <v>1199</v>
      </c>
      <c r="F174" s="192">
        <f>SUM('SGTO POAI VIGENCIA 2021'!BD262:BD270)</f>
        <v>674000000</v>
      </c>
      <c r="G174" s="192">
        <f>SUM('SGTO POAI VIGENCIA 2021'!BE262:BE270)</f>
        <v>584138115.42000008</v>
      </c>
      <c r="H174" s="192">
        <f>SUM('SGTO POAI VIGENCIA 2021'!BF262:BF270)</f>
        <v>584138115.42000008</v>
      </c>
      <c r="L174" s="232"/>
    </row>
    <row r="175" spans="1:27" s="211" customFormat="1" ht="90.75" customHeight="1" x14ac:dyDescent="0.25">
      <c r="A175" s="229"/>
      <c r="B175" s="44"/>
      <c r="C175" s="44"/>
      <c r="D175" s="56">
        <v>2302</v>
      </c>
      <c r="E175" s="188" t="s">
        <v>1487</v>
      </c>
      <c r="F175" s="192">
        <f>SUM('SGTO POAI VIGENCIA 2021'!BD271:BD275)</f>
        <v>146000000</v>
      </c>
      <c r="G175" s="192">
        <f>SUM('SGTO POAI VIGENCIA 2021'!BE271:BE275)</f>
        <v>130610834</v>
      </c>
      <c r="H175" s="192">
        <f>SUM('SGTO POAI VIGENCIA 2021'!BF271:BF275)</f>
        <v>130610834</v>
      </c>
      <c r="L175" s="232"/>
    </row>
    <row r="176" spans="1:27" s="6" customFormat="1" ht="24" customHeight="1" x14ac:dyDescent="0.25">
      <c r="A176" s="48"/>
      <c r="B176" s="450">
        <v>2</v>
      </c>
      <c r="C176" s="451" t="s">
        <v>400</v>
      </c>
      <c r="D176" s="451"/>
      <c r="E176" s="452"/>
      <c r="F176" s="453">
        <f>F177</f>
        <v>78000000</v>
      </c>
      <c r="G176" s="453">
        <f>G177</f>
        <v>64780832</v>
      </c>
      <c r="H176" s="453">
        <f>H177</f>
        <v>64780832</v>
      </c>
      <c r="I176" s="5"/>
      <c r="J176" s="5"/>
      <c r="K176" s="5"/>
      <c r="L176" s="33"/>
    </row>
    <row r="177" spans="1:24" s="6" customFormat="1" ht="24" customHeight="1" x14ac:dyDescent="0.25">
      <c r="A177" s="48"/>
      <c r="B177" s="55"/>
      <c r="C177" s="422">
        <v>39</v>
      </c>
      <c r="D177" s="413" t="s">
        <v>1483</v>
      </c>
      <c r="E177" s="414"/>
      <c r="F177" s="415">
        <f>SUM(F178:F179)</f>
        <v>78000000</v>
      </c>
      <c r="G177" s="415">
        <f>SUM(G178:G179)</f>
        <v>64780832</v>
      </c>
      <c r="H177" s="415">
        <f>SUM(H178:H179)</f>
        <v>64780832</v>
      </c>
      <c r="I177" s="5"/>
      <c r="J177" s="5"/>
      <c r="K177" s="5"/>
      <c r="L177" s="33"/>
    </row>
    <row r="178" spans="1:24" s="211" customFormat="1" ht="46.5" customHeight="1" x14ac:dyDescent="0.25">
      <c r="A178" s="229"/>
      <c r="B178" s="44"/>
      <c r="C178" s="44"/>
      <c r="D178" s="56" t="s">
        <v>1239</v>
      </c>
      <c r="E178" s="188" t="s">
        <v>1240</v>
      </c>
      <c r="F178" s="192">
        <f>SUM('SGTO POAI VIGENCIA 2021'!BD276:BD278)</f>
        <v>60000000</v>
      </c>
      <c r="G178" s="192">
        <f>SUM('SGTO POAI VIGENCIA 2021'!BE276:BE278)</f>
        <v>58180832</v>
      </c>
      <c r="H178" s="192">
        <f>SUM('SGTO POAI VIGENCIA 2021'!BF276:BF278)</f>
        <v>58180832</v>
      </c>
      <c r="L178" s="232"/>
    </row>
    <row r="179" spans="1:24" s="211" customFormat="1" ht="41.25" customHeight="1" x14ac:dyDescent="0.25">
      <c r="A179" s="229"/>
      <c r="B179" s="44"/>
      <c r="C179" s="44"/>
      <c r="D179" s="56">
        <v>3904</v>
      </c>
      <c r="E179" s="188" t="s">
        <v>759</v>
      </c>
      <c r="F179" s="192">
        <f>'SGTO POAI VIGENCIA 2021'!BD279</f>
        <v>18000000</v>
      </c>
      <c r="G179" s="192">
        <f>'SGTO POAI VIGENCIA 2021'!BE279</f>
        <v>6600000</v>
      </c>
      <c r="H179" s="192">
        <f>'SGTO POAI VIGENCIA 2021'!BF279</f>
        <v>6600000</v>
      </c>
      <c r="L179" s="232"/>
    </row>
    <row r="180" spans="1:24" s="6" customFormat="1" ht="24" customHeight="1" x14ac:dyDescent="0.25">
      <c r="A180" s="48"/>
      <c r="B180" s="450">
        <v>4</v>
      </c>
      <c r="C180" s="451" t="s">
        <v>37</v>
      </c>
      <c r="D180" s="451"/>
      <c r="E180" s="452"/>
      <c r="F180" s="453">
        <f t="shared" ref="F180:H181" si="75">F181</f>
        <v>298000000</v>
      </c>
      <c r="G180" s="453">
        <f t="shared" si="75"/>
        <v>277577165.5</v>
      </c>
      <c r="H180" s="453">
        <f t="shared" si="75"/>
        <v>277577165.5</v>
      </c>
      <c r="I180" s="5"/>
      <c r="J180" s="5"/>
      <c r="K180" s="5"/>
      <c r="L180" s="33"/>
    </row>
    <row r="181" spans="1:24" s="6" customFormat="1" ht="24" customHeight="1" x14ac:dyDescent="0.25">
      <c r="A181" s="48"/>
      <c r="B181" s="55"/>
      <c r="C181" s="422">
        <v>23</v>
      </c>
      <c r="D181" s="413" t="s">
        <v>1198</v>
      </c>
      <c r="E181" s="413"/>
      <c r="F181" s="415">
        <f t="shared" si="75"/>
        <v>298000000</v>
      </c>
      <c r="G181" s="415">
        <f t="shared" si="75"/>
        <v>277577165.5</v>
      </c>
      <c r="H181" s="415">
        <f t="shared" si="75"/>
        <v>277577165.5</v>
      </c>
      <c r="I181" s="5"/>
      <c r="J181" s="5"/>
      <c r="K181" s="5"/>
      <c r="L181" s="33"/>
    </row>
    <row r="182" spans="1:24" s="211" customFormat="1" ht="72" customHeight="1" x14ac:dyDescent="0.25">
      <c r="A182" s="229"/>
      <c r="B182" s="44"/>
      <c r="C182" s="44"/>
      <c r="D182" s="56">
        <v>2302</v>
      </c>
      <c r="E182" s="188" t="s">
        <v>1487</v>
      </c>
      <c r="F182" s="192">
        <f>SUM('SGTO POAI VIGENCIA 2021'!BD280:BD285)</f>
        <v>298000000</v>
      </c>
      <c r="G182" s="192">
        <f>SUM('SGTO POAI VIGENCIA 2021'!BE280:BE285)</f>
        <v>277577165.5</v>
      </c>
      <c r="H182" s="192">
        <f>SUM('SGTO POAI VIGENCIA 2021'!BF280:BF285)</f>
        <v>277577165.5</v>
      </c>
      <c r="L182" s="232"/>
    </row>
    <row r="183" spans="1:24" s="7" customFormat="1" ht="18.75" customHeight="1" x14ac:dyDescent="0.2">
      <c r="A183" s="36"/>
      <c r="B183" s="93"/>
      <c r="C183" s="93"/>
      <c r="D183" s="93"/>
      <c r="E183" s="97"/>
      <c r="F183" s="94"/>
      <c r="G183" s="29"/>
      <c r="H183" s="14"/>
      <c r="I183" s="14"/>
      <c r="J183" s="14"/>
      <c r="K183" s="14"/>
      <c r="L183" s="35"/>
    </row>
    <row r="184" spans="1:24" s="20" customFormat="1" ht="30" customHeight="1" x14ac:dyDescent="0.25">
      <c r="A184" s="474" t="s">
        <v>1272</v>
      </c>
      <c r="B184" s="475"/>
      <c r="C184" s="475"/>
      <c r="D184" s="475"/>
      <c r="E184" s="475"/>
      <c r="F184" s="476">
        <f>F171+U162+L140+AB129+F121+L99+L90+R82+L58+U28+L21+F13+F5</f>
        <v>319490464131.9101</v>
      </c>
      <c r="G184" s="477">
        <f>G171+V162+M140+AC129+G121+M99+M90+S82+M58+V28+M21+G13+G5</f>
        <v>286065239361.57996</v>
      </c>
      <c r="H184" s="477">
        <f>H171+W162+N140+AD129+H121+N99+N90+T82+N58+W28+N21+H13+H5</f>
        <v>286065239361.57996</v>
      </c>
      <c r="I184" s="19"/>
      <c r="J184" s="19"/>
      <c r="K184" s="19"/>
      <c r="L184" s="38"/>
    </row>
    <row r="185" spans="1:24" s="7" customFormat="1" ht="24" customHeight="1" x14ac:dyDescent="0.2">
      <c r="A185" s="36"/>
      <c r="B185" s="93"/>
      <c r="C185" s="93"/>
      <c r="D185" s="93"/>
      <c r="E185" s="97"/>
      <c r="F185" s="94"/>
      <c r="G185" s="29"/>
      <c r="H185" s="14"/>
      <c r="I185" s="14"/>
      <c r="J185" s="14"/>
      <c r="K185" s="14"/>
      <c r="L185" s="35"/>
    </row>
    <row r="186" spans="1:24" ht="24" customHeight="1" x14ac:dyDescent="0.2">
      <c r="A186" s="601" t="s">
        <v>4</v>
      </c>
      <c r="B186" s="601" t="s">
        <v>5</v>
      </c>
      <c r="C186" s="601" t="s">
        <v>6</v>
      </c>
      <c r="D186" s="601" t="s">
        <v>1355</v>
      </c>
      <c r="E186" s="602" t="s">
        <v>7</v>
      </c>
      <c r="F186" s="602" t="s">
        <v>1556</v>
      </c>
      <c r="G186" s="602"/>
      <c r="H186" s="602"/>
      <c r="I186" s="599" t="s">
        <v>1356</v>
      </c>
      <c r="J186" s="599"/>
      <c r="K186" s="600"/>
      <c r="L186" s="603" t="s">
        <v>1368</v>
      </c>
      <c r="M186" s="604"/>
      <c r="N186" s="605"/>
      <c r="O186" s="603" t="s">
        <v>1369</v>
      </c>
      <c r="P186" s="604"/>
      <c r="Q186" s="605"/>
      <c r="R186" s="603" t="s">
        <v>12</v>
      </c>
      <c r="S186" s="604"/>
      <c r="T186" s="605"/>
      <c r="U186" s="231"/>
      <c r="V186" s="2"/>
      <c r="W186" s="31"/>
    </row>
    <row r="187" spans="1:24" ht="24" customHeight="1" x14ac:dyDescent="0.2">
      <c r="A187" s="601"/>
      <c r="B187" s="601"/>
      <c r="C187" s="601"/>
      <c r="D187" s="601"/>
      <c r="E187" s="602"/>
      <c r="F187" s="448" t="s">
        <v>1641</v>
      </c>
      <c r="G187" s="447" t="s">
        <v>1490</v>
      </c>
      <c r="H187" s="447" t="s">
        <v>1491</v>
      </c>
      <c r="I187" s="448" t="s">
        <v>1641</v>
      </c>
      <c r="J187" s="447" t="s">
        <v>1490</v>
      </c>
      <c r="K187" s="447" t="s">
        <v>1491</v>
      </c>
      <c r="L187" s="447" t="s">
        <v>1641</v>
      </c>
      <c r="M187" s="447" t="s">
        <v>1490</v>
      </c>
      <c r="N187" s="447" t="s">
        <v>1491</v>
      </c>
      <c r="O187" s="447" t="s">
        <v>1641</v>
      </c>
      <c r="P187" s="447" t="s">
        <v>1490</v>
      </c>
      <c r="Q187" s="447" t="s">
        <v>1491</v>
      </c>
      <c r="R187" s="447" t="s">
        <v>1641</v>
      </c>
      <c r="S187" s="447" t="s">
        <v>1490</v>
      </c>
      <c r="T187" s="447" t="s">
        <v>1491</v>
      </c>
      <c r="U187" s="231"/>
      <c r="V187" s="2"/>
      <c r="W187" s="31"/>
    </row>
    <row r="188" spans="1:24" ht="24" customHeight="1" x14ac:dyDescent="0.2">
      <c r="A188" s="466" t="s">
        <v>1273</v>
      </c>
      <c r="B188" s="467"/>
      <c r="C188" s="467"/>
      <c r="D188" s="467"/>
      <c r="E188" s="468"/>
      <c r="F188" s="406">
        <f>F189</f>
        <v>1251616460</v>
      </c>
      <c r="G188" s="469"/>
      <c r="H188" s="469"/>
      <c r="I188" s="406">
        <f t="shared" ref="I188:T189" si="76">I189</f>
        <v>1047130260.64</v>
      </c>
      <c r="J188" s="406">
        <f t="shared" si="76"/>
        <v>582042881.81999993</v>
      </c>
      <c r="K188" s="406">
        <f t="shared" si="76"/>
        <v>580542881.81999993</v>
      </c>
      <c r="L188" s="406">
        <f t="shared" si="76"/>
        <v>4406313085.3899994</v>
      </c>
      <c r="M188" s="406">
        <f t="shared" si="76"/>
        <v>3686583942.1499996</v>
      </c>
      <c r="N188" s="406">
        <f t="shared" si="76"/>
        <v>3667168942.1499996</v>
      </c>
      <c r="O188" s="406">
        <f t="shared" si="76"/>
        <v>455357884</v>
      </c>
      <c r="P188" s="406">
        <f t="shared" si="76"/>
        <v>404367233</v>
      </c>
      <c r="Q188" s="406">
        <f t="shared" si="76"/>
        <v>404367233</v>
      </c>
      <c r="R188" s="406">
        <f t="shared" si="76"/>
        <v>7160417690.0299988</v>
      </c>
      <c r="S188" s="406">
        <f t="shared" si="76"/>
        <v>4672994056.9699993</v>
      </c>
      <c r="T188" s="406">
        <f t="shared" si="76"/>
        <v>4652079056.9699993</v>
      </c>
      <c r="U188" s="231"/>
      <c r="V188" s="2"/>
      <c r="W188" s="31"/>
    </row>
    <row r="189" spans="1:24" ht="24" customHeight="1" x14ac:dyDescent="0.2">
      <c r="A189" s="49"/>
      <c r="B189" s="450">
        <v>1</v>
      </c>
      <c r="C189" s="451" t="s">
        <v>136</v>
      </c>
      <c r="D189" s="451"/>
      <c r="E189" s="452"/>
      <c r="F189" s="453">
        <f>F190</f>
        <v>1251616460</v>
      </c>
      <c r="G189" s="454"/>
      <c r="H189" s="454"/>
      <c r="I189" s="453">
        <f t="shared" si="76"/>
        <v>1047130260.64</v>
      </c>
      <c r="J189" s="453">
        <f t="shared" si="76"/>
        <v>582042881.81999993</v>
      </c>
      <c r="K189" s="453">
        <f t="shared" si="76"/>
        <v>580542881.81999993</v>
      </c>
      <c r="L189" s="453">
        <f t="shared" si="76"/>
        <v>4406313085.3899994</v>
      </c>
      <c r="M189" s="453">
        <f t="shared" si="76"/>
        <v>3686583942.1499996</v>
      </c>
      <c r="N189" s="453">
        <f t="shared" si="76"/>
        <v>3667168942.1499996</v>
      </c>
      <c r="O189" s="453">
        <f t="shared" si="76"/>
        <v>455357884</v>
      </c>
      <c r="P189" s="453">
        <f t="shared" si="76"/>
        <v>404367233</v>
      </c>
      <c r="Q189" s="453">
        <f t="shared" si="76"/>
        <v>404367233</v>
      </c>
      <c r="R189" s="453">
        <f t="shared" si="76"/>
        <v>7160417690.0299988</v>
      </c>
      <c r="S189" s="453">
        <f t="shared" si="76"/>
        <v>4672994056.9699993</v>
      </c>
      <c r="T189" s="453">
        <f t="shared" si="76"/>
        <v>4652079056.9699993</v>
      </c>
      <c r="U189" s="231"/>
      <c r="V189" s="2"/>
      <c r="W189" s="2"/>
      <c r="X189" s="2"/>
    </row>
    <row r="190" spans="1:24" ht="24" customHeight="1" x14ac:dyDescent="0.2">
      <c r="A190" s="49"/>
      <c r="B190" s="55"/>
      <c r="C190" s="422">
        <v>43</v>
      </c>
      <c r="D190" s="413" t="s">
        <v>176</v>
      </c>
      <c r="E190" s="414"/>
      <c r="F190" s="415">
        <f>SUM(F191:F192)</f>
        <v>1251616460</v>
      </c>
      <c r="G190" s="415"/>
      <c r="H190" s="415"/>
      <c r="I190" s="415">
        <f t="shared" ref="I190:T190" si="77">SUM(I191:I192)</f>
        <v>1047130260.64</v>
      </c>
      <c r="J190" s="415">
        <f t="shared" si="77"/>
        <v>582042881.81999993</v>
      </c>
      <c r="K190" s="415">
        <f t="shared" si="77"/>
        <v>580542881.81999993</v>
      </c>
      <c r="L190" s="415">
        <f t="shared" si="77"/>
        <v>4406313085.3899994</v>
      </c>
      <c r="M190" s="415">
        <f t="shared" si="77"/>
        <v>3686583942.1499996</v>
      </c>
      <c r="N190" s="415">
        <f t="shared" si="77"/>
        <v>3667168942.1499996</v>
      </c>
      <c r="O190" s="415">
        <f t="shared" si="77"/>
        <v>455357884</v>
      </c>
      <c r="P190" s="415">
        <f t="shared" si="77"/>
        <v>404367233</v>
      </c>
      <c r="Q190" s="415">
        <f t="shared" si="77"/>
        <v>404367233</v>
      </c>
      <c r="R190" s="415">
        <f t="shared" si="77"/>
        <v>7160417690.0299988</v>
      </c>
      <c r="S190" s="415">
        <f t="shared" si="77"/>
        <v>4672994056.9699993</v>
      </c>
      <c r="T190" s="415">
        <f t="shared" si="77"/>
        <v>4652079056.9699993</v>
      </c>
      <c r="U190" s="231"/>
      <c r="V190" s="2"/>
      <c r="W190" s="31"/>
    </row>
    <row r="191" spans="1:24" s="27" customFormat="1" ht="60" customHeight="1" x14ac:dyDescent="0.2">
      <c r="A191" s="54"/>
      <c r="B191" s="44"/>
      <c r="C191" s="44"/>
      <c r="D191" s="44">
        <v>4301</v>
      </c>
      <c r="E191" s="219" t="s">
        <v>177</v>
      </c>
      <c r="F191" s="50">
        <f>SUM('SGTO POAI VIGENCIA 2021'!Z286:Z289)</f>
        <v>182800000</v>
      </c>
      <c r="G191" s="50">
        <f>SUM('SGTO POAI VIGENCIA 2021'!AA286:AA289)</f>
        <v>0</v>
      </c>
      <c r="H191" s="50">
        <f>SUM('SGTO POAI VIGENCIA 2021'!AB286:AB289)</f>
        <v>0</v>
      </c>
      <c r="I191" s="192">
        <f>SUM('SGTO POAI VIGENCIA 2021'!BD286:BD289)</f>
        <v>136127636</v>
      </c>
      <c r="J191" s="192">
        <f>SUM('SGTO POAI VIGENCIA 2021'!BE286:BE289)</f>
        <v>111986299.81999999</v>
      </c>
      <c r="K191" s="192">
        <f>SUM('SGTO POAI VIGENCIA 2021'!BF286:BF289)</f>
        <v>111986299.81999999</v>
      </c>
      <c r="L191" s="192">
        <f>SUM('SGTO POAI VIGENCIA 2021'!BG286:BG289)</f>
        <v>2073001578.98</v>
      </c>
      <c r="M191" s="192">
        <f>SUM('SGTO POAI VIGENCIA 2021'!BH286:BH289)</f>
        <v>1675596167.97</v>
      </c>
      <c r="N191" s="192">
        <f>SUM('SGTO POAI VIGENCIA 2021'!BI286:BI289)</f>
        <v>1675596167.9699998</v>
      </c>
      <c r="O191" s="192">
        <f>SUM('SGTO POAI VIGENCIA 2021'!BJ286:BJ289)</f>
        <v>455357884</v>
      </c>
      <c r="P191" s="192">
        <f>SUM('SGTO POAI VIGENCIA 2021'!BK286:BK289)</f>
        <v>404367233</v>
      </c>
      <c r="Q191" s="192">
        <f>SUM('SGTO POAI VIGENCIA 2021'!BL286:BL289)</f>
        <v>404367233</v>
      </c>
      <c r="R191" s="192">
        <f t="shared" ref="R191:T192" si="78">I191+L191+O191+F191</f>
        <v>2847287098.98</v>
      </c>
      <c r="S191" s="192">
        <f t="shared" si="78"/>
        <v>2191949700.79</v>
      </c>
      <c r="T191" s="192">
        <f t="shared" si="78"/>
        <v>2191949700.79</v>
      </c>
      <c r="U191" s="231"/>
      <c r="W191" s="34"/>
    </row>
    <row r="192" spans="1:24" s="27" customFormat="1" ht="37.5" customHeight="1" x14ac:dyDescent="0.2">
      <c r="A192" s="54"/>
      <c r="B192" s="44"/>
      <c r="C192" s="44"/>
      <c r="D192" s="44">
        <v>4302</v>
      </c>
      <c r="E192" s="219" t="s">
        <v>1287</v>
      </c>
      <c r="F192" s="50">
        <f>SUM('SGTO POAI VIGENCIA 2021'!Z290:Z291)</f>
        <v>1068816460</v>
      </c>
      <c r="G192" s="50">
        <f>SUM('SGTO POAI VIGENCIA 2021'!AA290:AA291)</f>
        <v>0</v>
      </c>
      <c r="H192" s="50">
        <f>SUM('SGTO POAI VIGENCIA 2021'!AB290:AB291)</f>
        <v>0</v>
      </c>
      <c r="I192" s="192">
        <f>SUM('SGTO POAI VIGENCIA 2021'!BD290:BD291)</f>
        <v>911002624.63999999</v>
      </c>
      <c r="J192" s="192">
        <f>SUM('SGTO POAI VIGENCIA 2021'!BE290:BE291)</f>
        <v>470056582</v>
      </c>
      <c r="K192" s="192">
        <f>SUM('SGTO POAI VIGENCIA 2021'!BF290:BF291)</f>
        <v>468556582</v>
      </c>
      <c r="L192" s="192">
        <f>SUM('SGTO POAI VIGENCIA 2021'!BG290:BG291)</f>
        <v>2333311506.4099998</v>
      </c>
      <c r="M192" s="192">
        <f>SUM('SGTO POAI VIGENCIA 2021'!BH290:BH291)</f>
        <v>2010987774.1799998</v>
      </c>
      <c r="N192" s="192">
        <f>SUM('SGTO POAI VIGENCIA 2021'!BI290:BI291)</f>
        <v>1991572774.1799998</v>
      </c>
      <c r="O192" s="192">
        <f>SUM('SGTO POAI VIGENCIA 2021'!BJ290:BJ291)</f>
        <v>0</v>
      </c>
      <c r="P192" s="192">
        <f>SUM('SGTO POAI VIGENCIA 2021'!BK290:BK291)</f>
        <v>0</v>
      </c>
      <c r="Q192" s="192">
        <f>SUM('SGTO POAI VIGENCIA 2021'!BL290:BL291)</f>
        <v>0</v>
      </c>
      <c r="R192" s="192">
        <f t="shared" si="78"/>
        <v>4313130591.0499992</v>
      </c>
      <c r="S192" s="192">
        <f t="shared" si="78"/>
        <v>2481044356.1799998</v>
      </c>
      <c r="T192" s="192">
        <f t="shared" si="78"/>
        <v>2460129356.1799998</v>
      </c>
      <c r="U192" s="231"/>
      <c r="W192" s="34"/>
    </row>
    <row r="193" spans="1:16" s="7" customFormat="1" ht="18.75" customHeight="1" x14ac:dyDescent="0.2">
      <c r="A193" s="36"/>
      <c r="B193" s="93"/>
      <c r="C193" s="93"/>
      <c r="D193" s="93"/>
      <c r="E193" s="97"/>
      <c r="F193" s="94"/>
      <c r="G193" s="29"/>
      <c r="H193" s="14"/>
      <c r="I193" s="14"/>
      <c r="J193" s="14"/>
      <c r="K193" s="14"/>
      <c r="L193" s="35"/>
    </row>
    <row r="194" spans="1:16" ht="24" customHeight="1" x14ac:dyDescent="0.2">
      <c r="A194" s="601" t="s">
        <v>4</v>
      </c>
      <c r="B194" s="601" t="s">
        <v>5</v>
      </c>
      <c r="C194" s="601" t="s">
        <v>6</v>
      </c>
      <c r="D194" s="601" t="s">
        <v>1355</v>
      </c>
      <c r="E194" s="602" t="s">
        <v>7</v>
      </c>
      <c r="F194" s="599" t="s">
        <v>1504</v>
      </c>
      <c r="G194" s="599"/>
      <c r="H194" s="600"/>
      <c r="I194" s="603" t="s">
        <v>1368</v>
      </c>
      <c r="J194" s="604"/>
      <c r="K194" s="605"/>
      <c r="L194" s="603" t="s">
        <v>12</v>
      </c>
      <c r="M194" s="604"/>
      <c r="N194" s="605"/>
      <c r="O194" s="2"/>
      <c r="P194" s="31"/>
    </row>
    <row r="195" spans="1:16" ht="24" customHeight="1" x14ac:dyDescent="0.2">
      <c r="A195" s="601"/>
      <c r="B195" s="601"/>
      <c r="C195" s="601"/>
      <c r="D195" s="601"/>
      <c r="E195" s="602"/>
      <c r="F195" s="448" t="s">
        <v>1641</v>
      </c>
      <c r="G195" s="447" t="s">
        <v>1490</v>
      </c>
      <c r="H195" s="447" t="s">
        <v>1491</v>
      </c>
      <c r="I195" s="447" t="s">
        <v>1641</v>
      </c>
      <c r="J195" s="447" t="s">
        <v>1490</v>
      </c>
      <c r="K195" s="447" t="s">
        <v>1491</v>
      </c>
      <c r="L195" s="447" t="s">
        <v>1641</v>
      </c>
      <c r="M195" s="447" t="s">
        <v>1490</v>
      </c>
      <c r="N195" s="447" t="s">
        <v>1491</v>
      </c>
      <c r="O195" s="2"/>
      <c r="P195" s="31"/>
    </row>
    <row r="196" spans="1:16" s="7" customFormat="1" ht="24" customHeight="1" x14ac:dyDescent="0.2">
      <c r="A196" s="466" t="s">
        <v>1299</v>
      </c>
      <c r="B196" s="467"/>
      <c r="C196" s="467"/>
      <c r="D196" s="467"/>
      <c r="E196" s="468"/>
      <c r="F196" s="406">
        <f t="shared" ref="F196:N196" si="79">F197+F201</f>
        <v>1490542838.9200001</v>
      </c>
      <c r="G196" s="406">
        <f t="shared" si="79"/>
        <v>1252409845.2225237</v>
      </c>
      <c r="H196" s="406">
        <f t="shared" si="79"/>
        <v>1247293178.5525236</v>
      </c>
      <c r="I196" s="406">
        <f t="shared" si="79"/>
        <v>1146743496.02</v>
      </c>
      <c r="J196" s="406">
        <f t="shared" si="79"/>
        <v>1131380712.0014901</v>
      </c>
      <c r="K196" s="406">
        <f t="shared" si="79"/>
        <v>969587115.74000001</v>
      </c>
      <c r="L196" s="406">
        <f t="shared" si="79"/>
        <v>2637286334.9400001</v>
      </c>
      <c r="M196" s="406">
        <f t="shared" si="79"/>
        <v>2383790557.2240138</v>
      </c>
      <c r="N196" s="406">
        <f t="shared" si="79"/>
        <v>2216880294.2925234</v>
      </c>
      <c r="O196" s="14"/>
      <c r="P196" s="35"/>
    </row>
    <row r="197" spans="1:16" s="7" customFormat="1" ht="24" customHeight="1" x14ac:dyDescent="0.2">
      <c r="A197" s="95"/>
      <c r="B197" s="450">
        <v>1</v>
      </c>
      <c r="C197" s="451" t="s">
        <v>136</v>
      </c>
      <c r="D197" s="451"/>
      <c r="E197" s="452"/>
      <c r="F197" s="453">
        <f t="shared" ref="F197:N197" si="80">F198</f>
        <v>1019472941.71</v>
      </c>
      <c r="G197" s="453">
        <f t="shared" si="80"/>
        <v>974351224.8099997</v>
      </c>
      <c r="H197" s="453">
        <f t="shared" si="80"/>
        <v>974351224.8099997</v>
      </c>
      <c r="I197" s="453">
        <f t="shared" si="80"/>
        <v>0</v>
      </c>
      <c r="J197" s="453">
        <f t="shared" si="80"/>
        <v>0</v>
      </c>
      <c r="K197" s="453">
        <f t="shared" si="80"/>
        <v>0</v>
      </c>
      <c r="L197" s="453">
        <f t="shared" si="80"/>
        <v>1019472941.71</v>
      </c>
      <c r="M197" s="453">
        <f t="shared" si="80"/>
        <v>974351224.8099997</v>
      </c>
      <c r="N197" s="453">
        <f t="shared" si="80"/>
        <v>974351224.8099997</v>
      </c>
      <c r="O197" s="14"/>
      <c r="P197" s="35"/>
    </row>
    <row r="198" spans="1:16" s="7" customFormat="1" ht="24" customHeight="1" x14ac:dyDescent="0.2">
      <c r="A198" s="95"/>
      <c r="B198" s="55"/>
      <c r="C198" s="422">
        <v>43</v>
      </c>
      <c r="D198" s="413" t="s">
        <v>176</v>
      </c>
      <c r="E198" s="414"/>
      <c r="F198" s="415">
        <f t="shared" ref="F198:N198" si="81">SUM(F199:F200)</f>
        <v>1019472941.71</v>
      </c>
      <c r="G198" s="415">
        <f t="shared" si="81"/>
        <v>974351224.8099997</v>
      </c>
      <c r="H198" s="415">
        <f t="shared" si="81"/>
        <v>974351224.8099997</v>
      </c>
      <c r="I198" s="415">
        <f t="shared" si="81"/>
        <v>0</v>
      </c>
      <c r="J198" s="415">
        <f t="shared" si="81"/>
        <v>0</v>
      </c>
      <c r="K198" s="415">
        <f t="shared" si="81"/>
        <v>0</v>
      </c>
      <c r="L198" s="415">
        <f t="shared" si="81"/>
        <v>1019472941.71</v>
      </c>
      <c r="M198" s="415">
        <f t="shared" si="81"/>
        <v>974351224.8099997</v>
      </c>
      <c r="N198" s="415">
        <f t="shared" si="81"/>
        <v>974351224.8099997</v>
      </c>
      <c r="O198" s="14"/>
      <c r="P198" s="35"/>
    </row>
    <row r="199" spans="1:16" s="28" customFormat="1" ht="63.75" customHeight="1" x14ac:dyDescent="0.2">
      <c r="A199" s="96"/>
      <c r="B199" s="56"/>
      <c r="C199" s="56"/>
      <c r="D199" s="44">
        <v>4301</v>
      </c>
      <c r="E199" s="188" t="s">
        <v>177</v>
      </c>
      <c r="F199" s="192">
        <f>'SGTO POAI VIGENCIA 2021'!Z292</f>
        <v>690464077.75999999</v>
      </c>
      <c r="G199" s="192">
        <f>'SGTO POAI VIGENCIA 2021'!AA292</f>
        <v>683590194.49999976</v>
      </c>
      <c r="H199" s="192">
        <f>'SGTO POAI VIGENCIA 2021'!AB292</f>
        <v>683590194.49999976</v>
      </c>
      <c r="I199" s="192">
        <f>'SGTO POAI VIGENCIA 2021'!BG292</f>
        <v>0</v>
      </c>
      <c r="J199" s="192">
        <f>'SGTO POAI VIGENCIA 2021'!BH292</f>
        <v>0</v>
      </c>
      <c r="K199" s="192">
        <f>'SGTO POAI VIGENCIA 2021'!BI292</f>
        <v>0</v>
      </c>
      <c r="L199" s="192">
        <f t="shared" ref="L199:N200" si="82">I199+F199</f>
        <v>690464077.75999999</v>
      </c>
      <c r="M199" s="192">
        <f t="shared" si="82"/>
        <v>683590194.49999976</v>
      </c>
      <c r="N199" s="192">
        <f t="shared" si="82"/>
        <v>683590194.49999976</v>
      </c>
      <c r="P199" s="37"/>
    </row>
    <row r="200" spans="1:16" s="28" customFormat="1" ht="66.75" customHeight="1" x14ac:dyDescent="0.2">
      <c r="A200" s="96"/>
      <c r="B200" s="56"/>
      <c r="C200" s="56"/>
      <c r="D200" s="44">
        <v>2201</v>
      </c>
      <c r="E200" s="188" t="s">
        <v>277</v>
      </c>
      <c r="F200" s="192">
        <f>'SGTO POAI VIGENCIA 2021'!Z293</f>
        <v>329008863.94999999</v>
      </c>
      <c r="G200" s="192">
        <f>'SGTO POAI VIGENCIA 2021'!AA293</f>
        <v>290761030.31</v>
      </c>
      <c r="H200" s="192">
        <f>'SGTO POAI VIGENCIA 2021'!AB293</f>
        <v>290761030.31</v>
      </c>
      <c r="I200" s="192">
        <f>'SGTO POAI VIGENCIA 2021'!BG293</f>
        <v>0</v>
      </c>
      <c r="J200" s="192">
        <f>'SGTO POAI VIGENCIA 2021'!BH293</f>
        <v>0</v>
      </c>
      <c r="K200" s="192">
        <f>'SGTO POAI VIGENCIA 2021'!BI293</f>
        <v>0</v>
      </c>
      <c r="L200" s="192">
        <f t="shared" si="82"/>
        <v>329008863.94999999</v>
      </c>
      <c r="M200" s="192">
        <f t="shared" si="82"/>
        <v>290761030.31</v>
      </c>
      <c r="N200" s="192">
        <f t="shared" si="82"/>
        <v>290761030.31</v>
      </c>
      <c r="P200" s="37"/>
    </row>
    <row r="201" spans="1:16" s="7" customFormat="1" ht="24" customHeight="1" x14ac:dyDescent="0.2">
      <c r="A201" s="95"/>
      <c r="B201" s="450">
        <v>3</v>
      </c>
      <c r="C201" s="451" t="s">
        <v>186</v>
      </c>
      <c r="D201" s="451"/>
      <c r="E201" s="452"/>
      <c r="F201" s="453">
        <f t="shared" ref="F201:N201" si="83">F202+F204</f>
        <v>471069897.20999992</v>
      </c>
      <c r="G201" s="453">
        <f t="shared" si="83"/>
        <v>278058620.41252398</v>
      </c>
      <c r="H201" s="453">
        <f t="shared" si="83"/>
        <v>272941953.74252397</v>
      </c>
      <c r="I201" s="453">
        <f t="shared" si="83"/>
        <v>1146743496.02</v>
      </c>
      <c r="J201" s="453">
        <f t="shared" si="83"/>
        <v>1131380712.0014901</v>
      </c>
      <c r="K201" s="453">
        <f t="shared" si="83"/>
        <v>969587115.74000001</v>
      </c>
      <c r="L201" s="453">
        <f t="shared" si="83"/>
        <v>1617813393.23</v>
      </c>
      <c r="M201" s="453">
        <f t="shared" si="83"/>
        <v>1409439332.4140141</v>
      </c>
      <c r="N201" s="453">
        <f t="shared" si="83"/>
        <v>1242529069.4825239</v>
      </c>
      <c r="O201" s="14"/>
      <c r="P201" s="35"/>
    </row>
    <row r="202" spans="1:16" s="7" customFormat="1" ht="24" customHeight="1" x14ac:dyDescent="0.2">
      <c r="A202" s="95"/>
      <c r="B202" s="55"/>
      <c r="C202" s="420">
        <v>24</v>
      </c>
      <c r="D202" s="413" t="s">
        <v>187</v>
      </c>
      <c r="E202" s="419"/>
      <c r="F202" s="415">
        <f t="shared" ref="F202:N202" si="84">F203</f>
        <v>0</v>
      </c>
      <c r="G202" s="415">
        <f t="shared" si="84"/>
        <v>0</v>
      </c>
      <c r="H202" s="415">
        <f t="shared" si="84"/>
        <v>0</v>
      </c>
      <c r="I202" s="415">
        <f t="shared" si="84"/>
        <v>348896731.19999999</v>
      </c>
      <c r="J202" s="415">
        <f t="shared" si="84"/>
        <v>347384923.11000001</v>
      </c>
      <c r="K202" s="415">
        <f t="shared" si="84"/>
        <v>240924657.09</v>
      </c>
      <c r="L202" s="415">
        <f t="shared" si="84"/>
        <v>348896731.19999999</v>
      </c>
      <c r="M202" s="415">
        <f t="shared" si="84"/>
        <v>347384923.11000001</v>
      </c>
      <c r="N202" s="415">
        <f t="shared" si="84"/>
        <v>240924657.09</v>
      </c>
      <c r="O202" s="14"/>
      <c r="P202" s="35"/>
    </row>
    <row r="203" spans="1:16" s="7" customFormat="1" ht="46.5" customHeight="1" x14ac:dyDescent="0.2">
      <c r="A203" s="95"/>
      <c r="B203" s="46"/>
      <c r="C203" s="46"/>
      <c r="D203" s="44">
        <v>2402</v>
      </c>
      <c r="E203" s="226" t="s">
        <v>188</v>
      </c>
      <c r="F203" s="224">
        <f>'SGTO POAI VIGENCIA 2021'!Z294</f>
        <v>0</v>
      </c>
      <c r="G203" s="224">
        <f>'SGTO POAI VIGENCIA 2021'!AA294</f>
        <v>0</v>
      </c>
      <c r="H203" s="224">
        <f>'SGTO POAI VIGENCIA 2021'!AB294</f>
        <v>0</v>
      </c>
      <c r="I203" s="224">
        <f>'SGTO POAI VIGENCIA 2021'!BG294</f>
        <v>348896731.19999999</v>
      </c>
      <c r="J203" s="224">
        <f>'SGTO POAI VIGENCIA 2021'!BH294</f>
        <v>347384923.11000001</v>
      </c>
      <c r="K203" s="224">
        <f>'SGTO POAI VIGENCIA 2021'!BI294</f>
        <v>240924657.09</v>
      </c>
      <c r="L203" s="192">
        <f>I203+F203</f>
        <v>348896731.19999999</v>
      </c>
      <c r="M203" s="192">
        <f>J203+G203</f>
        <v>347384923.11000001</v>
      </c>
      <c r="N203" s="192">
        <f>K203+H203</f>
        <v>240924657.09</v>
      </c>
      <c r="O203" s="14"/>
      <c r="P203" s="35"/>
    </row>
    <row r="204" spans="1:16" s="7" customFormat="1" ht="24" customHeight="1" x14ac:dyDescent="0.2">
      <c r="A204" s="95"/>
      <c r="B204" s="51"/>
      <c r="C204" s="418">
        <v>40</v>
      </c>
      <c r="D204" s="413" t="s">
        <v>221</v>
      </c>
      <c r="E204" s="419"/>
      <c r="F204" s="415">
        <f t="shared" ref="F204:N204" si="85">F205</f>
        <v>471069897.20999992</v>
      </c>
      <c r="G204" s="415">
        <f t="shared" si="85"/>
        <v>278058620.41252398</v>
      </c>
      <c r="H204" s="415">
        <f t="shared" si="85"/>
        <v>272941953.74252397</v>
      </c>
      <c r="I204" s="415">
        <f t="shared" si="85"/>
        <v>797846764.82000005</v>
      </c>
      <c r="J204" s="415">
        <f t="shared" si="85"/>
        <v>783995788.8914901</v>
      </c>
      <c r="K204" s="415">
        <f t="shared" si="85"/>
        <v>728662458.64999998</v>
      </c>
      <c r="L204" s="415">
        <f t="shared" si="85"/>
        <v>1268916662.03</v>
      </c>
      <c r="M204" s="415">
        <f t="shared" si="85"/>
        <v>1062054409.3040141</v>
      </c>
      <c r="N204" s="415">
        <f t="shared" si="85"/>
        <v>1001604412.392524</v>
      </c>
      <c r="O204" s="14"/>
      <c r="P204" s="35"/>
    </row>
    <row r="205" spans="1:16" s="7" customFormat="1" ht="44.25" customHeight="1" x14ac:dyDescent="0.2">
      <c r="A205" s="95"/>
      <c r="B205" s="46"/>
      <c r="C205" s="46"/>
      <c r="D205" s="44">
        <v>4001</v>
      </c>
      <c r="E205" s="226" t="s">
        <v>222</v>
      </c>
      <c r="F205" s="224">
        <f>SUM('SGTO POAI VIGENCIA 2021'!Z295:Z301)</f>
        <v>471069897.20999992</v>
      </c>
      <c r="G205" s="224">
        <f>SUM('SGTO POAI VIGENCIA 2021'!AA295:AA301)</f>
        <v>278058620.41252398</v>
      </c>
      <c r="H205" s="224">
        <f>SUM('SGTO POAI VIGENCIA 2021'!AB295:AB301)</f>
        <v>272941953.74252397</v>
      </c>
      <c r="I205" s="224">
        <f>SUM('SGTO POAI VIGENCIA 2021'!BG295:BG301)</f>
        <v>797846764.82000005</v>
      </c>
      <c r="J205" s="224">
        <f>SUM('SGTO POAI VIGENCIA 2021'!BH295:BH301)</f>
        <v>783995788.8914901</v>
      </c>
      <c r="K205" s="224">
        <f>SUM('SGTO POAI VIGENCIA 2021'!BI295:BI301)</f>
        <v>728662458.64999998</v>
      </c>
      <c r="L205" s="192">
        <f>I205+F205</f>
        <v>1268916662.03</v>
      </c>
      <c r="M205" s="192">
        <f>J205+G205</f>
        <v>1062054409.3040141</v>
      </c>
      <c r="N205" s="192">
        <f>K205+H205</f>
        <v>1001604412.392524</v>
      </c>
      <c r="O205" s="14"/>
      <c r="P205" s="35"/>
    </row>
    <row r="206" spans="1:16" s="7" customFormat="1" ht="18.75" customHeight="1" x14ac:dyDescent="0.2">
      <c r="A206" s="36"/>
      <c r="B206" s="93"/>
      <c r="C206" s="93"/>
      <c r="D206" s="93"/>
      <c r="E206" s="97"/>
      <c r="F206" s="94"/>
      <c r="G206" s="29"/>
      <c r="H206" s="14"/>
      <c r="I206" s="14"/>
      <c r="J206" s="14"/>
      <c r="K206" s="14"/>
      <c r="L206" s="35"/>
    </row>
    <row r="207" spans="1:16" ht="24" customHeight="1" x14ac:dyDescent="0.2">
      <c r="A207" s="601" t="s">
        <v>4</v>
      </c>
      <c r="B207" s="601" t="s">
        <v>5</v>
      </c>
      <c r="C207" s="601" t="s">
        <v>6</v>
      </c>
      <c r="D207" s="601" t="s">
        <v>1355</v>
      </c>
      <c r="E207" s="602" t="s">
        <v>7</v>
      </c>
      <c r="F207" s="606" t="s">
        <v>1370</v>
      </c>
      <c r="G207" s="604"/>
      <c r="H207" s="605"/>
    </row>
    <row r="208" spans="1:16" ht="24" customHeight="1" x14ac:dyDescent="0.2">
      <c r="A208" s="601"/>
      <c r="B208" s="601"/>
      <c r="C208" s="601"/>
      <c r="D208" s="601"/>
      <c r="E208" s="602"/>
      <c r="F208" s="448" t="s">
        <v>1641</v>
      </c>
      <c r="G208" s="447" t="s">
        <v>1490</v>
      </c>
      <c r="H208" s="447" t="s">
        <v>1491</v>
      </c>
    </row>
    <row r="209" spans="1:12" ht="24" customHeight="1" x14ac:dyDescent="0.2">
      <c r="A209" s="466" t="s">
        <v>1333</v>
      </c>
      <c r="B209" s="467"/>
      <c r="C209" s="467"/>
      <c r="D209" s="467"/>
      <c r="E209" s="468"/>
      <c r="F209" s="406">
        <f>F210</f>
        <v>110210000</v>
      </c>
      <c r="G209" s="406">
        <f t="shared" ref="G209:H211" si="86">G210</f>
        <v>107716000</v>
      </c>
      <c r="H209" s="406">
        <f t="shared" si="86"/>
        <v>107716000</v>
      </c>
    </row>
    <row r="210" spans="1:12" ht="24" customHeight="1" x14ac:dyDescent="0.2">
      <c r="A210" s="49"/>
      <c r="B210" s="450">
        <v>3</v>
      </c>
      <c r="C210" s="451" t="s">
        <v>186</v>
      </c>
      <c r="D210" s="451"/>
      <c r="E210" s="452"/>
      <c r="F210" s="453">
        <f>F211</f>
        <v>110210000</v>
      </c>
      <c r="G210" s="453">
        <f t="shared" si="86"/>
        <v>107716000</v>
      </c>
      <c r="H210" s="453">
        <f t="shared" si="86"/>
        <v>107716000</v>
      </c>
    </row>
    <row r="211" spans="1:12" ht="24" customHeight="1" x14ac:dyDescent="0.2">
      <c r="A211" s="49"/>
      <c r="B211" s="55"/>
      <c r="C211" s="422">
        <v>24</v>
      </c>
      <c r="D211" s="432" t="s">
        <v>187</v>
      </c>
      <c r="E211" s="419"/>
      <c r="F211" s="462">
        <f>F212</f>
        <v>110210000</v>
      </c>
      <c r="G211" s="462">
        <f t="shared" si="86"/>
        <v>107716000</v>
      </c>
      <c r="H211" s="462">
        <f t="shared" si="86"/>
        <v>107716000</v>
      </c>
    </row>
    <row r="212" spans="1:12" s="27" customFormat="1" ht="47.25" customHeight="1" x14ac:dyDescent="0.2">
      <c r="A212" s="54"/>
      <c r="B212" s="44"/>
      <c r="C212" s="44"/>
      <c r="D212" s="44">
        <v>2409</v>
      </c>
      <c r="E212" s="219" t="s">
        <v>1334</v>
      </c>
      <c r="F212" s="192">
        <f>SUM('SGTO POAI VIGENCIA 2021'!BG302:BG305)</f>
        <v>110210000</v>
      </c>
      <c r="G212" s="192">
        <f>SUM('SGTO POAI VIGENCIA 2021'!BH302:BH305)</f>
        <v>107716000</v>
      </c>
      <c r="H212" s="192">
        <f>SUM('SGTO POAI VIGENCIA 2021'!BI302:BI305)</f>
        <v>107716000</v>
      </c>
      <c r="L212" s="34"/>
    </row>
    <row r="213" spans="1:12" s="30" customFormat="1" ht="23.25" customHeight="1" x14ac:dyDescent="0.2">
      <c r="A213" s="1"/>
      <c r="B213" s="9"/>
      <c r="C213" s="9"/>
      <c r="D213" s="9"/>
      <c r="E213" s="10"/>
      <c r="F213" s="175"/>
      <c r="G213" s="256"/>
      <c r="H213" s="257"/>
      <c r="I213" s="14"/>
      <c r="J213" s="14"/>
      <c r="K213" s="14"/>
      <c r="L213" s="35"/>
    </row>
    <row r="214" spans="1:12" s="26" customFormat="1" ht="30" customHeight="1" x14ac:dyDescent="0.25">
      <c r="A214" s="474" t="s">
        <v>1351</v>
      </c>
      <c r="B214" s="475"/>
      <c r="C214" s="475"/>
      <c r="D214" s="475"/>
      <c r="E214" s="475"/>
      <c r="F214" s="476">
        <f>R188+L196+F209</f>
        <v>9907914024.9699993</v>
      </c>
      <c r="G214" s="477">
        <f>S188+M196+G209</f>
        <v>7164500614.1940136</v>
      </c>
      <c r="H214" s="477">
        <f>T188+N196+H209</f>
        <v>6976675351.2625227</v>
      </c>
      <c r="L214" s="39"/>
    </row>
    <row r="215" spans="1:12" s="26" customFormat="1" ht="16.5" thickBot="1" x14ac:dyDescent="0.3">
      <c r="A215" s="23"/>
      <c r="B215" s="24"/>
      <c r="C215" s="24"/>
      <c r="D215" s="24"/>
      <c r="E215" s="25"/>
      <c r="F215" s="176"/>
      <c r="G215" s="176"/>
      <c r="H215" s="176"/>
      <c r="L215" s="39"/>
    </row>
    <row r="216" spans="1:12" s="27" customFormat="1" ht="30" customHeight="1" thickBot="1" x14ac:dyDescent="0.25">
      <c r="A216" s="59" t="s">
        <v>1352</v>
      </c>
      <c r="B216" s="60"/>
      <c r="C216" s="60"/>
      <c r="D216" s="61"/>
      <c r="E216" s="62"/>
      <c r="F216" s="258">
        <f>F214+F184</f>
        <v>329398378156.88007</v>
      </c>
      <c r="G216" s="258">
        <f>G214+G184</f>
        <v>293229739975.77399</v>
      </c>
      <c r="H216" s="258">
        <f>H214+H184</f>
        <v>293041914712.84247</v>
      </c>
      <c r="L216" s="34"/>
    </row>
  </sheetData>
  <mergeCells count="134">
    <mergeCell ref="A207:A208"/>
    <mergeCell ref="B207:B208"/>
    <mergeCell ref="C207:C208"/>
    <mergeCell ref="D207:D208"/>
    <mergeCell ref="A194:A195"/>
    <mergeCell ref="B194:B195"/>
    <mergeCell ref="C194:C195"/>
    <mergeCell ref="D194:D195"/>
    <mergeCell ref="I186:K186"/>
    <mergeCell ref="A186:A187"/>
    <mergeCell ref="B186:B187"/>
    <mergeCell ref="C186:C187"/>
    <mergeCell ref="D186:D187"/>
    <mergeCell ref="F186:H186"/>
    <mergeCell ref="R186:T186"/>
    <mergeCell ref="O186:Q186"/>
    <mergeCell ref="L186:N186"/>
    <mergeCell ref="E207:E208"/>
    <mergeCell ref="E194:E195"/>
    <mergeCell ref="F194:H194"/>
    <mergeCell ref="I194:K194"/>
    <mergeCell ref="L194:N194"/>
    <mergeCell ref="F207:H207"/>
    <mergeCell ref="E186:E187"/>
    <mergeCell ref="O160:Q160"/>
    <mergeCell ref="R160:T160"/>
    <mergeCell ref="U160:W160"/>
    <mergeCell ref="F169:H169"/>
    <mergeCell ref="F138:H138"/>
    <mergeCell ref="I138:K138"/>
    <mergeCell ref="L138:N138"/>
    <mergeCell ref="A160:A161"/>
    <mergeCell ref="B160:B161"/>
    <mergeCell ref="C160:C161"/>
    <mergeCell ref="D160:D161"/>
    <mergeCell ref="E160:E161"/>
    <mergeCell ref="F160:H160"/>
    <mergeCell ref="I160:K160"/>
    <mergeCell ref="L160:N160"/>
    <mergeCell ref="A138:A139"/>
    <mergeCell ref="B138:B139"/>
    <mergeCell ref="C138:C139"/>
    <mergeCell ref="D138:D139"/>
    <mergeCell ref="E138:E139"/>
    <mergeCell ref="I127:K127"/>
    <mergeCell ref="L127:N127"/>
    <mergeCell ref="O127:Q127"/>
    <mergeCell ref="S127:U127"/>
    <mergeCell ref="AB127:AD127"/>
    <mergeCell ref="V127:X127"/>
    <mergeCell ref="F119:H119"/>
    <mergeCell ref="A127:A128"/>
    <mergeCell ref="B127:B128"/>
    <mergeCell ref="C127:C128"/>
    <mergeCell ref="D127:D128"/>
    <mergeCell ref="E127:E128"/>
    <mergeCell ref="F127:H127"/>
    <mergeCell ref="A119:A120"/>
    <mergeCell ref="B119:B120"/>
    <mergeCell ref="C119:C120"/>
    <mergeCell ref="D119:D120"/>
    <mergeCell ref="E119:E120"/>
    <mergeCell ref="A3:A4"/>
    <mergeCell ref="A1:N1"/>
    <mergeCell ref="E97:E98"/>
    <mergeCell ref="D97:D98"/>
    <mergeCell ref="C97:C98"/>
    <mergeCell ref="B97:B98"/>
    <mergeCell ref="A97:A98"/>
    <mergeCell ref="F97:H97"/>
    <mergeCell ref="E88:E89"/>
    <mergeCell ref="F88:H88"/>
    <mergeCell ref="I88:K88"/>
    <mergeCell ref="L88:N88"/>
    <mergeCell ref="A19:A20"/>
    <mergeCell ref="B19:B20"/>
    <mergeCell ref="C19:C20"/>
    <mergeCell ref="D19:D20"/>
    <mergeCell ref="E19:E20"/>
    <mergeCell ref="A80:A81"/>
    <mergeCell ref="A88:A89"/>
    <mergeCell ref="B88:B89"/>
    <mergeCell ref="C88:C89"/>
    <mergeCell ref="D88:D89"/>
    <mergeCell ref="A26:A27"/>
    <mergeCell ref="A11:A12"/>
    <mergeCell ref="U26:W26"/>
    <mergeCell ref="E26:E27"/>
    <mergeCell ref="D26:D27"/>
    <mergeCell ref="C26:C27"/>
    <mergeCell ref="B26:B27"/>
    <mergeCell ref="O26:Q26"/>
    <mergeCell ref="F26:H26"/>
    <mergeCell ref="I26:K26"/>
    <mergeCell ref="B11:B12"/>
    <mergeCell ref="I80:K80"/>
    <mergeCell ref="B3:B4"/>
    <mergeCell ref="C3:C4"/>
    <mergeCell ref="D3:D4"/>
    <mergeCell ref="E3:E4"/>
    <mergeCell ref="F3:H3"/>
    <mergeCell ref="L19:N19"/>
    <mergeCell ref="I19:K19"/>
    <mergeCell ref="F19:H19"/>
    <mergeCell ref="L26:N26"/>
    <mergeCell ref="C11:C12"/>
    <mergeCell ref="D11:D12"/>
    <mergeCell ref="E11:E12"/>
    <mergeCell ref="F11:H11"/>
    <mergeCell ref="F80:H80"/>
    <mergeCell ref="O80:Q80"/>
    <mergeCell ref="I97:K97"/>
    <mergeCell ref="L97:N97"/>
    <mergeCell ref="R26:T26"/>
    <mergeCell ref="Y127:AA127"/>
    <mergeCell ref="A169:A170"/>
    <mergeCell ref="B169:B170"/>
    <mergeCell ref="C169:C170"/>
    <mergeCell ref="D169:D170"/>
    <mergeCell ref="E169:E170"/>
    <mergeCell ref="A56:A57"/>
    <mergeCell ref="B56:B57"/>
    <mergeCell ref="C56:C57"/>
    <mergeCell ref="D56:D57"/>
    <mergeCell ref="R80:T80"/>
    <mergeCell ref="E80:E81"/>
    <mergeCell ref="D80:D81"/>
    <mergeCell ref="C80:C81"/>
    <mergeCell ref="B80:B81"/>
    <mergeCell ref="E56:E57"/>
    <mergeCell ref="F56:H56"/>
    <mergeCell ref="I56:K56"/>
    <mergeCell ref="L56:N56"/>
    <mergeCell ref="L80:N8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H47"/>
  <sheetViews>
    <sheetView showGridLines="0" zoomScale="80" zoomScaleNormal="80" workbookViewId="0">
      <selection activeCell="F28" sqref="F28"/>
    </sheetView>
  </sheetViews>
  <sheetFormatPr baseColWidth="10" defaultColWidth="11.42578125" defaultRowHeight="15" x14ac:dyDescent="0.25"/>
  <cols>
    <col min="3" max="3" width="62" customWidth="1"/>
    <col min="4" max="4" width="30.85546875" customWidth="1"/>
    <col min="5" max="5" width="27.28515625" customWidth="1"/>
    <col min="6" max="6" width="17.140625" customWidth="1"/>
    <col min="7" max="7" width="27.28515625" customWidth="1"/>
    <col min="8" max="8" width="24.5703125" customWidth="1"/>
  </cols>
  <sheetData>
    <row r="1" spans="1:8" ht="69.75" customHeight="1" x14ac:dyDescent="0.25">
      <c r="A1" s="489"/>
      <c r="B1" s="620" t="s">
        <v>1694</v>
      </c>
      <c r="C1" s="620"/>
      <c r="D1" s="620"/>
      <c r="E1" s="620"/>
      <c r="F1" s="620"/>
      <c r="G1" s="620"/>
      <c r="H1" s="620"/>
    </row>
    <row r="2" spans="1:8" ht="24.95" customHeight="1" x14ac:dyDescent="0.25">
      <c r="B2" s="486" t="s">
        <v>1355</v>
      </c>
      <c r="C2" s="487" t="s">
        <v>1697</v>
      </c>
      <c r="D2" s="488" t="s">
        <v>1641</v>
      </c>
      <c r="E2" s="488" t="s">
        <v>1490</v>
      </c>
      <c r="F2" s="486" t="s">
        <v>1506</v>
      </c>
      <c r="G2" s="486" t="s">
        <v>1491</v>
      </c>
      <c r="H2" s="486" t="s">
        <v>1508</v>
      </c>
    </row>
    <row r="3" spans="1:8" ht="24.95" customHeight="1" x14ac:dyDescent="0.25">
      <c r="B3" s="482">
        <v>1</v>
      </c>
      <c r="C3" s="483" t="s">
        <v>136</v>
      </c>
      <c r="D3" s="484">
        <f>SUM(D4:D11)</f>
        <v>289944507382.05005</v>
      </c>
      <c r="E3" s="484">
        <f>SUM(E4:E11)</f>
        <v>270593268666.09</v>
      </c>
      <c r="F3" s="485">
        <f>E3/D3</f>
        <v>0.9332588194524355</v>
      </c>
      <c r="G3" s="484">
        <f>SUM(G4:G11)</f>
        <v>270593268666.09</v>
      </c>
      <c r="H3" s="479">
        <f>G3/E3</f>
        <v>1</v>
      </c>
    </row>
    <row r="4" spans="1:8" ht="24.95" customHeight="1" x14ac:dyDescent="0.25">
      <c r="B4" s="44">
        <v>12</v>
      </c>
      <c r="C4" s="248" t="s">
        <v>137</v>
      </c>
      <c r="D4" s="124">
        <f>'SGTO POAI VIGENCIA 2021'!BP26+'SGTO POAI VIGENCIA 2021'!BP46+'SGTO POAI VIGENCIA 2021'!BP48+'SGTO POAI VIGENCIA 2021'!BP47</f>
        <v>257328401</v>
      </c>
      <c r="E4" s="124">
        <f>'SGTO POAI VIGENCIA 2021'!BQ26+'SGTO POAI VIGENCIA 2021'!BQ46+'SGTO POAI VIGENCIA 2021'!BQ48+'SGTO POAI VIGENCIA 2021'!BQ47</f>
        <v>227515882</v>
      </c>
      <c r="F4" s="377">
        <f>E4/D4</f>
        <v>0.88414602164337075</v>
      </c>
      <c r="G4" s="124">
        <f>'SGTO POAI VIGENCIA 2021'!BR26+'SGTO POAI VIGENCIA 2021'!BR46+'SGTO POAI VIGENCIA 2021'!BR47+'SGTO POAI VIGENCIA 2021'!BR48</f>
        <v>227515882</v>
      </c>
      <c r="H4" s="392">
        <f t="shared" ref="H4:H11" si="0">G4/E4</f>
        <v>1</v>
      </c>
    </row>
    <row r="5" spans="1:8" ht="24.95" customHeight="1" x14ac:dyDescent="0.25">
      <c r="B5" s="44">
        <v>19</v>
      </c>
      <c r="C5" s="248" t="s">
        <v>147</v>
      </c>
      <c r="D5" s="124">
        <f>'SGTO POAI VIGENCIA 2021'!BP27+'SGTO POAI VIGENCIA 2021'!BP166+'SGTO POAI VIGENCIA 2021'!BP167+'SGTO POAI VIGENCIA 2021'!BP201+'SGTO POAI VIGENCIA 2021'!BP202+'SGTO POAI VIGENCIA 2021'!BP203+'SGTO POAI VIGENCIA 2021'!BP204+'SGTO POAI VIGENCIA 2021'!BP205+'SGTO POAI VIGENCIA 2021'!BP206+'SGTO POAI VIGENCIA 2021'!BP207+'SGTO POAI VIGENCIA 2021'!BP208+'SGTO POAI VIGENCIA 2021'!BP209+'SGTO POAI VIGENCIA 2021'!BP210+'SGTO POAI VIGENCIA 2021'!BP211+'SGTO POAI VIGENCIA 2021'!BP212+'SGTO POAI VIGENCIA 2021'!BP213+'SGTO POAI VIGENCIA 2021'!BP214+'SGTO POAI VIGENCIA 2021'!BP215+'SGTO POAI VIGENCIA 2021'!BP216+'SGTO POAI VIGENCIA 2021'!BP217+'SGTO POAI VIGENCIA 2021'!BP218+'SGTO POAI VIGENCIA 2021'!BP219+'SGTO POAI VIGENCIA 2021'!BP220+'SGTO POAI VIGENCIA 2021'!BP221+'SGTO POAI VIGENCIA 2021'!BP222+'SGTO POAI VIGENCIA 2021'!BP223+'SGTO POAI VIGENCIA 2021'!BP224+'SGTO POAI VIGENCIA 2021'!BP225+'SGTO POAI VIGENCIA 2021'!BP226+'SGTO POAI VIGENCIA 2021'!BP227+'SGTO POAI VIGENCIA 2021'!BP228+'SGTO POAI VIGENCIA 2021'!BP229+'SGTO POAI VIGENCIA 2021'!BP230+'SGTO POAI VIGENCIA 2021'!BP231+'SGTO POAI VIGENCIA 2021'!BP232+'SGTO POAI VIGENCIA 2021'!BP233+'SGTO POAI VIGENCIA 2021'!BP234+'SGTO POAI VIGENCIA 2021'!BP235+'SGTO POAI VIGENCIA 2021'!BP236+'SGTO POAI VIGENCIA 2021'!BP237+'SGTO POAI VIGENCIA 2021'!BP238+'SGTO POAI VIGENCIA 2021'!BP239+'SGTO POAI VIGENCIA 2021'!BP240+'SGTO POAI VIGENCIA 2021'!BP241+'SGTO POAI VIGENCIA 2021'!BP242+'SGTO POAI VIGENCIA 2021'!BP243+'SGTO POAI VIGENCIA 2021'!BP244+'SGTO POAI VIGENCIA 2021'!BP245+'SGTO POAI VIGENCIA 2021'!BP246+'SGTO POAI VIGENCIA 2021'!BP247+'SGTO POAI VIGENCIA 2021'!BP248+'SGTO POAI VIGENCIA 2021'!BP249+'SGTO POAI VIGENCIA 2021'!BP250+'SGTO POAI VIGENCIA 2021'!BP251+'SGTO POAI VIGENCIA 2021'!BP252+'SGTO POAI VIGENCIA 2021'!BP253+'SGTO POAI VIGENCIA 2021'!BP254+'SGTO POAI VIGENCIA 2021'!BP255+'SGTO POAI VIGENCIA 2021'!BP256+'SGTO POAI VIGENCIA 2021'!BP257+'SGTO POAI VIGENCIA 2021'!BP258+'SGTO POAI VIGENCIA 2021'!BP259+'SGTO POAI VIGENCIA 2021'!BP260+'SGTO POAI VIGENCIA 2021'!BP261</f>
        <v>75791359345.110001</v>
      </c>
      <c r="E5" s="124">
        <f>'SGTO POAI VIGENCIA 2021'!BQ27+'SGTO POAI VIGENCIA 2021'!BQ166+'SGTO POAI VIGENCIA 2021'!BQ167+'SGTO POAI VIGENCIA 2021'!BQ201+'SGTO POAI VIGENCIA 2021'!BQ202+'SGTO POAI VIGENCIA 2021'!BQ203+'SGTO POAI VIGENCIA 2021'!BQ204+'SGTO POAI VIGENCIA 2021'!BQ205+'SGTO POAI VIGENCIA 2021'!BQ206+'SGTO POAI VIGENCIA 2021'!BQ207+'SGTO POAI VIGENCIA 2021'!BQ208+'SGTO POAI VIGENCIA 2021'!BQ209+'SGTO POAI VIGENCIA 2021'!BQ210+'SGTO POAI VIGENCIA 2021'!BQ211+'SGTO POAI VIGENCIA 2021'!BQ212+'SGTO POAI VIGENCIA 2021'!BQ213+'SGTO POAI VIGENCIA 2021'!BQ214+'SGTO POAI VIGENCIA 2021'!BQ215+'SGTO POAI VIGENCIA 2021'!BQ216+'SGTO POAI VIGENCIA 2021'!BQ217+'SGTO POAI VIGENCIA 2021'!BQ218+'SGTO POAI VIGENCIA 2021'!BQ219+'SGTO POAI VIGENCIA 2021'!BQ220+'SGTO POAI VIGENCIA 2021'!BQ221+'SGTO POAI VIGENCIA 2021'!BQ222+'SGTO POAI VIGENCIA 2021'!BQ223+'SGTO POAI VIGENCIA 2021'!BQ224+'SGTO POAI VIGENCIA 2021'!BQ225+'SGTO POAI VIGENCIA 2021'!BQ226+'SGTO POAI VIGENCIA 2021'!BQ227+'SGTO POAI VIGENCIA 2021'!BQ228+'SGTO POAI VIGENCIA 2021'!BQ229+'SGTO POAI VIGENCIA 2021'!BQ230+'SGTO POAI VIGENCIA 2021'!BQ231+'SGTO POAI VIGENCIA 2021'!BQ232+'SGTO POAI VIGENCIA 2021'!BQ233+'SGTO POAI VIGENCIA 2021'!BQ234+'SGTO POAI VIGENCIA 2021'!BQ235+'SGTO POAI VIGENCIA 2021'!BQ236+'SGTO POAI VIGENCIA 2021'!BQ237+'SGTO POAI VIGENCIA 2021'!BQ238+'SGTO POAI VIGENCIA 2021'!BQ239+'SGTO POAI VIGENCIA 2021'!BQ240+'SGTO POAI VIGENCIA 2021'!BQ241+'SGTO POAI VIGENCIA 2021'!BQ242+'SGTO POAI VIGENCIA 2021'!BQ243+'SGTO POAI VIGENCIA 2021'!BQ244+'SGTO POAI VIGENCIA 2021'!BQ245+'SGTO POAI VIGENCIA 2021'!BQ246+'SGTO POAI VIGENCIA 2021'!BQ247+'SGTO POAI VIGENCIA 2021'!BQ248+'SGTO POAI VIGENCIA 2021'!BQ249+'SGTO POAI VIGENCIA 2021'!BQ250+'SGTO POAI VIGENCIA 2021'!BQ251+'SGTO POAI VIGENCIA 2021'!BQ252+'SGTO POAI VIGENCIA 2021'!BQ253+'SGTO POAI VIGENCIA 2021'!BQ254+'SGTO POAI VIGENCIA 2021'!BQ255+'SGTO POAI VIGENCIA 2021'!BQ256+'SGTO POAI VIGENCIA 2021'!BQ257+'SGTO POAI VIGENCIA 2021'!BQ258+'SGTO POAI VIGENCIA 2021'!BQ259+'SGTO POAI VIGENCIA 2021'!BQ260+'SGTO POAI VIGENCIA 2021'!BQ261</f>
        <v>70021152301.649994</v>
      </c>
      <c r="F5" s="377">
        <f t="shared" ref="F5:F25" si="1">E5/D5</f>
        <v>0.92386721793462201</v>
      </c>
      <c r="G5" s="124">
        <f>'SGTO POAI VIGENCIA 2021'!BR27+'SGTO POAI VIGENCIA 2021'!BR166+'SGTO POAI VIGENCIA 2021'!BR167+'SGTO POAI VIGENCIA 2021'!BR201+'SGTO POAI VIGENCIA 2021'!BR202+'SGTO POAI VIGENCIA 2021'!BR203+'SGTO POAI VIGENCIA 2021'!BR204+'SGTO POAI VIGENCIA 2021'!BR205+'SGTO POAI VIGENCIA 2021'!BR206+'SGTO POAI VIGENCIA 2021'!BR207+'SGTO POAI VIGENCIA 2021'!BR208+'SGTO POAI VIGENCIA 2021'!BR209+'SGTO POAI VIGENCIA 2021'!BR210+'SGTO POAI VIGENCIA 2021'!BR211+'SGTO POAI VIGENCIA 2021'!BR212+'SGTO POAI VIGENCIA 2021'!BR213+'SGTO POAI VIGENCIA 2021'!BR214+'SGTO POAI VIGENCIA 2021'!BR215+'SGTO POAI VIGENCIA 2021'!BR216+'SGTO POAI VIGENCIA 2021'!BR217+'SGTO POAI VIGENCIA 2021'!BR218+'SGTO POAI VIGENCIA 2021'!BR219+'SGTO POAI VIGENCIA 2021'!BR220+'SGTO POAI VIGENCIA 2021'!BR221+'SGTO POAI VIGENCIA 2021'!BR222+'SGTO POAI VIGENCIA 2021'!BR223+'SGTO POAI VIGENCIA 2021'!BR224+'SGTO POAI VIGENCIA 2021'!BR225+'SGTO POAI VIGENCIA 2021'!BR226+'SGTO POAI VIGENCIA 2021'!BR227+'SGTO POAI VIGENCIA 2021'!BR228+'SGTO POAI VIGENCIA 2021'!BR229+'SGTO POAI VIGENCIA 2021'!BR230+'SGTO POAI VIGENCIA 2021'!BR231+'SGTO POAI VIGENCIA 2021'!BR232+'SGTO POAI VIGENCIA 2021'!BR233+'SGTO POAI VIGENCIA 2021'!BR234+'SGTO POAI VIGENCIA 2021'!BR235+'SGTO POAI VIGENCIA 2021'!BR236+'SGTO POAI VIGENCIA 2021'!BR237+'SGTO POAI VIGENCIA 2021'!BR238+'SGTO POAI VIGENCIA 2021'!BR239+'SGTO POAI VIGENCIA 2021'!BR240+'SGTO POAI VIGENCIA 2021'!BR241+'SGTO POAI VIGENCIA 2021'!BR242+'SGTO POAI VIGENCIA 2021'!BR243+'SGTO POAI VIGENCIA 2021'!BR244+'SGTO POAI VIGENCIA 2021'!BR245+'SGTO POAI VIGENCIA 2021'!BR246+'SGTO POAI VIGENCIA 2021'!BR247+'SGTO POAI VIGENCIA 2021'!BR248+'SGTO POAI VIGENCIA 2021'!BR249+'SGTO POAI VIGENCIA 2021'!BR250+'SGTO POAI VIGENCIA 2021'!BR251+'SGTO POAI VIGENCIA 2021'!BR252+'SGTO POAI VIGENCIA 2021'!BR253+'SGTO POAI VIGENCIA 2021'!BR254+'SGTO POAI VIGENCIA 2021'!BR255+'SGTO POAI VIGENCIA 2021'!BR256+'SGTO POAI VIGENCIA 2021'!BR257+'SGTO POAI VIGENCIA 2021'!BR258+'SGTO POAI VIGENCIA 2021'!BR259+'SGTO POAI VIGENCIA 2021'!BR260+'SGTO POAI VIGENCIA 2021'!BR261</f>
        <v>70021152301.649994</v>
      </c>
      <c r="H5" s="392">
        <f t="shared" si="0"/>
        <v>1</v>
      </c>
    </row>
    <row r="6" spans="1:8" ht="24.95" customHeight="1" x14ac:dyDescent="0.25">
      <c r="B6" s="44">
        <v>22</v>
      </c>
      <c r="C6" s="226" t="s">
        <v>156</v>
      </c>
      <c r="D6" s="124">
        <f>'SGTO POAI VIGENCIA 2021'!BP28+'SGTO POAI VIGENCIA 2021'!BP49+'SGTO POAI VIGENCIA 2021'!BP130+'SGTO POAI VIGENCIA 2021'!BP131+'SGTO POAI VIGENCIA 2021'!BP132+'SGTO POAI VIGENCIA 2021'!BP133+'SGTO POAI VIGENCIA 2021'!BP134+'SGTO POAI VIGENCIA 2021'!BP135+'SGTO POAI VIGENCIA 2021'!BP136+'SGTO POAI VIGENCIA 2021'!BP137+'SGTO POAI VIGENCIA 2021'!BP138+'SGTO POAI VIGENCIA 2021'!BP139+'SGTO POAI VIGENCIA 2021'!BP140+'SGTO POAI VIGENCIA 2021'!BP141+'SGTO POAI VIGENCIA 2021'!BP142+'SGTO POAI VIGENCIA 2021'!BP143+'SGTO POAI VIGENCIA 2021'!BP144+'SGTO POAI VIGENCIA 2021'!BP145+'SGTO POAI VIGENCIA 2021'!BP146+'SGTO POAI VIGENCIA 2021'!BP147+'SGTO POAI VIGENCIA 2021'!BP148+'SGTO POAI VIGENCIA 2021'!BP149+'SGTO POAI VIGENCIA 2021'!BP150+'SGTO POAI VIGENCIA 2021'!BP151+'SGTO POAI VIGENCIA 2021'!BP152+'SGTO POAI VIGENCIA 2021'!BP153+'SGTO POAI VIGENCIA 2021'!BP154+'SGTO POAI VIGENCIA 2021'!BP155+'SGTO POAI VIGENCIA 2021'!BP156+'SGTO POAI VIGENCIA 2021'!BP157+'SGTO POAI VIGENCIA 2021'!BP158+'SGTO POAI VIGENCIA 2021'!BP159+'SGTO POAI VIGENCIA 2021'!BP160+'SGTO POAI VIGENCIA 2021'!BP161+'SGTO POAI VIGENCIA 2021'!BP162+'SGTO POAI VIGENCIA 2021'!BP163+'SGTO POAI VIGENCIA 2021'!BP164</f>
        <v>195030162232.18005</v>
      </c>
      <c r="E6" s="124">
        <f>'SGTO POAI VIGENCIA 2021'!BQ28+'SGTO POAI VIGENCIA 2021'!BQ49+'SGTO POAI VIGENCIA 2021'!BQ130+'SGTO POAI VIGENCIA 2021'!BQ131+'SGTO POAI VIGENCIA 2021'!BQ132+'SGTO POAI VIGENCIA 2021'!BQ133+'SGTO POAI VIGENCIA 2021'!BQ134+'SGTO POAI VIGENCIA 2021'!BQ135+'SGTO POAI VIGENCIA 2021'!BQ136+'SGTO POAI VIGENCIA 2021'!BQ137+'SGTO POAI VIGENCIA 2021'!BQ138+'SGTO POAI VIGENCIA 2021'!BQ139+'SGTO POAI VIGENCIA 2021'!BQ140+'SGTO POAI VIGENCIA 2021'!BQ141+'SGTO POAI VIGENCIA 2021'!BQ142+'SGTO POAI VIGENCIA 2021'!BQ143+'SGTO POAI VIGENCIA 2021'!BQ144+'SGTO POAI VIGENCIA 2021'!BQ145+'SGTO POAI VIGENCIA 2021'!BQ146+'SGTO POAI VIGENCIA 2021'!BQ147+'SGTO POAI VIGENCIA 2021'!BQ148+'SGTO POAI VIGENCIA 2021'!BQ149+'SGTO POAI VIGENCIA 2021'!BQ150+'SGTO POAI VIGENCIA 2021'!BQ151+'SGTO POAI VIGENCIA 2021'!BQ152+'SGTO POAI VIGENCIA 2021'!BQ153+'SGTO POAI VIGENCIA 2021'!BQ154+'SGTO POAI VIGENCIA 2021'!BQ155+'SGTO POAI VIGENCIA 2021'!BQ156+'SGTO POAI VIGENCIA 2021'!BQ157+'SGTO POAI VIGENCIA 2021'!BQ158+'SGTO POAI VIGENCIA 2021'!BQ159+'SGTO POAI VIGENCIA 2021'!BQ160+'SGTO POAI VIGENCIA 2021'!BQ161+'SGTO POAI VIGENCIA 2021'!BQ162+'SGTO POAI VIGENCIA 2021'!BQ163+'SGTO POAI VIGENCIA 2021'!BQ164</f>
        <v>189195208927.94998</v>
      </c>
      <c r="F6" s="377">
        <f t="shared" si="1"/>
        <v>0.97008179023466301</v>
      </c>
      <c r="G6" s="124">
        <f>'SGTO POAI VIGENCIA 2021'!BR28+'SGTO POAI VIGENCIA 2021'!BR49+'SGTO POAI VIGENCIA 2021'!BR130+'SGTO POAI VIGENCIA 2021'!BR131+'SGTO POAI VIGENCIA 2021'!BR132+'SGTO POAI VIGENCIA 2021'!BR133+'SGTO POAI VIGENCIA 2021'!BR134+'SGTO POAI VIGENCIA 2021'!BR135+'SGTO POAI VIGENCIA 2021'!BR136+'SGTO POAI VIGENCIA 2021'!BR137+'SGTO POAI VIGENCIA 2021'!BR138+'SGTO POAI VIGENCIA 2021'!BR139+'SGTO POAI VIGENCIA 2021'!BR140+'SGTO POAI VIGENCIA 2021'!BR141+'SGTO POAI VIGENCIA 2021'!BR142+'SGTO POAI VIGENCIA 2021'!BR143+'SGTO POAI VIGENCIA 2021'!BR144+'SGTO POAI VIGENCIA 2021'!BR145+'SGTO POAI VIGENCIA 2021'!BR146+'SGTO POAI VIGENCIA 2021'!BR147+'SGTO POAI VIGENCIA 2021'!BR148+'SGTO POAI VIGENCIA 2021'!BR149+'SGTO POAI VIGENCIA 2021'!BR150+'SGTO POAI VIGENCIA 2021'!BR151+'SGTO POAI VIGENCIA 2021'!BR152+'SGTO POAI VIGENCIA 2021'!BR153+'SGTO POAI VIGENCIA 2021'!BR154+'SGTO POAI VIGENCIA 2021'!BR155+'SGTO POAI VIGENCIA 2021'!BR156+'SGTO POAI VIGENCIA 2021'!BR157+'SGTO POAI VIGENCIA 2021'!BR158+'SGTO POAI VIGENCIA 2021'!BR159+'SGTO POAI VIGENCIA 2021'!BR160+'SGTO POAI VIGENCIA 2021'!BR161+'SGTO POAI VIGENCIA 2021'!BR162+'SGTO POAI VIGENCIA 2021'!BR163+'SGTO POAI VIGENCIA 2021'!BR164</f>
        <v>189195208927.94998</v>
      </c>
      <c r="H6" s="392">
        <f t="shared" si="0"/>
        <v>1</v>
      </c>
    </row>
    <row r="7" spans="1:8" ht="24.95" customHeight="1" x14ac:dyDescent="0.25">
      <c r="B7" s="44">
        <v>23</v>
      </c>
      <c r="C7" s="248" t="s">
        <v>1198</v>
      </c>
      <c r="D7" s="124">
        <f>'SGTO POAI VIGENCIA 2021'!BP262+'SGTO POAI VIGENCIA 2021'!BP263+'SGTO POAI VIGENCIA 2021'!BP264+'SGTO POAI VIGENCIA 2021'!BP265+'SGTO POAI VIGENCIA 2021'!BP266+'SGTO POAI VIGENCIA 2021'!BP267+'SGTO POAI VIGENCIA 2021'!BP268+'SGTO POAI VIGENCIA 2021'!BP269+'SGTO POAI VIGENCIA 2021'!BP270+'SGTO POAI VIGENCIA 2021'!BP271+'SGTO POAI VIGENCIA 2021'!BP272+'SGTO POAI VIGENCIA 2021'!BP273+'SGTO POAI VIGENCIA 2021'!BP274+'SGTO POAI VIGENCIA 2021'!BP275</f>
        <v>820000000</v>
      </c>
      <c r="E7" s="124">
        <f>'SGTO POAI VIGENCIA 2021'!BQ262+'SGTO POAI VIGENCIA 2021'!BQ263+'SGTO POAI VIGENCIA 2021'!BQ264+'SGTO POAI VIGENCIA 2021'!BQ265+'SGTO POAI VIGENCIA 2021'!BQ266+'SGTO POAI VIGENCIA 2021'!BQ267+'SGTO POAI VIGENCIA 2021'!BQ268+'SGTO POAI VIGENCIA 2021'!BQ269+'SGTO POAI VIGENCIA 2021'!BQ270+'SGTO POAI VIGENCIA 2021'!BQ271+'SGTO POAI VIGENCIA 2021'!BQ272+'SGTO POAI VIGENCIA 2021'!BQ273+'SGTO POAI VIGENCIA 2021'!BQ274+'SGTO POAI VIGENCIA 2021'!BQ275</f>
        <v>714748949.42000008</v>
      </c>
      <c r="F7" s="377">
        <f t="shared" si="1"/>
        <v>0.8716450602682928</v>
      </c>
      <c r="G7" s="124">
        <f>'SGTO POAI VIGENCIA 2021'!BR262+'SGTO POAI VIGENCIA 2021'!BR263+'SGTO POAI VIGENCIA 2021'!BR264+'SGTO POAI VIGENCIA 2021'!BR265+'SGTO POAI VIGENCIA 2021'!BR266+'SGTO POAI VIGENCIA 2021'!BR267+'SGTO POAI VIGENCIA 2021'!BR268+'SGTO POAI VIGENCIA 2021'!BR269+'SGTO POAI VIGENCIA 2021'!BR270+'SGTO POAI VIGENCIA 2021'!BR271+'SGTO POAI VIGENCIA 2021'!BR272+'SGTO POAI VIGENCIA 2021'!BR273+'SGTO POAI VIGENCIA 2021'!BR274+'SGTO POAI VIGENCIA 2021'!BR275</f>
        <v>714748949.42000008</v>
      </c>
      <c r="H7" s="392">
        <f t="shared" si="0"/>
        <v>1</v>
      </c>
    </row>
    <row r="8" spans="1:8" ht="24.95" customHeight="1" x14ac:dyDescent="0.25">
      <c r="B8" s="44">
        <v>33</v>
      </c>
      <c r="C8" s="248" t="s">
        <v>166</v>
      </c>
      <c r="D8" s="124">
        <f>'SGTO POAI VIGENCIA 2021'!BP29+'SGTO POAI VIGENCIA 2021'!BP67+'SGTO POAI VIGENCIA 2021'!BP68+'SGTO POAI VIGENCIA 2021'!BP69+'SGTO POAI VIGENCIA 2021'!BP70+'SGTO POAI VIGENCIA 2021'!BP71+'SGTO POAI VIGENCIA 2021'!BP72+'SGTO POAI VIGENCIA 2021'!BP73+'SGTO POAI VIGENCIA 2021'!BP74+'SGTO POAI VIGENCIA 2021'!BP75+'SGTO POAI VIGENCIA 2021'!BP76+'SGTO POAI VIGENCIA 2021'!BP168</f>
        <v>4112962109.3199997</v>
      </c>
      <c r="E8" s="124">
        <f>'SGTO POAI VIGENCIA 2021'!BQ29+'SGTO POAI VIGENCIA 2021'!BQ67+'SGTO POAI VIGENCIA 2021'!BQ68+'SGTO POAI VIGENCIA 2021'!BQ69+'SGTO POAI VIGENCIA 2021'!BQ70+'SGTO POAI VIGENCIA 2021'!BQ71+'SGTO POAI VIGENCIA 2021'!BQ72+'SGTO POAI VIGENCIA 2021'!BQ73+'SGTO POAI VIGENCIA 2021'!BQ74+'SGTO POAI VIGENCIA 2021'!BQ75+'SGTO POAI VIGENCIA 2021'!BQ76+'SGTO POAI VIGENCIA 2021'!BQ168</f>
        <v>3465542521.8099999</v>
      </c>
      <c r="F8" s="377">
        <f t="shared" si="1"/>
        <v>0.84259043232055486</v>
      </c>
      <c r="G8" s="124">
        <f>'SGTO POAI VIGENCIA 2021'!BR29+'SGTO POAI VIGENCIA 2021'!BR67+'SGTO POAI VIGENCIA 2021'!BR68+'SGTO POAI VIGENCIA 2021'!BR69+'SGTO POAI VIGENCIA 2021'!BR70+'SGTO POAI VIGENCIA 2021'!BR71+'SGTO POAI VIGENCIA 2021'!BR72+'SGTO POAI VIGENCIA 2021'!BR73+'SGTO POAI VIGENCIA 2021'!BR74+'SGTO POAI VIGENCIA 2021'!BR75+'SGTO POAI VIGENCIA 2021'!BR76+'SGTO POAI VIGENCIA 2021'!BR168</f>
        <v>3465542521.8099999</v>
      </c>
      <c r="H8" s="392">
        <f t="shared" si="0"/>
        <v>1</v>
      </c>
    </row>
    <row r="9" spans="1:8" ht="24.95" customHeight="1" x14ac:dyDescent="0.25">
      <c r="B9" s="44">
        <v>41</v>
      </c>
      <c r="C9" s="226" t="s">
        <v>284</v>
      </c>
      <c r="D9" s="124">
        <f>'SGTO POAI VIGENCIA 2021'!BP50+'SGTO POAI VIGENCIA 2021'!BP51+'SGTO POAI VIGENCIA 2021'!BP52+'SGTO POAI VIGENCIA 2021'!BP53+'SGTO POAI VIGENCIA 2021'!BP54+'SGTO POAI VIGENCIA 2021'!BP55+'SGTO POAI VIGENCIA 2021'!BP169+'SGTO POAI VIGENCIA 2021'!BP170+'SGTO POAI VIGENCIA 2021'!BP171+'SGTO POAI VIGENCIA 2021'!BP172+'SGTO POAI VIGENCIA 2021'!BP173+'SGTO POAI VIGENCIA 2021'!BP174+'SGTO POAI VIGENCIA 2021'!BP175+'SGTO POAI VIGENCIA 2021'!BP176+'SGTO POAI VIGENCIA 2021'!BP177+'SGTO POAI VIGENCIA 2021'!BP178+'SGTO POAI VIGENCIA 2021'!BP179+'SGTO POAI VIGENCIA 2021'!BP180+'SGTO POAI VIGENCIA 2021'!BP181+'SGTO POAI VIGENCIA 2021'!BP182+'SGTO POAI VIGENCIA 2021'!BP183+'SGTO POAI VIGENCIA 2021'!BP184+'SGTO POAI VIGENCIA 2021'!BP185+'SGTO POAI VIGENCIA 2021'!BP186+'SGTO POAI VIGENCIA 2021'!BP187+'SGTO POAI VIGENCIA 2021'!BP188+'SGTO POAI VIGENCIA 2021'!BP189+'SGTO POAI VIGENCIA 2021'!BP190</f>
        <v>6734411589.0100002</v>
      </c>
      <c r="E9" s="124">
        <f>'SGTO POAI VIGENCIA 2021'!BQ50+'SGTO POAI VIGENCIA 2021'!BQ51+'SGTO POAI VIGENCIA 2021'!BQ52+'SGTO POAI VIGENCIA 2021'!BQ53+'SGTO POAI VIGENCIA 2021'!BQ54+'SGTO POAI VIGENCIA 2021'!BQ55+'SGTO POAI VIGENCIA 2021'!BQ169+'SGTO POAI VIGENCIA 2021'!BQ170+'SGTO POAI VIGENCIA 2021'!BQ171+'SGTO POAI VIGENCIA 2021'!BQ172+'SGTO POAI VIGENCIA 2021'!BQ173+'SGTO POAI VIGENCIA 2021'!BQ174+'SGTO POAI VIGENCIA 2021'!BQ175+'SGTO POAI VIGENCIA 2021'!BQ176+'SGTO POAI VIGENCIA 2021'!BQ177+'SGTO POAI VIGENCIA 2021'!BQ178+'SGTO POAI VIGENCIA 2021'!BQ179+'SGTO POAI VIGENCIA 2021'!BQ180+'SGTO POAI VIGENCIA 2021'!BQ181+'SGTO POAI VIGENCIA 2021'!BQ182+'SGTO POAI VIGENCIA 2021'!BQ183+'SGTO POAI VIGENCIA 2021'!BQ184+'SGTO POAI VIGENCIA 2021'!BQ185+'SGTO POAI VIGENCIA 2021'!BQ186+'SGTO POAI VIGENCIA 2021'!BQ187+'SGTO POAI VIGENCIA 2021'!BQ188+'SGTO POAI VIGENCIA 2021'!BQ189+'SGTO POAI VIGENCIA 2021'!BQ190</f>
        <v>5215425057.5900002</v>
      </c>
      <c r="F9" s="377">
        <f>E9/D9</f>
        <v>0.77444406072553396</v>
      </c>
      <c r="G9" s="124">
        <f>'SGTO POAI VIGENCIA 2021'!BR50+'SGTO POAI VIGENCIA 2021'!BR51+'SGTO POAI VIGENCIA 2021'!BR52+'SGTO POAI VIGENCIA 2021'!BR53+'SGTO POAI VIGENCIA 2021'!BR54+'SGTO POAI VIGENCIA 2021'!BR55+'SGTO POAI VIGENCIA 2021'!BR169+'SGTO POAI VIGENCIA 2021'!BR170+'SGTO POAI VIGENCIA 2021'!BR171+'SGTO POAI VIGENCIA 2021'!BR172+'SGTO POAI VIGENCIA 2021'!BR173+'SGTO POAI VIGENCIA 2021'!BR174+'SGTO POAI VIGENCIA 2021'!BR175+'SGTO POAI VIGENCIA 2021'!BR176+'SGTO POAI VIGENCIA 2021'!BR177+'SGTO POAI VIGENCIA 2021'!BR178+'SGTO POAI VIGENCIA 2021'!BR179+'SGTO POAI VIGENCIA 2021'!BR180+'SGTO POAI VIGENCIA 2021'!BR181+'SGTO POAI VIGENCIA 2021'!BR182+'SGTO POAI VIGENCIA 2021'!BR183+'SGTO POAI VIGENCIA 2021'!BR184+'SGTO POAI VIGENCIA 2021'!BR185+'SGTO POAI VIGENCIA 2021'!BR186+'SGTO POAI VIGENCIA 2021'!BR187+'SGTO POAI VIGENCIA 2021'!BR188+'SGTO POAI VIGENCIA 2021'!BR189+'SGTO POAI VIGENCIA 2021'!BR190</f>
        <v>5215425057.5900002</v>
      </c>
      <c r="H9" s="392">
        <f>G9/E9</f>
        <v>1</v>
      </c>
    </row>
    <row r="10" spans="1:8" ht="24.95" customHeight="1" x14ac:dyDescent="0.25">
      <c r="B10" s="44">
        <v>43</v>
      </c>
      <c r="C10" s="248" t="s">
        <v>176</v>
      </c>
      <c r="D10" s="124">
        <f>'SGTO POAI VIGENCIA 2021'!BP30</f>
        <v>2760904177.1000004</v>
      </c>
      <c r="E10" s="124">
        <f>'SGTO POAI VIGENCIA 2021'!BQ30</f>
        <v>573180312.50999999</v>
      </c>
      <c r="F10" s="377">
        <f t="shared" si="1"/>
        <v>0.20760601445866092</v>
      </c>
      <c r="G10" s="124">
        <f>'SGTO POAI VIGENCIA 2021'!BR30</f>
        <v>573180312.50999999</v>
      </c>
      <c r="H10" s="392">
        <f t="shared" si="0"/>
        <v>1</v>
      </c>
    </row>
    <row r="11" spans="1:8" ht="24.95" customHeight="1" x14ac:dyDescent="0.25">
      <c r="B11" s="44">
        <v>45</v>
      </c>
      <c r="C11" s="226" t="s">
        <v>38</v>
      </c>
      <c r="D11" s="124">
        <f>'SGTO POAI VIGENCIA 2021'!BP56+'SGTO POAI VIGENCIA 2021'!BP57</f>
        <v>4437379528.3299999</v>
      </c>
      <c r="E11" s="124">
        <f>'SGTO POAI VIGENCIA 2021'!BQ56+'SGTO POAI VIGENCIA 2021'!BQ57</f>
        <v>1180494713.1599998</v>
      </c>
      <c r="F11" s="377">
        <f t="shared" si="1"/>
        <v>0.26603420005506651</v>
      </c>
      <c r="G11" s="124">
        <f>'SGTO POAI VIGENCIA 2021'!BR56+'SGTO POAI VIGENCIA 2021'!BR57</f>
        <v>1180494713.1599998</v>
      </c>
      <c r="H11" s="392">
        <f t="shared" si="0"/>
        <v>1</v>
      </c>
    </row>
    <row r="12" spans="1:8" ht="24.95" customHeight="1" x14ac:dyDescent="0.25">
      <c r="B12" s="422">
        <v>2</v>
      </c>
      <c r="C12" s="414" t="s">
        <v>400</v>
      </c>
      <c r="D12" s="415">
        <f>SUM(D13:D16)</f>
        <v>5899994710.2399998</v>
      </c>
      <c r="E12" s="415">
        <f>SUM(E13:E16)</f>
        <v>4757390366.5100002</v>
      </c>
      <c r="F12" s="478">
        <f t="shared" si="1"/>
        <v>0.8063380731940486</v>
      </c>
      <c r="G12" s="415">
        <f>SUM(G13:G16)</f>
        <v>4757390366.5100002</v>
      </c>
      <c r="H12" s="479">
        <f>G12/E12</f>
        <v>1</v>
      </c>
    </row>
    <row r="13" spans="1:8" ht="24.95" customHeight="1" x14ac:dyDescent="0.25">
      <c r="B13" s="44">
        <v>17</v>
      </c>
      <c r="C13" s="226" t="s">
        <v>451</v>
      </c>
      <c r="D13" s="124">
        <f>'SGTO POAI VIGENCIA 2021'!BP89+'SGTO POAI VIGENCIA 2021'!BP90+'SGTO POAI VIGENCIA 2021'!BP91+'SGTO POAI VIGENCIA 2021'!BP92+'SGTO POAI VIGENCIA 2021'!BP93+'SGTO POAI VIGENCIA 2021'!BP94+'SGTO POAI VIGENCIA 2021'!BP95+'SGTO POAI VIGENCIA 2021'!BP96+'SGTO POAI VIGENCIA 2021'!BP97+'SGTO POAI VIGENCIA 2021'!BP98+'SGTO POAI VIGENCIA 2021'!BP99+'SGTO POAI VIGENCIA 2021'!BP100+'SGTO POAI VIGENCIA 2021'!BP101+'SGTO POAI VIGENCIA 2021'!BP102+'SGTO POAI VIGENCIA 2021'!BP103+'SGTO POAI VIGENCIA 2021'!BP104+'SGTO POAI VIGENCIA 2021'!BP105+'SGTO POAI VIGENCIA 2021'!BP106+'SGTO POAI VIGENCIA 2021'!BP107+'SGTO POAI VIGENCIA 2021'!BP108+'SGTO POAI VIGENCIA 2021'!BP109+'SGTO POAI VIGENCIA 2021'!BP191</f>
        <v>2183711999.6300001</v>
      </c>
      <c r="E13" s="124">
        <f>'SGTO POAI VIGENCIA 2021'!BQ89+'SGTO POAI VIGENCIA 2021'!BQ90+'SGTO POAI VIGENCIA 2021'!BQ91+'SGTO POAI VIGENCIA 2021'!BQ92+'SGTO POAI VIGENCIA 2021'!BQ93+'SGTO POAI VIGENCIA 2021'!BQ94+'SGTO POAI VIGENCIA 2021'!BQ95+'SGTO POAI VIGENCIA 2021'!BQ96+'SGTO POAI VIGENCIA 2021'!BQ97+'SGTO POAI VIGENCIA 2021'!BQ98+'SGTO POAI VIGENCIA 2021'!BQ99+'SGTO POAI VIGENCIA 2021'!BQ100+'SGTO POAI VIGENCIA 2021'!BQ101+'SGTO POAI VIGENCIA 2021'!BQ102+'SGTO POAI VIGENCIA 2021'!BQ103+'SGTO POAI VIGENCIA 2021'!BQ104+'SGTO POAI VIGENCIA 2021'!BQ105+'SGTO POAI VIGENCIA 2021'!BQ106+'SGTO POAI VIGENCIA 2021'!BQ107+'SGTO POAI VIGENCIA 2021'!BQ108+'SGTO POAI VIGENCIA 2021'!BQ109+'SGTO POAI VIGENCIA 2021'!BQ191</f>
        <v>1684264489</v>
      </c>
      <c r="F13" s="377">
        <f t="shared" si="1"/>
        <v>0.77128508213783475</v>
      </c>
      <c r="G13" s="124">
        <f>'SGTO POAI VIGENCIA 2021'!BR89+'SGTO POAI VIGENCIA 2021'!BR90+'SGTO POAI VIGENCIA 2021'!BR91+'SGTO POAI VIGENCIA 2021'!BR92+'SGTO POAI VIGENCIA 2021'!BR93+'SGTO POAI VIGENCIA 2021'!BR94+'SGTO POAI VIGENCIA 2021'!BR95+'SGTO POAI VIGENCIA 2021'!BR96+'SGTO POAI VIGENCIA 2021'!BR97+'SGTO POAI VIGENCIA 2021'!BR98+'SGTO POAI VIGENCIA 2021'!BR99+'SGTO POAI VIGENCIA 2021'!BR100+'SGTO POAI VIGENCIA 2021'!BR101+'SGTO POAI VIGENCIA 2021'!BR102+'SGTO POAI VIGENCIA 2021'!BR103+'SGTO POAI VIGENCIA 2021'!BR104+'SGTO POAI VIGENCIA 2021'!BR105+'SGTO POAI VIGENCIA 2021'!BR106+'SGTO POAI VIGENCIA 2021'!BR107+'SGTO POAI VIGENCIA 2021'!BR108+'SGTO POAI VIGENCIA 2021'!BR109+'SGTO POAI VIGENCIA 2021'!BR191</f>
        <v>1684264489</v>
      </c>
      <c r="H13" s="392">
        <f t="shared" ref="H13:H16" si="2">G13/E13</f>
        <v>1</v>
      </c>
    </row>
    <row r="14" spans="1:8" ht="24.95" customHeight="1" x14ac:dyDescent="0.25">
      <c r="B14" s="44">
        <v>35</v>
      </c>
      <c r="C14" s="226" t="s">
        <v>401</v>
      </c>
      <c r="D14" s="124">
        <f>'SGTO POAI VIGENCIA 2021'!BP31+'SGTO POAI VIGENCIA 2021'!BP77+'SGTO POAI VIGENCIA 2021'!BP78+'SGTO POAI VIGENCIA 2021'!BP79+'SGTO POAI VIGENCIA 2021'!BP80+'SGTO POAI VIGENCIA 2021'!BP81+'SGTO POAI VIGENCIA 2021'!BP82+'SGTO POAI VIGENCIA 2021'!BP83+'SGTO POAI VIGENCIA 2021'!BP84+'SGTO POAI VIGENCIA 2021'!BP110+'SGTO POAI VIGENCIA 2021'!BP111</f>
        <v>3355087710.6100001</v>
      </c>
      <c r="E14" s="124">
        <f>'SGTO POAI VIGENCIA 2021'!BQ31+'SGTO POAI VIGENCIA 2021'!BQ77+'SGTO POAI VIGENCIA 2021'!BQ78+'SGTO POAI VIGENCIA 2021'!BQ79+'SGTO POAI VIGENCIA 2021'!BQ80+'SGTO POAI VIGENCIA 2021'!BQ81+'SGTO POAI VIGENCIA 2021'!BQ82+'SGTO POAI VIGENCIA 2021'!BQ83+'SGTO POAI VIGENCIA 2021'!BQ84+'SGTO POAI VIGENCIA 2021'!BQ110+'SGTO POAI VIGENCIA 2021'!BQ111</f>
        <v>2736632594.5100002</v>
      </c>
      <c r="F14" s="377">
        <f t="shared" si="1"/>
        <v>0.8156664834292644</v>
      </c>
      <c r="G14" s="124">
        <f>'SGTO POAI VIGENCIA 2021'!BR31+'SGTO POAI VIGENCIA 2021'!BR77+'SGTO POAI VIGENCIA 2021'!BR78+'SGTO POAI VIGENCIA 2021'!BR79+'SGTO POAI VIGENCIA 2021'!BR80+'SGTO POAI VIGENCIA 2021'!BR81+'SGTO POAI VIGENCIA 2021'!BR82+'SGTO POAI VIGENCIA 2021'!BR83+'SGTO POAI VIGENCIA 2021'!BR84+'SGTO POAI VIGENCIA 2021'!BR110+'SGTO POAI VIGENCIA 2021'!BR111</f>
        <v>2736632594.5100002</v>
      </c>
      <c r="H14" s="392">
        <f t="shared" si="2"/>
        <v>1</v>
      </c>
    </row>
    <row r="15" spans="1:8" ht="24.95" customHeight="1" x14ac:dyDescent="0.25">
      <c r="B15" s="44">
        <v>36</v>
      </c>
      <c r="C15" s="226" t="s">
        <v>433</v>
      </c>
      <c r="D15" s="124">
        <f>'SGTO POAI VIGENCIA 2021'!BP85+'SGTO POAI VIGENCIA 2021'!BP86+'SGTO POAI VIGENCIA 2021'!BP87+'SGTO POAI VIGENCIA 2021'!BP88+'SGTO POAI VIGENCIA 2021'!BP192</f>
        <v>275695000</v>
      </c>
      <c r="E15" s="124">
        <f>'SGTO POAI VIGENCIA 2021'!BQ85+'SGTO POAI VIGENCIA 2021'!BQ86+'SGTO POAI VIGENCIA 2021'!BQ87+'SGTO POAI VIGENCIA 2021'!BQ88+'SGTO POAI VIGENCIA 2021'!BQ192</f>
        <v>264212451</v>
      </c>
      <c r="F15" s="377">
        <f t="shared" si="1"/>
        <v>0.95835053591831554</v>
      </c>
      <c r="G15" s="124">
        <f>'SGTO POAI VIGENCIA 2021'!BR85+'SGTO POAI VIGENCIA 2021'!BR86+'SGTO POAI VIGENCIA 2021'!BR87+'SGTO POAI VIGENCIA 2021'!BR88+'SGTO POAI VIGENCIA 2021'!BR192</f>
        <v>264212451</v>
      </c>
      <c r="H15" s="392">
        <f t="shared" si="2"/>
        <v>1</v>
      </c>
    </row>
    <row r="16" spans="1:8" ht="24.95" customHeight="1" x14ac:dyDescent="0.25">
      <c r="B16" s="44">
        <v>39</v>
      </c>
      <c r="C16" s="226" t="s">
        <v>1483</v>
      </c>
      <c r="D16" s="124">
        <f>'SGTO POAI VIGENCIA 2021'!BP165+'SGTO POAI VIGENCIA 2021'!BP276+'SGTO POAI VIGENCIA 2021'!BP277+'SGTO POAI VIGENCIA 2021'!BP278+'SGTO POAI VIGENCIA 2021'!BP279</f>
        <v>85500000</v>
      </c>
      <c r="E16" s="124">
        <f>'SGTO POAI VIGENCIA 2021'!BQ165+'SGTO POAI VIGENCIA 2021'!BQ276+'SGTO POAI VIGENCIA 2021'!BQ277+'SGTO POAI VIGENCIA 2021'!BQ278+'SGTO POAI VIGENCIA 2021'!BQ279</f>
        <v>72280832</v>
      </c>
      <c r="F16" s="377">
        <f t="shared" si="1"/>
        <v>0.84538984795321637</v>
      </c>
      <c r="G16" s="124">
        <f>'SGTO POAI VIGENCIA 2021'!BR165+'SGTO POAI VIGENCIA 2021'!BR276+'SGTO POAI VIGENCIA 2021'!BR277+'SGTO POAI VIGENCIA 2021'!BR278+'SGTO POAI VIGENCIA 2021'!BR279</f>
        <v>72280832</v>
      </c>
      <c r="H16" s="392">
        <f t="shared" si="2"/>
        <v>1</v>
      </c>
    </row>
    <row r="17" spans="2:8" ht="24.95" customHeight="1" x14ac:dyDescent="0.25">
      <c r="B17" s="422">
        <v>3</v>
      </c>
      <c r="C17" s="414" t="s">
        <v>186</v>
      </c>
      <c r="D17" s="415">
        <f>SUM(D18:D21)</f>
        <v>16883128288.780001</v>
      </c>
      <c r="E17" s="415">
        <f>SUM(E18:E21)</f>
        <v>4858397431.4200001</v>
      </c>
      <c r="F17" s="478">
        <f t="shared" si="1"/>
        <v>0.28776642268653135</v>
      </c>
      <c r="G17" s="415">
        <f>SUM(G18:G21)</f>
        <v>4858397431.4200001</v>
      </c>
      <c r="H17" s="479">
        <f>G17/E17</f>
        <v>1</v>
      </c>
    </row>
    <row r="18" spans="2:8" ht="24.95" customHeight="1" x14ac:dyDescent="0.25">
      <c r="B18" s="44">
        <v>24</v>
      </c>
      <c r="C18" s="226" t="s">
        <v>187</v>
      </c>
      <c r="D18" s="124">
        <f>'SGTO POAI VIGENCIA 2021'!BP32+'SGTO POAI VIGENCIA 2021'!BP33+'SGTO POAI VIGENCIA 2021'!BP34</f>
        <v>8590607588</v>
      </c>
      <c r="E18" s="124">
        <f>'SGTO POAI VIGENCIA 2021'!BQ32+'SGTO POAI VIGENCIA 2021'!BQ33+'SGTO POAI VIGENCIA 2021'!BQ34</f>
        <v>369431670</v>
      </c>
      <c r="F18" s="377">
        <f t="shared" si="1"/>
        <v>4.3004137508975457E-2</v>
      </c>
      <c r="G18" s="124">
        <f>'SGTO POAI VIGENCIA 2021'!BR32+'SGTO POAI VIGENCIA 2021'!BR33+'SGTO POAI VIGENCIA 2021'!BR34</f>
        <v>369431670</v>
      </c>
      <c r="H18" s="392">
        <f t="shared" ref="H18:H21" si="3">G18/E18</f>
        <v>1</v>
      </c>
    </row>
    <row r="19" spans="2:8" ht="24.95" customHeight="1" x14ac:dyDescent="0.25">
      <c r="B19" s="44">
        <v>32</v>
      </c>
      <c r="C19" s="226" t="s">
        <v>207</v>
      </c>
      <c r="D19" s="124">
        <f>'SGTO POAI VIGENCIA 2021'!BP35+'SGTO POAI VIGENCIA 2021'!BP36+'SGTO POAI VIGENCIA 2021'!BP58+'SGTO POAI VIGENCIA 2021'!BP112+'SGTO POAI VIGENCIA 2021'!BP113+'SGTO POAI VIGENCIA 2021'!BP114+'SGTO POAI VIGENCIA 2021'!BP115+'SGTO POAI VIGENCIA 2021'!BP116+'SGTO POAI VIGENCIA 2021'!BP117+'SGTO POAI VIGENCIA 2021'!BP118+'SGTO POAI VIGENCIA 2021'!BP119+'SGTO POAI VIGENCIA 2021'!BP120+'SGTO POAI VIGENCIA 2021'!BP121+'SGTO POAI VIGENCIA 2021'!BP122+'SGTO POAI VIGENCIA 2021'!BP123+'SGTO POAI VIGENCIA 2021'!BP124+'SGTO POAI VIGENCIA 2021'!BP125+'SGTO POAI VIGENCIA 2021'!BP126</f>
        <v>4144045955</v>
      </c>
      <c r="E19" s="124">
        <f>'SGTO POAI VIGENCIA 2021'!BQ35+'SGTO POAI VIGENCIA 2021'!BQ36+'SGTO POAI VIGENCIA 2021'!BQ58+'SGTO POAI VIGENCIA 2021'!BQ112+'SGTO POAI VIGENCIA 2021'!BQ113+'SGTO POAI VIGENCIA 2021'!BQ114+'SGTO POAI VIGENCIA 2021'!BQ115+'SGTO POAI VIGENCIA 2021'!BQ116+'SGTO POAI VIGENCIA 2021'!BQ117+'SGTO POAI VIGENCIA 2021'!BQ118+'SGTO POAI VIGENCIA 2021'!BQ119+'SGTO POAI VIGENCIA 2021'!BQ120+'SGTO POAI VIGENCIA 2021'!BQ121+'SGTO POAI VIGENCIA 2021'!BQ122+'SGTO POAI VIGENCIA 2021'!BQ123+'SGTO POAI VIGENCIA 2021'!BQ124+'SGTO POAI VIGENCIA 2021'!BQ125+'SGTO POAI VIGENCIA 2021'!BQ126</f>
        <v>1141169925.3599999</v>
      </c>
      <c r="F19" s="377">
        <f t="shared" si="1"/>
        <v>0.27537578920502098</v>
      </c>
      <c r="G19" s="124">
        <f>'SGTO POAI VIGENCIA 2021'!BR35+'SGTO POAI VIGENCIA 2021'!BR36+'SGTO POAI VIGENCIA 2021'!BR58+'SGTO POAI VIGENCIA 2021'!BR112+'SGTO POAI VIGENCIA 2021'!BR113+'SGTO POAI VIGENCIA 2021'!BR114+'SGTO POAI VIGENCIA 2021'!BR115+'SGTO POAI VIGENCIA 2021'!BR116+'SGTO POAI VIGENCIA 2021'!BR117+'SGTO POAI VIGENCIA 2021'!BR118+'SGTO POAI VIGENCIA 2021'!BR119+'SGTO POAI VIGENCIA 2021'!BR120+'SGTO POAI VIGENCIA 2021'!BR121+'SGTO POAI VIGENCIA 2021'!BR122+'SGTO POAI VIGENCIA 2021'!BR123+'SGTO POAI VIGENCIA 2021'!BR124+'SGTO POAI VIGENCIA 2021'!BR125+'SGTO POAI VIGENCIA 2021'!BR126</f>
        <v>1141169925.3599999</v>
      </c>
      <c r="H19" s="392">
        <f t="shared" si="3"/>
        <v>1</v>
      </c>
    </row>
    <row r="20" spans="2:8" ht="24.95" customHeight="1" x14ac:dyDescent="0.25">
      <c r="B20" s="44">
        <v>40</v>
      </c>
      <c r="C20" s="226" t="s">
        <v>221</v>
      </c>
      <c r="D20" s="124">
        <f>'SGTO POAI VIGENCIA 2021'!BP37+'SGTO POAI VIGENCIA 2021'!BP38+'SGTO POAI VIGENCIA 2021'!BP39+'SGTO POAI VIGENCIA 2021'!BP40+'SGTO POAI VIGENCIA 2021'!BP41+'SGTO POAI VIGENCIA 2021'!BP42+'SGTO POAI VIGENCIA 2021'!BP43</f>
        <v>3620159641.7800002</v>
      </c>
      <c r="E20" s="124">
        <f>'SGTO POAI VIGENCIA 2021'!BQ37+'SGTO POAI VIGENCIA 2021'!BQ38+'SGTO POAI VIGENCIA 2021'!BQ39+'SGTO POAI VIGENCIA 2021'!BQ40+'SGTO POAI VIGENCIA 2021'!BQ41+'SGTO POAI VIGENCIA 2021'!BQ42+'SGTO POAI VIGENCIA 2021'!BQ43</f>
        <v>3056693113</v>
      </c>
      <c r="F20" s="377">
        <f t="shared" si="1"/>
        <v>0.84435312678560526</v>
      </c>
      <c r="G20" s="124">
        <f>'SGTO POAI VIGENCIA 2021'!BR37+'SGTO POAI VIGENCIA 2021'!BR38+'SGTO POAI VIGENCIA 2021'!BR39+'SGTO POAI VIGENCIA 2021'!BR40+'SGTO POAI VIGENCIA 2021'!BR41+'SGTO POAI VIGENCIA 2021'!BR42+'SGTO POAI VIGENCIA 2021'!BR43</f>
        <v>3056693113</v>
      </c>
      <c r="H20" s="392">
        <f t="shared" si="3"/>
        <v>1</v>
      </c>
    </row>
    <row r="21" spans="2:8" ht="24.95" customHeight="1" x14ac:dyDescent="0.25">
      <c r="B21" s="44">
        <v>45</v>
      </c>
      <c r="C21" s="226" t="s">
        <v>38</v>
      </c>
      <c r="D21" s="124">
        <f>'SGTO POAI VIGENCIA 2021'!BP59+'SGTO POAI VIGENCIA 2021'!BP60+'SGTO POAI VIGENCIA 2021'!BP61</f>
        <v>528315104</v>
      </c>
      <c r="E21" s="124">
        <f>'SGTO POAI VIGENCIA 2021'!BQ59+'SGTO POAI VIGENCIA 2021'!BQ60+'SGTO POAI VIGENCIA 2021'!BQ61</f>
        <v>291102723.06</v>
      </c>
      <c r="F21" s="377">
        <f t="shared" si="1"/>
        <v>0.55100208352173097</v>
      </c>
      <c r="G21" s="124">
        <f>'SGTO POAI VIGENCIA 2021'!BR59+'SGTO POAI VIGENCIA 2021'!BR60+'SGTO POAI VIGENCIA 2021'!BR61</f>
        <v>291102723.06</v>
      </c>
      <c r="H21" s="392">
        <f t="shared" si="3"/>
        <v>1</v>
      </c>
    </row>
    <row r="22" spans="2:8" ht="24.95" customHeight="1" x14ac:dyDescent="0.25">
      <c r="B22" s="422">
        <v>4</v>
      </c>
      <c r="C22" s="414" t="s">
        <v>37</v>
      </c>
      <c r="D22" s="415">
        <f>SUM(D23:D24)</f>
        <v>6762833750.8400002</v>
      </c>
      <c r="E22" s="415">
        <f>SUM(E23:E24)</f>
        <v>5856182897.5599995</v>
      </c>
      <c r="F22" s="478">
        <f t="shared" si="1"/>
        <v>0.86593624999766006</v>
      </c>
      <c r="G22" s="415">
        <f>SUM(G23:G24)</f>
        <v>5856182897.5599995</v>
      </c>
      <c r="H22" s="479">
        <f>G22/E22</f>
        <v>1</v>
      </c>
    </row>
    <row r="23" spans="2:8" ht="24.95" customHeight="1" x14ac:dyDescent="0.25">
      <c r="B23" s="44">
        <v>23</v>
      </c>
      <c r="C23" s="226" t="s">
        <v>1198</v>
      </c>
      <c r="D23" s="124">
        <f>'SGTO POAI VIGENCIA 2021'!BP280+'SGTO POAI VIGENCIA 2021'!BP281+'SGTO POAI VIGENCIA 2021'!BP282+'SGTO POAI VIGENCIA 2021'!BP283+'SGTO POAI VIGENCIA 2021'!BP284+'SGTO POAI VIGENCIA 2021'!BP285</f>
        <v>298000000</v>
      </c>
      <c r="E23" s="124">
        <f>'SGTO POAI VIGENCIA 2021'!BQ280+'SGTO POAI VIGENCIA 2021'!BQ281+'SGTO POAI VIGENCIA 2021'!BQ282+'SGTO POAI VIGENCIA 2021'!BQ283+'SGTO POAI VIGENCIA 2021'!BQ284+'SGTO POAI VIGENCIA 2021'!BQ285</f>
        <v>277577165.5</v>
      </c>
      <c r="F23" s="377">
        <f t="shared" si="1"/>
        <v>0.93146699832214763</v>
      </c>
      <c r="G23" s="124">
        <f>'SGTO POAI VIGENCIA 2021'!BR280+'SGTO POAI VIGENCIA 2021'!BR281+'SGTO POAI VIGENCIA 2021'!BR282+'SGTO POAI VIGENCIA 2021'!BR283+'SGTO POAI VIGENCIA 2021'!BR284+'SGTO POAI VIGENCIA 2021'!BR285</f>
        <v>277577165.5</v>
      </c>
      <c r="H23" s="392">
        <f t="shared" ref="H23:H24" si="4">G23/E23</f>
        <v>1</v>
      </c>
    </row>
    <row r="24" spans="2:8" ht="24.95" customHeight="1" x14ac:dyDescent="0.25">
      <c r="B24" s="44">
        <v>45</v>
      </c>
      <c r="C24" s="226" t="s">
        <v>38</v>
      </c>
      <c r="D24" s="124">
        <f>'SGTO POAI VIGENCIA 2021'!BP8+'SGTO POAI VIGENCIA 2021'!BP9+'SGTO POAI VIGENCIA 2021'!BP10+'SGTO POAI VIGENCIA 2021'!BP11+'SGTO POAI VIGENCIA 2021'!BP12+'SGTO POAI VIGENCIA 2021'!BP13+'SGTO POAI VIGENCIA 2021'!BP14+'SGTO POAI VIGENCIA 2021'!BP15+'SGTO POAI VIGENCIA 2021'!BP16+'SGTO POAI VIGENCIA 2021'!BP17+'SGTO POAI VIGENCIA 2021'!BP18+'SGTO POAI VIGENCIA 2021'!BP19+'SGTO POAI VIGENCIA 2021'!BP20+'SGTO POAI VIGENCIA 2021'!BP21+'SGTO POAI VIGENCIA 2021'!BP22+'SGTO POAI VIGENCIA 2021'!BP23+'SGTO POAI VIGENCIA 2021'!BP24+'SGTO POAI VIGENCIA 2021'!BP25+'SGTO POAI VIGENCIA 2021'!BP44+'SGTO POAI VIGENCIA 2021'!BP45+'SGTO POAI VIGENCIA 2021'!BP62+'SGTO POAI VIGENCIA 2021'!BP63+'SGTO POAI VIGENCIA 2021'!BP64+'SGTO POAI VIGENCIA 2021'!BP65+'SGTO POAI VIGENCIA 2021'!BP66+'SGTO POAI VIGENCIA 2021'!BP127+'SGTO POAI VIGENCIA 2021'!BP128+'SGTO POAI VIGENCIA 2021'!BP129+'SGTO POAI VIGENCIA 2021'!BP193+'SGTO POAI VIGENCIA 2021'!BP194+'SGTO POAI VIGENCIA 2021'!BP195+'SGTO POAI VIGENCIA 2021'!BP196+'SGTO POAI VIGENCIA 2021'!BP197+'SGTO POAI VIGENCIA 2021'!BP198+'SGTO POAI VIGENCIA 2021'!BP199+'SGTO POAI VIGENCIA 2021'!BP200</f>
        <v>6464833750.8400002</v>
      </c>
      <c r="E24" s="124">
        <f>'SGTO POAI VIGENCIA 2021'!BQ8+'SGTO POAI VIGENCIA 2021'!BQ9+'SGTO POAI VIGENCIA 2021'!BQ10+'SGTO POAI VIGENCIA 2021'!BQ11+'SGTO POAI VIGENCIA 2021'!BQ12+'SGTO POAI VIGENCIA 2021'!BQ13+'SGTO POAI VIGENCIA 2021'!BQ14+'SGTO POAI VIGENCIA 2021'!BQ15+'SGTO POAI VIGENCIA 2021'!BQ16+'SGTO POAI VIGENCIA 2021'!BQ17+'SGTO POAI VIGENCIA 2021'!BQ18+'SGTO POAI VIGENCIA 2021'!BQ19+'SGTO POAI VIGENCIA 2021'!BQ20+'SGTO POAI VIGENCIA 2021'!BQ21+'SGTO POAI VIGENCIA 2021'!BQ22+'SGTO POAI VIGENCIA 2021'!BQ23+'SGTO POAI VIGENCIA 2021'!BQ24+'SGTO POAI VIGENCIA 2021'!BQ25+'SGTO POAI VIGENCIA 2021'!BQ44+'SGTO POAI VIGENCIA 2021'!BQ45+'SGTO POAI VIGENCIA 2021'!BQ62+'SGTO POAI VIGENCIA 2021'!BQ63+'SGTO POAI VIGENCIA 2021'!BQ64+'SGTO POAI VIGENCIA 2021'!BQ65+'SGTO POAI VIGENCIA 2021'!BQ66+'SGTO POAI VIGENCIA 2021'!BQ127+'SGTO POAI VIGENCIA 2021'!BQ128+'SGTO POAI VIGENCIA 2021'!BQ129+'SGTO POAI VIGENCIA 2021'!BQ193+'SGTO POAI VIGENCIA 2021'!BQ194+'SGTO POAI VIGENCIA 2021'!BQ195+'SGTO POAI VIGENCIA 2021'!BQ196+'SGTO POAI VIGENCIA 2021'!BQ197+'SGTO POAI VIGENCIA 2021'!BQ198+'SGTO POAI VIGENCIA 2021'!BQ199+'SGTO POAI VIGENCIA 2021'!BQ200</f>
        <v>5578605732.0599995</v>
      </c>
      <c r="F24" s="377">
        <f t="shared" si="1"/>
        <v>0.86291557479496672</v>
      </c>
      <c r="G24" s="124">
        <f>'SGTO POAI VIGENCIA 2021'!BR8+'SGTO POAI VIGENCIA 2021'!BR9+'SGTO POAI VIGENCIA 2021'!BR10+'SGTO POAI VIGENCIA 2021'!BR11+'SGTO POAI VIGENCIA 2021'!BR12+'SGTO POAI VIGENCIA 2021'!BR13+'SGTO POAI VIGENCIA 2021'!BR14+'SGTO POAI VIGENCIA 2021'!BR15+'SGTO POAI VIGENCIA 2021'!BR16+'SGTO POAI VIGENCIA 2021'!BR17+'SGTO POAI VIGENCIA 2021'!BR18+'SGTO POAI VIGENCIA 2021'!BR19+'SGTO POAI VIGENCIA 2021'!BR20+'SGTO POAI VIGENCIA 2021'!BR21+'SGTO POAI VIGENCIA 2021'!BR22+'SGTO POAI VIGENCIA 2021'!BR23+'SGTO POAI VIGENCIA 2021'!BR24+'SGTO POAI VIGENCIA 2021'!BR25+'SGTO POAI VIGENCIA 2021'!BR44+'SGTO POAI VIGENCIA 2021'!BR45+'SGTO POAI VIGENCIA 2021'!BR62+'SGTO POAI VIGENCIA 2021'!BR63+'SGTO POAI VIGENCIA 2021'!BR64+'SGTO POAI VIGENCIA 2021'!BR65+'SGTO POAI VIGENCIA 2021'!BR66+'SGTO POAI VIGENCIA 2021'!BR127+'SGTO POAI VIGENCIA 2021'!BR128+'SGTO POAI VIGENCIA 2021'!BR129+'SGTO POAI VIGENCIA 2021'!BR193+'SGTO POAI VIGENCIA 2021'!BR194+'SGTO POAI VIGENCIA 2021'!BR195+'SGTO POAI VIGENCIA 2021'!BR196+'SGTO POAI VIGENCIA 2021'!BR197+'SGTO POAI VIGENCIA 2021'!BR198+'SGTO POAI VIGENCIA 2021'!BR199+'SGTO POAI VIGENCIA 2021'!BR200</f>
        <v>5578605732.0599995</v>
      </c>
      <c r="H24" s="392">
        <f t="shared" si="4"/>
        <v>1</v>
      </c>
    </row>
    <row r="25" spans="2:8" ht="24.95" customHeight="1" x14ac:dyDescent="0.25">
      <c r="B25" s="42"/>
      <c r="C25" s="92" t="s">
        <v>1372</v>
      </c>
      <c r="D25" s="98">
        <f>D22+D17+D12+D3</f>
        <v>319490464131.91003</v>
      </c>
      <c r="E25" s="98">
        <f>E22+E17+E12+E3</f>
        <v>286065239361.58002</v>
      </c>
      <c r="F25" s="480">
        <f t="shared" si="1"/>
        <v>0.89537958554991637</v>
      </c>
      <c r="G25" s="98">
        <f>G22+G17+G12+G3</f>
        <v>286065239361.58002</v>
      </c>
      <c r="H25" s="481">
        <f>G25/E25</f>
        <v>1</v>
      </c>
    </row>
    <row r="26" spans="2:8" ht="36.75" customHeight="1" x14ac:dyDescent="0.25"/>
    <row r="27" spans="2:8" ht="45.75" customHeight="1" x14ac:dyDescent="0.25">
      <c r="B27" s="621" t="s">
        <v>1695</v>
      </c>
      <c r="C27" s="622"/>
      <c r="D27" s="622"/>
      <c r="E27" s="622"/>
      <c r="F27" s="622"/>
      <c r="G27" s="622"/>
      <c r="H27" s="623"/>
    </row>
    <row r="28" spans="2:8" ht="24.95" customHeight="1" x14ac:dyDescent="0.25">
      <c r="B28" s="482">
        <v>1</v>
      </c>
      <c r="C28" s="483" t="s">
        <v>136</v>
      </c>
      <c r="D28" s="484">
        <f>SUM(D29:D30)</f>
        <v>8179890631.7399998</v>
      </c>
      <c r="E28" s="484">
        <f>SUM(E29:E30)</f>
        <v>5647345281.7799997</v>
      </c>
      <c r="F28" s="485">
        <f t="shared" ref="F28:F34" si="5">E28/D28</f>
        <v>0.69039373947946225</v>
      </c>
      <c r="G28" s="484">
        <f>SUM(G29:G30)</f>
        <v>5626430281.7799997</v>
      </c>
      <c r="H28" s="479">
        <f>G28/E28</f>
        <v>0.99629648995122044</v>
      </c>
    </row>
    <row r="29" spans="2:8" ht="24.95" customHeight="1" x14ac:dyDescent="0.25">
      <c r="B29" s="44">
        <v>22</v>
      </c>
      <c r="C29" s="248" t="s">
        <v>156</v>
      </c>
      <c r="D29" s="124">
        <f>'SGTO POAI VIGENCIA 2021'!BP293</f>
        <v>329008863.94999999</v>
      </c>
      <c r="E29" s="124">
        <f>'SGTO POAI VIGENCIA 2021'!BQ293</f>
        <v>290761030.31</v>
      </c>
      <c r="F29" s="377">
        <f t="shared" si="5"/>
        <v>0.88374831856866753</v>
      </c>
      <c r="G29" s="124">
        <f>'SGTO POAI VIGENCIA 2021'!BR293</f>
        <v>290761030.31</v>
      </c>
      <c r="H29" s="392">
        <f>G29/E29</f>
        <v>1</v>
      </c>
    </row>
    <row r="30" spans="2:8" ht="24.95" customHeight="1" x14ac:dyDescent="0.25">
      <c r="B30" s="44">
        <v>43</v>
      </c>
      <c r="C30" s="248" t="s">
        <v>176</v>
      </c>
      <c r="D30" s="124">
        <f>'SGTO POAI VIGENCIA 2021'!BP286+'SGTO POAI VIGENCIA 2021'!BP287+'SGTO POAI VIGENCIA 2021'!BP288+'SGTO POAI VIGENCIA 2021'!BP289+'SGTO POAI VIGENCIA 2021'!BP290+'SGTO POAI VIGENCIA 2021'!BP291+'SGTO POAI VIGENCIA 2021'!BP292</f>
        <v>7850881767.79</v>
      </c>
      <c r="E30" s="124">
        <f>'SGTO POAI VIGENCIA 2021'!BQ286+'SGTO POAI VIGENCIA 2021'!BQ287+'SGTO POAI VIGENCIA 2021'!BQ288+'SGTO POAI VIGENCIA 2021'!BQ289+'SGTO POAI VIGENCIA 2021'!BQ290+'SGTO POAI VIGENCIA 2021'!BQ291+'SGTO POAI VIGENCIA 2021'!BQ292</f>
        <v>5356584251.4699993</v>
      </c>
      <c r="F30" s="377">
        <f t="shared" si="5"/>
        <v>0.68229078081988004</v>
      </c>
      <c r="G30" s="124">
        <f>'SGTO POAI VIGENCIA 2021'!BR286+'SGTO POAI VIGENCIA 2021'!BR287+'SGTO POAI VIGENCIA 2021'!BR288+'SGTO POAI VIGENCIA 2021'!BR289+'SGTO POAI VIGENCIA 2021'!BR290+'SGTO POAI VIGENCIA 2021'!BR291+'SGTO POAI VIGENCIA 2021'!BR292</f>
        <v>5335669251.4699993</v>
      </c>
      <c r="H30" s="392">
        <f>G30/E30</f>
        <v>0.99609545952828793</v>
      </c>
    </row>
    <row r="31" spans="2:8" ht="24.95" customHeight="1" x14ac:dyDescent="0.25">
      <c r="B31" s="422">
        <v>3</v>
      </c>
      <c r="C31" s="414" t="s">
        <v>186</v>
      </c>
      <c r="D31" s="415">
        <f>SUM(D32:D33)</f>
        <v>1728023393.23</v>
      </c>
      <c r="E31" s="415">
        <f>SUM(E32:E33)</f>
        <v>1517155332.4140139</v>
      </c>
      <c r="F31" s="492">
        <f t="shared" si="5"/>
        <v>0.87797152420382796</v>
      </c>
      <c r="G31" s="415">
        <f>SUM(G32:G33)</f>
        <v>1350245069.4825239</v>
      </c>
      <c r="H31" s="493">
        <f>G31/E31</f>
        <v>0.88998472380154281</v>
      </c>
    </row>
    <row r="32" spans="2:8" ht="24.95" customHeight="1" x14ac:dyDescent="0.25">
      <c r="B32" s="44">
        <f>'SGTO POAI VIGENCIA 2021'!E294</f>
        <v>24</v>
      </c>
      <c r="C32" s="260" t="str">
        <f>'SGTO POAI VIGENCIA 2021'!F294</f>
        <v>Transporte</v>
      </c>
      <c r="D32" s="124">
        <f>'SGTO POAI VIGENCIA 2021'!BP294+'SGTO POAI VIGENCIA 2021'!BP302+'SGTO POAI VIGENCIA 2021'!BP303+'SGTO POAI VIGENCIA 2021'!BP304+'SGTO POAI VIGENCIA 2021'!BP305</f>
        <v>459106731.19999999</v>
      </c>
      <c r="E32" s="124">
        <f>'SGTO POAI VIGENCIA 2021'!BQ294+'SGTO POAI VIGENCIA 2021'!BQ302+'SGTO POAI VIGENCIA 2021'!BQ303+'SGTO POAI VIGENCIA 2021'!BQ304+'SGTO POAI VIGENCIA 2021'!BQ305</f>
        <v>455100923.11000001</v>
      </c>
      <c r="F32" s="163">
        <f t="shared" si="5"/>
        <v>0.99127477813376919</v>
      </c>
      <c r="G32" s="124">
        <f>'SGTO POAI VIGENCIA 2021'!BR294+'SGTO POAI VIGENCIA 2021'!BR302+'SGTO POAI VIGENCIA 2021'!BR303+'SGTO POAI VIGENCIA 2021'!BR304+'SGTO POAI VIGENCIA 2021'!BR305</f>
        <v>348640657.09000003</v>
      </c>
      <c r="H32" s="392">
        <f t="shared" ref="H32:H33" si="6">G32/E32</f>
        <v>0.76607328042209211</v>
      </c>
    </row>
    <row r="33" spans="2:8" ht="24.95" customHeight="1" x14ac:dyDescent="0.25">
      <c r="B33" s="44">
        <f>'SGTO POAI VIGENCIA 2021'!E295</f>
        <v>40</v>
      </c>
      <c r="C33" s="255" t="str">
        <f>'SGTO POAI VIGENCIA 2021'!F295</f>
        <v>Vivienda, Ciudad y Territorio</v>
      </c>
      <c r="D33" s="124">
        <f>'SGTO POAI VIGENCIA 2021'!BP295+'SGTO POAI VIGENCIA 2021'!BP296+'SGTO POAI VIGENCIA 2021'!BP297+'SGTO POAI VIGENCIA 2021'!BP298+'SGTO POAI VIGENCIA 2021'!BP299+'SGTO POAI VIGENCIA 2021'!BP300+'SGTO POAI VIGENCIA 2021'!BP301</f>
        <v>1268916662.03</v>
      </c>
      <c r="E33" s="124">
        <f>'SGTO POAI VIGENCIA 2021'!BQ295+'SGTO POAI VIGENCIA 2021'!BQ296+'SGTO POAI VIGENCIA 2021'!BQ297+'SGTO POAI VIGENCIA 2021'!BQ298+'SGTO POAI VIGENCIA 2021'!BQ299+'SGTO POAI VIGENCIA 2021'!BQ300+'SGTO POAI VIGENCIA 2021'!BQ301</f>
        <v>1062054409.304014</v>
      </c>
      <c r="F33" s="163">
        <f t="shared" si="5"/>
        <v>0.83697727446099579</v>
      </c>
      <c r="G33" s="124">
        <f>'SGTO POAI VIGENCIA 2021'!BR295+'SGTO POAI VIGENCIA 2021'!BR296+'SGTO POAI VIGENCIA 2021'!BR297+'SGTO POAI VIGENCIA 2021'!BR298+'SGTO POAI VIGENCIA 2021'!BR299+'SGTO POAI VIGENCIA 2021'!BR300+'SGTO POAI VIGENCIA 2021'!BR301</f>
        <v>1001604412.3925239</v>
      </c>
      <c r="H33" s="392">
        <f t="shared" si="6"/>
        <v>0.94308201502491362</v>
      </c>
    </row>
    <row r="34" spans="2:8" ht="24.95" customHeight="1" x14ac:dyDescent="0.25">
      <c r="B34" s="42"/>
      <c r="C34" s="92" t="s">
        <v>1373</v>
      </c>
      <c r="D34" s="98">
        <f>D28+D31</f>
        <v>9907914024.9699993</v>
      </c>
      <c r="E34" s="98">
        <f>E28+E31</f>
        <v>7164500614.1940136</v>
      </c>
      <c r="F34" s="496">
        <f t="shared" si="5"/>
        <v>0.72310888004659557</v>
      </c>
      <c r="G34" s="98">
        <f>G28+G31</f>
        <v>6976675351.2625237</v>
      </c>
      <c r="H34" s="497">
        <f>G34/E34</f>
        <v>0.97378390022615413</v>
      </c>
    </row>
    <row r="35" spans="2:8" x14ac:dyDescent="0.25">
      <c r="D35" s="253"/>
      <c r="E35" s="253"/>
      <c r="G35" s="253"/>
      <c r="H35" s="393"/>
    </row>
    <row r="36" spans="2:8" ht="24.95" customHeight="1" x14ac:dyDescent="0.25">
      <c r="B36" s="624" t="s">
        <v>1374</v>
      </c>
      <c r="C36" s="625"/>
      <c r="D36" s="411">
        <f>D34+D25</f>
        <v>329398378156.88</v>
      </c>
      <c r="E36" s="411">
        <f>E34+E25</f>
        <v>293229739975.77405</v>
      </c>
      <c r="F36" s="494">
        <f>E36/D36</f>
        <v>0.89019788626925112</v>
      </c>
      <c r="G36" s="411">
        <f>G34+G25</f>
        <v>293041914712.84253</v>
      </c>
      <c r="H36" s="495">
        <f>G36/E36</f>
        <v>0.99935946039120371</v>
      </c>
    </row>
    <row r="41" spans="2:8" ht="15.75" x14ac:dyDescent="0.25">
      <c r="C41" s="173" t="s">
        <v>1700</v>
      </c>
      <c r="D41" s="170"/>
    </row>
    <row r="42" spans="2:8" x14ac:dyDescent="0.25">
      <c r="C42" s="165" t="s">
        <v>1544</v>
      </c>
      <c r="D42" s="171"/>
    </row>
    <row r="43" spans="2:8" x14ac:dyDescent="0.25">
      <c r="C43" s="166" t="s">
        <v>1545</v>
      </c>
      <c r="D43" s="171"/>
    </row>
    <row r="44" spans="2:8" x14ac:dyDescent="0.25">
      <c r="C44" s="167" t="s">
        <v>1546</v>
      </c>
      <c r="D44" s="171"/>
    </row>
    <row r="45" spans="2:8" x14ac:dyDescent="0.25">
      <c r="C45" s="168" t="s">
        <v>1547</v>
      </c>
      <c r="D45" s="171"/>
    </row>
    <row r="46" spans="2:8" x14ac:dyDescent="0.25">
      <c r="C46" s="169" t="s">
        <v>1548</v>
      </c>
      <c r="D46" s="171"/>
    </row>
    <row r="47" spans="2:8" x14ac:dyDescent="0.25">
      <c r="D47" s="172"/>
    </row>
  </sheetData>
  <mergeCells count="3">
    <mergeCell ref="B1:H1"/>
    <mergeCell ref="B27:H27"/>
    <mergeCell ref="B36:C36"/>
  </mergeCells>
  <conditionalFormatting sqref="F4:F25">
    <cfRule type="cellIs" dxfId="94" priority="26" operator="between">
      <formula>0</formula>
      <formula>0.3999</formula>
    </cfRule>
    <cfRule type="cellIs" dxfId="93" priority="27" operator="between">
      <formula>0.4</formula>
      <formula>0.59</formula>
    </cfRule>
    <cfRule type="cellIs" dxfId="92" priority="28" operator="between">
      <formula>0.6</formula>
      <formula>0.69</formula>
    </cfRule>
    <cfRule type="cellIs" dxfId="91" priority="29" operator="between">
      <formula>0.7</formula>
      <formula>0.79</formula>
    </cfRule>
    <cfRule type="cellIs" dxfId="90" priority="30" operator="greaterThan">
      <formula>0.795</formula>
    </cfRule>
  </conditionalFormatting>
  <conditionalFormatting sqref="F28:F34">
    <cfRule type="cellIs" dxfId="89" priority="21" operator="between">
      <formula>0</formula>
      <formula>0.3999</formula>
    </cfRule>
    <cfRule type="cellIs" dxfId="88" priority="22" operator="between">
      <formula>0.4</formula>
      <formula>0.59</formula>
    </cfRule>
    <cfRule type="cellIs" dxfId="87" priority="23" operator="between">
      <formula>0.595</formula>
      <formula>0.6949</formula>
    </cfRule>
    <cfRule type="cellIs" dxfId="86" priority="24" operator="between">
      <formula>0.7</formula>
      <formula>0.79</formula>
    </cfRule>
    <cfRule type="cellIs" dxfId="85" priority="25" operator="between">
      <formula>0.8</formula>
      <formula>1</formula>
    </cfRule>
  </conditionalFormatting>
  <conditionalFormatting sqref="F36">
    <cfRule type="cellIs" dxfId="84" priority="16" operator="between">
      <formula>0</formula>
      <formula>0.3999</formula>
    </cfRule>
    <cfRule type="cellIs" dxfId="83" priority="17" operator="between">
      <formula>0.4</formula>
      <formula>0.59</formula>
    </cfRule>
    <cfRule type="cellIs" dxfId="82" priority="18" operator="between">
      <formula>0.6</formula>
      <formula>0.69</formula>
    </cfRule>
    <cfRule type="cellIs" dxfId="81" priority="19" operator="between">
      <formula>0.695</formula>
      <formula>0.7949</formula>
    </cfRule>
    <cfRule type="cellIs" dxfId="80" priority="20" operator="between">
      <formula>0.8</formula>
      <formula>1</formula>
    </cfRule>
  </conditionalFormatting>
  <conditionalFormatting sqref="F3">
    <cfRule type="cellIs" dxfId="79" priority="11" operator="between">
      <formula>0</formula>
      <formula>0.3999</formula>
    </cfRule>
    <cfRule type="cellIs" dxfId="78" priority="12" operator="between">
      <formula>0.4</formula>
      <formula>0.59</formula>
    </cfRule>
    <cfRule type="cellIs" dxfId="77" priority="13" operator="between">
      <formula>0.6</formula>
      <formula>0.69</formula>
    </cfRule>
    <cfRule type="cellIs" dxfId="76" priority="14" operator="between">
      <formula>0.7</formula>
      <formula>0.79</formula>
    </cfRule>
    <cfRule type="cellIs" dxfId="75" priority="15" operator="greaterThan">
      <formula>0.795</formula>
    </cfRule>
  </conditionalFormatting>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H73"/>
  <sheetViews>
    <sheetView showGridLines="0" zoomScale="70" zoomScaleNormal="70" workbookViewId="0">
      <selection activeCell="F23" sqref="F23"/>
    </sheetView>
  </sheetViews>
  <sheetFormatPr baseColWidth="10" defaultColWidth="11.42578125" defaultRowHeight="15" x14ac:dyDescent="0.25"/>
  <cols>
    <col min="3" max="3" width="64.42578125" customWidth="1"/>
    <col min="4" max="4" width="30.85546875" customWidth="1"/>
    <col min="5" max="5" width="27.28515625" customWidth="1"/>
    <col min="6" max="6" width="17.140625" customWidth="1"/>
    <col min="7" max="7" width="27.28515625" customWidth="1"/>
    <col min="8" max="8" width="24.5703125" customWidth="1"/>
  </cols>
  <sheetData>
    <row r="1" spans="2:8" ht="69.75" customHeight="1" x14ac:dyDescent="0.25">
      <c r="B1" s="620" t="s">
        <v>1698</v>
      </c>
      <c r="C1" s="620"/>
      <c r="D1" s="620"/>
      <c r="E1" s="620"/>
      <c r="F1" s="620"/>
      <c r="G1" s="620"/>
      <c r="H1" s="620"/>
    </row>
    <row r="2" spans="2:8" ht="15.75" x14ac:dyDescent="0.25">
      <c r="B2" s="502" t="s">
        <v>1355</v>
      </c>
      <c r="C2" s="503" t="s">
        <v>1696</v>
      </c>
      <c r="D2" s="504" t="s">
        <v>1641</v>
      </c>
      <c r="E2" s="504" t="s">
        <v>1490</v>
      </c>
      <c r="F2" s="502" t="s">
        <v>1506</v>
      </c>
      <c r="G2" s="502" t="s">
        <v>1491</v>
      </c>
      <c r="H2" s="502" t="s">
        <v>1508</v>
      </c>
    </row>
    <row r="3" spans="2:8" ht="15.75" x14ac:dyDescent="0.25">
      <c r="B3" s="450">
        <v>1</v>
      </c>
      <c r="C3" s="451" t="s">
        <v>136</v>
      </c>
      <c r="D3" s="453">
        <f>SUM(D4:D21)</f>
        <v>289944507382.05005</v>
      </c>
      <c r="E3" s="453">
        <f>SUM(E4:E21)</f>
        <v>270593268666.09003</v>
      </c>
      <c r="F3" s="490">
        <f>E3/D3</f>
        <v>0.93325881945243561</v>
      </c>
      <c r="G3" s="453">
        <f>SUM(G4:G21)</f>
        <v>270593268666.09003</v>
      </c>
      <c r="H3" s="501">
        <f t="shared" ref="H3:H49" si="0">G3/E3</f>
        <v>1</v>
      </c>
    </row>
    <row r="4" spans="2:8" ht="21" customHeight="1" x14ac:dyDescent="0.25">
      <c r="B4" s="44">
        <v>1202</v>
      </c>
      <c r="C4" s="248" t="s">
        <v>138</v>
      </c>
      <c r="D4" s="124">
        <f>'RESUMEN POR UNIDAD'!E27+'RESUMEN POR UNIDAD'!E55</f>
        <v>160105000</v>
      </c>
      <c r="E4" s="124">
        <f>'RESUMEN POR UNIDAD'!F27+'RESUMEN POR UNIDAD'!F55</f>
        <v>152419827</v>
      </c>
      <c r="F4" s="377">
        <f>E4/D4</f>
        <v>0.95199916929515005</v>
      </c>
      <c r="G4" s="124">
        <f>'RESUMEN POR UNIDAD'!G27+'RESUMEN POR UNIDAD'!G55</f>
        <v>152419827</v>
      </c>
      <c r="H4" s="392">
        <f t="shared" si="0"/>
        <v>1</v>
      </c>
    </row>
    <row r="5" spans="2:8" ht="36.75" customHeight="1" x14ac:dyDescent="0.25">
      <c r="B5" s="44">
        <v>1203</v>
      </c>
      <c r="C5" s="248" t="s">
        <v>265</v>
      </c>
      <c r="D5" s="124">
        <f>'RESUMEN POR UNIDAD'!E56</f>
        <v>67223401</v>
      </c>
      <c r="E5" s="124">
        <f>'RESUMEN POR UNIDAD'!F56</f>
        <v>65096055</v>
      </c>
      <c r="F5" s="377">
        <f t="shared" ref="F5:F49" si="1">E5/D5</f>
        <v>0.96835408550662294</v>
      </c>
      <c r="G5" s="124">
        <f>'RESUMEN POR UNIDAD'!G56</f>
        <v>65096055</v>
      </c>
      <c r="H5" s="392">
        <f t="shared" si="0"/>
        <v>1</v>
      </c>
    </row>
    <row r="6" spans="2:8" ht="40.5" customHeight="1" x14ac:dyDescent="0.25">
      <c r="B6" s="44">
        <v>1206</v>
      </c>
      <c r="C6" s="226" t="s">
        <v>271</v>
      </c>
      <c r="D6" s="124">
        <f>'RESUMEN POR UNIDAD'!E57</f>
        <v>30000000</v>
      </c>
      <c r="E6" s="124">
        <f>'RESUMEN POR UNIDAD'!F57</f>
        <v>10000000</v>
      </c>
      <c r="F6" s="377">
        <f t="shared" si="1"/>
        <v>0.33333333333333331</v>
      </c>
      <c r="G6" s="124">
        <f>'RESUMEN POR UNIDAD'!G57</f>
        <v>10000000</v>
      </c>
      <c r="H6" s="392">
        <f t="shared" si="0"/>
        <v>1</v>
      </c>
    </row>
    <row r="7" spans="2:8" ht="27.75" customHeight="1" x14ac:dyDescent="0.25">
      <c r="B7" s="44">
        <v>1903</v>
      </c>
      <c r="C7" s="248" t="s">
        <v>987</v>
      </c>
      <c r="D7" s="124">
        <f>'RESUMEN POR UNIDAD'!E145</f>
        <v>3182666735.21</v>
      </c>
      <c r="E7" s="124">
        <f>'RESUMEN POR UNIDAD'!F145</f>
        <v>2169681626.6599998</v>
      </c>
      <c r="F7" s="377">
        <f t="shared" si="1"/>
        <v>0.68171813361942812</v>
      </c>
      <c r="G7" s="124">
        <f>'RESUMEN POR UNIDAD'!G145</f>
        <v>2169681626.6599998</v>
      </c>
      <c r="H7" s="392">
        <f t="shared" si="0"/>
        <v>1</v>
      </c>
    </row>
    <row r="8" spans="2:8" ht="25.5" customHeight="1" x14ac:dyDescent="0.25">
      <c r="B8" s="44">
        <v>1905</v>
      </c>
      <c r="C8" s="248" t="s">
        <v>768</v>
      </c>
      <c r="D8" s="124">
        <f>'RESUMEN POR UNIDAD'!E125+'RESUMEN POR UNIDAD'!E146</f>
        <v>7162718049.7600002</v>
      </c>
      <c r="E8" s="124">
        <f>'RESUMEN POR UNIDAD'!F125+'RESUMEN POR UNIDAD'!F146</f>
        <v>4660616356.7600002</v>
      </c>
      <c r="F8" s="377">
        <f t="shared" si="1"/>
        <v>0.65067706482124654</v>
      </c>
      <c r="G8" s="124">
        <f>'RESUMEN POR UNIDAD'!G125+'RESUMEN POR UNIDAD'!G146</f>
        <v>4660616356.7600002</v>
      </c>
      <c r="H8" s="392">
        <f t="shared" si="0"/>
        <v>1</v>
      </c>
    </row>
    <row r="9" spans="2:8" ht="38.25" customHeight="1" x14ac:dyDescent="0.25">
      <c r="B9" s="44">
        <v>1906</v>
      </c>
      <c r="C9" s="226" t="s">
        <v>148</v>
      </c>
      <c r="D9" s="124">
        <f>'RESUMEN POR UNIDAD'!E29+'RESUMEN POR UNIDAD'!E147</f>
        <v>65445974560.139999</v>
      </c>
      <c r="E9" s="124">
        <f>'RESUMEN POR UNIDAD'!F29+'RESUMEN POR UNIDAD'!F147</f>
        <v>63190854318.229996</v>
      </c>
      <c r="F9" s="377">
        <f t="shared" si="1"/>
        <v>0.96554226204030758</v>
      </c>
      <c r="G9" s="124">
        <f>'RESUMEN POR UNIDAD'!G29+'RESUMEN POR UNIDAD'!G147</f>
        <v>63190854318.229996</v>
      </c>
      <c r="H9" s="392">
        <f t="shared" si="0"/>
        <v>1</v>
      </c>
    </row>
    <row r="10" spans="2:8" ht="39" customHeight="1" x14ac:dyDescent="0.25">
      <c r="B10" s="44">
        <v>2201</v>
      </c>
      <c r="C10" s="248" t="s">
        <v>157</v>
      </c>
      <c r="D10" s="124">
        <f>'RESUMEN POR UNIDAD'!E31+'RESUMEN POR UNIDAD'!E59+'RESUMEN POR UNIDAD'!E116</f>
        <v>194591103980.18005</v>
      </c>
      <c r="E10" s="124">
        <f>'RESUMEN POR UNIDAD'!F31+'RESUMEN POR UNIDAD'!F59+'RESUMEN POR UNIDAD'!F116</f>
        <v>188762628165.94998</v>
      </c>
      <c r="F10" s="377">
        <f t="shared" si="1"/>
        <v>0.97004757311606737</v>
      </c>
      <c r="G10" s="124">
        <f>'RESUMEN POR UNIDAD'!G31+'RESUMEN POR UNIDAD'!G59+'RESUMEN POR UNIDAD'!G116</f>
        <v>188762628165.94998</v>
      </c>
      <c r="H10" s="392">
        <f t="shared" si="0"/>
        <v>1</v>
      </c>
    </row>
    <row r="11" spans="2:8" ht="37.5" customHeight="1" x14ac:dyDescent="0.25">
      <c r="B11" s="44">
        <v>2202</v>
      </c>
      <c r="C11" s="226" t="s">
        <v>1482</v>
      </c>
      <c r="D11" s="124">
        <f>'RESUMEN POR UNIDAD'!E117</f>
        <v>439058252</v>
      </c>
      <c r="E11" s="124">
        <f>'RESUMEN POR UNIDAD'!F117</f>
        <v>432580762</v>
      </c>
      <c r="F11" s="377">
        <f t="shared" si="1"/>
        <v>0.9852468551257294</v>
      </c>
      <c r="G11" s="124">
        <f>'RESUMEN POR UNIDAD'!G117</f>
        <v>432580762</v>
      </c>
      <c r="H11" s="392">
        <f t="shared" si="0"/>
        <v>1</v>
      </c>
    </row>
    <row r="12" spans="2:8" ht="49.5" customHeight="1" x14ac:dyDescent="0.25">
      <c r="B12" s="44">
        <v>2301</v>
      </c>
      <c r="C12" s="248" t="s">
        <v>1199</v>
      </c>
      <c r="D12" s="124">
        <f>'RESUMEN POR UNIDAD'!E152</f>
        <v>674000000</v>
      </c>
      <c r="E12" s="124">
        <f>'RESUMEN POR UNIDAD'!F152</f>
        <v>584138115.42000008</v>
      </c>
      <c r="F12" s="377">
        <f t="shared" si="1"/>
        <v>0.86667376175074196</v>
      </c>
      <c r="G12" s="124">
        <f>'RESUMEN POR UNIDAD'!G152</f>
        <v>584138115.42000008</v>
      </c>
      <c r="H12" s="392">
        <f t="shared" si="0"/>
        <v>1</v>
      </c>
    </row>
    <row r="13" spans="2:8" ht="63" customHeight="1" x14ac:dyDescent="0.25">
      <c r="B13" s="44">
        <v>2302</v>
      </c>
      <c r="C13" s="226" t="s">
        <v>1487</v>
      </c>
      <c r="D13" s="124">
        <f>'RESUMEN POR UNIDAD'!E153</f>
        <v>146000000</v>
      </c>
      <c r="E13" s="124">
        <f>'RESUMEN POR UNIDAD'!F153</f>
        <v>130610834</v>
      </c>
      <c r="F13" s="377">
        <f t="shared" si="1"/>
        <v>0.89459475342465755</v>
      </c>
      <c r="G13" s="124">
        <f>'RESUMEN POR UNIDAD'!G153</f>
        <v>130610834</v>
      </c>
      <c r="H13" s="392">
        <f t="shared" si="0"/>
        <v>1</v>
      </c>
    </row>
    <row r="14" spans="2:8" ht="39" customHeight="1" x14ac:dyDescent="0.25">
      <c r="B14" s="44">
        <v>3301</v>
      </c>
      <c r="C14" s="226" t="s">
        <v>167</v>
      </c>
      <c r="D14" s="124">
        <f>'RESUMEN POR UNIDAD'!E33+'RESUMEN POR UNIDAD'!E77+'RESUMEN POR UNIDAD'!E127</f>
        <v>3838763873.0199995</v>
      </c>
      <c r="E14" s="124">
        <f>'RESUMEN POR UNIDAD'!F33+'RESUMEN POR UNIDAD'!F77+'RESUMEN POR UNIDAD'!F127</f>
        <v>3205199053.8099999</v>
      </c>
      <c r="F14" s="377">
        <f t="shared" si="1"/>
        <v>0.83495603267945551</v>
      </c>
      <c r="G14" s="124">
        <f>'RESUMEN POR UNIDAD'!G33+'RESUMEN POR UNIDAD'!G77+'RESUMEN POR UNIDAD'!G127</f>
        <v>3205199053.8099999</v>
      </c>
      <c r="H14" s="392">
        <f t="shared" si="0"/>
        <v>1</v>
      </c>
    </row>
    <row r="15" spans="2:8" ht="37.5" customHeight="1" x14ac:dyDescent="0.25">
      <c r="B15" s="44">
        <v>3302</v>
      </c>
      <c r="C15" s="226" t="s">
        <v>389</v>
      </c>
      <c r="D15" s="124">
        <f>'RESUMEN POR UNIDAD'!E78</f>
        <v>274198236.30000001</v>
      </c>
      <c r="E15" s="124">
        <f>'RESUMEN POR UNIDAD'!F78</f>
        <v>260343468</v>
      </c>
      <c r="F15" s="377">
        <f t="shared" si="1"/>
        <v>0.94947170891047772</v>
      </c>
      <c r="G15" s="124">
        <f>'RESUMEN POR UNIDAD'!G78</f>
        <v>260343468</v>
      </c>
      <c r="H15" s="392">
        <f t="shared" si="0"/>
        <v>1</v>
      </c>
    </row>
    <row r="16" spans="2:8" ht="38.25" customHeight="1" x14ac:dyDescent="0.25">
      <c r="B16" s="44">
        <v>4101</v>
      </c>
      <c r="C16" s="226" t="s">
        <v>285</v>
      </c>
      <c r="D16" s="124">
        <f>'RESUMEN POR UNIDAD'!E61</f>
        <v>502657113</v>
      </c>
      <c r="E16" s="124">
        <f>'RESUMEN POR UNIDAD'!F61</f>
        <v>388019267.94999999</v>
      </c>
      <c r="F16" s="377">
        <f t="shared" si="1"/>
        <v>0.77193629198678027</v>
      </c>
      <c r="G16" s="124">
        <f>'RESUMEN POR UNIDAD'!G61</f>
        <v>388019267.94999999</v>
      </c>
      <c r="H16" s="392">
        <f t="shared" si="0"/>
        <v>1</v>
      </c>
    </row>
    <row r="17" spans="2:8" ht="57.75" customHeight="1" x14ac:dyDescent="0.25">
      <c r="B17" s="44">
        <v>4102</v>
      </c>
      <c r="C17" s="226" t="s">
        <v>785</v>
      </c>
      <c r="D17" s="124">
        <f>'RESUMEN POR UNIDAD'!E129</f>
        <v>1174562889</v>
      </c>
      <c r="E17" s="124">
        <f>'RESUMEN POR UNIDAD'!F129</f>
        <v>1067412570</v>
      </c>
      <c r="F17" s="377">
        <f t="shared" si="1"/>
        <v>0.90877430233537715</v>
      </c>
      <c r="G17" s="124">
        <f>'RESUMEN POR UNIDAD'!G129</f>
        <v>1067412570</v>
      </c>
      <c r="H17" s="392">
        <f t="shared" si="0"/>
        <v>1</v>
      </c>
    </row>
    <row r="18" spans="2:8" ht="42.75" customHeight="1" x14ac:dyDescent="0.25">
      <c r="B18" s="44">
        <v>4103</v>
      </c>
      <c r="C18" s="226" t="s">
        <v>302</v>
      </c>
      <c r="D18" s="124">
        <f>'RESUMEN POR UNIDAD'!E62+'RESUMEN POR UNIDAD'!E130</f>
        <v>267821343</v>
      </c>
      <c r="E18" s="124">
        <f>'RESUMEN POR UNIDAD'!F62+'RESUMEN POR UNIDAD'!F130</f>
        <v>243000926.38999999</v>
      </c>
      <c r="F18" s="377">
        <f t="shared" si="1"/>
        <v>0.90732472501267381</v>
      </c>
      <c r="G18" s="124">
        <f>'RESUMEN POR UNIDAD'!G62+'RESUMEN POR UNIDAD'!G130</f>
        <v>243000926.38999999</v>
      </c>
      <c r="H18" s="392">
        <f t="shared" si="0"/>
        <v>1</v>
      </c>
    </row>
    <row r="19" spans="2:8" ht="45" x14ac:dyDescent="0.25">
      <c r="B19" s="44">
        <v>4104</v>
      </c>
      <c r="C19" s="226" t="s">
        <v>893</v>
      </c>
      <c r="D19" s="124">
        <f>'RESUMEN POR UNIDAD'!E131</f>
        <v>4789370244.0100002</v>
      </c>
      <c r="E19" s="124">
        <f>'RESUMEN POR UNIDAD'!F131</f>
        <v>3516992293.25</v>
      </c>
      <c r="F19" s="377">
        <f t="shared" si="1"/>
        <v>0.7343329319024049</v>
      </c>
      <c r="G19" s="124">
        <f>'RESUMEN POR UNIDAD'!G131</f>
        <v>3516992293.25</v>
      </c>
      <c r="H19" s="392">
        <f t="shared" si="0"/>
        <v>1</v>
      </c>
    </row>
    <row r="20" spans="2:8" ht="52.5" customHeight="1" x14ac:dyDescent="0.25">
      <c r="B20" s="44">
        <v>4301</v>
      </c>
      <c r="C20" s="226" t="s">
        <v>177</v>
      </c>
      <c r="D20" s="124">
        <f>'RESUMEN POR UNIDAD'!E35</f>
        <v>2760904177.1000004</v>
      </c>
      <c r="E20" s="124">
        <f>'RESUMEN POR UNIDAD'!F35</f>
        <v>573180312.50999999</v>
      </c>
      <c r="F20" s="377">
        <f t="shared" si="1"/>
        <v>0.20760601445866092</v>
      </c>
      <c r="G20" s="124">
        <f>'RESUMEN POR UNIDAD'!G35</f>
        <v>573180312.50999999</v>
      </c>
      <c r="H20" s="392">
        <f t="shared" si="0"/>
        <v>1</v>
      </c>
    </row>
    <row r="21" spans="2:8" ht="41.25" customHeight="1" x14ac:dyDescent="0.25">
      <c r="B21" s="44">
        <v>4501</v>
      </c>
      <c r="C21" s="226" t="s">
        <v>311</v>
      </c>
      <c r="D21" s="124">
        <f>'RESUMEN POR UNIDAD'!E64</f>
        <v>4437379528.3299999</v>
      </c>
      <c r="E21" s="124">
        <f>'RESUMEN POR UNIDAD'!F64</f>
        <v>1180494713.1599998</v>
      </c>
      <c r="F21" s="377">
        <f t="shared" si="1"/>
        <v>0.26603420005506651</v>
      </c>
      <c r="G21" s="124">
        <f>'RESUMEN POR UNIDAD'!G64</f>
        <v>1180494713.1599998</v>
      </c>
      <c r="H21" s="392">
        <f t="shared" si="0"/>
        <v>1</v>
      </c>
    </row>
    <row r="22" spans="2:8" ht="15.75" x14ac:dyDescent="0.25">
      <c r="B22" s="450">
        <v>2</v>
      </c>
      <c r="C22" s="451" t="s">
        <v>400</v>
      </c>
      <c r="D22" s="453">
        <f>SUM(D23:D34)</f>
        <v>5899994710.2399998</v>
      </c>
      <c r="E22" s="453">
        <f>SUM(E23:E34)</f>
        <v>4757390366.5100002</v>
      </c>
      <c r="F22" s="490">
        <f t="shared" si="1"/>
        <v>0.8063380731940486</v>
      </c>
      <c r="G22" s="453">
        <f>SUM(G23:G34)</f>
        <v>4757390366.5100002</v>
      </c>
      <c r="H22" s="501">
        <f t="shared" si="0"/>
        <v>1</v>
      </c>
    </row>
    <row r="23" spans="2:8" ht="41.25" customHeight="1" x14ac:dyDescent="0.25">
      <c r="B23" s="44">
        <v>1702</v>
      </c>
      <c r="C23" s="226" t="s">
        <v>452</v>
      </c>
      <c r="D23" s="124">
        <f>'RESUMEN POR UNIDAD'!E90</f>
        <v>1562901499.6300001</v>
      </c>
      <c r="E23" s="124">
        <f>'RESUMEN POR UNIDAD'!F90</f>
        <v>1092284323</v>
      </c>
      <c r="F23" s="377">
        <f t="shared" si="1"/>
        <v>0.69888238206859898</v>
      </c>
      <c r="G23" s="124">
        <f>'RESUMEN POR UNIDAD'!G90</f>
        <v>1092284323</v>
      </c>
      <c r="H23" s="392">
        <f t="shared" si="0"/>
        <v>1</v>
      </c>
    </row>
    <row r="24" spans="2:8" ht="36.75" customHeight="1" x14ac:dyDescent="0.25">
      <c r="B24" s="44">
        <v>1703</v>
      </c>
      <c r="C24" s="226" t="s">
        <v>500</v>
      </c>
      <c r="D24" s="124">
        <f>'RESUMEN POR UNIDAD'!E91+'RESUMEN POR UNIDAD'!E134</f>
        <v>343000000</v>
      </c>
      <c r="E24" s="124">
        <f>'RESUMEN POR UNIDAD'!F91+'RESUMEN POR UNIDAD'!F134</f>
        <v>342305000</v>
      </c>
      <c r="F24" s="377">
        <f t="shared" si="1"/>
        <v>0.99797376093294465</v>
      </c>
      <c r="G24" s="124">
        <f>'RESUMEN POR UNIDAD'!G91+'RESUMEN POR UNIDAD'!G134</f>
        <v>342305000</v>
      </c>
      <c r="H24" s="392">
        <f t="shared" si="0"/>
        <v>1</v>
      </c>
    </row>
    <row r="25" spans="2:8" ht="36.75" customHeight="1" x14ac:dyDescent="0.25">
      <c r="B25" s="44">
        <v>1704</v>
      </c>
      <c r="C25" s="226" t="s">
        <v>507</v>
      </c>
      <c r="D25" s="124">
        <f>'RESUMEN POR UNIDAD'!E92</f>
        <v>69255500</v>
      </c>
      <c r="E25" s="124">
        <f>'RESUMEN POR UNIDAD'!F92</f>
        <v>69255166</v>
      </c>
      <c r="F25" s="377">
        <f t="shared" si="1"/>
        <v>0.99999517727833886</v>
      </c>
      <c r="G25" s="124">
        <f>'RESUMEN POR UNIDAD'!G92</f>
        <v>69255166</v>
      </c>
      <c r="H25" s="392">
        <f t="shared" si="0"/>
        <v>1</v>
      </c>
    </row>
    <row r="26" spans="2:8" ht="43.5" customHeight="1" x14ac:dyDescent="0.25">
      <c r="B26" s="44">
        <v>1706</v>
      </c>
      <c r="C26" s="226" t="s">
        <v>516</v>
      </c>
      <c r="D26" s="124">
        <f>'RESUMEN POR UNIDAD'!E93</f>
        <v>20000000</v>
      </c>
      <c r="E26" s="124">
        <f>'RESUMEN POR UNIDAD'!F93</f>
        <v>20000000</v>
      </c>
      <c r="F26" s="377">
        <f t="shared" si="1"/>
        <v>1</v>
      </c>
      <c r="G26" s="124">
        <f>'RESUMEN POR UNIDAD'!G93</f>
        <v>20000000</v>
      </c>
      <c r="H26" s="392">
        <f t="shared" si="0"/>
        <v>1</v>
      </c>
    </row>
    <row r="27" spans="2:8" ht="39.75" customHeight="1" x14ac:dyDescent="0.25">
      <c r="B27" s="44">
        <v>1707</v>
      </c>
      <c r="C27" s="226" t="s">
        <v>523</v>
      </c>
      <c r="D27" s="124">
        <f>'RESUMEN POR UNIDAD'!E94</f>
        <v>43000000</v>
      </c>
      <c r="E27" s="124">
        <f>'RESUMEN POR UNIDAD'!F94</f>
        <v>34865000</v>
      </c>
      <c r="F27" s="377">
        <f t="shared" si="1"/>
        <v>0.81081395348837204</v>
      </c>
      <c r="G27" s="124">
        <f>'RESUMEN POR UNIDAD'!G94</f>
        <v>34865000</v>
      </c>
      <c r="H27" s="392">
        <f t="shared" si="0"/>
        <v>1</v>
      </c>
    </row>
    <row r="28" spans="2:8" ht="40.5" customHeight="1" x14ac:dyDescent="0.25">
      <c r="B28" s="44">
        <v>1708</v>
      </c>
      <c r="C28" s="226" t="s">
        <v>530</v>
      </c>
      <c r="D28" s="124">
        <f>'RESUMEN POR UNIDAD'!E95</f>
        <v>37555000</v>
      </c>
      <c r="E28" s="124">
        <f>'RESUMEN POR UNIDAD'!F95</f>
        <v>17555000</v>
      </c>
      <c r="F28" s="377">
        <f t="shared" si="1"/>
        <v>0.46744774330981226</v>
      </c>
      <c r="G28" s="124">
        <f>'RESUMEN POR UNIDAD'!G95</f>
        <v>17555000</v>
      </c>
      <c r="H28" s="392">
        <f t="shared" si="0"/>
        <v>1</v>
      </c>
    </row>
    <row r="29" spans="2:8" ht="38.25" customHeight="1" x14ac:dyDescent="0.25">
      <c r="B29" s="44">
        <v>1709</v>
      </c>
      <c r="C29" s="226" t="s">
        <v>539</v>
      </c>
      <c r="D29" s="124">
        <f>'RESUMEN POR UNIDAD'!E96</f>
        <v>108000000</v>
      </c>
      <c r="E29" s="124">
        <f>'RESUMEN POR UNIDAD'!F96</f>
        <v>108000000</v>
      </c>
      <c r="F29" s="377">
        <f t="shared" si="1"/>
        <v>1</v>
      </c>
      <c r="G29" s="124">
        <f>'RESUMEN POR UNIDAD'!G96</f>
        <v>108000000</v>
      </c>
      <c r="H29" s="392">
        <f t="shared" si="0"/>
        <v>1</v>
      </c>
    </row>
    <row r="30" spans="2:8" ht="39" customHeight="1" x14ac:dyDescent="0.25">
      <c r="B30" s="44">
        <v>3502</v>
      </c>
      <c r="C30" s="226" t="s">
        <v>402</v>
      </c>
      <c r="D30" s="124">
        <f>'RESUMEN POR UNIDAD'!E83+'RESUMEN POR UNIDAD'!E98+'RESUMEN POR UNIDAD'!E38</f>
        <v>3355087710.6100001</v>
      </c>
      <c r="E30" s="124">
        <f>'RESUMEN POR UNIDAD'!F83+'RESUMEN POR UNIDAD'!F98+'RESUMEN POR UNIDAD'!F38</f>
        <v>2736632594.5100002</v>
      </c>
      <c r="F30" s="377">
        <f t="shared" si="1"/>
        <v>0.8156664834292644</v>
      </c>
      <c r="G30" s="124">
        <f>'RESUMEN POR UNIDAD'!G83+'RESUMEN POR UNIDAD'!G98+'RESUMEN POR UNIDAD'!G38</f>
        <v>2736632594.5100002</v>
      </c>
      <c r="H30" s="392">
        <f t="shared" si="0"/>
        <v>1</v>
      </c>
    </row>
    <row r="31" spans="2:8" ht="39" customHeight="1" x14ac:dyDescent="0.25">
      <c r="B31" s="44">
        <v>3602</v>
      </c>
      <c r="C31" s="226" t="s">
        <v>434</v>
      </c>
      <c r="D31" s="124">
        <f>'RESUMEN POR UNIDAD'!E85</f>
        <v>237500000</v>
      </c>
      <c r="E31" s="124">
        <f>'RESUMEN POR UNIDAD'!F85</f>
        <v>226517451</v>
      </c>
      <c r="F31" s="377">
        <f t="shared" si="1"/>
        <v>0.95375768842105269</v>
      </c>
      <c r="G31" s="124">
        <f>'RESUMEN POR UNIDAD'!G85</f>
        <v>226517451</v>
      </c>
      <c r="H31" s="392">
        <f t="shared" si="0"/>
        <v>1</v>
      </c>
    </row>
    <row r="32" spans="2:8" ht="35.25" customHeight="1" x14ac:dyDescent="0.25">
      <c r="B32" s="44">
        <v>3604</v>
      </c>
      <c r="C32" s="248" t="s">
        <v>932</v>
      </c>
      <c r="D32" s="124">
        <f>'RESUMEN POR UNIDAD'!E136</f>
        <v>38195000</v>
      </c>
      <c r="E32" s="124">
        <f>'RESUMEN POR UNIDAD'!F136</f>
        <v>37695000</v>
      </c>
      <c r="F32" s="377">
        <f t="shared" si="1"/>
        <v>0.98690928131954447</v>
      </c>
      <c r="G32" s="124">
        <f>'RESUMEN POR UNIDAD'!G136</f>
        <v>37695000</v>
      </c>
      <c r="H32" s="392">
        <f t="shared" si="0"/>
        <v>1</v>
      </c>
    </row>
    <row r="33" spans="2:8" ht="37.5" customHeight="1" x14ac:dyDescent="0.25">
      <c r="B33" s="44">
        <v>3903</v>
      </c>
      <c r="C33" s="226" t="s">
        <v>1240</v>
      </c>
      <c r="D33" s="124">
        <f>'RESUMEN POR UNIDAD'!E156</f>
        <v>60000000</v>
      </c>
      <c r="E33" s="124">
        <f>'RESUMEN POR UNIDAD'!F156</f>
        <v>58180832</v>
      </c>
      <c r="F33" s="377">
        <f t="shared" si="1"/>
        <v>0.96968053333333337</v>
      </c>
      <c r="G33" s="124">
        <f>'RESUMEN POR UNIDAD'!G156</f>
        <v>58180832</v>
      </c>
      <c r="H33" s="392">
        <f t="shared" si="0"/>
        <v>1</v>
      </c>
    </row>
    <row r="34" spans="2:8" ht="41.25" customHeight="1" x14ac:dyDescent="0.25">
      <c r="B34" s="44">
        <v>3904</v>
      </c>
      <c r="C34" s="226" t="s">
        <v>759</v>
      </c>
      <c r="D34" s="124">
        <f>'RESUMEN POR UNIDAD'!E157+'RESUMEN POR UNIDAD'!E120</f>
        <v>25500000</v>
      </c>
      <c r="E34" s="124">
        <f>'RESUMEN POR UNIDAD'!F157+'RESUMEN POR UNIDAD'!F120</f>
        <v>14100000</v>
      </c>
      <c r="F34" s="377">
        <f t="shared" si="1"/>
        <v>0.55294117647058827</v>
      </c>
      <c r="G34" s="124">
        <f>'RESUMEN POR UNIDAD'!G157+'RESUMEN POR UNIDAD'!G120</f>
        <v>14100000</v>
      </c>
      <c r="H34" s="392">
        <f t="shared" si="0"/>
        <v>1</v>
      </c>
    </row>
    <row r="35" spans="2:8" ht="15.75" x14ac:dyDescent="0.25">
      <c r="B35" s="450">
        <v>3</v>
      </c>
      <c r="C35" s="451" t="s">
        <v>186</v>
      </c>
      <c r="D35" s="453">
        <f>SUM(D36:D44)</f>
        <v>16883128288.780001</v>
      </c>
      <c r="E35" s="453">
        <f>SUM(E36:E44)</f>
        <v>4858397431.4200001</v>
      </c>
      <c r="F35" s="490">
        <f t="shared" si="1"/>
        <v>0.28776642268653135</v>
      </c>
      <c r="G35" s="453">
        <f>SUM(G36:G44)</f>
        <v>4858397431.4200001</v>
      </c>
      <c r="H35" s="501">
        <f t="shared" si="0"/>
        <v>1</v>
      </c>
    </row>
    <row r="36" spans="2:8" ht="21.75" customHeight="1" x14ac:dyDescent="0.25">
      <c r="B36" s="44">
        <v>2402</v>
      </c>
      <c r="C36" s="226" t="s">
        <v>188</v>
      </c>
      <c r="D36" s="124">
        <f>'RESUMEN POR UNIDAD'!E41</f>
        <v>8590607588</v>
      </c>
      <c r="E36" s="124">
        <f>'RESUMEN POR UNIDAD'!F41</f>
        <v>369431670</v>
      </c>
      <c r="F36" s="377">
        <f t="shared" si="1"/>
        <v>4.3004137508975457E-2</v>
      </c>
      <c r="G36" s="124">
        <f>'RESUMEN POR UNIDAD'!G41</f>
        <v>369431670</v>
      </c>
      <c r="H36" s="392">
        <f t="shared" si="0"/>
        <v>1</v>
      </c>
    </row>
    <row r="37" spans="2:8" ht="36" customHeight="1" x14ac:dyDescent="0.25">
      <c r="B37" s="44">
        <v>3201</v>
      </c>
      <c r="C37" s="226" t="s">
        <v>558</v>
      </c>
      <c r="D37" s="124">
        <f>'RESUMEN POR UNIDAD'!E101</f>
        <v>81456499</v>
      </c>
      <c r="E37" s="124">
        <f>'RESUMEN POR UNIDAD'!F101</f>
        <v>81456499</v>
      </c>
      <c r="F37" s="377">
        <f t="shared" si="1"/>
        <v>1</v>
      </c>
      <c r="G37" s="124">
        <f>'RESUMEN POR UNIDAD'!G101</f>
        <v>81456499</v>
      </c>
      <c r="H37" s="392">
        <f t="shared" si="0"/>
        <v>1</v>
      </c>
    </row>
    <row r="38" spans="2:8" ht="35.25" customHeight="1" x14ac:dyDescent="0.25">
      <c r="B38" s="44">
        <v>3202</v>
      </c>
      <c r="C38" s="226" t="s">
        <v>568</v>
      </c>
      <c r="D38" s="124">
        <f>'RESUMEN POR UNIDAD'!E102</f>
        <v>1235631389</v>
      </c>
      <c r="E38" s="124">
        <f>'RESUMEN POR UNIDAD'!F102</f>
        <v>464280684.56999999</v>
      </c>
      <c r="F38" s="377">
        <f t="shared" si="1"/>
        <v>0.37574367946879667</v>
      </c>
      <c r="G38" s="124">
        <f>'RESUMEN POR UNIDAD'!G102</f>
        <v>464280684.56999999</v>
      </c>
      <c r="H38" s="392">
        <f t="shared" si="0"/>
        <v>1</v>
      </c>
    </row>
    <row r="39" spans="2:8" ht="43.5" customHeight="1" x14ac:dyDescent="0.25">
      <c r="B39" s="44">
        <v>3204</v>
      </c>
      <c r="C39" s="226" t="s">
        <v>599</v>
      </c>
      <c r="D39" s="124">
        <f>'RESUMEN POR UNIDAD'!E103</f>
        <v>120000000</v>
      </c>
      <c r="E39" s="124">
        <f>'RESUMEN POR UNIDAD'!F103</f>
        <v>52835333</v>
      </c>
      <c r="F39" s="377">
        <f t="shared" si="1"/>
        <v>0.44029444166666665</v>
      </c>
      <c r="G39" s="124">
        <f>'RESUMEN POR UNIDAD'!G103</f>
        <v>52835333</v>
      </c>
      <c r="H39" s="392">
        <f t="shared" si="0"/>
        <v>1</v>
      </c>
    </row>
    <row r="40" spans="2:8" ht="36" customHeight="1" x14ac:dyDescent="0.25">
      <c r="B40" s="44">
        <v>3205</v>
      </c>
      <c r="C40" s="226" t="s">
        <v>208</v>
      </c>
      <c r="D40" s="124">
        <f>'RESUMEN POR UNIDAD'!E104+'RESUMEN POR UNIDAD'!E43+'RESUMEN POR UNIDAD'!E67</f>
        <v>2588958067</v>
      </c>
      <c r="E40" s="124">
        <f>'RESUMEN POR UNIDAD'!F104+'RESUMEN POR UNIDAD'!F43+'RESUMEN POR UNIDAD'!F67</f>
        <v>533062408.78999996</v>
      </c>
      <c r="F40" s="377">
        <f t="shared" si="1"/>
        <v>0.20589843288102971</v>
      </c>
      <c r="G40" s="124">
        <f>'RESUMEN POR UNIDAD'!G104+'RESUMEN POR UNIDAD'!G43+'RESUMEN POR UNIDAD'!G67</f>
        <v>533062408.78999996</v>
      </c>
      <c r="H40" s="392">
        <f t="shared" si="0"/>
        <v>1</v>
      </c>
    </row>
    <row r="41" spans="2:8" ht="45" x14ac:dyDescent="0.25">
      <c r="B41" s="44">
        <v>3206</v>
      </c>
      <c r="C41" s="226" t="s">
        <v>618</v>
      </c>
      <c r="D41" s="124">
        <f>'RESUMEN POR UNIDAD'!E105</f>
        <v>118000000</v>
      </c>
      <c r="E41" s="124">
        <f>'RESUMEN POR UNIDAD'!F105</f>
        <v>9535000</v>
      </c>
      <c r="F41" s="377">
        <f t="shared" si="1"/>
        <v>8.0805084745762715E-2</v>
      </c>
      <c r="G41" s="124">
        <f>'RESUMEN POR UNIDAD'!G105</f>
        <v>9535000</v>
      </c>
      <c r="H41" s="392">
        <f t="shared" si="0"/>
        <v>1</v>
      </c>
    </row>
    <row r="42" spans="2:8" ht="24" customHeight="1" x14ac:dyDescent="0.25">
      <c r="B42" s="44">
        <v>4001</v>
      </c>
      <c r="C42" s="226" t="s">
        <v>222</v>
      </c>
      <c r="D42" s="124">
        <f>'RESUMEN POR UNIDAD'!E45</f>
        <v>120000000.09999999</v>
      </c>
      <c r="E42" s="124">
        <f>'RESUMEN POR UNIDAD'!F45</f>
        <v>0</v>
      </c>
      <c r="F42" s="377">
        <f t="shared" si="1"/>
        <v>0</v>
      </c>
      <c r="G42" s="124">
        <f>'RESUMEN POR UNIDAD'!G45</f>
        <v>0</v>
      </c>
      <c r="H42" s="392" t="e">
        <f t="shared" si="0"/>
        <v>#DIV/0!</v>
      </c>
    </row>
    <row r="43" spans="2:8" ht="34.5" customHeight="1" x14ac:dyDescent="0.25">
      <c r="B43" s="44">
        <v>4003</v>
      </c>
      <c r="C43" s="226" t="s">
        <v>230</v>
      </c>
      <c r="D43" s="124">
        <f>'RESUMEN POR UNIDAD'!E46</f>
        <v>3500159641.6800003</v>
      </c>
      <c r="E43" s="124">
        <f>'RESUMEN POR UNIDAD'!F46</f>
        <v>3056693113</v>
      </c>
      <c r="F43" s="377">
        <f t="shared" si="1"/>
        <v>0.87330105650062695</v>
      </c>
      <c r="G43" s="124">
        <f>'RESUMEN POR UNIDAD'!G46</f>
        <v>3056693113</v>
      </c>
      <c r="H43" s="392">
        <f t="shared" si="0"/>
        <v>1</v>
      </c>
    </row>
    <row r="44" spans="2:8" ht="33" customHeight="1" x14ac:dyDescent="0.25">
      <c r="B44" s="44">
        <v>4503</v>
      </c>
      <c r="C44" s="226" t="s">
        <v>1476</v>
      </c>
      <c r="D44" s="124">
        <f>'RESUMEN POR UNIDAD'!E69</f>
        <v>528315104</v>
      </c>
      <c r="E44" s="124">
        <f>'RESUMEN POR UNIDAD'!F69</f>
        <v>291102723.06</v>
      </c>
      <c r="F44" s="377">
        <f t="shared" si="1"/>
        <v>0.55100208352173097</v>
      </c>
      <c r="G44" s="124">
        <f>'RESUMEN POR UNIDAD'!G69</f>
        <v>291102723.06</v>
      </c>
      <c r="H44" s="392">
        <f t="shared" si="0"/>
        <v>1</v>
      </c>
    </row>
    <row r="45" spans="2:8" ht="15.75" x14ac:dyDescent="0.25">
      <c r="B45" s="450">
        <v>4</v>
      </c>
      <c r="C45" s="451" t="s">
        <v>37</v>
      </c>
      <c r="D45" s="453">
        <f>SUM(D46:D48)</f>
        <v>6762833750.8400002</v>
      </c>
      <c r="E45" s="453">
        <f>SUM(E46:E48)</f>
        <v>5856182897.5600004</v>
      </c>
      <c r="F45" s="490">
        <f t="shared" si="1"/>
        <v>0.86593624999766017</v>
      </c>
      <c r="G45" s="453">
        <f>SUM(G46:G48)</f>
        <v>5856182897.5600004</v>
      </c>
      <c r="H45" s="501">
        <f t="shared" si="0"/>
        <v>1</v>
      </c>
    </row>
    <row r="46" spans="2:8" ht="74.25" customHeight="1" x14ac:dyDescent="0.25">
      <c r="B46" s="69">
        <v>2302</v>
      </c>
      <c r="C46" s="72" t="s">
        <v>1487</v>
      </c>
      <c r="D46" s="252">
        <f>'RESUMEN POR UNIDAD'!E160</f>
        <v>298000000</v>
      </c>
      <c r="E46" s="252">
        <f>'RESUMEN POR UNIDAD'!F160</f>
        <v>277577165.5</v>
      </c>
      <c r="F46" s="377">
        <f t="shared" si="1"/>
        <v>0.93146699832214763</v>
      </c>
      <c r="G46" s="124">
        <f>'RESUMEN POR UNIDAD'!G160</f>
        <v>277577165.5</v>
      </c>
      <c r="H46" s="392">
        <f t="shared" si="0"/>
        <v>1</v>
      </c>
    </row>
    <row r="47" spans="2:8" ht="39.75" customHeight="1" x14ac:dyDescent="0.25">
      <c r="B47" s="69">
        <v>4502</v>
      </c>
      <c r="C47" s="72" t="s">
        <v>60</v>
      </c>
      <c r="D47" s="252">
        <f>'RESUMEN POR UNIDAD'!E11+'RESUMEN POR UNIDAD'!E16+'RESUMEN POR UNIDAD'!E50+'RESUMEN POR UNIDAD'!E72+'RESUMEN POR UNIDAD'!E111+'RESUMEN POR UNIDAD'!E139</f>
        <v>1038584058.98</v>
      </c>
      <c r="E47" s="252">
        <f>'RESUMEN POR UNIDAD'!F11+'RESUMEN POR UNIDAD'!F16+'RESUMEN POR UNIDAD'!F50+'RESUMEN POR UNIDAD'!F72+'RESUMEN POR UNIDAD'!F111+'RESUMEN POR UNIDAD'!F139</f>
        <v>922411548.43000007</v>
      </c>
      <c r="F47" s="377">
        <f t="shared" si="1"/>
        <v>0.88814337217529249</v>
      </c>
      <c r="G47" s="124">
        <f>'RESUMEN POR UNIDAD'!G11+'RESUMEN POR UNIDAD'!G16+'RESUMEN POR UNIDAD'!G50+'RESUMEN POR UNIDAD'!G72+'RESUMEN POR UNIDAD'!G111+'RESUMEN POR UNIDAD'!G139</f>
        <v>922411548.43000007</v>
      </c>
      <c r="H47" s="392">
        <f t="shared" si="0"/>
        <v>1</v>
      </c>
    </row>
    <row r="48" spans="2:8" ht="54.75" customHeight="1" x14ac:dyDescent="0.25">
      <c r="B48" s="69">
        <v>4599</v>
      </c>
      <c r="C48" s="71" t="s">
        <v>39</v>
      </c>
      <c r="D48" s="252">
        <f>'RESUMEN POR UNIDAD'!E10+'RESUMEN POR UNIDAD'!E17+'RESUMEN POR UNIDAD'!E22+'RESUMEN POR UNIDAD'!E49+'RESUMEN POR UNIDAD'!E110+'RESUMEN POR UNIDAD'!E140</f>
        <v>5426249691.8600006</v>
      </c>
      <c r="E48" s="252">
        <f>'RESUMEN POR UNIDAD'!F10+'RESUMEN POR UNIDAD'!F17+'RESUMEN POR UNIDAD'!F22+'RESUMEN POR UNIDAD'!F49+'RESUMEN POR UNIDAD'!F110+'RESUMEN POR UNIDAD'!F140</f>
        <v>4656194183.6300001</v>
      </c>
      <c r="F48" s="377">
        <f t="shared" si="1"/>
        <v>0.85808697499026398</v>
      </c>
      <c r="G48" s="124">
        <f>'RESUMEN POR UNIDAD'!G10+'RESUMEN POR UNIDAD'!G17+'RESUMEN POR UNIDAD'!G22+'RESUMEN POR UNIDAD'!G49+'RESUMEN POR UNIDAD'!G110+'RESUMEN POR UNIDAD'!G140</f>
        <v>4656194183.6300001</v>
      </c>
      <c r="H48" s="392">
        <f t="shared" si="0"/>
        <v>1</v>
      </c>
    </row>
    <row r="49" spans="2:8" ht="21.75" customHeight="1" x14ac:dyDescent="0.25">
      <c r="B49" s="42"/>
      <c r="C49" s="92" t="s">
        <v>1372</v>
      </c>
      <c r="D49" s="98">
        <f>D45+D35+D22+D3</f>
        <v>319490464131.91003</v>
      </c>
      <c r="E49" s="98">
        <f>E45+E35+E22+E3</f>
        <v>286065239361.58002</v>
      </c>
      <c r="F49" s="480">
        <f t="shared" si="1"/>
        <v>0.89537958554991637</v>
      </c>
      <c r="G49" s="98">
        <f>G45+G35+G22+G3</f>
        <v>286065239361.58002</v>
      </c>
      <c r="H49" s="498">
        <f t="shared" si="0"/>
        <v>1</v>
      </c>
    </row>
    <row r="50" spans="2:8" ht="27" customHeight="1" x14ac:dyDescent="0.25"/>
    <row r="51" spans="2:8" ht="45.75" customHeight="1" x14ac:dyDescent="0.25">
      <c r="B51" s="621" t="s">
        <v>1699</v>
      </c>
      <c r="C51" s="622"/>
      <c r="D51" s="622"/>
      <c r="E51" s="622"/>
      <c r="F51" s="622"/>
      <c r="G51" s="622"/>
      <c r="H51" s="623"/>
    </row>
    <row r="52" spans="2:8" ht="15.75" x14ac:dyDescent="0.25">
      <c r="B52" s="458">
        <v>1</v>
      </c>
      <c r="C52" s="499" t="s">
        <v>136</v>
      </c>
      <c r="D52" s="457">
        <f>SUM(D53:D55)</f>
        <v>8179890631.7399998</v>
      </c>
      <c r="E52" s="457">
        <f>SUM(E53:E55)</f>
        <v>5647345281.7799997</v>
      </c>
      <c r="F52" s="485">
        <f t="shared" ref="F52" si="2">E52/D52</f>
        <v>0.69039373947946225</v>
      </c>
      <c r="G52" s="457">
        <f>SUM(G53:G55)</f>
        <v>5626430281.7799997</v>
      </c>
      <c r="H52" s="491">
        <f>G52/E52</f>
        <v>0.99629648995122044</v>
      </c>
    </row>
    <row r="53" spans="2:8" ht="45" x14ac:dyDescent="0.25">
      <c r="B53" s="44">
        <v>2201</v>
      </c>
      <c r="C53" s="248" t="s">
        <v>277</v>
      </c>
      <c r="D53" s="124">
        <f>'RESUMEN POR UNIDAD'!E175</f>
        <v>329008863.94999999</v>
      </c>
      <c r="E53" s="124">
        <f>'RESUMEN POR UNIDAD'!F175</f>
        <v>290761030.31</v>
      </c>
      <c r="F53" s="377">
        <f t="shared" ref="F53:F60" si="3">E53/D53</f>
        <v>0.88374831856866753</v>
      </c>
      <c r="G53" s="124">
        <f>'RESUMEN POR UNIDAD'!G175</f>
        <v>290761030.31</v>
      </c>
      <c r="H53" s="392">
        <f>G53/E53</f>
        <v>1</v>
      </c>
    </row>
    <row r="54" spans="2:8" ht="51.75" customHeight="1" x14ac:dyDescent="0.25">
      <c r="B54" s="44">
        <v>4301</v>
      </c>
      <c r="C54" s="248" t="s">
        <v>177</v>
      </c>
      <c r="D54" s="124">
        <f>'RESUMEN POR UNIDAD'!E173+'RESUMEN POR UNIDAD'!E167</f>
        <v>3537751176.7399998</v>
      </c>
      <c r="E54" s="124">
        <f>'RESUMEN POR UNIDAD'!F173+'RESUMEN POR UNIDAD'!F167</f>
        <v>2875539895.29</v>
      </c>
      <c r="F54" s="377">
        <f t="shared" si="3"/>
        <v>0.81281575544263673</v>
      </c>
      <c r="G54" s="124">
        <f>'RESUMEN POR UNIDAD'!G173+'RESUMEN POR UNIDAD'!G167</f>
        <v>2875539895.29</v>
      </c>
      <c r="H54" s="392">
        <f>G54/E54</f>
        <v>1</v>
      </c>
    </row>
    <row r="55" spans="2:8" ht="32.25" customHeight="1" x14ac:dyDescent="0.25">
      <c r="B55" s="44">
        <v>4302</v>
      </c>
      <c r="C55" s="248" t="s">
        <v>1287</v>
      </c>
      <c r="D55" s="124">
        <f>'RESUMEN POR UNIDAD'!E168</f>
        <v>4313130591.0500002</v>
      </c>
      <c r="E55" s="124">
        <f>'RESUMEN POR UNIDAD'!F168</f>
        <v>2481044356.1799998</v>
      </c>
      <c r="F55" s="377">
        <f t="shared" si="3"/>
        <v>0.57523052080275816</v>
      </c>
      <c r="G55" s="124">
        <f>'RESUMEN POR UNIDAD'!G168</f>
        <v>2460129356.1799998</v>
      </c>
      <c r="H55" s="392">
        <f>G55/E55</f>
        <v>0.99157008219224174</v>
      </c>
    </row>
    <row r="56" spans="2:8" ht="15.75" x14ac:dyDescent="0.25">
      <c r="B56" s="450">
        <v>3</v>
      </c>
      <c r="C56" s="451" t="s">
        <v>186</v>
      </c>
      <c r="D56" s="453">
        <f>SUM(D57:D59)</f>
        <v>1728023393.23</v>
      </c>
      <c r="E56" s="453">
        <f>SUM(E57:E59)</f>
        <v>1517155332.4140139</v>
      </c>
      <c r="F56" s="500">
        <f t="shared" si="3"/>
        <v>0.87797152420382796</v>
      </c>
      <c r="G56" s="453">
        <f>SUM(G57:G59)</f>
        <v>1350245069.4825239</v>
      </c>
      <c r="H56" s="501">
        <f>G56/E56</f>
        <v>0.88998472380154281</v>
      </c>
    </row>
    <row r="57" spans="2:8" ht="24" customHeight="1" x14ac:dyDescent="0.25">
      <c r="B57" s="44">
        <v>2402</v>
      </c>
      <c r="C57" s="260" t="s">
        <v>188</v>
      </c>
      <c r="D57" s="124">
        <f>'RESUMEN POR UNIDAD'!E178</f>
        <v>348896731.19999999</v>
      </c>
      <c r="E57" s="124">
        <f>'RESUMEN POR UNIDAD'!F178</f>
        <v>347384923.11000001</v>
      </c>
      <c r="F57" s="163">
        <f t="shared" si="3"/>
        <v>0.99566688949821847</v>
      </c>
      <c r="G57" s="124">
        <f>'RESUMEN POR UNIDAD'!G178</f>
        <v>240924657.09</v>
      </c>
      <c r="H57" s="392">
        <f t="shared" ref="H57:H59" si="4">G57/E57</f>
        <v>0.69353803536750158</v>
      </c>
    </row>
    <row r="58" spans="2:8" ht="23.25" customHeight="1" x14ac:dyDescent="0.25">
      <c r="B58" s="44">
        <v>2409</v>
      </c>
      <c r="C58" s="255" t="s">
        <v>1334</v>
      </c>
      <c r="D58" s="124">
        <f>'RESUMEN POR UNIDAD'!E185</f>
        <v>110210000</v>
      </c>
      <c r="E58" s="124">
        <f>'RESUMEN POR UNIDAD'!F185</f>
        <v>107716000</v>
      </c>
      <c r="F58" s="163">
        <f t="shared" si="3"/>
        <v>0.97737047454858905</v>
      </c>
      <c r="G58" s="124">
        <f>'RESUMEN POR UNIDAD'!G185</f>
        <v>107716000</v>
      </c>
      <c r="H58" s="392">
        <f t="shared" si="4"/>
        <v>1</v>
      </c>
    </row>
    <row r="59" spans="2:8" ht="23.25" customHeight="1" x14ac:dyDescent="0.25">
      <c r="B59" s="44">
        <v>4001</v>
      </c>
      <c r="C59" s="255" t="s">
        <v>222</v>
      </c>
      <c r="D59" s="124">
        <f>'RESUMEN POR UNIDAD'!E180</f>
        <v>1268916662.03</v>
      </c>
      <c r="E59" s="124">
        <f>'RESUMEN POR UNIDAD'!F180</f>
        <v>1062054409.304014</v>
      </c>
      <c r="F59" s="163">
        <f t="shared" si="3"/>
        <v>0.83697727446099579</v>
      </c>
      <c r="G59" s="124">
        <f>'RESUMEN POR UNIDAD'!G180</f>
        <v>1001604412.3925239</v>
      </c>
      <c r="H59" s="392">
        <f t="shared" si="4"/>
        <v>0.94308201502491362</v>
      </c>
    </row>
    <row r="60" spans="2:8" ht="23.25" customHeight="1" x14ac:dyDescent="0.25">
      <c r="B60" s="42"/>
      <c r="C60" s="92" t="s">
        <v>1373</v>
      </c>
      <c r="D60" s="98">
        <f>D52+D56</f>
        <v>9907914024.9699993</v>
      </c>
      <c r="E60" s="98">
        <f>E52+E56</f>
        <v>7164500614.1940136</v>
      </c>
      <c r="F60" s="496">
        <f t="shared" si="3"/>
        <v>0.72310888004659557</v>
      </c>
      <c r="G60" s="98">
        <f>G52+G56</f>
        <v>6976675351.2625237</v>
      </c>
      <c r="H60" s="497">
        <f>G60/E60</f>
        <v>0.97378390022615413</v>
      </c>
    </row>
    <row r="61" spans="2:8" x14ac:dyDescent="0.25">
      <c r="D61" s="253"/>
      <c r="E61" s="253"/>
      <c r="G61" s="253"/>
      <c r="H61" s="393"/>
    </row>
    <row r="62" spans="2:8" ht="26.25" customHeight="1" x14ac:dyDescent="0.25">
      <c r="B62" s="624" t="s">
        <v>1374</v>
      </c>
      <c r="C62" s="625"/>
      <c r="D62" s="411">
        <f>D60+D49</f>
        <v>329398378156.88</v>
      </c>
      <c r="E62" s="411">
        <f>E60+E49</f>
        <v>293229739975.77405</v>
      </c>
      <c r="F62" s="494">
        <f>E62/D62</f>
        <v>0.89019788626925112</v>
      </c>
      <c r="G62" s="411">
        <f>G60+G49</f>
        <v>293041914712.84253</v>
      </c>
      <c r="H62" s="495">
        <f>G62/E62</f>
        <v>0.99935946039120371</v>
      </c>
    </row>
    <row r="67" spans="3:4" ht="15.75" x14ac:dyDescent="0.25">
      <c r="C67" s="173" t="s">
        <v>1700</v>
      </c>
      <c r="D67" s="170"/>
    </row>
    <row r="68" spans="3:4" x14ac:dyDescent="0.25">
      <c r="C68" s="165" t="s">
        <v>1544</v>
      </c>
      <c r="D68" s="171"/>
    </row>
    <row r="69" spans="3:4" x14ac:dyDescent="0.25">
      <c r="C69" s="166" t="s">
        <v>1545</v>
      </c>
      <c r="D69" s="171"/>
    </row>
    <row r="70" spans="3:4" x14ac:dyDescent="0.25">
      <c r="C70" s="167" t="s">
        <v>1546</v>
      </c>
      <c r="D70" s="171"/>
    </row>
    <row r="71" spans="3:4" x14ac:dyDescent="0.25">
      <c r="C71" s="168" t="s">
        <v>1547</v>
      </c>
      <c r="D71" s="171"/>
    </row>
    <row r="72" spans="3:4" x14ac:dyDescent="0.25">
      <c r="C72" s="169" t="s">
        <v>1548</v>
      </c>
      <c r="D72" s="171"/>
    </row>
    <row r="73" spans="3:4" x14ac:dyDescent="0.25">
      <c r="D73" s="172"/>
    </row>
  </sheetData>
  <mergeCells count="3">
    <mergeCell ref="B62:C62"/>
    <mergeCell ref="B1:H1"/>
    <mergeCell ref="B51:H51"/>
  </mergeCells>
  <conditionalFormatting sqref="F4:F49">
    <cfRule type="cellIs" dxfId="74" priority="26" operator="between">
      <formula>0</formula>
      <formula>0.3999</formula>
    </cfRule>
    <cfRule type="cellIs" dxfId="73" priority="27" operator="between">
      <formula>0.4</formula>
      <formula>0.59</formula>
    </cfRule>
    <cfRule type="cellIs" dxfId="72" priority="28" operator="between">
      <formula>0.6</formula>
      <formula>0.69</formula>
    </cfRule>
    <cfRule type="cellIs" dxfId="71" priority="29" operator="between">
      <formula>0.695</formula>
      <formula>0.7949</formula>
    </cfRule>
    <cfRule type="cellIs" dxfId="70" priority="30" operator="greaterThan">
      <formula>0.795</formula>
    </cfRule>
  </conditionalFormatting>
  <conditionalFormatting sqref="F53:F60">
    <cfRule type="cellIs" dxfId="69" priority="21" operator="between">
      <formula>0</formula>
      <formula>0.3999</formula>
    </cfRule>
    <cfRule type="cellIs" dxfId="68" priority="22" operator="between">
      <formula>0.4</formula>
      <formula>0.59</formula>
    </cfRule>
    <cfRule type="cellIs" dxfId="67" priority="23" operator="between">
      <formula>0.6</formula>
      <formula>0.69</formula>
    </cfRule>
    <cfRule type="cellIs" dxfId="66" priority="24" operator="between">
      <formula>0.7</formula>
      <formula>0.79</formula>
    </cfRule>
    <cfRule type="cellIs" dxfId="65" priority="25" operator="between">
      <formula>0.8</formula>
      <formula>1</formula>
    </cfRule>
  </conditionalFormatting>
  <conditionalFormatting sqref="F62">
    <cfRule type="cellIs" dxfId="64" priority="16" operator="between">
      <formula>0</formula>
      <formula>0.3999</formula>
    </cfRule>
    <cfRule type="cellIs" dxfId="63" priority="17" operator="between">
      <formula>0.4</formula>
      <formula>0.59</formula>
    </cfRule>
    <cfRule type="cellIs" dxfId="62" priority="18" operator="between">
      <formula>0.6</formula>
      <formula>0.69</formula>
    </cfRule>
    <cfRule type="cellIs" dxfId="61" priority="19" operator="between">
      <formula>0.695</formula>
      <formula>0.7949</formula>
    </cfRule>
    <cfRule type="cellIs" dxfId="60" priority="20" operator="between">
      <formula>0.8</formula>
      <formula>1</formula>
    </cfRule>
  </conditionalFormatting>
  <conditionalFormatting sqref="F3">
    <cfRule type="cellIs" dxfId="59" priority="11" operator="between">
      <formula>0</formula>
      <formula>0.3999</formula>
    </cfRule>
    <cfRule type="cellIs" dxfId="58" priority="12" operator="between">
      <formula>0.4</formula>
      <formula>0.59</formula>
    </cfRule>
    <cfRule type="cellIs" dxfId="57" priority="13" operator="between">
      <formula>0.6</formula>
      <formula>0.69</formula>
    </cfRule>
    <cfRule type="cellIs" dxfId="56" priority="14" operator="between">
      <formula>0.7</formula>
      <formula>0.79</formula>
    </cfRule>
    <cfRule type="cellIs" dxfId="55" priority="15" operator="greaterThan">
      <formula>0.795</formula>
    </cfRule>
  </conditionalFormatting>
  <conditionalFormatting sqref="F52">
    <cfRule type="cellIs" dxfId="54" priority="1" operator="between">
      <formula>0</formula>
      <formula>0.3999</formula>
    </cfRule>
    <cfRule type="cellIs" dxfId="53" priority="2" operator="between">
      <formula>0.4</formula>
      <formula>0.59</formula>
    </cfRule>
    <cfRule type="cellIs" dxfId="52" priority="3" operator="between">
      <formula>0.595</formula>
      <formula>0.6949</formula>
    </cfRule>
    <cfRule type="cellIs" dxfId="51" priority="4" operator="between">
      <formula>0.7</formula>
      <formula>0.79</formula>
    </cfRule>
    <cfRule type="cellIs" dxfId="50" priority="5" operator="between">
      <formula>0.8</formula>
      <formula>1</formula>
    </cfRule>
  </conditionalFormatting>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H47"/>
  <sheetViews>
    <sheetView showGridLines="0" topLeftCell="D1" zoomScale="80" zoomScaleNormal="80" workbookViewId="0">
      <selection activeCell="F19" sqref="F19"/>
    </sheetView>
  </sheetViews>
  <sheetFormatPr baseColWidth="10" defaultColWidth="11.42578125" defaultRowHeight="15" x14ac:dyDescent="0.25"/>
  <cols>
    <col min="3" max="3" width="64.42578125" customWidth="1"/>
    <col min="4" max="4" width="32.7109375" customWidth="1"/>
    <col min="5" max="5" width="31.7109375" customWidth="1"/>
    <col min="6" max="6" width="17.5703125" customWidth="1"/>
    <col min="7" max="7" width="31.85546875" customWidth="1"/>
    <col min="8" max="8" width="24.140625" customWidth="1"/>
  </cols>
  <sheetData>
    <row r="1" spans="2:8" ht="67.5" customHeight="1" x14ac:dyDescent="0.25">
      <c r="B1" s="620" t="s">
        <v>1690</v>
      </c>
      <c r="C1" s="620"/>
      <c r="D1" s="620"/>
      <c r="E1" s="620"/>
      <c r="F1" s="620"/>
      <c r="G1" s="620"/>
      <c r="H1" s="620"/>
    </row>
    <row r="2" spans="2:8" ht="24.95" customHeight="1" x14ac:dyDescent="0.25">
      <c r="B2" s="486" t="s">
        <v>1371</v>
      </c>
      <c r="C2" s="487" t="s">
        <v>1353</v>
      </c>
      <c r="D2" s="486" t="s">
        <v>1492</v>
      </c>
      <c r="E2" s="486" t="s">
        <v>1490</v>
      </c>
      <c r="F2" s="486" t="s">
        <v>1506</v>
      </c>
      <c r="G2" s="486" t="s">
        <v>1491</v>
      </c>
      <c r="H2" s="487" t="s">
        <v>1505</v>
      </c>
    </row>
    <row r="3" spans="2:8" ht="24.95" customHeight="1" x14ac:dyDescent="0.25">
      <c r="B3" s="505">
        <v>1</v>
      </c>
      <c r="C3" s="506" t="s">
        <v>1614</v>
      </c>
      <c r="D3" s="507">
        <f>PROGRAMAS!D3</f>
        <v>289944507382.05005</v>
      </c>
      <c r="E3" s="507">
        <f>PROGRAMAS!E3</f>
        <v>270593268666.09003</v>
      </c>
      <c r="F3" s="508">
        <f>E3/D3</f>
        <v>0.93325881945243561</v>
      </c>
      <c r="G3" s="507">
        <f>PROGRAMAS!G3</f>
        <v>270593268666.09003</v>
      </c>
      <c r="H3" s="509">
        <f>G3/E3</f>
        <v>1</v>
      </c>
    </row>
    <row r="4" spans="2:8" ht="24.95" customHeight="1" x14ac:dyDescent="0.25">
      <c r="B4" s="69">
        <v>2</v>
      </c>
      <c r="C4" s="70" t="s">
        <v>1621</v>
      </c>
      <c r="D4" s="252">
        <f>PROGRAMAS!D22</f>
        <v>5899994710.2399998</v>
      </c>
      <c r="E4" s="252">
        <f>PROGRAMAS!E22</f>
        <v>4757390366.5100002</v>
      </c>
      <c r="F4" s="378">
        <f>E4/D4</f>
        <v>0.8063380731940486</v>
      </c>
      <c r="G4" s="252">
        <f>PROGRAMAS!G22</f>
        <v>4757390366.5100002</v>
      </c>
      <c r="H4" s="164">
        <f>G4/E4</f>
        <v>1</v>
      </c>
    </row>
    <row r="5" spans="2:8" ht="24.95" customHeight="1" x14ac:dyDescent="0.25">
      <c r="B5" s="69">
        <v>3</v>
      </c>
      <c r="C5" s="255" t="s">
        <v>1616</v>
      </c>
      <c r="D5" s="252">
        <f>PROGRAMAS!D35</f>
        <v>16883128288.780001</v>
      </c>
      <c r="E5" s="252">
        <f>PROGRAMAS!E35</f>
        <v>4858397431.4200001</v>
      </c>
      <c r="F5" s="378">
        <f>E5/D5</f>
        <v>0.28776642268653135</v>
      </c>
      <c r="G5" s="252">
        <f>PROGRAMAS!G35</f>
        <v>4858397431.4200001</v>
      </c>
      <c r="H5" s="164">
        <f>G5/E5</f>
        <v>1</v>
      </c>
    </row>
    <row r="6" spans="2:8" ht="24.95" customHeight="1" x14ac:dyDescent="0.25">
      <c r="B6" s="69">
        <v>4</v>
      </c>
      <c r="C6" s="259" t="s">
        <v>1612</v>
      </c>
      <c r="D6" s="252">
        <f>PROGRAMAS!D45</f>
        <v>6762833750.8400002</v>
      </c>
      <c r="E6" s="252">
        <f>PROGRAMAS!E45</f>
        <v>5856182897.5600004</v>
      </c>
      <c r="F6" s="378">
        <f>E6/D6</f>
        <v>0.86593624999766017</v>
      </c>
      <c r="G6" s="252">
        <f>PROGRAMAS!G45</f>
        <v>5856182897.5600004</v>
      </c>
      <c r="H6" s="164">
        <f>G6/E6</f>
        <v>1</v>
      </c>
    </row>
    <row r="7" spans="2:8" ht="24.95" customHeight="1" x14ac:dyDescent="0.25">
      <c r="B7" s="42"/>
      <c r="C7" s="92" t="s">
        <v>1375</v>
      </c>
      <c r="D7" s="98">
        <f>SUM(D3:D6)</f>
        <v>319490464131.9101</v>
      </c>
      <c r="E7" s="98">
        <f>SUM(E3:E6)</f>
        <v>286065239361.58002</v>
      </c>
      <c r="F7" s="480">
        <f>E7/D7</f>
        <v>0.89537958554991615</v>
      </c>
      <c r="G7" s="98">
        <f>SUM(G3:G6)</f>
        <v>286065239361.58002</v>
      </c>
      <c r="H7" s="510">
        <f>G7/E7</f>
        <v>1</v>
      </c>
    </row>
    <row r="14" spans="2:8" ht="64.5" customHeight="1" x14ac:dyDescent="0.25">
      <c r="B14" s="620" t="s">
        <v>1691</v>
      </c>
      <c r="C14" s="620"/>
      <c r="D14" s="620"/>
      <c r="E14" s="620"/>
      <c r="F14" s="620"/>
      <c r="G14" s="620"/>
      <c r="H14" s="620"/>
    </row>
    <row r="15" spans="2:8" ht="24.95" customHeight="1" x14ac:dyDescent="0.25">
      <c r="B15" s="486" t="s">
        <v>1371</v>
      </c>
      <c r="C15" s="487" t="s">
        <v>1353</v>
      </c>
      <c r="D15" s="486" t="s">
        <v>1492</v>
      </c>
      <c r="E15" s="486" t="s">
        <v>1490</v>
      </c>
      <c r="F15" s="486" t="s">
        <v>1506</v>
      </c>
      <c r="G15" s="486" t="s">
        <v>1491</v>
      </c>
      <c r="H15" s="487" t="s">
        <v>1505</v>
      </c>
    </row>
    <row r="16" spans="2:8" ht="24.95" customHeight="1" x14ac:dyDescent="0.25">
      <c r="B16" s="505">
        <v>1</v>
      </c>
      <c r="C16" s="506" t="s">
        <v>1612</v>
      </c>
      <c r="D16" s="507">
        <f>PROGRAMAS!D52</f>
        <v>8179890631.7399998</v>
      </c>
      <c r="E16" s="507">
        <f>PROGRAMAS!E52</f>
        <v>5647345281.7799997</v>
      </c>
      <c r="F16" s="485">
        <f t="shared" ref="F16" si="0">E16/D16</f>
        <v>0.69039373947946225</v>
      </c>
      <c r="G16" s="507">
        <f>PROGRAMAS!G52</f>
        <v>5626430281.7799997</v>
      </c>
      <c r="H16" s="509">
        <f>G16/E16</f>
        <v>0.99629648995122044</v>
      </c>
    </row>
    <row r="17" spans="2:8" ht="24.95" customHeight="1" x14ac:dyDescent="0.25">
      <c r="B17" s="69">
        <v>3</v>
      </c>
      <c r="C17" s="70" t="s">
        <v>1616</v>
      </c>
      <c r="D17" s="252">
        <f>PROGRAMAS!D56</f>
        <v>1728023393.23</v>
      </c>
      <c r="E17" s="252">
        <f>PROGRAMAS!E56</f>
        <v>1517155332.4140139</v>
      </c>
      <c r="F17" s="378">
        <f>E17/D17</f>
        <v>0.87797152420382796</v>
      </c>
      <c r="G17" s="252">
        <f>PROGRAMAS!G56</f>
        <v>1350245069.4825239</v>
      </c>
      <c r="H17" s="164">
        <f>G17/E17</f>
        <v>0.88998472380154281</v>
      </c>
    </row>
    <row r="18" spans="2:8" ht="24.95" customHeight="1" x14ac:dyDescent="0.25">
      <c r="B18" s="42"/>
      <c r="C18" s="92" t="s">
        <v>1375</v>
      </c>
      <c r="D18" s="98">
        <f>SUM(D16:D17)</f>
        <v>9907914024.9699993</v>
      </c>
      <c r="E18" s="98">
        <f>SUM(E16:E17)</f>
        <v>7164500614.1940136</v>
      </c>
      <c r="F18" s="480">
        <f>E18/D18</f>
        <v>0.72310888004659557</v>
      </c>
      <c r="G18" s="98">
        <f>SUM(G16:G17)</f>
        <v>6976675351.2625237</v>
      </c>
      <c r="H18" s="510">
        <f>G18/E18</f>
        <v>0.97378390022615413</v>
      </c>
    </row>
    <row r="30" spans="2:8" ht="60.75" customHeight="1" x14ac:dyDescent="0.25">
      <c r="B30" s="620" t="s">
        <v>1692</v>
      </c>
      <c r="C30" s="620"/>
      <c r="D30" s="620"/>
      <c r="E30" s="620"/>
      <c r="F30" s="620"/>
      <c r="G30" s="620"/>
      <c r="H30" s="620"/>
    </row>
    <row r="31" spans="2:8" ht="24.95" customHeight="1" x14ac:dyDescent="0.25">
      <c r="B31" s="486" t="s">
        <v>1371</v>
      </c>
      <c r="C31" s="487" t="s">
        <v>1668</v>
      </c>
      <c r="D31" s="486" t="s">
        <v>1492</v>
      </c>
      <c r="E31" s="486" t="s">
        <v>1490</v>
      </c>
      <c r="F31" s="486" t="s">
        <v>1506</v>
      </c>
      <c r="G31" s="486" t="s">
        <v>1491</v>
      </c>
      <c r="H31" s="487" t="s">
        <v>1505</v>
      </c>
    </row>
    <row r="32" spans="2:8" ht="24.95" customHeight="1" x14ac:dyDescent="0.25">
      <c r="B32" s="505">
        <v>1</v>
      </c>
      <c r="C32" s="506" t="s">
        <v>1614</v>
      </c>
      <c r="D32" s="507">
        <f>D3+D16</f>
        <v>298124398013.79004</v>
      </c>
      <c r="E32" s="507">
        <f>E3+E16</f>
        <v>276240613947.87006</v>
      </c>
      <c r="F32" s="508">
        <f>E32/D32</f>
        <v>0.92659512535130473</v>
      </c>
      <c r="G32" s="507">
        <f>G3+G16</f>
        <v>276219698947.87006</v>
      </c>
      <c r="H32" s="509">
        <f>G32/E32</f>
        <v>0.99992428702028602</v>
      </c>
    </row>
    <row r="33" spans="2:8" ht="24.95" customHeight="1" x14ac:dyDescent="0.25">
      <c r="B33" s="69">
        <v>2</v>
      </c>
      <c r="C33" s="70" t="s">
        <v>1621</v>
      </c>
      <c r="D33" s="252">
        <f>D4</f>
        <v>5899994710.2399998</v>
      </c>
      <c r="E33" s="252">
        <f>E4</f>
        <v>4757390366.5100002</v>
      </c>
      <c r="F33" s="378">
        <f>E33/D33</f>
        <v>0.8063380731940486</v>
      </c>
      <c r="G33" s="252">
        <f>G4</f>
        <v>4757390366.5100002</v>
      </c>
      <c r="H33" s="164">
        <f>G33/E33</f>
        <v>1</v>
      </c>
    </row>
    <row r="34" spans="2:8" ht="24.95" customHeight="1" x14ac:dyDescent="0.25">
      <c r="B34" s="69">
        <v>3</v>
      </c>
      <c r="C34" s="70" t="s">
        <v>1616</v>
      </c>
      <c r="D34" s="252">
        <f>D5+D17</f>
        <v>18611151682.010002</v>
      </c>
      <c r="E34" s="252">
        <f>E5+E17</f>
        <v>6375552763.8340139</v>
      </c>
      <c r="F34" s="378">
        <f>E34/D34</f>
        <v>0.34256626740605101</v>
      </c>
      <c r="G34" s="252">
        <f>G5+G17</f>
        <v>6208642500.902524</v>
      </c>
      <c r="H34" s="164">
        <f>G34/E34</f>
        <v>0.9738202679651079</v>
      </c>
    </row>
    <row r="35" spans="2:8" ht="24.95" customHeight="1" x14ac:dyDescent="0.25">
      <c r="B35" s="69">
        <v>4</v>
      </c>
      <c r="C35" s="259" t="s">
        <v>1612</v>
      </c>
      <c r="D35" s="252">
        <f>D6</f>
        <v>6762833750.8400002</v>
      </c>
      <c r="E35" s="252">
        <f>E6</f>
        <v>5856182897.5600004</v>
      </c>
      <c r="F35" s="378">
        <f>E35/D35</f>
        <v>0.86593624999766017</v>
      </c>
      <c r="G35" s="252">
        <f>G6</f>
        <v>5856182897.5600004</v>
      </c>
      <c r="H35" s="164">
        <f>G35/E35</f>
        <v>1</v>
      </c>
    </row>
    <row r="36" spans="2:8" ht="24.95" customHeight="1" x14ac:dyDescent="0.25">
      <c r="B36" s="42"/>
      <c r="C36" s="92" t="s">
        <v>1375</v>
      </c>
      <c r="D36" s="98">
        <f>SUM(D32:D35)</f>
        <v>329398378156.88007</v>
      </c>
      <c r="E36" s="98">
        <f>SUM(E32:E35)</f>
        <v>293229739975.77405</v>
      </c>
      <c r="F36" s="480">
        <f>E36/D36</f>
        <v>0.890197886269251</v>
      </c>
      <c r="G36" s="98">
        <f>SUM(G32:G35)</f>
        <v>293041914712.84259</v>
      </c>
      <c r="H36" s="510">
        <f>G36/E36</f>
        <v>0.99935946039120394</v>
      </c>
    </row>
    <row r="41" spans="2:8" ht="15.75" thickBot="1" x14ac:dyDescent="0.3"/>
    <row r="42" spans="2:8" ht="15.75" x14ac:dyDescent="0.25">
      <c r="B42" s="630" t="s">
        <v>1700</v>
      </c>
      <c r="C42" s="631"/>
    </row>
    <row r="43" spans="2:8" x14ac:dyDescent="0.25">
      <c r="B43" s="632" t="s">
        <v>1544</v>
      </c>
      <c r="C43" s="633"/>
    </row>
    <row r="44" spans="2:8" x14ac:dyDescent="0.25">
      <c r="B44" s="634" t="s">
        <v>1545</v>
      </c>
      <c r="C44" s="635"/>
    </row>
    <row r="45" spans="2:8" x14ac:dyDescent="0.25">
      <c r="B45" s="636" t="s">
        <v>1546</v>
      </c>
      <c r="C45" s="637"/>
    </row>
    <row r="46" spans="2:8" x14ac:dyDescent="0.25">
      <c r="B46" s="626" t="s">
        <v>1547</v>
      </c>
      <c r="C46" s="627"/>
    </row>
    <row r="47" spans="2:8" x14ac:dyDescent="0.25">
      <c r="B47" s="628" t="s">
        <v>1548</v>
      </c>
      <c r="C47" s="629"/>
    </row>
  </sheetData>
  <mergeCells count="9">
    <mergeCell ref="B46:C46"/>
    <mergeCell ref="B47:C47"/>
    <mergeCell ref="B14:H14"/>
    <mergeCell ref="B30:H30"/>
    <mergeCell ref="B1:H1"/>
    <mergeCell ref="B42:C42"/>
    <mergeCell ref="B43:C43"/>
    <mergeCell ref="B44:C44"/>
    <mergeCell ref="B45:C45"/>
  </mergeCells>
  <conditionalFormatting sqref="F17:F18">
    <cfRule type="cellIs" dxfId="49" priority="16" operator="between">
      <formula>0</formula>
      <formula>0.3999</formula>
    </cfRule>
    <cfRule type="cellIs" dxfId="48" priority="17" operator="between">
      <formula>0.4</formula>
      <formula>0.59</formula>
    </cfRule>
    <cfRule type="cellIs" dxfId="47" priority="18" operator="between">
      <formula>0.6</formula>
      <formula>0.69</formula>
    </cfRule>
    <cfRule type="cellIs" dxfId="46" priority="19" operator="between">
      <formula>0.7</formula>
      <formula>0.79</formula>
    </cfRule>
    <cfRule type="cellIs" dxfId="45" priority="20" operator="between">
      <formula>0.8</formula>
      <formula>1</formula>
    </cfRule>
  </conditionalFormatting>
  <conditionalFormatting sqref="F3:F7">
    <cfRule type="cellIs" dxfId="44" priority="11" operator="between">
      <formula>0</formula>
      <formula>0.3999</formula>
    </cfRule>
    <cfRule type="cellIs" dxfId="43" priority="12" operator="between">
      <formula>0.4</formula>
      <formula>0.59</formula>
    </cfRule>
    <cfRule type="cellIs" dxfId="42" priority="13" operator="between">
      <formula>0.6</formula>
      <formula>0.69</formula>
    </cfRule>
    <cfRule type="cellIs" dxfId="41" priority="14" operator="between">
      <formula>0.7</formula>
      <formula>0.79</formula>
    </cfRule>
    <cfRule type="cellIs" dxfId="40" priority="15" operator="greaterThan">
      <formula>0.795</formula>
    </cfRule>
  </conditionalFormatting>
  <conditionalFormatting sqref="F16">
    <cfRule type="cellIs" dxfId="39" priority="6" operator="between">
      <formula>0</formula>
      <formula>0.3999</formula>
    </cfRule>
    <cfRule type="cellIs" dxfId="38" priority="7" operator="between">
      <formula>0.4</formula>
      <formula>0.59</formula>
    </cfRule>
    <cfRule type="cellIs" dxfId="37" priority="8" operator="between">
      <formula>0.595</formula>
      <formula>0.6949</formula>
    </cfRule>
    <cfRule type="cellIs" dxfId="36" priority="9" operator="between">
      <formula>0.7</formula>
      <formula>0.79</formula>
    </cfRule>
    <cfRule type="cellIs" dxfId="35" priority="10" operator="between">
      <formula>0.8</formula>
      <formula>1</formula>
    </cfRule>
  </conditionalFormatting>
  <conditionalFormatting sqref="F32:F36">
    <cfRule type="cellIs" dxfId="34" priority="1" operator="between">
      <formula>0</formula>
      <formula>0.3999</formula>
    </cfRule>
    <cfRule type="cellIs" dxfId="33" priority="2" operator="between">
      <formula>0.4</formula>
      <formula>0.59</formula>
    </cfRule>
    <cfRule type="cellIs" dxfId="32" priority="3" operator="between">
      <formula>0.6</formula>
      <formula>0.69</formula>
    </cfRule>
    <cfRule type="cellIs" dxfId="31" priority="4" operator="between">
      <formula>0.7</formula>
      <formula>0.79</formula>
    </cfRule>
    <cfRule type="cellIs" dxfId="30" priority="5" operator="greaterThan">
      <formula>0.795</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G169"/>
  <sheetViews>
    <sheetView showGridLines="0" zoomScale="80" zoomScaleNormal="80" workbookViewId="0">
      <selection activeCell="C172" sqref="C171:E172"/>
    </sheetView>
  </sheetViews>
  <sheetFormatPr baseColWidth="10" defaultColWidth="11.42578125" defaultRowHeight="15" x14ac:dyDescent="0.2"/>
  <cols>
    <col min="1" max="1" width="20.5703125" style="7" customWidth="1"/>
    <col min="2" max="2" width="70.7109375" style="7" customWidth="1"/>
    <col min="3" max="3" width="25.7109375" style="91" customWidth="1"/>
    <col min="4" max="4" width="28.140625" style="7" customWidth="1"/>
    <col min="5" max="5" width="23.85546875" style="7" customWidth="1"/>
    <col min="6" max="6" width="29.140625" style="7" customWidth="1"/>
    <col min="7" max="7" width="22.85546875" style="7" customWidth="1"/>
    <col min="8" max="16384" width="11.42578125" style="7"/>
  </cols>
  <sheetData>
    <row r="1" spans="1:7" ht="42" customHeight="1" thickBot="1" x14ac:dyDescent="0.25">
      <c r="A1" s="645" t="s">
        <v>1693</v>
      </c>
      <c r="B1" s="646"/>
      <c r="C1" s="646"/>
      <c r="D1" s="646"/>
      <c r="E1" s="646"/>
      <c r="F1" s="646"/>
      <c r="G1" s="647"/>
    </row>
    <row r="2" spans="1:7" s="126" customFormat="1" ht="24" customHeight="1" x14ac:dyDescent="0.25">
      <c r="A2" s="638" t="s">
        <v>23</v>
      </c>
      <c r="B2" s="640" t="s">
        <v>24</v>
      </c>
      <c r="C2" s="642" t="s">
        <v>1376</v>
      </c>
      <c r="D2" s="643"/>
      <c r="E2" s="643"/>
      <c r="F2" s="643"/>
      <c r="G2" s="644"/>
    </row>
    <row r="3" spans="1:7" s="126" customFormat="1" ht="24" customHeight="1" thickBot="1" x14ac:dyDescent="0.3">
      <c r="A3" s="639"/>
      <c r="B3" s="641"/>
      <c r="C3" s="519" t="s">
        <v>1492</v>
      </c>
      <c r="D3" s="519" t="s">
        <v>1490</v>
      </c>
      <c r="E3" s="520" t="s">
        <v>1509</v>
      </c>
      <c r="F3" s="519" t="s">
        <v>1491</v>
      </c>
      <c r="G3" s="519" t="s">
        <v>1507</v>
      </c>
    </row>
    <row r="4" spans="1:7" ht="20.100000000000001" customHeight="1" thickBot="1" x14ac:dyDescent="0.25">
      <c r="A4" s="656" t="s">
        <v>36</v>
      </c>
      <c r="B4" s="657"/>
      <c r="C4" s="521">
        <f>SUM(C5:C8)</f>
        <v>457524940</v>
      </c>
      <c r="D4" s="521">
        <f>SUM(D5:D8)</f>
        <v>421596834.77999997</v>
      </c>
      <c r="E4" s="522">
        <f>D4/C4</f>
        <v>0.92147290326949161</v>
      </c>
      <c r="F4" s="521">
        <f>SUM(F5:F8)</f>
        <v>421596834.77999997</v>
      </c>
      <c r="G4" s="522">
        <f>F4/D4</f>
        <v>1</v>
      </c>
    </row>
    <row r="5" spans="1:7" ht="90" customHeight="1" thickBot="1" x14ac:dyDescent="0.25">
      <c r="A5" s="78" t="s">
        <v>46</v>
      </c>
      <c r="B5" s="85" t="s">
        <v>1377</v>
      </c>
      <c r="C5" s="379">
        <f>'SGTO POAI VIGENCIA 2021'!BP8</f>
        <v>179885000</v>
      </c>
      <c r="D5" s="379">
        <f>'SGTO POAI VIGENCIA 2021'!BQ8</f>
        <v>167290817</v>
      </c>
      <c r="E5" s="108">
        <f t="shared" ref="E5:E68" si="0">D5/C5</f>
        <v>0.92998758651360591</v>
      </c>
      <c r="F5" s="379">
        <f>'SGTO POAI VIGENCIA 2021'!BR8</f>
        <v>167290817</v>
      </c>
      <c r="G5" s="108">
        <f t="shared" ref="G5:G68" si="1">F5/D5</f>
        <v>1</v>
      </c>
    </row>
    <row r="6" spans="1:7" ht="90" customHeight="1" thickBot="1" x14ac:dyDescent="0.25">
      <c r="A6" s="78" t="s">
        <v>52</v>
      </c>
      <c r="B6" s="85" t="s">
        <v>53</v>
      </c>
      <c r="C6" s="379">
        <f>'SGTO POAI VIGENCIA 2021'!BP9</f>
        <v>154285400</v>
      </c>
      <c r="D6" s="379">
        <f>'SGTO POAI VIGENCIA 2021'!BQ9</f>
        <v>145062829</v>
      </c>
      <c r="E6" s="108">
        <f t="shared" si="0"/>
        <v>0.94022395508583445</v>
      </c>
      <c r="F6" s="379">
        <f>'SGTO POAI VIGENCIA 2021'!BR9</f>
        <v>145062829</v>
      </c>
      <c r="G6" s="108">
        <f t="shared" si="1"/>
        <v>1</v>
      </c>
    </row>
    <row r="7" spans="1:7" ht="90" customHeight="1" thickBot="1" x14ac:dyDescent="0.25">
      <c r="A7" s="79" t="s">
        <v>58</v>
      </c>
      <c r="B7" s="85" t="s">
        <v>1378</v>
      </c>
      <c r="C7" s="379">
        <f>'SGTO POAI VIGENCIA 2021'!BP10</f>
        <v>42811174</v>
      </c>
      <c r="D7" s="379">
        <f>'SGTO POAI VIGENCIA 2021'!BQ10</f>
        <v>42811174</v>
      </c>
      <c r="E7" s="108">
        <f t="shared" si="0"/>
        <v>1</v>
      </c>
      <c r="F7" s="379">
        <f>'SGTO POAI VIGENCIA 2021'!BR10</f>
        <v>42811174</v>
      </c>
      <c r="G7" s="108">
        <f t="shared" si="1"/>
        <v>1</v>
      </c>
    </row>
    <row r="8" spans="1:7" ht="90" customHeight="1" thickBot="1" x14ac:dyDescent="0.25">
      <c r="A8" s="80" t="s">
        <v>66</v>
      </c>
      <c r="B8" s="85" t="s">
        <v>67</v>
      </c>
      <c r="C8" s="379">
        <f>'SGTO POAI VIGENCIA 2021'!BP11</f>
        <v>80543366</v>
      </c>
      <c r="D8" s="379">
        <f>'SGTO POAI VIGENCIA 2021'!BQ11</f>
        <v>66432014.780000001</v>
      </c>
      <c r="E8" s="108">
        <f t="shared" si="0"/>
        <v>0.82479809423410488</v>
      </c>
      <c r="F8" s="379">
        <f>'SGTO POAI VIGENCIA 2021'!BR11</f>
        <v>66432014.780000001</v>
      </c>
      <c r="G8" s="108">
        <f t="shared" si="1"/>
        <v>1</v>
      </c>
    </row>
    <row r="9" spans="1:7" ht="16.5" thickBot="1" x14ac:dyDescent="0.25">
      <c r="A9" s="652" t="s">
        <v>69</v>
      </c>
      <c r="B9" s="653"/>
      <c r="C9" s="521">
        <f>SUM(C10:C16)</f>
        <v>910965833</v>
      </c>
      <c r="D9" s="521">
        <f>SUM(D10:D16)</f>
        <v>877866456</v>
      </c>
      <c r="E9" s="522">
        <f t="shared" si="0"/>
        <v>0.96366562191361571</v>
      </c>
      <c r="F9" s="521">
        <f>SUM(F10:F16)</f>
        <v>877866456</v>
      </c>
      <c r="G9" s="522">
        <f t="shared" si="1"/>
        <v>1</v>
      </c>
    </row>
    <row r="10" spans="1:7" ht="90" customHeight="1" thickBot="1" x14ac:dyDescent="0.25">
      <c r="A10" s="80" t="s">
        <v>75</v>
      </c>
      <c r="B10" s="85" t="s">
        <v>1379</v>
      </c>
      <c r="C10" s="379">
        <f>'SGTO POAI VIGENCIA 2021'!BP12</f>
        <v>110600000</v>
      </c>
      <c r="D10" s="379">
        <f>'SGTO POAI VIGENCIA 2021'!BQ12</f>
        <v>87108467</v>
      </c>
      <c r="E10" s="108">
        <f t="shared" si="0"/>
        <v>0.78759915913200729</v>
      </c>
      <c r="F10" s="379">
        <f>'SGTO POAI VIGENCIA 2021'!BR12</f>
        <v>87108467</v>
      </c>
      <c r="G10" s="108">
        <f t="shared" si="1"/>
        <v>1</v>
      </c>
    </row>
    <row r="11" spans="1:7" ht="90" customHeight="1" thickBot="1" x14ac:dyDescent="0.25">
      <c r="A11" s="80" t="s">
        <v>80</v>
      </c>
      <c r="B11" s="85" t="s">
        <v>1380</v>
      </c>
      <c r="C11" s="379">
        <f>'SGTO POAI VIGENCIA 2021'!BP13</f>
        <v>14925000</v>
      </c>
      <c r="D11" s="379">
        <f>'SGTO POAI VIGENCIA 2021'!BQ13</f>
        <v>14925000</v>
      </c>
      <c r="E11" s="108">
        <f t="shared" si="0"/>
        <v>1</v>
      </c>
      <c r="F11" s="379">
        <f>'SGTO POAI VIGENCIA 2021'!BR13</f>
        <v>14925000</v>
      </c>
      <c r="G11" s="108">
        <f t="shared" si="1"/>
        <v>1</v>
      </c>
    </row>
    <row r="12" spans="1:7" ht="90" customHeight="1" thickBot="1" x14ac:dyDescent="0.25">
      <c r="A12" s="80" t="s">
        <v>87</v>
      </c>
      <c r="B12" s="85" t="s">
        <v>1381</v>
      </c>
      <c r="C12" s="379">
        <f>'SGTO POAI VIGENCIA 2021'!BP14</f>
        <v>220682500</v>
      </c>
      <c r="D12" s="379">
        <f>'SGTO POAI VIGENCIA 2021'!BQ14</f>
        <v>216173985</v>
      </c>
      <c r="E12" s="108">
        <f t="shared" si="0"/>
        <v>0.97957012903152718</v>
      </c>
      <c r="F12" s="379">
        <f>'SGTO POAI VIGENCIA 2021'!BR14</f>
        <v>216173985</v>
      </c>
      <c r="G12" s="108">
        <f t="shared" si="1"/>
        <v>1</v>
      </c>
    </row>
    <row r="13" spans="1:7" ht="90" customHeight="1" thickBot="1" x14ac:dyDescent="0.25">
      <c r="A13" s="80" t="s">
        <v>94</v>
      </c>
      <c r="B13" s="85" t="s">
        <v>1382</v>
      </c>
      <c r="C13" s="379">
        <f>'SGTO POAI VIGENCIA 2021'!BP15</f>
        <v>50776000</v>
      </c>
      <c r="D13" s="379">
        <f>'SGTO POAI VIGENCIA 2021'!BQ15</f>
        <v>50776000</v>
      </c>
      <c r="E13" s="108">
        <f t="shared" si="0"/>
        <v>1</v>
      </c>
      <c r="F13" s="379">
        <f>'SGTO POAI VIGENCIA 2021'!BR15</f>
        <v>50776000</v>
      </c>
      <c r="G13" s="108">
        <f t="shared" si="1"/>
        <v>1</v>
      </c>
    </row>
    <row r="14" spans="1:7" ht="90" customHeight="1" thickBot="1" x14ac:dyDescent="0.25">
      <c r="A14" s="80" t="s">
        <v>98</v>
      </c>
      <c r="B14" s="85" t="s">
        <v>1383</v>
      </c>
      <c r="C14" s="379">
        <f>'SGTO POAI VIGENCIA 2021'!BP16</f>
        <v>298084000</v>
      </c>
      <c r="D14" s="379">
        <f>'SGTO POAI VIGENCIA 2021'!BQ16</f>
        <v>293946671</v>
      </c>
      <c r="E14" s="108">
        <f t="shared" si="0"/>
        <v>0.98612025804806702</v>
      </c>
      <c r="F14" s="379">
        <f>'SGTO POAI VIGENCIA 2021'!BR16</f>
        <v>293946671</v>
      </c>
      <c r="G14" s="108">
        <f t="shared" si="1"/>
        <v>1</v>
      </c>
    </row>
    <row r="15" spans="1:7" ht="90" customHeight="1" thickBot="1" x14ac:dyDescent="0.25">
      <c r="A15" s="80" t="s">
        <v>106</v>
      </c>
      <c r="B15" s="85" t="s">
        <v>1384</v>
      </c>
      <c r="C15" s="379">
        <f>'SGTO POAI VIGENCIA 2021'!BP17+'SGTO POAI VIGENCIA 2021'!BP18+'SGTO POAI VIGENCIA 2021'!BP19+'SGTO POAI VIGENCIA 2021'!BP20+'SGTO POAI VIGENCIA 2021'!BP21+'SGTO POAI VIGENCIA 2021'!BP22</f>
        <v>145168333</v>
      </c>
      <c r="D15" s="379">
        <f>'SGTO POAI VIGENCIA 2021'!BQ17+'SGTO POAI VIGENCIA 2021'!BQ18+'SGTO POAI VIGENCIA 2021'!BQ19+'SGTO POAI VIGENCIA 2021'!BQ20+'SGTO POAI VIGENCIA 2021'!BQ21+'SGTO POAI VIGENCIA 2021'!BQ22</f>
        <v>144206333</v>
      </c>
      <c r="E15" s="108">
        <f t="shared" si="0"/>
        <v>0.99337321039568593</v>
      </c>
      <c r="F15" s="379">
        <f>'SGTO POAI VIGENCIA 2021'!BR17+'SGTO POAI VIGENCIA 2021'!BR18+'SGTO POAI VIGENCIA 2021'!BR19+'SGTO POAI VIGENCIA 2021'!BR20+'SGTO POAI VIGENCIA 2021'!BR21+'SGTO POAI VIGENCIA 2021'!BR22</f>
        <v>144206333</v>
      </c>
      <c r="G15" s="108">
        <f t="shared" si="1"/>
        <v>1</v>
      </c>
    </row>
    <row r="16" spans="1:7" ht="90" customHeight="1" thickBot="1" x14ac:dyDescent="0.25">
      <c r="A16" s="79" t="s">
        <v>118</v>
      </c>
      <c r="B16" s="85" t="s">
        <v>1385</v>
      </c>
      <c r="C16" s="379">
        <f>'SGTO POAI VIGENCIA 2021'!BP23</f>
        <v>70730000</v>
      </c>
      <c r="D16" s="379">
        <f>'SGTO POAI VIGENCIA 2021'!BQ23</f>
        <v>70730000</v>
      </c>
      <c r="E16" s="108">
        <f t="shared" si="0"/>
        <v>1</v>
      </c>
      <c r="F16" s="379">
        <f>'SGTO POAI VIGENCIA 2021'!BR23</f>
        <v>70730000</v>
      </c>
      <c r="G16" s="108">
        <f t="shared" si="1"/>
        <v>1</v>
      </c>
    </row>
    <row r="17" spans="1:7" ht="20.100000000000001" customHeight="1" thickBot="1" x14ac:dyDescent="0.25">
      <c r="A17" s="658" t="s">
        <v>121</v>
      </c>
      <c r="B17" s="659"/>
      <c r="C17" s="517">
        <f>SUM(C18:C19)</f>
        <v>2801625342.8400002</v>
      </c>
      <c r="D17" s="517">
        <f>SUM(D18:D19)</f>
        <v>2189284618.6800003</v>
      </c>
      <c r="E17" s="518">
        <f t="shared" si="0"/>
        <v>0.78143375747048616</v>
      </c>
      <c r="F17" s="517">
        <f>SUM(F18:F19)</f>
        <v>2189284618.6800003</v>
      </c>
      <c r="G17" s="518">
        <f t="shared" si="1"/>
        <v>1</v>
      </c>
    </row>
    <row r="18" spans="1:7" ht="90" customHeight="1" thickBot="1" x14ac:dyDescent="0.25">
      <c r="A18" s="80" t="s">
        <v>126</v>
      </c>
      <c r="B18" s="86" t="s">
        <v>127</v>
      </c>
      <c r="C18" s="379">
        <f>'SGTO POAI VIGENCIA 2021'!BP24</f>
        <v>2485625342.8400002</v>
      </c>
      <c r="D18" s="379">
        <f>'SGTO POAI VIGENCIA 2021'!BQ24</f>
        <v>1884104618.6800001</v>
      </c>
      <c r="E18" s="108">
        <f t="shared" si="0"/>
        <v>0.75800024493123297</v>
      </c>
      <c r="F18" s="379">
        <f>'SGTO POAI VIGENCIA 2021'!BR24</f>
        <v>1884104618.6800001</v>
      </c>
      <c r="G18" s="108">
        <f t="shared" si="1"/>
        <v>1</v>
      </c>
    </row>
    <row r="19" spans="1:7" ht="90" customHeight="1" thickBot="1" x14ac:dyDescent="0.25">
      <c r="A19" s="80" t="s">
        <v>132</v>
      </c>
      <c r="B19" s="86" t="s">
        <v>1386</v>
      </c>
      <c r="C19" s="379">
        <f>'SGTO POAI VIGENCIA 2021'!BP25</f>
        <v>316000000</v>
      </c>
      <c r="D19" s="379">
        <f>'SGTO POAI VIGENCIA 2021'!BQ25</f>
        <v>305180000</v>
      </c>
      <c r="E19" s="108">
        <f t="shared" si="0"/>
        <v>0.96575949367088609</v>
      </c>
      <c r="F19" s="379">
        <f>'SGTO POAI VIGENCIA 2021'!BR25</f>
        <v>305180000</v>
      </c>
      <c r="G19" s="108">
        <f t="shared" si="1"/>
        <v>1</v>
      </c>
    </row>
    <row r="20" spans="1:7" ht="20.100000000000001" customHeight="1" thickBot="1" x14ac:dyDescent="0.25">
      <c r="A20" s="652" t="s">
        <v>135</v>
      </c>
      <c r="B20" s="653"/>
      <c r="C20" s="521">
        <f>SUM(C21:C34)</f>
        <v>19845352105.279999</v>
      </c>
      <c r="D20" s="521">
        <f>SUM(D21:D34)</f>
        <v>4976127086.9700003</v>
      </c>
      <c r="E20" s="522">
        <f t="shared" si="0"/>
        <v>0.25074521533160732</v>
      </c>
      <c r="F20" s="521">
        <f>SUM(F21:F34)</f>
        <v>4976127086.9700003</v>
      </c>
      <c r="G20" s="522">
        <f t="shared" si="1"/>
        <v>1</v>
      </c>
    </row>
    <row r="21" spans="1:7" ht="90" customHeight="1" thickBot="1" x14ac:dyDescent="0.25">
      <c r="A21" s="78" t="s">
        <v>144</v>
      </c>
      <c r="B21" s="87" t="s">
        <v>1387</v>
      </c>
      <c r="C21" s="379">
        <f>'SGTO POAI VIGENCIA 2021'!BP26</f>
        <v>24750000</v>
      </c>
      <c r="D21" s="379">
        <f>'SGTO POAI VIGENCIA 2021'!BQ26</f>
        <v>22616827</v>
      </c>
      <c r="E21" s="108">
        <f t="shared" si="0"/>
        <v>0.91381119191919191</v>
      </c>
      <c r="F21" s="379">
        <f>'SGTO POAI VIGENCIA 2021'!BR26</f>
        <v>22616827</v>
      </c>
      <c r="G21" s="108">
        <f t="shared" si="1"/>
        <v>1</v>
      </c>
    </row>
    <row r="22" spans="1:7" ht="90" customHeight="1" thickBot="1" x14ac:dyDescent="0.25">
      <c r="A22" s="78" t="s">
        <v>153</v>
      </c>
      <c r="B22" s="85" t="s">
        <v>1388</v>
      </c>
      <c r="C22" s="379">
        <f>'SGTO POAI VIGENCIA 2021'!BP27</f>
        <v>459746979</v>
      </c>
      <c r="D22" s="379">
        <f>'SGTO POAI VIGENCIA 2021'!BQ27</f>
        <v>6880000</v>
      </c>
      <c r="E22" s="108">
        <f t="shared" si="0"/>
        <v>1.4964753036474003E-2</v>
      </c>
      <c r="F22" s="379">
        <f>'SGTO POAI VIGENCIA 2021'!BR27</f>
        <v>6880000</v>
      </c>
      <c r="G22" s="108">
        <f t="shared" si="1"/>
        <v>1</v>
      </c>
    </row>
    <row r="23" spans="1:7" ht="90" customHeight="1" thickBot="1" x14ac:dyDescent="0.25">
      <c r="A23" s="80" t="s">
        <v>163</v>
      </c>
      <c r="B23" s="85" t="s">
        <v>1389</v>
      </c>
      <c r="C23" s="379">
        <f>'SGTO POAI VIGENCIA 2021'!BP28</f>
        <v>1765974462.4000001</v>
      </c>
      <c r="D23" s="379">
        <f>'SGTO POAI VIGENCIA 2021'!BQ28</f>
        <v>298522254</v>
      </c>
      <c r="E23" s="108">
        <f t="shared" si="0"/>
        <v>0.16904109337702503</v>
      </c>
      <c r="F23" s="379">
        <f>'SGTO POAI VIGENCIA 2021'!BR28</f>
        <v>298522254</v>
      </c>
      <c r="G23" s="108">
        <f t="shared" si="1"/>
        <v>1</v>
      </c>
    </row>
    <row r="24" spans="1:7" ht="90" customHeight="1" thickBot="1" x14ac:dyDescent="0.25">
      <c r="A24" s="80" t="s">
        <v>173</v>
      </c>
      <c r="B24" s="85" t="s">
        <v>174</v>
      </c>
      <c r="C24" s="379">
        <f>'SGTO POAI VIGENCIA 2021'!BP29</f>
        <v>110104790</v>
      </c>
      <c r="D24" s="379">
        <f>'SGTO POAI VIGENCIA 2021'!BQ29</f>
        <v>52387068</v>
      </c>
      <c r="E24" s="108">
        <f t="shared" si="0"/>
        <v>0.47579281518996586</v>
      </c>
      <c r="F24" s="379">
        <f>'SGTO POAI VIGENCIA 2021'!BR29</f>
        <v>52387068</v>
      </c>
      <c r="G24" s="108">
        <f t="shared" si="1"/>
        <v>1</v>
      </c>
    </row>
    <row r="25" spans="1:7" ht="90" customHeight="1" thickBot="1" x14ac:dyDescent="0.25">
      <c r="A25" s="80" t="s">
        <v>183</v>
      </c>
      <c r="B25" s="85" t="s">
        <v>1390</v>
      </c>
      <c r="C25" s="379">
        <f>'SGTO POAI VIGENCIA 2021'!BP30</f>
        <v>2760904177.1000004</v>
      </c>
      <c r="D25" s="379">
        <f>'SGTO POAI VIGENCIA 2021'!BQ30</f>
        <v>573180312.50999999</v>
      </c>
      <c r="E25" s="108">
        <f t="shared" si="0"/>
        <v>0.20760601445866092</v>
      </c>
      <c r="F25" s="379">
        <f>'SGTO POAI VIGENCIA 2021'!BR30</f>
        <v>573180312.50999999</v>
      </c>
      <c r="G25" s="108">
        <f t="shared" si="1"/>
        <v>1</v>
      </c>
    </row>
    <row r="26" spans="1:7" ht="90" customHeight="1" thickBot="1" x14ac:dyDescent="0.25">
      <c r="A26" s="80" t="s">
        <v>1684</v>
      </c>
      <c r="B26" s="85" t="s">
        <v>1682</v>
      </c>
      <c r="C26" s="379">
        <f>'SGTO POAI VIGENCIA 2021'!BP31</f>
        <v>1</v>
      </c>
      <c r="D26" s="379">
        <f>'SGTO POAI VIGENCIA 2021'!BQ31</f>
        <v>0</v>
      </c>
      <c r="E26" s="108">
        <f t="shared" si="0"/>
        <v>0</v>
      </c>
      <c r="F26" s="379">
        <f>'SGTO POAI VIGENCIA 2021'!BR31</f>
        <v>0</v>
      </c>
      <c r="G26" s="108" t="e">
        <f t="shared" si="1"/>
        <v>#DIV/0!</v>
      </c>
    </row>
    <row r="27" spans="1:7" ht="90" customHeight="1" thickBot="1" x14ac:dyDescent="0.25">
      <c r="A27" s="80" t="s">
        <v>193</v>
      </c>
      <c r="B27" s="85" t="s">
        <v>1391</v>
      </c>
      <c r="C27" s="379">
        <f>'SGTO POAI VIGENCIA 2021'!BP32+'SGTO POAI VIGENCIA 2021'!BP33</f>
        <v>8550607588</v>
      </c>
      <c r="D27" s="379">
        <f>'SGTO POAI VIGENCIA 2021'!BQ32+'SGTO POAI VIGENCIA 2021'!BQ33</f>
        <v>360431670</v>
      </c>
      <c r="E27" s="108">
        <f t="shared" si="0"/>
        <v>4.2152755379142072E-2</v>
      </c>
      <c r="F27" s="379">
        <f>'SGTO POAI VIGENCIA 2021'!BR32+'SGTO POAI VIGENCIA 2021'!BR33</f>
        <v>360431670</v>
      </c>
      <c r="G27" s="108">
        <f t="shared" si="1"/>
        <v>1</v>
      </c>
    </row>
    <row r="28" spans="1:7" ht="90" customHeight="1" thickBot="1" x14ac:dyDescent="0.25">
      <c r="A28" s="80" t="s">
        <v>204</v>
      </c>
      <c r="B28" s="85" t="s">
        <v>205</v>
      </c>
      <c r="C28" s="379">
        <f>'SGTO POAI VIGENCIA 2021'!BP34</f>
        <v>40000000</v>
      </c>
      <c r="D28" s="379">
        <f>'SGTO POAI VIGENCIA 2021'!BQ34</f>
        <v>9000000</v>
      </c>
      <c r="E28" s="108">
        <f t="shared" si="0"/>
        <v>0.22500000000000001</v>
      </c>
      <c r="F28" s="379">
        <f>'SGTO POAI VIGENCIA 2021'!BR34</f>
        <v>9000000</v>
      </c>
      <c r="G28" s="108">
        <f t="shared" si="1"/>
        <v>1</v>
      </c>
    </row>
    <row r="29" spans="1:7" ht="90" customHeight="1" thickBot="1" x14ac:dyDescent="0.25">
      <c r="A29" s="80" t="s">
        <v>213</v>
      </c>
      <c r="B29" s="85" t="s">
        <v>1392</v>
      </c>
      <c r="C29" s="379">
        <f>'SGTO POAI VIGENCIA 2021'!BP35</f>
        <v>1418800000</v>
      </c>
      <c r="D29" s="379">
        <f>'SGTO POAI VIGENCIA 2021'!BQ35</f>
        <v>64515000</v>
      </c>
      <c r="E29" s="108">
        <f t="shared" si="0"/>
        <v>4.5471525232590924E-2</v>
      </c>
      <c r="F29" s="379">
        <f>'SGTO POAI VIGENCIA 2021'!BR35</f>
        <v>64515000</v>
      </c>
      <c r="G29" s="108">
        <f t="shared" si="1"/>
        <v>1</v>
      </c>
    </row>
    <row r="30" spans="1:7" ht="90" customHeight="1" thickBot="1" x14ac:dyDescent="0.25">
      <c r="A30" s="80" t="s">
        <v>218</v>
      </c>
      <c r="B30" s="85" t="s">
        <v>1393</v>
      </c>
      <c r="C30" s="379">
        <f>'SGTO POAI VIGENCIA 2021'!BP36</f>
        <v>844308067</v>
      </c>
      <c r="D30" s="379">
        <f>'SGTO POAI VIGENCIA 2021'!BQ36</f>
        <v>367946075.78999996</v>
      </c>
      <c r="E30" s="108">
        <f t="shared" si="0"/>
        <v>0.43579599694858767</v>
      </c>
      <c r="F30" s="379">
        <f>'SGTO POAI VIGENCIA 2021'!BR36</f>
        <v>367946075.78999996</v>
      </c>
      <c r="G30" s="108">
        <f t="shared" si="1"/>
        <v>1</v>
      </c>
    </row>
    <row r="31" spans="1:7" ht="90" customHeight="1" thickBot="1" x14ac:dyDescent="0.25">
      <c r="A31" s="80" t="s">
        <v>227</v>
      </c>
      <c r="B31" s="85" t="s">
        <v>228</v>
      </c>
      <c r="C31" s="379">
        <f>'SGTO POAI VIGENCIA 2021'!BP37</f>
        <v>120000000.09999999</v>
      </c>
      <c r="D31" s="379">
        <f>'SGTO POAI VIGENCIA 2021'!BQ37</f>
        <v>0</v>
      </c>
      <c r="E31" s="108">
        <f t="shared" si="0"/>
        <v>0</v>
      </c>
      <c r="F31" s="379">
        <f>'SGTO POAI VIGENCIA 2021'!BR37</f>
        <v>0</v>
      </c>
      <c r="G31" s="108" t="e">
        <f t="shared" si="1"/>
        <v>#DIV/0!</v>
      </c>
    </row>
    <row r="32" spans="1:7" ht="90" customHeight="1" thickBot="1" x14ac:dyDescent="0.25">
      <c r="A32" s="78" t="s">
        <v>236</v>
      </c>
      <c r="B32" s="87" t="s">
        <v>237</v>
      </c>
      <c r="C32" s="379">
        <f>'SGTO POAI VIGENCIA 2021'!BP38+'SGTO POAI VIGENCIA 2021'!BP39+'SGTO POAI VIGENCIA 2021'!BP40+'SGTO POAI VIGENCIA 2021'!BP41+'SGTO POAI VIGENCIA 2021'!BP42+'SGTO POAI VIGENCIA 2021'!BP43</f>
        <v>3500159641.6800003</v>
      </c>
      <c r="D32" s="379">
        <f>'SGTO POAI VIGENCIA 2021'!BQ38+'SGTO POAI VIGENCIA 2021'!BQ39+'SGTO POAI VIGENCIA 2021'!BQ40+'SGTO POAI VIGENCIA 2021'!BQ41+'SGTO POAI VIGENCIA 2021'!BQ42+'SGTO POAI VIGENCIA 2021'!BQ43</f>
        <v>3056693113</v>
      </c>
      <c r="E32" s="108">
        <f t="shared" si="0"/>
        <v>0.87330105650062695</v>
      </c>
      <c r="F32" s="379">
        <f>'SGTO POAI VIGENCIA 2021'!BR38+'SGTO POAI VIGENCIA 2021'!BR39+'SGTO POAI VIGENCIA 2021'!BR40+'SGTO POAI VIGENCIA 2021'!BR41+'SGTO POAI VIGENCIA 2021'!BR42+'SGTO POAI VIGENCIA 2021'!BR43</f>
        <v>3056693113</v>
      </c>
      <c r="G32" s="108">
        <f t="shared" si="1"/>
        <v>1</v>
      </c>
    </row>
    <row r="33" spans="1:7" ht="90" customHeight="1" thickBot="1" x14ac:dyDescent="0.25">
      <c r="A33" s="80" t="s">
        <v>254</v>
      </c>
      <c r="B33" s="85" t="s">
        <v>1394</v>
      </c>
      <c r="C33" s="379">
        <f>'SGTO POAI VIGENCIA 2021'!BP44</f>
        <v>218394939</v>
      </c>
      <c r="D33" s="379">
        <f>'SGTO POAI VIGENCIA 2021'!BQ44</f>
        <v>132461956</v>
      </c>
      <c r="E33" s="108">
        <f t="shared" si="0"/>
        <v>0.60652484259262074</v>
      </c>
      <c r="F33" s="379">
        <f>'SGTO POAI VIGENCIA 2021'!BR44</f>
        <v>132461956</v>
      </c>
      <c r="G33" s="108">
        <f t="shared" si="1"/>
        <v>1</v>
      </c>
    </row>
    <row r="34" spans="1:7" ht="90" customHeight="1" thickBot="1" x14ac:dyDescent="0.25">
      <c r="A34" s="80" t="s">
        <v>258</v>
      </c>
      <c r="B34" s="85" t="s">
        <v>259</v>
      </c>
      <c r="C34" s="379">
        <f>'SGTO POAI VIGENCIA 2021'!BP45</f>
        <v>31601460</v>
      </c>
      <c r="D34" s="379">
        <f>'SGTO POAI VIGENCIA 2021'!BQ45</f>
        <v>31492810.670000002</v>
      </c>
      <c r="E34" s="108">
        <f t="shared" si="0"/>
        <v>0.99656188891272746</v>
      </c>
      <c r="F34" s="379">
        <f>'SGTO POAI VIGENCIA 2021'!BR45</f>
        <v>31492810.670000002</v>
      </c>
      <c r="G34" s="108">
        <f t="shared" si="1"/>
        <v>1</v>
      </c>
    </row>
    <row r="35" spans="1:7" ht="20.100000000000001" customHeight="1" thickBot="1" x14ac:dyDescent="0.25">
      <c r="A35" s="652" t="s">
        <v>1395</v>
      </c>
      <c r="B35" s="653"/>
      <c r="C35" s="521">
        <f>SUM(C36:C47)</f>
        <v>6443722008.3299999</v>
      </c>
      <c r="D35" s="521">
        <f>SUM(D36:D47)</f>
        <v>2583294879.1700001</v>
      </c>
      <c r="E35" s="523">
        <f t="shared" si="0"/>
        <v>0.4009010438114019</v>
      </c>
      <c r="F35" s="521">
        <f>SUM(F36:F47)</f>
        <v>2583294879.1700001</v>
      </c>
      <c r="G35" s="522">
        <f t="shared" si="1"/>
        <v>1</v>
      </c>
    </row>
    <row r="36" spans="1:7" ht="90" customHeight="1" thickBot="1" x14ac:dyDescent="0.25">
      <c r="A36" s="80" t="s">
        <v>263</v>
      </c>
      <c r="B36" s="87" t="s">
        <v>1396</v>
      </c>
      <c r="C36" s="379">
        <f>'SGTO POAI VIGENCIA 2021'!BP46</f>
        <v>135355000</v>
      </c>
      <c r="D36" s="379">
        <f>'SGTO POAI VIGENCIA 2021'!BQ46</f>
        <v>129803000</v>
      </c>
      <c r="E36" s="108">
        <f t="shared" si="0"/>
        <v>0.95898193638949425</v>
      </c>
      <c r="F36" s="379">
        <f>'SGTO POAI VIGENCIA 2021'!BR46</f>
        <v>129803000</v>
      </c>
      <c r="G36" s="108">
        <f t="shared" si="1"/>
        <v>1</v>
      </c>
    </row>
    <row r="37" spans="1:7" ht="90" customHeight="1" thickBot="1" x14ac:dyDescent="0.25">
      <c r="A37" s="80" t="s">
        <v>268</v>
      </c>
      <c r="B37" s="87" t="s">
        <v>1397</v>
      </c>
      <c r="C37" s="379">
        <f>'SGTO POAI VIGENCIA 2021'!BP47</f>
        <v>67223401</v>
      </c>
      <c r="D37" s="379">
        <f>'SGTO POAI VIGENCIA 2021'!BQ47</f>
        <v>65096055</v>
      </c>
      <c r="E37" s="108">
        <f t="shared" si="0"/>
        <v>0.96835408550662294</v>
      </c>
      <c r="F37" s="379">
        <f>'SGTO POAI VIGENCIA 2021'!BR47</f>
        <v>65096055</v>
      </c>
      <c r="G37" s="108">
        <f t="shared" si="1"/>
        <v>1</v>
      </c>
    </row>
    <row r="38" spans="1:7" ht="90" customHeight="1" thickBot="1" x14ac:dyDescent="0.25">
      <c r="A38" s="80" t="s">
        <v>274</v>
      </c>
      <c r="B38" s="87" t="s">
        <v>1398</v>
      </c>
      <c r="C38" s="379">
        <f>'SGTO POAI VIGENCIA 2021'!BP48</f>
        <v>30000000</v>
      </c>
      <c r="D38" s="379">
        <f>'SGTO POAI VIGENCIA 2021'!BQ48</f>
        <v>10000000</v>
      </c>
      <c r="E38" s="108">
        <f t="shared" si="0"/>
        <v>0.33333333333333331</v>
      </c>
      <c r="F38" s="379">
        <f>'SGTO POAI VIGENCIA 2021'!BR48</f>
        <v>10000000</v>
      </c>
      <c r="G38" s="108">
        <f t="shared" si="1"/>
        <v>1</v>
      </c>
    </row>
    <row r="39" spans="1:7" ht="90" customHeight="1" thickBot="1" x14ac:dyDescent="0.25">
      <c r="A39" s="80" t="s">
        <v>281</v>
      </c>
      <c r="B39" s="85" t="s">
        <v>1399</v>
      </c>
      <c r="C39" s="379">
        <f>'SGTO POAI VIGENCIA 2021'!BP49</f>
        <v>74287500</v>
      </c>
      <c r="D39" s="379">
        <f>'SGTO POAI VIGENCIA 2021'!BQ49</f>
        <v>61854666</v>
      </c>
      <c r="E39" s="108">
        <f t="shared" si="0"/>
        <v>0.8326389500252398</v>
      </c>
      <c r="F39" s="379">
        <f>'SGTO POAI VIGENCIA 2021'!BR49</f>
        <v>61854666</v>
      </c>
      <c r="G39" s="108">
        <f t="shared" si="1"/>
        <v>1</v>
      </c>
    </row>
    <row r="40" spans="1:7" ht="90" customHeight="1" thickBot="1" x14ac:dyDescent="0.25">
      <c r="A40" s="80" t="s">
        <v>289</v>
      </c>
      <c r="B40" s="86" t="s">
        <v>290</v>
      </c>
      <c r="C40" s="379">
        <f>'SGTO POAI VIGENCIA 2021'!BP50+'SGTO POAI VIGENCIA 2021'!BP51+'SGTO POAI VIGENCIA 2021'!BP52+'SGTO POAI VIGENCIA 2021'!BP53+'SGTO POAI VIGENCIA 2021'!BP54</f>
        <v>502657113</v>
      </c>
      <c r="D40" s="379">
        <f>'SGTO POAI VIGENCIA 2021'!BQ50+'SGTO POAI VIGENCIA 2021'!BQ51+'SGTO POAI VIGENCIA 2021'!BQ52+'SGTO POAI VIGENCIA 2021'!BQ53+'SGTO POAI VIGENCIA 2021'!BQ54</f>
        <v>388019267.94999999</v>
      </c>
      <c r="E40" s="108">
        <f t="shared" si="0"/>
        <v>0.77193629198678027</v>
      </c>
      <c r="F40" s="379">
        <f>'SGTO POAI VIGENCIA 2021'!BR50+'SGTO POAI VIGENCIA 2021'!BR51+'SGTO POAI VIGENCIA 2021'!BR52+'SGTO POAI VIGENCIA 2021'!BR53+'SGTO POAI VIGENCIA 2021'!BR54</f>
        <v>388019267.94999999</v>
      </c>
      <c r="G40" s="108">
        <f t="shared" si="1"/>
        <v>1</v>
      </c>
    </row>
    <row r="41" spans="1:7" ht="90" customHeight="1" thickBot="1" x14ac:dyDescent="0.25">
      <c r="A41" s="80" t="s">
        <v>308</v>
      </c>
      <c r="B41" s="85" t="s">
        <v>1400</v>
      </c>
      <c r="C41" s="379">
        <f>'SGTO POAI VIGENCIA 2021'!BP55</f>
        <v>34027629</v>
      </c>
      <c r="D41" s="379">
        <f>'SGTO POAI VIGENCIA 2021'!BQ55</f>
        <v>16292129</v>
      </c>
      <c r="E41" s="108">
        <f t="shared" si="0"/>
        <v>0.47879119053519714</v>
      </c>
      <c r="F41" s="379">
        <f>'SGTO POAI VIGENCIA 2021'!BR55</f>
        <v>16292129</v>
      </c>
      <c r="G41" s="108">
        <f t="shared" si="1"/>
        <v>1</v>
      </c>
    </row>
    <row r="42" spans="1:7" ht="90" customHeight="1" thickBot="1" x14ac:dyDescent="0.25">
      <c r="A42" s="80" t="s">
        <v>316</v>
      </c>
      <c r="B42" s="85" t="s">
        <v>1401</v>
      </c>
      <c r="C42" s="379">
        <f>'SGTO POAI VIGENCIA 2021'!BP56</f>
        <v>4387879528.3299999</v>
      </c>
      <c r="D42" s="379">
        <f>'SGTO POAI VIGENCIA 2021'!BQ56</f>
        <v>1133578214.1599998</v>
      </c>
      <c r="E42" s="108">
        <f t="shared" si="0"/>
        <v>0.25834305769817539</v>
      </c>
      <c r="F42" s="379">
        <f>'SGTO POAI VIGENCIA 2021'!BR56</f>
        <v>1133578214.1599998</v>
      </c>
      <c r="G42" s="108">
        <f t="shared" si="1"/>
        <v>1</v>
      </c>
    </row>
    <row r="43" spans="1:7" ht="90" customHeight="1" thickBot="1" x14ac:dyDescent="0.25">
      <c r="A43" s="80" t="s">
        <v>343</v>
      </c>
      <c r="B43" s="85" t="s">
        <v>1402</v>
      </c>
      <c r="C43" s="379">
        <f>'SGTO POAI VIGENCIA 2021'!BP62</f>
        <v>89000000</v>
      </c>
      <c r="D43" s="379">
        <f>'SGTO POAI VIGENCIA 2021'!BQ62</f>
        <v>73017284</v>
      </c>
      <c r="E43" s="108">
        <f t="shared" si="0"/>
        <v>0.82041892134831462</v>
      </c>
      <c r="F43" s="379">
        <f>'SGTO POAI VIGENCIA 2021'!BR62</f>
        <v>73017284</v>
      </c>
      <c r="G43" s="108">
        <f t="shared" si="1"/>
        <v>1</v>
      </c>
    </row>
    <row r="44" spans="1:7" ht="90" customHeight="1" thickBot="1" x14ac:dyDescent="0.25">
      <c r="A44" s="80" t="s">
        <v>320</v>
      </c>
      <c r="B44" s="85" t="s">
        <v>1403</v>
      </c>
      <c r="C44" s="379">
        <f>'SGTO POAI VIGENCIA 2021'!BP57</f>
        <v>49500000</v>
      </c>
      <c r="D44" s="379">
        <f>'SGTO POAI VIGENCIA 2021'!BQ57</f>
        <v>46916499</v>
      </c>
      <c r="E44" s="108">
        <f t="shared" si="0"/>
        <v>0.9478080606060606</v>
      </c>
      <c r="F44" s="379">
        <f>'SGTO POAI VIGENCIA 2021'!BR57</f>
        <v>46916499</v>
      </c>
      <c r="G44" s="108">
        <f t="shared" si="1"/>
        <v>1</v>
      </c>
    </row>
    <row r="45" spans="1:7" ht="90" customHeight="1" thickBot="1" x14ac:dyDescent="0.25">
      <c r="A45" s="80" t="s">
        <v>325</v>
      </c>
      <c r="B45" s="86" t="s">
        <v>1404</v>
      </c>
      <c r="C45" s="379">
        <f>'SGTO POAI VIGENCIA 2021'!BP58</f>
        <v>243850000</v>
      </c>
      <c r="D45" s="379">
        <f>'SGTO POAI VIGENCIA 2021'!BQ58</f>
        <v>100601333</v>
      </c>
      <c r="E45" s="108">
        <f t="shared" si="0"/>
        <v>0.41255416444535575</v>
      </c>
      <c r="F45" s="379">
        <f>'SGTO POAI VIGENCIA 2021'!BR58</f>
        <v>100601333</v>
      </c>
      <c r="G45" s="108">
        <f t="shared" si="1"/>
        <v>1</v>
      </c>
    </row>
    <row r="46" spans="1:7" ht="90" customHeight="1" thickBot="1" x14ac:dyDescent="0.25">
      <c r="A46" s="80" t="s">
        <v>331</v>
      </c>
      <c r="B46" s="86" t="s">
        <v>332</v>
      </c>
      <c r="C46" s="379">
        <f>'SGTO POAI VIGENCIA 2021'!BP59+'SGTO POAI VIGENCIA 2021'!BP60+'SGTO POAI VIGENCIA 2021'!BP61</f>
        <v>528315104</v>
      </c>
      <c r="D46" s="379">
        <f>'SGTO POAI VIGENCIA 2021'!BQ59+'SGTO POAI VIGENCIA 2021'!BQ60+'SGTO POAI VIGENCIA 2021'!BQ61</f>
        <v>291102723.06</v>
      </c>
      <c r="E46" s="108">
        <f t="shared" si="0"/>
        <v>0.55100208352173097</v>
      </c>
      <c r="F46" s="379">
        <f>'SGTO POAI VIGENCIA 2021'!BR59+'SGTO POAI VIGENCIA 2021'!BR60+'SGTO POAI VIGENCIA 2021'!BR61</f>
        <v>291102723.06</v>
      </c>
      <c r="G46" s="108">
        <f t="shared" si="1"/>
        <v>1</v>
      </c>
    </row>
    <row r="47" spans="1:7" ht="90" customHeight="1" thickBot="1" x14ac:dyDescent="0.25">
      <c r="A47" s="80" t="s">
        <v>347</v>
      </c>
      <c r="B47" s="87" t="s">
        <v>1405</v>
      </c>
      <c r="C47" s="379">
        <f>'SGTO POAI VIGENCIA 2021'!BP63+'SGTO POAI VIGENCIA 2021'!BP64+'SGTO POAI VIGENCIA 2021'!BP65+'SGTO POAI VIGENCIA 2021'!BP66</f>
        <v>301626733</v>
      </c>
      <c r="D47" s="379">
        <f>'SGTO POAI VIGENCIA 2021'!BQ63+'SGTO POAI VIGENCIA 2021'!BQ64+'SGTO POAI VIGENCIA 2021'!BQ65+'SGTO POAI VIGENCIA 2021'!BQ66</f>
        <v>267013708</v>
      </c>
      <c r="E47" s="108">
        <f t="shared" si="0"/>
        <v>0.88524549977471656</v>
      </c>
      <c r="F47" s="379">
        <f>'SGTO POAI VIGENCIA 2021'!BR63+'SGTO POAI VIGENCIA 2021'!BR64+'SGTO POAI VIGENCIA 2021'!BR65+'SGTO POAI VIGENCIA 2021'!BR66</f>
        <v>267013708</v>
      </c>
      <c r="G47" s="108">
        <f t="shared" si="1"/>
        <v>1</v>
      </c>
    </row>
    <row r="48" spans="1:7" ht="20.100000000000001" customHeight="1" thickBot="1" x14ac:dyDescent="0.25">
      <c r="A48" s="652" t="s">
        <v>359</v>
      </c>
      <c r="B48" s="653"/>
      <c r="C48" s="521">
        <f>SUM(C49:C52)</f>
        <v>3988607319.3200002</v>
      </c>
      <c r="D48" s="521">
        <f>SUM(D49:D52)</f>
        <v>3398905453.8099999</v>
      </c>
      <c r="E48" s="523">
        <f t="shared" si="0"/>
        <v>0.8521534414647427</v>
      </c>
      <c r="F48" s="521">
        <f>SUM(F49:F52)</f>
        <v>3398905453.8099999</v>
      </c>
      <c r="G48" s="522">
        <f t="shared" si="1"/>
        <v>1</v>
      </c>
    </row>
    <row r="49" spans="1:7" ht="90" customHeight="1" thickBot="1" x14ac:dyDescent="0.25">
      <c r="A49" s="78" t="s">
        <v>362</v>
      </c>
      <c r="B49" s="85" t="s">
        <v>1406</v>
      </c>
      <c r="C49" s="379">
        <f>'SGTO POAI VIGENCIA 2021'!BP67+'SGTO POAI VIGENCIA 2021'!BP68+'SGTO POAI VIGENCIA 2021'!BP69+'SGTO POAI VIGENCIA 2021'!BP70+'SGTO POAI VIGENCIA 2021'!BP71</f>
        <v>1980078703.8999999</v>
      </c>
      <c r="D49" s="379">
        <f>'SGTO POAI VIGENCIA 2021'!BQ67+'SGTO POAI VIGENCIA 2021'!BQ68+'SGTO POAI VIGENCIA 2021'!BQ69+'SGTO POAI VIGENCIA 2021'!BQ70+'SGTO POAI VIGENCIA 2021'!BQ71</f>
        <v>1777271724.0599999</v>
      </c>
      <c r="E49" s="108">
        <f t="shared" si="0"/>
        <v>0.89757630368906671</v>
      </c>
      <c r="F49" s="379">
        <f>'SGTO POAI VIGENCIA 2021'!BR67+'SGTO POAI VIGENCIA 2021'!BR68+'SGTO POAI VIGENCIA 2021'!BR69+'SGTO POAI VIGENCIA 2021'!BR70+'SGTO POAI VIGENCIA 2021'!BR71</f>
        <v>1777271724.0599999</v>
      </c>
      <c r="G49" s="108">
        <f t="shared" si="1"/>
        <v>1</v>
      </c>
    </row>
    <row r="50" spans="1:7" ht="90" customHeight="1" thickBot="1" x14ac:dyDescent="0.25">
      <c r="A50" s="78" t="s">
        <v>377</v>
      </c>
      <c r="B50" s="86" t="s">
        <v>1407</v>
      </c>
      <c r="C50" s="379">
        <f>'SGTO POAI VIGENCIA 2021'!BP72+'SGTO POAI VIGENCIA 2021'!BP73</f>
        <v>333103297.60000002</v>
      </c>
      <c r="D50" s="379">
        <f>'SGTO POAI VIGENCIA 2021'!BQ72+'SGTO POAI VIGENCIA 2021'!BQ73</f>
        <v>216525623.75</v>
      </c>
      <c r="E50" s="108">
        <f t="shared" si="0"/>
        <v>0.65002545849909343</v>
      </c>
      <c r="F50" s="379">
        <f>'SGTO POAI VIGENCIA 2021'!BR72+'SGTO POAI VIGENCIA 2021'!BR73</f>
        <v>216525623.75</v>
      </c>
      <c r="G50" s="108">
        <f t="shared" si="1"/>
        <v>1</v>
      </c>
    </row>
    <row r="51" spans="1:7" ht="90" customHeight="1" thickBot="1" x14ac:dyDescent="0.25">
      <c r="A51" s="80" t="s">
        <v>386</v>
      </c>
      <c r="B51" s="87" t="s">
        <v>1408</v>
      </c>
      <c r="C51" s="379">
        <f>'SGTO POAI VIGENCIA 2021'!BP74</f>
        <v>1401227081.52</v>
      </c>
      <c r="D51" s="379">
        <f>'SGTO POAI VIGENCIA 2021'!BQ74</f>
        <v>1144764638</v>
      </c>
      <c r="E51" s="108">
        <f t="shared" si="0"/>
        <v>0.81697296112647289</v>
      </c>
      <c r="F51" s="379">
        <f>'SGTO POAI VIGENCIA 2021'!BR74</f>
        <v>1144764638</v>
      </c>
      <c r="G51" s="108">
        <f t="shared" si="1"/>
        <v>1</v>
      </c>
    </row>
    <row r="52" spans="1:7" ht="90" customHeight="1" thickBot="1" x14ac:dyDescent="0.25">
      <c r="A52" s="80" t="s">
        <v>394</v>
      </c>
      <c r="B52" s="87" t="s">
        <v>395</v>
      </c>
      <c r="C52" s="379">
        <f>'SGTO POAI VIGENCIA 2021'!BP75+'SGTO POAI VIGENCIA 2021'!BP76</f>
        <v>274198236.30000001</v>
      </c>
      <c r="D52" s="379">
        <f>'SGTO POAI VIGENCIA 2021'!BQ75+'SGTO POAI VIGENCIA 2021'!BQ76</f>
        <v>260343468</v>
      </c>
      <c r="E52" s="108">
        <f t="shared" si="0"/>
        <v>0.94947170891047772</v>
      </c>
      <c r="F52" s="379">
        <f>'SGTO POAI VIGENCIA 2021'!BR75+'SGTO POAI VIGENCIA 2021'!BR76</f>
        <v>260343468</v>
      </c>
      <c r="G52" s="108">
        <f t="shared" si="1"/>
        <v>1</v>
      </c>
    </row>
    <row r="53" spans="1:7" ht="20.100000000000001" customHeight="1" thickBot="1" x14ac:dyDescent="0.25">
      <c r="A53" s="652" t="s">
        <v>399</v>
      </c>
      <c r="B53" s="653"/>
      <c r="C53" s="521">
        <f>SUM(C54:C58)</f>
        <v>3556587709.6100001</v>
      </c>
      <c r="D53" s="521">
        <f>SUM(D54:D58)</f>
        <v>2928955045.5100002</v>
      </c>
      <c r="E53" s="523">
        <f t="shared" si="0"/>
        <v>0.82352954141855728</v>
      </c>
      <c r="F53" s="521">
        <f>SUM(F54:F58)</f>
        <v>2928955045.5100002</v>
      </c>
      <c r="G53" s="522">
        <f t="shared" si="1"/>
        <v>1</v>
      </c>
    </row>
    <row r="54" spans="1:7" ht="90" customHeight="1" thickBot="1" x14ac:dyDescent="0.25">
      <c r="A54" s="80" t="s">
        <v>407</v>
      </c>
      <c r="B54" s="87" t="s">
        <v>1409</v>
      </c>
      <c r="C54" s="379">
        <f>'SGTO POAI VIGENCIA 2021'!BP77+'SGTO POAI VIGENCIA 2021'!BP78</f>
        <v>143000000</v>
      </c>
      <c r="D54" s="379">
        <f>'SGTO POAI VIGENCIA 2021'!BQ77+'SGTO POAI VIGENCIA 2021'!BQ78</f>
        <v>142910333</v>
      </c>
      <c r="E54" s="108">
        <f t="shared" si="0"/>
        <v>0.99937295804195803</v>
      </c>
      <c r="F54" s="379">
        <f>'SGTO POAI VIGENCIA 2021'!BR77+'SGTO POAI VIGENCIA 2021'!BR78</f>
        <v>142910333</v>
      </c>
      <c r="G54" s="108">
        <f t="shared" si="1"/>
        <v>1</v>
      </c>
    </row>
    <row r="55" spans="1:7" ht="90" customHeight="1" thickBot="1" x14ac:dyDescent="0.25">
      <c r="A55" s="80" t="s">
        <v>415</v>
      </c>
      <c r="B55" s="85" t="s">
        <v>1410</v>
      </c>
      <c r="C55" s="379">
        <f>'SGTO POAI VIGENCIA 2021'!BP79+'SGTO POAI VIGENCIA 2021'!BP80</f>
        <v>124000000</v>
      </c>
      <c r="D55" s="379">
        <f>'SGTO POAI VIGENCIA 2021'!BQ79+'SGTO POAI VIGENCIA 2021'!BQ80</f>
        <v>114292500</v>
      </c>
      <c r="E55" s="108">
        <f t="shared" si="0"/>
        <v>0.92171370967741939</v>
      </c>
      <c r="F55" s="379">
        <f>'SGTO POAI VIGENCIA 2021'!BR79+'SGTO POAI VIGENCIA 2021'!BR80</f>
        <v>114292500</v>
      </c>
      <c r="G55" s="108">
        <f t="shared" si="1"/>
        <v>1</v>
      </c>
    </row>
    <row r="56" spans="1:7" ht="90" customHeight="1" thickBot="1" x14ac:dyDescent="0.25">
      <c r="A56" s="80" t="s">
        <v>423</v>
      </c>
      <c r="B56" s="85" t="s">
        <v>1411</v>
      </c>
      <c r="C56" s="379">
        <f>'SGTO POAI VIGENCIA 2021'!BP81+'SGTO POAI VIGENCIA 2021'!BP82+'SGTO POAI VIGENCIA 2021'!BP83</f>
        <v>1791856036</v>
      </c>
      <c r="D56" s="379">
        <f>'SGTO POAI VIGENCIA 2021'!BQ81+'SGTO POAI VIGENCIA 2021'!BQ82+'SGTO POAI VIGENCIA 2021'!BQ83</f>
        <v>1785909533</v>
      </c>
      <c r="E56" s="108">
        <f t="shared" si="0"/>
        <v>0.99668137234212495</v>
      </c>
      <c r="F56" s="379">
        <f>'SGTO POAI VIGENCIA 2021'!BR81+'SGTO POAI VIGENCIA 2021'!BR82+'SGTO POAI VIGENCIA 2021'!BR83</f>
        <v>1785909533</v>
      </c>
      <c r="G56" s="108">
        <f t="shared" si="1"/>
        <v>1</v>
      </c>
    </row>
    <row r="57" spans="1:7" ht="90" customHeight="1" thickBot="1" x14ac:dyDescent="0.25">
      <c r="A57" s="80" t="s">
        <v>430</v>
      </c>
      <c r="B57" s="85" t="s">
        <v>1412</v>
      </c>
      <c r="C57" s="379">
        <f>'SGTO POAI VIGENCIA 2021'!BP84</f>
        <v>1260231673.6100001</v>
      </c>
      <c r="D57" s="379">
        <f>'SGTO POAI VIGENCIA 2021'!BQ84</f>
        <v>659325228.50999999</v>
      </c>
      <c r="E57" s="108">
        <f t="shared" si="0"/>
        <v>0.52317779525515973</v>
      </c>
      <c r="F57" s="379">
        <f>'SGTO POAI VIGENCIA 2021'!BR84</f>
        <v>659325228.50999999</v>
      </c>
      <c r="G57" s="108">
        <f t="shared" si="1"/>
        <v>1</v>
      </c>
    </row>
    <row r="58" spans="1:7" ht="90" customHeight="1" thickBot="1" x14ac:dyDescent="0.25">
      <c r="A58" s="80" t="s">
        <v>438</v>
      </c>
      <c r="B58" s="86" t="s">
        <v>439</v>
      </c>
      <c r="C58" s="379">
        <f>'SGTO POAI VIGENCIA 2021'!BP85+'SGTO POAI VIGENCIA 2021'!BP86+'SGTO POAI VIGENCIA 2021'!BP87+'SGTO POAI VIGENCIA 2021'!BP88</f>
        <v>237500000</v>
      </c>
      <c r="D58" s="379">
        <f>'SGTO POAI VIGENCIA 2021'!BQ85+'SGTO POAI VIGENCIA 2021'!BQ86+'SGTO POAI VIGENCIA 2021'!BQ87+'SGTO POAI VIGENCIA 2021'!BQ88</f>
        <v>226517451</v>
      </c>
      <c r="E58" s="108">
        <f t="shared" si="0"/>
        <v>0.95375768842105269</v>
      </c>
      <c r="F58" s="379">
        <f>'SGTO POAI VIGENCIA 2021'!BR85+'SGTO POAI VIGENCIA 2021'!BR86+'SGTO POAI VIGENCIA 2021'!BR87+'SGTO POAI VIGENCIA 2021'!BR88</f>
        <v>226517451</v>
      </c>
      <c r="G58" s="108">
        <f t="shared" si="1"/>
        <v>1</v>
      </c>
    </row>
    <row r="59" spans="1:7" ht="20.100000000000001" customHeight="1" thickBot="1" x14ac:dyDescent="0.25">
      <c r="A59" s="652" t="s">
        <v>450</v>
      </c>
      <c r="B59" s="653"/>
      <c r="C59" s="521">
        <f>SUM(C60:C78)</f>
        <v>3838799887.6300001</v>
      </c>
      <c r="D59" s="521">
        <f>SUM(D60:D78)</f>
        <v>2309257005.5700002</v>
      </c>
      <c r="E59" s="523">
        <f t="shared" si="0"/>
        <v>0.60155701603807488</v>
      </c>
      <c r="F59" s="521">
        <f>SUM(F60:F78)</f>
        <v>2309257005.5700002</v>
      </c>
      <c r="G59" s="522">
        <f t="shared" si="1"/>
        <v>1</v>
      </c>
    </row>
    <row r="60" spans="1:7" ht="90" customHeight="1" thickBot="1" x14ac:dyDescent="0.25">
      <c r="A60" s="80" t="s">
        <v>457</v>
      </c>
      <c r="B60" s="86" t="s">
        <v>458</v>
      </c>
      <c r="C60" s="379">
        <f>'SGTO POAI VIGENCIA 2021'!BP89+'SGTO POAI VIGENCIA 2021'!BP90+'SGTO POAI VIGENCIA 2021'!BP91</f>
        <v>739000000</v>
      </c>
      <c r="D60" s="379">
        <f>'SGTO POAI VIGENCIA 2021'!BQ89+'SGTO POAI VIGENCIA 2021'!BQ90+'SGTO POAI VIGENCIA 2021'!BQ91</f>
        <v>509728324</v>
      </c>
      <c r="E60" s="108">
        <f t="shared" si="0"/>
        <v>0.68975415967523679</v>
      </c>
      <c r="F60" s="379">
        <f>'SGTO POAI VIGENCIA 2021'!BR89+'SGTO POAI VIGENCIA 2021'!BR90+'SGTO POAI VIGENCIA 2021'!BR91</f>
        <v>509728324</v>
      </c>
      <c r="G60" s="108">
        <f t="shared" si="1"/>
        <v>1</v>
      </c>
    </row>
    <row r="61" spans="1:7" ht="90" customHeight="1" thickBot="1" x14ac:dyDescent="0.25">
      <c r="A61" s="78" t="s">
        <v>469</v>
      </c>
      <c r="B61" s="86" t="s">
        <v>470</v>
      </c>
      <c r="C61" s="379">
        <f>'SGTO POAI VIGENCIA 2021'!BP92+'SGTO POAI VIGENCIA 2021'!BP93+'SGTO POAI VIGENCIA 2021'!BP94</f>
        <v>530052526.97000003</v>
      </c>
      <c r="D61" s="379">
        <f>'SGTO POAI VIGENCIA 2021'!BQ92+'SGTO POAI VIGENCIA 2021'!BQ93+'SGTO POAI VIGENCIA 2021'!BQ94</f>
        <v>399880999</v>
      </c>
      <c r="E61" s="108">
        <f t="shared" si="0"/>
        <v>0.75441768250004493</v>
      </c>
      <c r="F61" s="379">
        <f>'SGTO POAI VIGENCIA 2021'!BR92+'SGTO POAI VIGENCIA 2021'!BR93+'SGTO POAI VIGENCIA 2021'!BR94</f>
        <v>399880999</v>
      </c>
      <c r="G61" s="108">
        <f t="shared" si="1"/>
        <v>1</v>
      </c>
    </row>
    <row r="62" spans="1:7" ht="90" customHeight="1" thickBot="1" x14ac:dyDescent="0.25">
      <c r="A62" s="80" t="s">
        <v>481</v>
      </c>
      <c r="B62" s="86" t="s">
        <v>1413</v>
      </c>
      <c r="C62" s="379">
        <f>'SGTO POAI VIGENCIA 2021'!BP95+'SGTO POAI VIGENCIA 2021'!BP96</f>
        <v>188606585.66</v>
      </c>
      <c r="D62" s="379">
        <f>'SGTO POAI VIGENCIA 2021'!BQ95+'SGTO POAI VIGENCIA 2021'!BQ96</f>
        <v>78670000</v>
      </c>
      <c r="E62" s="108">
        <f t="shared" si="0"/>
        <v>0.41711162802033835</v>
      </c>
      <c r="F62" s="379">
        <f>'SGTO POAI VIGENCIA 2021'!BR95+'SGTO POAI VIGENCIA 2021'!BR96</f>
        <v>78670000</v>
      </c>
      <c r="G62" s="108">
        <f t="shared" si="1"/>
        <v>1</v>
      </c>
    </row>
    <row r="63" spans="1:7" ht="90" customHeight="1" thickBot="1" x14ac:dyDescent="0.25">
      <c r="A63" s="78" t="s">
        <v>488</v>
      </c>
      <c r="B63" s="85" t="s">
        <v>489</v>
      </c>
      <c r="C63" s="379">
        <f>'SGTO POAI VIGENCIA 2021'!BP97+'SGTO POAI VIGENCIA 2021'!BP98</f>
        <v>78242387</v>
      </c>
      <c r="D63" s="379">
        <f>'SGTO POAI VIGENCIA 2021'!BQ97+'SGTO POAI VIGENCIA 2021'!BQ98</f>
        <v>77065000</v>
      </c>
      <c r="E63" s="108">
        <f t="shared" si="0"/>
        <v>0.98495205674131592</v>
      </c>
      <c r="F63" s="379">
        <f>'SGTO POAI VIGENCIA 2021'!BR97+'SGTO POAI VIGENCIA 2021'!BR98</f>
        <v>77065000</v>
      </c>
      <c r="G63" s="108">
        <f t="shared" si="1"/>
        <v>1</v>
      </c>
    </row>
    <row r="64" spans="1:7" ht="90" customHeight="1" thickBot="1" x14ac:dyDescent="0.25">
      <c r="A64" s="80" t="s">
        <v>497</v>
      </c>
      <c r="B64" s="86" t="s">
        <v>1414</v>
      </c>
      <c r="C64" s="379">
        <f>'SGTO POAI VIGENCIA 2021'!BP99</f>
        <v>27000000</v>
      </c>
      <c r="D64" s="379">
        <f>'SGTO POAI VIGENCIA 2021'!BQ99</f>
        <v>26940000</v>
      </c>
      <c r="E64" s="108">
        <f t="shared" si="0"/>
        <v>0.99777777777777776</v>
      </c>
      <c r="F64" s="379">
        <f>'SGTO POAI VIGENCIA 2021'!BR99</f>
        <v>26940000</v>
      </c>
      <c r="G64" s="108">
        <f t="shared" si="1"/>
        <v>1</v>
      </c>
    </row>
    <row r="65" spans="1:7" ht="90" customHeight="1" thickBot="1" x14ac:dyDescent="0.25">
      <c r="A65" s="80" t="s">
        <v>504</v>
      </c>
      <c r="B65" s="85" t="s">
        <v>505</v>
      </c>
      <c r="C65" s="379">
        <f>'SGTO POAI VIGENCIA 2021'!BP100</f>
        <v>325000000</v>
      </c>
      <c r="D65" s="379">
        <f>'SGTO POAI VIGENCIA 2021'!BQ100</f>
        <v>324995000</v>
      </c>
      <c r="E65" s="108">
        <f t="shared" si="0"/>
        <v>0.99998461538461536</v>
      </c>
      <c r="F65" s="379">
        <f>'SGTO POAI VIGENCIA 2021'!BR100</f>
        <v>324995000</v>
      </c>
      <c r="G65" s="108">
        <f t="shared" si="1"/>
        <v>1</v>
      </c>
    </row>
    <row r="66" spans="1:7" ht="90" customHeight="1" thickBot="1" x14ac:dyDescent="0.25">
      <c r="A66" s="78" t="s">
        <v>510</v>
      </c>
      <c r="B66" s="86" t="s">
        <v>511</v>
      </c>
      <c r="C66" s="379">
        <f>'SGTO POAI VIGENCIA 2021'!BP101+'SGTO POAI VIGENCIA 2021'!BP102</f>
        <v>69255500</v>
      </c>
      <c r="D66" s="379">
        <f>'SGTO POAI VIGENCIA 2021'!BQ101+'SGTO POAI VIGENCIA 2021'!BQ102</f>
        <v>69255166</v>
      </c>
      <c r="E66" s="108">
        <f t="shared" si="0"/>
        <v>0.99999517727833886</v>
      </c>
      <c r="F66" s="379">
        <f>'SGTO POAI VIGENCIA 2021'!BR101+'SGTO POAI VIGENCIA 2021'!BR102</f>
        <v>69255166</v>
      </c>
      <c r="G66" s="108">
        <f t="shared" si="1"/>
        <v>1</v>
      </c>
    </row>
    <row r="67" spans="1:7" ht="90" customHeight="1" thickBot="1" x14ac:dyDescent="0.25">
      <c r="A67" s="80" t="s">
        <v>520</v>
      </c>
      <c r="B67" s="86" t="s">
        <v>1415</v>
      </c>
      <c r="C67" s="379">
        <f>'SGTO POAI VIGENCIA 2021'!BP103</f>
        <v>20000000</v>
      </c>
      <c r="D67" s="379">
        <f>'SGTO POAI VIGENCIA 2021'!BQ103</f>
        <v>20000000</v>
      </c>
      <c r="E67" s="108">
        <f t="shared" si="0"/>
        <v>1</v>
      </c>
      <c r="F67" s="379">
        <f>'SGTO POAI VIGENCIA 2021'!BR103</f>
        <v>20000000</v>
      </c>
      <c r="G67" s="108">
        <f t="shared" si="1"/>
        <v>1</v>
      </c>
    </row>
    <row r="68" spans="1:7" ht="90" customHeight="1" thickBot="1" x14ac:dyDescent="0.25">
      <c r="A68" s="80" t="s">
        <v>527</v>
      </c>
      <c r="B68" s="85" t="s">
        <v>1416</v>
      </c>
      <c r="C68" s="379">
        <f>'SGTO POAI VIGENCIA 2021'!BP104</f>
        <v>43000000</v>
      </c>
      <c r="D68" s="379">
        <f>'SGTO POAI VIGENCIA 2021'!BQ104</f>
        <v>34865000</v>
      </c>
      <c r="E68" s="108">
        <f t="shared" si="0"/>
        <v>0.81081395348837204</v>
      </c>
      <c r="F68" s="379">
        <f>'SGTO POAI VIGENCIA 2021'!BR104</f>
        <v>34865000</v>
      </c>
      <c r="G68" s="108">
        <f t="shared" si="1"/>
        <v>1</v>
      </c>
    </row>
    <row r="69" spans="1:7" ht="90" customHeight="1" thickBot="1" x14ac:dyDescent="0.25">
      <c r="A69" s="78" t="s">
        <v>533</v>
      </c>
      <c r="B69" s="86" t="s">
        <v>534</v>
      </c>
      <c r="C69" s="379">
        <f>'SGTO POAI VIGENCIA 2021'!BP105+'SGTO POAI VIGENCIA 2021'!BP106</f>
        <v>37555000</v>
      </c>
      <c r="D69" s="379">
        <f>'SGTO POAI VIGENCIA 2021'!BQ105+'SGTO POAI VIGENCIA 2021'!BQ106</f>
        <v>17555000</v>
      </c>
      <c r="E69" s="108">
        <f t="shared" ref="E69:E132" si="2">D69/C69</f>
        <v>0.46744774330981226</v>
      </c>
      <c r="F69" s="379">
        <f>'SGTO POAI VIGENCIA 2021'!BR105+'SGTO POAI VIGENCIA 2021'!BR106</f>
        <v>17555000</v>
      </c>
      <c r="G69" s="108">
        <f t="shared" ref="G69:G132" si="3">F69/D69</f>
        <v>1</v>
      </c>
    </row>
    <row r="70" spans="1:7" ht="90" customHeight="1" thickBot="1" x14ac:dyDescent="0.25">
      <c r="A70" s="81" t="s">
        <v>541</v>
      </c>
      <c r="B70" s="85" t="s">
        <v>542</v>
      </c>
      <c r="C70" s="379">
        <f>'SGTO POAI VIGENCIA 2021'!BP107+'SGTO POAI VIGENCIA 2021'!BP108+'SGTO POAI VIGENCIA 2021'!BP109</f>
        <v>108000000</v>
      </c>
      <c r="D70" s="379">
        <f>'SGTO POAI VIGENCIA 2021'!BQ107+'SGTO POAI VIGENCIA 2021'!BQ108+'SGTO POAI VIGENCIA 2021'!BQ109</f>
        <v>108000000</v>
      </c>
      <c r="E70" s="108">
        <f t="shared" si="2"/>
        <v>1</v>
      </c>
      <c r="F70" s="379">
        <f>'SGTO POAI VIGENCIA 2021'!BR107+'SGTO POAI VIGENCIA 2021'!BR108+'SGTO POAI VIGENCIA 2021'!BR109</f>
        <v>108000000</v>
      </c>
      <c r="G70" s="108">
        <f t="shared" si="3"/>
        <v>1</v>
      </c>
    </row>
    <row r="71" spans="1:7" ht="90" customHeight="1" thickBot="1" x14ac:dyDescent="0.25">
      <c r="A71" s="80" t="s">
        <v>553</v>
      </c>
      <c r="B71" s="86" t="s">
        <v>1417</v>
      </c>
      <c r="C71" s="379">
        <f>'SGTO POAI VIGENCIA 2021'!BP110+'SGTO POAI VIGENCIA 2021'!BP111</f>
        <v>36000000</v>
      </c>
      <c r="D71" s="379">
        <f>'SGTO POAI VIGENCIA 2021'!BQ110+'SGTO POAI VIGENCIA 2021'!BQ111</f>
        <v>34195000</v>
      </c>
      <c r="E71" s="108">
        <f t="shared" si="2"/>
        <v>0.94986111111111116</v>
      </c>
      <c r="F71" s="379">
        <f>'SGTO POAI VIGENCIA 2021'!BR110+'SGTO POAI VIGENCIA 2021'!BR111</f>
        <v>34195000</v>
      </c>
      <c r="G71" s="108">
        <f t="shared" si="3"/>
        <v>1</v>
      </c>
    </row>
    <row r="72" spans="1:7" ht="90" customHeight="1" thickBot="1" x14ac:dyDescent="0.25">
      <c r="A72" s="81" t="s">
        <v>562</v>
      </c>
      <c r="B72" s="86" t="s">
        <v>1418</v>
      </c>
      <c r="C72" s="379">
        <f>'SGTO POAI VIGENCIA 2021'!BP112+'SGTO POAI VIGENCIA 2021'!BP113</f>
        <v>81456499</v>
      </c>
      <c r="D72" s="379">
        <f>'SGTO POAI VIGENCIA 2021'!BQ112+'SGTO POAI VIGENCIA 2021'!BQ113</f>
        <v>81456499</v>
      </c>
      <c r="E72" s="108">
        <f t="shared" si="2"/>
        <v>1</v>
      </c>
      <c r="F72" s="379">
        <f>'SGTO POAI VIGENCIA 2021'!BR112+'SGTO POAI VIGENCIA 2021'!BR113</f>
        <v>81456499</v>
      </c>
      <c r="G72" s="108">
        <f t="shared" si="3"/>
        <v>1</v>
      </c>
    </row>
    <row r="73" spans="1:7" ht="90" customHeight="1" thickBot="1" x14ac:dyDescent="0.25">
      <c r="A73" s="80" t="s">
        <v>573</v>
      </c>
      <c r="B73" s="86" t="s">
        <v>574</v>
      </c>
      <c r="C73" s="379">
        <f>'SGTO POAI VIGENCIA 2021'!BP114+'SGTO POAI VIGENCIA 2021'!BP115+'SGTO POAI VIGENCIA 2021'!BP116+'SGTO POAI VIGENCIA 2021'!BP117</f>
        <v>1145631389</v>
      </c>
      <c r="D73" s="379">
        <f>'SGTO POAI VIGENCIA 2021'!BQ114+'SGTO POAI VIGENCIA 2021'!BQ115+'SGTO POAI VIGENCIA 2021'!BQ116+'SGTO POAI VIGENCIA 2021'!BQ117</f>
        <v>386628018.56999999</v>
      </c>
      <c r="E73" s="108">
        <f t="shared" si="2"/>
        <v>0.3374802945190602</v>
      </c>
      <c r="F73" s="379">
        <f>'SGTO POAI VIGENCIA 2021'!BR114+'SGTO POAI VIGENCIA 2021'!BR115+'SGTO POAI VIGENCIA 2021'!BR116+'SGTO POAI VIGENCIA 2021'!BR117</f>
        <v>386628018.56999999</v>
      </c>
      <c r="G73" s="108">
        <f t="shared" si="3"/>
        <v>1</v>
      </c>
    </row>
    <row r="74" spans="1:7" ht="90" customHeight="1" thickBot="1" x14ac:dyDescent="0.25">
      <c r="A74" s="78" t="s">
        <v>590</v>
      </c>
      <c r="B74" s="86" t="s">
        <v>1419</v>
      </c>
      <c r="C74" s="379">
        <f>'SGTO POAI VIGENCIA 2021'!BP118</f>
        <v>36000000</v>
      </c>
      <c r="D74" s="379">
        <f>'SGTO POAI VIGENCIA 2021'!BQ118</f>
        <v>34532000</v>
      </c>
      <c r="E74" s="108">
        <f t="shared" si="2"/>
        <v>0.9592222222222222</v>
      </c>
      <c r="F74" s="379">
        <f>'SGTO POAI VIGENCIA 2021'!BR118</f>
        <v>34532000</v>
      </c>
      <c r="G74" s="108">
        <f t="shared" si="3"/>
        <v>1</v>
      </c>
    </row>
    <row r="75" spans="1:7" ht="90" customHeight="1" thickBot="1" x14ac:dyDescent="0.25">
      <c r="A75" s="78" t="s">
        <v>595</v>
      </c>
      <c r="B75" s="86" t="s">
        <v>1420</v>
      </c>
      <c r="C75" s="379">
        <f>'SGTO POAI VIGENCIA 2021'!BP119</f>
        <v>54000000</v>
      </c>
      <c r="D75" s="379">
        <f>'SGTO POAI VIGENCIA 2021'!BQ119</f>
        <v>43120666</v>
      </c>
      <c r="E75" s="108">
        <f t="shared" si="2"/>
        <v>0.7985308518518518</v>
      </c>
      <c r="F75" s="379">
        <f>'SGTO POAI VIGENCIA 2021'!BR119</f>
        <v>43120666</v>
      </c>
      <c r="G75" s="108">
        <f t="shared" si="3"/>
        <v>1</v>
      </c>
    </row>
    <row r="76" spans="1:7" ht="90" customHeight="1" thickBot="1" x14ac:dyDescent="0.25">
      <c r="A76" s="78" t="s">
        <v>603</v>
      </c>
      <c r="B76" s="86" t="s">
        <v>604</v>
      </c>
      <c r="C76" s="379">
        <f>'SGTO POAI VIGENCIA 2021'!BP120</f>
        <v>120000000</v>
      </c>
      <c r="D76" s="379">
        <f>'SGTO POAI VIGENCIA 2021'!BQ120</f>
        <v>52835333</v>
      </c>
      <c r="E76" s="108">
        <f t="shared" si="2"/>
        <v>0.44029444166666665</v>
      </c>
      <c r="F76" s="379">
        <f>'SGTO POAI VIGENCIA 2021'!BR120</f>
        <v>52835333</v>
      </c>
      <c r="G76" s="108">
        <f t="shared" si="3"/>
        <v>1</v>
      </c>
    </row>
    <row r="77" spans="1:7" ht="90" customHeight="1" thickBot="1" x14ac:dyDescent="0.25">
      <c r="A77" s="78" t="s">
        <v>610</v>
      </c>
      <c r="B77" s="86" t="s">
        <v>611</v>
      </c>
      <c r="C77" s="379">
        <f>'SGTO POAI VIGENCIA 2021'!BP121+'SGTO POAI VIGENCIA 2021'!BP122+'SGTO POAI VIGENCIA 2021'!BP123</f>
        <v>82000000</v>
      </c>
      <c r="D77" s="379">
        <f>'SGTO POAI VIGENCIA 2021'!BQ121+'SGTO POAI VIGENCIA 2021'!BQ122+'SGTO POAI VIGENCIA 2021'!BQ123</f>
        <v>0</v>
      </c>
      <c r="E77" s="108">
        <f t="shared" si="2"/>
        <v>0</v>
      </c>
      <c r="F77" s="379">
        <f>'SGTO POAI VIGENCIA 2021'!BR121+'SGTO POAI VIGENCIA 2021'!BR122+'SGTO POAI VIGENCIA 2021'!BR123</f>
        <v>0</v>
      </c>
      <c r="G77" s="108">
        <v>0</v>
      </c>
    </row>
    <row r="78" spans="1:7" ht="90" customHeight="1" thickBot="1" x14ac:dyDescent="0.25">
      <c r="A78" s="80" t="s">
        <v>623</v>
      </c>
      <c r="B78" s="86" t="s">
        <v>1421</v>
      </c>
      <c r="C78" s="379">
        <f>'SGTO POAI VIGENCIA 2021'!BP124+'SGTO POAI VIGENCIA 2021'!BP125+'SGTO POAI VIGENCIA 2021'!BP126</f>
        <v>118000000</v>
      </c>
      <c r="D78" s="379">
        <f>'SGTO POAI VIGENCIA 2021'!BQ124+'SGTO POAI VIGENCIA 2021'!BQ125+'SGTO POAI VIGENCIA 2021'!BQ126</f>
        <v>9535000</v>
      </c>
      <c r="E78" s="108">
        <f t="shared" si="2"/>
        <v>8.0805084745762715E-2</v>
      </c>
      <c r="F78" s="379">
        <f>'SGTO POAI VIGENCIA 2021'!BR124+'SGTO POAI VIGENCIA 2021'!BR125+'SGTO POAI VIGENCIA 2021'!BR126</f>
        <v>9535000</v>
      </c>
      <c r="G78" s="108">
        <f t="shared" si="3"/>
        <v>1</v>
      </c>
    </row>
    <row r="79" spans="1:7" ht="20.100000000000001" customHeight="1" thickBot="1" x14ac:dyDescent="0.25">
      <c r="A79" s="652" t="s">
        <v>633</v>
      </c>
      <c r="B79" s="653"/>
      <c r="C79" s="521">
        <f>SUM(C80:C82)</f>
        <v>1177000000</v>
      </c>
      <c r="D79" s="521">
        <f>SUM(D80:D82)</f>
        <v>1175258655.9299998</v>
      </c>
      <c r="E79" s="523">
        <f t="shared" si="2"/>
        <v>0.99852052330501262</v>
      </c>
      <c r="F79" s="521">
        <f>SUM(F80:F82)</f>
        <v>1175258655.9299998</v>
      </c>
      <c r="G79" s="522">
        <f t="shared" si="3"/>
        <v>1</v>
      </c>
    </row>
    <row r="80" spans="1:7" ht="90" customHeight="1" thickBot="1" x14ac:dyDescent="0.25">
      <c r="A80" s="80" t="s">
        <v>638</v>
      </c>
      <c r="B80" s="88" t="s">
        <v>1422</v>
      </c>
      <c r="C80" s="379">
        <f>'SGTO POAI VIGENCIA 2021'!BP127</f>
        <v>249636991.63999999</v>
      </c>
      <c r="D80" s="379">
        <f>'SGTO POAI VIGENCIA 2021'!BQ127</f>
        <v>249630991.63999999</v>
      </c>
      <c r="E80" s="108">
        <f t="shared" si="2"/>
        <v>0.99997596510052222</v>
      </c>
      <c r="F80" s="379">
        <f>'SGTO POAI VIGENCIA 2021'!BR127</f>
        <v>249630991.63999999</v>
      </c>
      <c r="G80" s="108">
        <f t="shared" si="3"/>
        <v>1</v>
      </c>
    </row>
    <row r="81" spans="1:7" ht="90" customHeight="1" thickBot="1" x14ac:dyDescent="0.25">
      <c r="A81" s="80" t="s">
        <v>643</v>
      </c>
      <c r="B81" s="86" t="s">
        <v>1423</v>
      </c>
      <c r="C81" s="379">
        <f>'SGTO POAI VIGENCIA 2021'!BP128</f>
        <v>783075508.38</v>
      </c>
      <c r="D81" s="379">
        <f>'SGTO POAI VIGENCIA 2021'!BQ128</f>
        <v>781340164.30999994</v>
      </c>
      <c r="E81" s="108">
        <f t="shared" si="2"/>
        <v>0.9977839377538571</v>
      </c>
      <c r="F81" s="379">
        <f>'SGTO POAI VIGENCIA 2021'!BR128</f>
        <v>781340164.30999994</v>
      </c>
      <c r="G81" s="108">
        <f t="shared" si="3"/>
        <v>1</v>
      </c>
    </row>
    <row r="82" spans="1:7" ht="90" customHeight="1" thickBot="1" x14ac:dyDescent="0.25">
      <c r="A82" s="81" t="s">
        <v>648</v>
      </c>
      <c r="B82" s="85" t="s">
        <v>1424</v>
      </c>
      <c r="C82" s="379">
        <f>'SGTO POAI VIGENCIA 2021'!BP129</f>
        <v>144287499.97999999</v>
      </c>
      <c r="D82" s="379">
        <f>'SGTO POAI VIGENCIA 2021'!BQ129</f>
        <v>144287499.97999999</v>
      </c>
      <c r="E82" s="108">
        <f t="shared" si="2"/>
        <v>1</v>
      </c>
      <c r="F82" s="379">
        <f>'SGTO POAI VIGENCIA 2021'!BR129</f>
        <v>144287499.97999999</v>
      </c>
      <c r="G82" s="108">
        <f t="shared" si="3"/>
        <v>1</v>
      </c>
    </row>
    <row r="83" spans="1:7" ht="20.100000000000001" customHeight="1" thickBot="1" x14ac:dyDescent="0.25">
      <c r="A83" s="652" t="s">
        <v>651</v>
      </c>
      <c r="B83" s="653"/>
      <c r="C83" s="521">
        <f>SUM(C84:C92)</f>
        <v>193197400269.77997</v>
      </c>
      <c r="D83" s="521">
        <f>SUM(D84:D92)</f>
        <v>188842332007.94998</v>
      </c>
      <c r="E83" s="523">
        <f t="shared" si="2"/>
        <v>0.97745793548076432</v>
      </c>
      <c r="F83" s="521">
        <f>SUM(F84:F92)</f>
        <v>188842332007.94998</v>
      </c>
      <c r="G83" s="522">
        <f t="shared" si="3"/>
        <v>1</v>
      </c>
    </row>
    <row r="84" spans="1:7" ht="90" customHeight="1" thickBot="1" x14ac:dyDescent="0.25">
      <c r="A84" s="80" t="s">
        <v>655</v>
      </c>
      <c r="B84" s="87" t="s">
        <v>656</v>
      </c>
      <c r="C84" s="379">
        <f>'SGTO POAI VIGENCIA 2021'!BP130+'SGTO POAI VIGENCIA 2021'!BP131+'SGTO POAI VIGENCIA 2021'!BP132+'SGTO POAI VIGENCIA 2021'!BP133+'SGTO POAI VIGENCIA 2021'!BP134+'SGTO POAI VIGENCIA 2021'!BP135+'SGTO POAI VIGENCIA 2021'!BP136+'SGTO POAI VIGENCIA 2021'!BP137+'SGTO POAI VIGENCIA 2021'!BP138+'SGTO POAI VIGENCIA 2021'!BP139</f>
        <v>16569672696.32</v>
      </c>
      <c r="D84" s="379">
        <f>'SGTO POAI VIGENCIA 2021'!BQ130+'SGTO POAI VIGENCIA 2021'!BQ131+'SGTO POAI VIGENCIA 2021'!BQ132+'SGTO POAI VIGENCIA 2021'!BQ133+'SGTO POAI VIGENCIA 2021'!BQ134+'SGTO POAI VIGENCIA 2021'!BQ135+'SGTO POAI VIGENCIA 2021'!BQ136+'SGTO POAI VIGENCIA 2021'!BQ137+'SGTO POAI VIGENCIA 2021'!BQ138+'SGTO POAI VIGENCIA 2021'!BQ139</f>
        <v>14426477321</v>
      </c>
      <c r="E84" s="108">
        <f t="shared" si="2"/>
        <v>0.87065553951491226</v>
      </c>
      <c r="F84" s="379">
        <f>'SGTO POAI VIGENCIA 2021'!BR130+'SGTO POAI VIGENCIA 2021'!BR131+'SGTO POAI VIGENCIA 2021'!BR132+'SGTO POAI VIGENCIA 2021'!BR133+'SGTO POAI VIGENCIA 2021'!BR134+'SGTO POAI VIGENCIA 2021'!BR135+'SGTO POAI VIGENCIA 2021'!BR136+'SGTO POAI VIGENCIA 2021'!BR137+'SGTO POAI VIGENCIA 2021'!BR138+'SGTO POAI VIGENCIA 2021'!BR139</f>
        <v>14426477321</v>
      </c>
      <c r="G84" s="108">
        <f t="shared" si="3"/>
        <v>1</v>
      </c>
    </row>
    <row r="85" spans="1:7" ht="90" customHeight="1" thickBot="1" x14ac:dyDescent="0.25">
      <c r="A85" s="80" t="s">
        <v>684</v>
      </c>
      <c r="B85" s="87" t="s">
        <v>685</v>
      </c>
      <c r="C85" s="379">
        <f>'SGTO POAI VIGENCIA 2021'!BP140+'SGTO POAI VIGENCIA 2021'!BP141</f>
        <v>10000000</v>
      </c>
      <c r="D85" s="379">
        <f>'SGTO POAI VIGENCIA 2021'!BQ140+'SGTO POAI VIGENCIA 2021'!BQ141</f>
        <v>9905167</v>
      </c>
      <c r="E85" s="108">
        <f t="shared" si="2"/>
        <v>0.99051670000000003</v>
      </c>
      <c r="F85" s="379">
        <f>'SGTO POAI VIGENCIA 2021'!BR140+'SGTO POAI VIGENCIA 2021'!BR141</f>
        <v>9905167</v>
      </c>
      <c r="G85" s="108">
        <f t="shared" si="3"/>
        <v>1</v>
      </c>
    </row>
    <row r="86" spans="1:7" ht="90" customHeight="1" thickBot="1" x14ac:dyDescent="0.25">
      <c r="A86" s="80" t="s">
        <v>693</v>
      </c>
      <c r="B86" s="87" t="s">
        <v>694</v>
      </c>
      <c r="C86" s="379">
        <f>'SGTO POAI VIGENCIA 2021'!BP142+'SGTO POAI VIGENCIA 2021'!BP143+'SGTO POAI VIGENCIA 2021'!BP144+'SGTO POAI VIGENCIA 2021'!BP145+'SGTO POAI VIGENCIA 2021'!BP146+'SGTO POAI VIGENCIA 2021'!BP147+'SGTO POAI VIGENCIA 2021'!BP148+'SGTO POAI VIGENCIA 2021'!BP149+'SGTO POAI VIGENCIA 2021'!BP150+'SGTO POAI VIGENCIA 2021'!BP151</f>
        <v>152973653.47999999</v>
      </c>
      <c r="D86" s="379">
        <f>'SGTO POAI VIGENCIA 2021'!BQ142+'SGTO POAI VIGENCIA 2021'!BQ143+'SGTO POAI VIGENCIA 2021'!BQ144+'SGTO POAI VIGENCIA 2021'!BQ145+'SGTO POAI VIGENCIA 2021'!BQ146+'SGTO POAI VIGENCIA 2021'!BQ147+'SGTO POAI VIGENCIA 2021'!BQ148+'SGTO POAI VIGENCIA 2021'!BQ149+'SGTO POAI VIGENCIA 2021'!BQ150+'SGTO POAI VIGENCIA 2021'!BQ151</f>
        <v>149855776</v>
      </c>
      <c r="E86" s="108">
        <f t="shared" si="2"/>
        <v>0.97961820608273809</v>
      </c>
      <c r="F86" s="379">
        <f>'SGTO POAI VIGENCIA 2021'!BR142+'SGTO POAI VIGENCIA 2021'!BR143+'SGTO POAI VIGENCIA 2021'!BR144+'SGTO POAI VIGENCIA 2021'!BR145+'SGTO POAI VIGENCIA 2021'!BR146+'SGTO POAI VIGENCIA 2021'!BR147+'SGTO POAI VIGENCIA 2021'!BR148+'SGTO POAI VIGENCIA 2021'!BR149+'SGTO POAI VIGENCIA 2021'!BR150+'SGTO POAI VIGENCIA 2021'!BR151</f>
        <v>149855776</v>
      </c>
      <c r="G86" s="108">
        <f t="shared" si="3"/>
        <v>1</v>
      </c>
    </row>
    <row r="87" spans="1:7" ht="90" customHeight="1" thickBot="1" x14ac:dyDescent="0.25">
      <c r="A87" s="78" t="s">
        <v>719</v>
      </c>
      <c r="B87" s="87" t="s">
        <v>720</v>
      </c>
      <c r="C87" s="379">
        <f>'SGTO POAI VIGENCIA 2021'!BP152+'SGTO POAI VIGENCIA 2021'!BP153+'SGTO POAI VIGENCIA 2021'!BP154+'SGTO POAI VIGENCIA 2021'!BP155</f>
        <v>175372150060.97</v>
      </c>
      <c r="D87" s="379">
        <f>'SGTO POAI VIGENCIA 2021'!BQ152+'SGTO POAI VIGENCIA 2021'!BQ153+'SGTO POAI VIGENCIA 2021'!BQ154+'SGTO POAI VIGENCIA 2021'!BQ155</f>
        <v>173173976411.94998</v>
      </c>
      <c r="E87" s="108">
        <f t="shared" si="2"/>
        <v>0.98746566288743221</v>
      </c>
      <c r="F87" s="379">
        <f>'SGTO POAI VIGENCIA 2021'!BR152+'SGTO POAI VIGENCIA 2021'!BR153+'SGTO POAI VIGENCIA 2021'!BR154+'SGTO POAI VIGENCIA 2021'!BR155</f>
        <v>173173976411.94998</v>
      </c>
      <c r="G87" s="108">
        <f t="shared" si="3"/>
        <v>1</v>
      </c>
    </row>
    <row r="88" spans="1:7" ht="90" customHeight="1" thickBot="1" x14ac:dyDescent="0.25">
      <c r="A88" s="80" t="s">
        <v>731</v>
      </c>
      <c r="B88" s="86" t="s">
        <v>1425</v>
      </c>
      <c r="C88" s="379">
        <f>'SGTO POAI VIGENCIA 2021'!BP156+'SGTO POAI VIGENCIA 2021'!BP157+'SGTO POAI VIGENCIA 2021'!BP158</f>
        <v>611945607.01999998</v>
      </c>
      <c r="D88" s="379">
        <f>'SGTO POAI VIGENCIA 2021'!BQ156+'SGTO POAI VIGENCIA 2021'!BQ157+'SGTO POAI VIGENCIA 2021'!BQ158</f>
        <v>609602211</v>
      </c>
      <c r="E88" s="108">
        <f t="shared" si="2"/>
        <v>0.99617058118709001</v>
      </c>
      <c r="F88" s="379">
        <f>'SGTO POAI VIGENCIA 2021'!BR156+'SGTO POAI VIGENCIA 2021'!BR157+'SGTO POAI VIGENCIA 2021'!BR158</f>
        <v>609602211</v>
      </c>
      <c r="G88" s="108">
        <f t="shared" si="3"/>
        <v>1</v>
      </c>
    </row>
    <row r="89" spans="1:7" ht="90" customHeight="1" thickBot="1" x14ac:dyDescent="0.25">
      <c r="A89" s="78" t="s">
        <v>741</v>
      </c>
      <c r="B89" s="87" t="s">
        <v>742</v>
      </c>
      <c r="C89" s="379">
        <f>'SGTO POAI VIGENCIA 2021'!BP159+'SGTO POAI VIGENCIA 2021'!BP160+'SGTO POAI VIGENCIA 2021'!BP161</f>
        <v>19999999.990000002</v>
      </c>
      <c r="D89" s="379">
        <f>'SGTO POAI VIGENCIA 2021'!BQ159+'SGTO POAI VIGENCIA 2021'!BQ160+'SGTO POAI VIGENCIA 2021'!BQ161</f>
        <v>19334359</v>
      </c>
      <c r="E89" s="108">
        <f t="shared" si="2"/>
        <v>0.96671795048335885</v>
      </c>
      <c r="F89" s="379">
        <f>'SGTO POAI VIGENCIA 2021'!BR159+'SGTO POAI VIGENCIA 2021'!BR160+'SGTO POAI VIGENCIA 2021'!BR161</f>
        <v>19334359</v>
      </c>
      <c r="G89" s="108">
        <f t="shared" si="3"/>
        <v>1</v>
      </c>
    </row>
    <row r="90" spans="1:7" ht="90" customHeight="1" thickBot="1" x14ac:dyDescent="0.25">
      <c r="A90" s="80" t="s">
        <v>748</v>
      </c>
      <c r="B90" s="87" t="s">
        <v>749</v>
      </c>
      <c r="C90" s="379">
        <f>'SGTO POAI VIGENCIA 2021'!BP162+'SGTO POAI VIGENCIA 2021'!BP163</f>
        <v>14100000</v>
      </c>
      <c r="D90" s="379">
        <f>'SGTO POAI VIGENCIA 2021'!BQ162+'SGTO POAI VIGENCIA 2021'!BQ163</f>
        <v>13100000</v>
      </c>
      <c r="E90" s="108">
        <f t="shared" si="2"/>
        <v>0.92907801418439717</v>
      </c>
      <c r="F90" s="379">
        <f>'SGTO POAI VIGENCIA 2021'!BR162+'SGTO POAI VIGENCIA 2021'!BR163</f>
        <v>13100000</v>
      </c>
      <c r="G90" s="108">
        <f t="shared" si="3"/>
        <v>1</v>
      </c>
    </row>
    <row r="91" spans="1:7" ht="90" customHeight="1" thickBot="1" x14ac:dyDescent="0.25">
      <c r="A91" s="80" t="s">
        <v>756</v>
      </c>
      <c r="B91" s="87" t="s">
        <v>1426</v>
      </c>
      <c r="C91" s="379">
        <f>'SGTO POAI VIGENCIA 2021'!BP164</f>
        <v>439058252</v>
      </c>
      <c r="D91" s="379">
        <f>'SGTO POAI VIGENCIA 2021'!BQ164</f>
        <v>432580762</v>
      </c>
      <c r="E91" s="108">
        <f t="shared" si="2"/>
        <v>0.9852468551257294</v>
      </c>
      <c r="F91" s="379">
        <f>'SGTO POAI VIGENCIA 2021'!BR164</f>
        <v>432580762</v>
      </c>
      <c r="G91" s="108">
        <f t="shared" si="3"/>
        <v>1</v>
      </c>
    </row>
    <row r="92" spans="1:7" ht="90" customHeight="1" thickBot="1" x14ac:dyDescent="0.25">
      <c r="A92" s="80" t="s">
        <v>764</v>
      </c>
      <c r="B92" s="87" t="s">
        <v>1427</v>
      </c>
      <c r="C92" s="379">
        <f>'SGTO POAI VIGENCIA 2021'!BP165</f>
        <v>7500000</v>
      </c>
      <c r="D92" s="379">
        <f>'SGTO POAI VIGENCIA 2021'!BQ165</f>
        <v>7500000</v>
      </c>
      <c r="E92" s="108">
        <f t="shared" si="2"/>
        <v>1</v>
      </c>
      <c r="F92" s="379">
        <f>'SGTO POAI VIGENCIA 2021'!BR165</f>
        <v>7500000</v>
      </c>
      <c r="G92" s="108">
        <f t="shared" si="3"/>
        <v>1</v>
      </c>
    </row>
    <row r="93" spans="1:7" ht="20.100000000000001" customHeight="1" thickBot="1" x14ac:dyDescent="0.25">
      <c r="A93" s="652" t="s">
        <v>767</v>
      </c>
      <c r="B93" s="653"/>
      <c r="C93" s="521">
        <f>SUM(C94:C121)</f>
        <v>6915266350.0100002</v>
      </c>
      <c r="D93" s="521">
        <f>SUM(D94:D121)</f>
        <v>5456827952.6400003</v>
      </c>
      <c r="E93" s="523">
        <f t="shared" si="2"/>
        <v>0.78909873842127698</v>
      </c>
      <c r="F93" s="521">
        <f>SUM(F94:F121)</f>
        <v>5456827952.6400003</v>
      </c>
      <c r="G93" s="522">
        <f t="shared" si="3"/>
        <v>1</v>
      </c>
    </row>
    <row r="94" spans="1:7" ht="90" customHeight="1" thickBot="1" x14ac:dyDescent="0.25">
      <c r="A94" s="79" t="s">
        <v>772</v>
      </c>
      <c r="B94" s="87" t="s">
        <v>1428</v>
      </c>
      <c r="C94" s="379">
        <f>'SGTO POAI VIGENCIA 2021'!BP166+'SGTO POAI VIGENCIA 2021'!BP167</f>
        <v>170000000</v>
      </c>
      <c r="D94" s="379">
        <f>'SGTO POAI VIGENCIA 2021'!BQ166+'SGTO POAI VIGENCIA 2021'!BQ167</f>
        <v>165845884</v>
      </c>
      <c r="E94" s="108">
        <f t="shared" si="2"/>
        <v>0.97556402352941174</v>
      </c>
      <c r="F94" s="379">
        <f>'SGTO POAI VIGENCIA 2021'!BR166+'SGTO POAI VIGENCIA 2021'!BR167</f>
        <v>165845884</v>
      </c>
      <c r="G94" s="108">
        <f t="shared" si="3"/>
        <v>1</v>
      </c>
    </row>
    <row r="95" spans="1:7" ht="90" customHeight="1" thickBot="1" x14ac:dyDescent="0.25">
      <c r="A95" s="80" t="s">
        <v>781</v>
      </c>
      <c r="B95" s="86" t="s">
        <v>1429</v>
      </c>
      <c r="C95" s="379">
        <f>'SGTO POAI VIGENCIA 2021'!BP168</f>
        <v>14250000</v>
      </c>
      <c r="D95" s="379">
        <f>'SGTO POAI VIGENCIA 2021'!BQ168</f>
        <v>14250000</v>
      </c>
      <c r="E95" s="108">
        <f t="shared" si="2"/>
        <v>1</v>
      </c>
      <c r="F95" s="379">
        <f>'SGTO POAI VIGENCIA 2021'!BR168</f>
        <v>14250000</v>
      </c>
      <c r="G95" s="108">
        <f t="shared" si="3"/>
        <v>1</v>
      </c>
    </row>
    <row r="96" spans="1:7" ht="90" customHeight="1" thickBot="1" x14ac:dyDescent="0.25">
      <c r="A96" s="80" t="s">
        <v>789</v>
      </c>
      <c r="B96" s="86" t="s">
        <v>1430</v>
      </c>
      <c r="C96" s="379">
        <f>'SGTO POAI VIGENCIA 2021'!BP169+'SGTO POAI VIGENCIA 2021'!BP170</f>
        <v>101930000</v>
      </c>
      <c r="D96" s="379">
        <f>'SGTO POAI VIGENCIA 2021'!BQ169+'SGTO POAI VIGENCIA 2021'!BQ170</f>
        <v>94725334</v>
      </c>
      <c r="E96" s="108">
        <f t="shared" si="2"/>
        <v>0.92931751201805157</v>
      </c>
      <c r="F96" s="379">
        <f>'SGTO POAI VIGENCIA 2021'!BR169+'SGTO POAI VIGENCIA 2021'!BR170</f>
        <v>94725334</v>
      </c>
      <c r="G96" s="108">
        <f t="shared" si="3"/>
        <v>1</v>
      </c>
    </row>
    <row r="97" spans="1:7" ht="90" customHeight="1" thickBot="1" x14ac:dyDescent="0.25">
      <c r="A97" s="80" t="s">
        <v>803</v>
      </c>
      <c r="B97" s="86" t="s">
        <v>1431</v>
      </c>
      <c r="C97" s="379">
        <f>'SGTO POAI VIGENCIA 2021'!BP171</f>
        <v>132000000</v>
      </c>
      <c r="D97" s="379">
        <f>'SGTO POAI VIGENCIA 2021'!BQ171</f>
        <v>105491560</v>
      </c>
      <c r="E97" s="108">
        <f t="shared" si="2"/>
        <v>0.79917848484848486</v>
      </c>
      <c r="F97" s="379">
        <f>'SGTO POAI VIGENCIA 2021'!BR171</f>
        <v>105491560</v>
      </c>
      <c r="G97" s="108">
        <f t="shared" si="3"/>
        <v>1</v>
      </c>
    </row>
    <row r="98" spans="1:7" ht="90" customHeight="1" thickBot="1" x14ac:dyDescent="0.25">
      <c r="A98" s="80" t="s">
        <v>812</v>
      </c>
      <c r="B98" s="86" t="s">
        <v>1432</v>
      </c>
      <c r="C98" s="379">
        <f>'SGTO POAI VIGENCIA 2021'!BP172+'SGTO POAI VIGENCIA 2021'!BP173</f>
        <v>624647889</v>
      </c>
      <c r="D98" s="379">
        <f>'SGTO POAI VIGENCIA 2021'!BQ172+'SGTO POAI VIGENCIA 2021'!BQ173</f>
        <v>604076511</v>
      </c>
      <c r="E98" s="108">
        <f t="shared" si="2"/>
        <v>0.96706724162162339</v>
      </c>
      <c r="F98" s="379">
        <f>'SGTO POAI VIGENCIA 2021'!BR172+'SGTO POAI VIGENCIA 2021'!BR173</f>
        <v>604076511</v>
      </c>
      <c r="G98" s="108">
        <f t="shared" si="3"/>
        <v>1</v>
      </c>
    </row>
    <row r="99" spans="1:7" ht="90" customHeight="1" thickBot="1" x14ac:dyDescent="0.25">
      <c r="A99" s="80" t="s">
        <v>823</v>
      </c>
      <c r="B99" s="86" t="s">
        <v>1433</v>
      </c>
      <c r="C99" s="379">
        <f>'SGTO POAI VIGENCIA 2021'!BP174</f>
        <v>200000000</v>
      </c>
      <c r="D99" s="379">
        <f>'SGTO POAI VIGENCIA 2021'!BQ174</f>
        <v>151606702</v>
      </c>
      <c r="E99" s="108">
        <f t="shared" si="2"/>
        <v>0.75803350999999997</v>
      </c>
      <c r="F99" s="379">
        <f>'SGTO POAI VIGENCIA 2021'!BR174</f>
        <v>151606702</v>
      </c>
      <c r="G99" s="108">
        <f t="shared" si="3"/>
        <v>1</v>
      </c>
    </row>
    <row r="100" spans="1:7" ht="90" customHeight="1" thickBot="1" x14ac:dyDescent="0.25">
      <c r="A100" s="80" t="s">
        <v>831</v>
      </c>
      <c r="B100" s="86" t="s">
        <v>1434</v>
      </c>
      <c r="C100" s="379">
        <f>'SGTO POAI VIGENCIA 2021'!BP175</f>
        <v>28000000</v>
      </c>
      <c r="D100" s="379">
        <f>'SGTO POAI VIGENCIA 2021'!BQ175</f>
        <v>23850296</v>
      </c>
      <c r="E100" s="108">
        <f t="shared" si="2"/>
        <v>0.85179628571428567</v>
      </c>
      <c r="F100" s="379">
        <f>'SGTO POAI VIGENCIA 2021'!BR175</f>
        <v>23850296</v>
      </c>
      <c r="G100" s="108">
        <f t="shared" si="3"/>
        <v>1</v>
      </c>
    </row>
    <row r="101" spans="1:7" ht="90" customHeight="1" thickBot="1" x14ac:dyDescent="0.25">
      <c r="A101" s="80" t="s">
        <v>839</v>
      </c>
      <c r="B101" s="86" t="s">
        <v>840</v>
      </c>
      <c r="C101" s="379">
        <f>'SGTO POAI VIGENCIA 2021'!BP176+'SGTO POAI VIGENCIA 2021'!BP177</f>
        <v>50985000</v>
      </c>
      <c r="D101" s="379">
        <f>'SGTO POAI VIGENCIA 2021'!BQ176+'SGTO POAI VIGENCIA 2021'!BQ177</f>
        <v>50943833</v>
      </c>
      <c r="E101" s="108">
        <f t="shared" si="2"/>
        <v>0.9991925664411101</v>
      </c>
      <c r="F101" s="379">
        <f>'SGTO POAI VIGENCIA 2021'!BR176+'SGTO POAI VIGENCIA 2021'!BR177</f>
        <v>50943833</v>
      </c>
      <c r="G101" s="108">
        <f t="shared" si="3"/>
        <v>1</v>
      </c>
    </row>
    <row r="102" spans="1:7" ht="90" customHeight="1" thickBot="1" x14ac:dyDescent="0.25">
      <c r="A102" s="80" t="s">
        <v>851</v>
      </c>
      <c r="B102" s="86" t="s">
        <v>1435</v>
      </c>
      <c r="C102" s="379">
        <f>'SGTO POAI VIGENCIA 2021'!BP178</f>
        <v>37000000</v>
      </c>
      <c r="D102" s="379">
        <f>'SGTO POAI VIGENCIA 2021'!BQ178</f>
        <v>36718334</v>
      </c>
      <c r="E102" s="108">
        <f t="shared" si="2"/>
        <v>0.99238740540540538</v>
      </c>
      <c r="F102" s="379">
        <f>'SGTO POAI VIGENCIA 2021'!BR178</f>
        <v>36718334</v>
      </c>
      <c r="G102" s="108">
        <f t="shared" si="3"/>
        <v>1</v>
      </c>
    </row>
    <row r="103" spans="1:7" ht="90" customHeight="1" thickBot="1" x14ac:dyDescent="0.25">
      <c r="A103" s="80" t="s">
        <v>857</v>
      </c>
      <c r="B103" s="85" t="s">
        <v>1436</v>
      </c>
      <c r="C103" s="379">
        <f>'SGTO POAI VIGENCIA 2021'!BP179</f>
        <v>15000000</v>
      </c>
      <c r="D103" s="379">
        <f>'SGTO POAI VIGENCIA 2021'!BQ179</f>
        <v>15000000</v>
      </c>
      <c r="E103" s="108">
        <f t="shared" si="2"/>
        <v>1</v>
      </c>
      <c r="F103" s="379">
        <f>'SGTO POAI VIGENCIA 2021'!BR179</f>
        <v>15000000</v>
      </c>
      <c r="G103" s="108">
        <f t="shared" si="3"/>
        <v>1</v>
      </c>
    </row>
    <row r="104" spans="1:7" ht="90" customHeight="1" thickBot="1" x14ac:dyDescent="0.25">
      <c r="A104" s="80" t="s">
        <v>862</v>
      </c>
      <c r="B104" s="85" t="s">
        <v>1437</v>
      </c>
      <c r="C104" s="379">
        <f>'SGTO POAI VIGENCIA 2021'!BP180</f>
        <v>20000000</v>
      </c>
      <c r="D104" s="379">
        <f>'SGTO POAI VIGENCIA 2021'!BQ180</f>
        <v>20000000</v>
      </c>
      <c r="E104" s="108">
        <f t="shared" si="2"/>
        <v>1</v>
      </c>
      <c r="F104" s="379">
        <f>'SGTO POAI VIGENCIA 2021'!BR180</f>
        <v>20000000</v>
      </c>
      <c r="G104" s="108">
        <f t="shared" si="3"/>
        <v>1</v>
      </c>
    </row>
    <row r="105" spans="1:7" ht="90" customHeight="1" thickBot="1" x14ac:dyDescent="0.25">
      <c r="A105" s="80" t="s">
        <v>867</v>
      </c>
      <c r="B105" s="85" t="s">
        <v>1438</v>
      </c>
      <c r="C105" s="379">
        <f>'SGTO POAI VIGENCIA 2021'!BP181</f>
        <v>25000000</v>
      </c>
      <c r="D105" s="379">
        <f>'SGTO POAI VIGENCIA 2021'!BQ181</f>
        <v>24000000</v>
      </c>
      <c r="E105" s="108">
        <f t="shared" si="2"/>
        <v>0.96</v>
      </c>
      <c r="F105" s="379">
        <f>'SGTO POAI VIGENCIA 2021'!BR181</f>
        <v>24000000</v>
      </c>
      <c r="G105" s="108">
        <f t="shared" si="3"/>
        <v>1</v>
      </c>
    </row>
    <row r="106" spans="1:7" ht="90" customHeight="1" thickBot="1" x14ac:dyDescent="0.25">
      <c r="A106" s="80" t="s">
        <v>873</v>
      </c>
      <c r="B106" s="85" t="s">
        <v>1439</v>
      </c>
      <c r="C106" s="379">
        <f>'SGTO POAI VIGENCIA 2021'!BP182</f>
        <v>75112368</v>
      </c>
      <c r="D106" s="379">
        <f>'SGTO POAI VIGENCIA 2021'!BQ182</f>
        <v>71374050.390000001</v>
      </c>
      <c r="E106" s="108">
        <f t="shared" si="2"/>
        <v>0.95023033210722363</v>
      </c>
      <c r="F106" s="379">
        <f>'SGTO POAI VIGENCIA 2021'!BR182</f>
        <v>71374050.390000001</v>
      </c>
      <c r="G106" s="108">
        <f t="shared" si="3"/>
        <v>1</v>
      </c>
    </row>
    <row r="107" spans="1:7" ht="90" customHeight="1" thickBot="1" x14ac:dyDescent="0.25">
      <c r="A107" s="80" t="s">
        <v>881</v>
      </c>
      <c r="B107" s="85" t="s">
        <v>1440</v>
      </c>
      <c r="C107" s="379">
        <f>'SGTO POAI VIGENCIA 2021'!BP183+'SGTO POAI VIGENCIA 2021'!BP184</f>
        <v>47000000</v>
      </c>
      <c r="D107" s="379">
        <f>'SGTO POAI VIGENCIA 2021'!BQ183+'SGTO POAI VIGENCIA 2021'!BQ184</f>
        <v>45333347</v>
      </c>
      <c r="E107" s="108">
        <f t="shared" si="2"/>
        <v>0.96453929787234038</v>
      </c>
      <c r="F107" s="379">
        <f>'SGTO POAI VIGENCIA 2021'!BR183+'SGTO POAI VIGENCIA 2021'!BR184</f>
        <v>45333347</v>
      </c>
      <c r="G107" s="108">
        <f t="shared" si="3"/>
        <v>1</v>
      </c>
    </row>
    <row r="108" spans="1:7" ht="90" customHeight="1" thickBot="1" x14ac:dyDescent="0.25">
      <c r="A108" s="80" t="s">
        <v>890</v>
      </c>
      <c r="B108" s="85" t="s">
        <v>891</v>
      </c>
      <c r="C108" s="379">
        <f>'SGTO POAI VIGENCIA 2021'!BP185</f>
        <v>51681346</v>
      </c>
      <c r="D108" s="379">
        <f>'SGTO POAI VIGENCIA 2021'!BQ185</f>
        <v>51001400</v>
      </c>
      <c r="E108" s="108">
        <f t="shared" si="2"/>
        <v>0.98684349281460282</v>
      </c>
      <c r="F108" s="379">
        <f>'SGTO POAI VIGENCIA 2021'!BR185</f>
        <v>51001400</v>
      </c>
      <c r="G108" s="108">
        <f t="shared" si="3"/>
        <v>1</v>
      </c>
    </row>
    <row r="109" spans="1:7" ht="90" customHeight="1" thickBot="1" x14ac:dyDescent="0.25">
      <c r="A109" s="80" t="s">
        <v>899</v>
      </c>
      <c r="B109" s="86" t="s">
        <v>900</v>
      </c>
      <c r="C109" s="379">
        <f>'SGTO POAI VIGENCIA 2021'!BP186+'SGTO POAI VIGENCIA 2021'!BP187</f>
        <v>102080000</v>
      </c>
      <c r="D109" s="379">
        <f>'SGTO POAI VIGENCIA 2021'!BQ186+'SGTO POAI VIGENCIA 2021'!BQ187</f>
        <v>93951500</v>
      </c>
      <c r="E109" s="108">
        <f t="shared" si="2"/>
        <v>0.92037127742946712</v>
      </c>
      <c r="F109" s="379">
        <f>'SGTO POAI VIGENCIA 2021'!BR186+'SGTO POAI VIGENCIA 2021'!BR187</f>
        <v>93951500</v>
      </c>
      <c r="G109" s="108">
        <f t="shared" si="3"/>
        <v>1</v>
      </c>
    </row>
    <row r="110" spans="1:7" ht="90" customHeight="1" thickBot="1" x14ac:dyDescent="0.25">
      <c r="A110" s="79" t="s">
        <v>909</v>
      </c>
      <c r="B110" s="85" t="s">
        <v>1441</v>
      </c>
      <c r="C110" s="379">
        <f>'SGTO POAI VIGENCIA 2021'!BP188</f>
        <v>35000000</v>
      </c>
      <c r="D110" s="379">
        <f>'SGTO POAI VIGENCIA 2021'!BQ188</f>
        <v>34994000</v>
      </c>
      <c r="E110" s="108">
        <f t="shared" si="2"/>
        <v>0.9998285714285714</v>
      </c>
      <c r="F110" s="379">
        <f>'SGTO POAI VIGENCIA 2021'!BR188</f>
        <v>34994000</v>
      </c>
      <c r="G110" s="108">
        <f t="shared" si="3"/>
        <v>1</v>
      </c>
    </row>
    <row r="111" spans="1:7" ht="90" customHeight="1" thickBot="1" x14ac:dyDescent="0.25">
      <c r="A111" s="80" t="s">
        <v>956</v>
      </c>
      <c r="B111" s="85" t="s">
        <v>1442</v>
      </c>
      <c r="C111" s="379">
        <f>'SGTO POAI VIGENCIA 2021'!BP195</f>
        <v>90000000</v>
      </c>
      <c r="D111" s="379">
        <f>'SGTO POAI VIGENCIA 2021'!BQ195</f>
        <v>87541000</v>
      </c>
      <c r="E111" s="108">
        <f t="shared" si="2"/>
        <v>0.97267777777777775</v>
      </c>
      <c r="F111" s="379">
        <f>'SGTO POAI VIGENCIA 2021'!BR195</f>
        <v>87541000</v>
      </c>
      <c r="G111" s="108">
        <f t="shared" si="3"/>
        <v>1</v>
      </c>
    </row>
    <row r="112" spans="1:7" ht="90" customHeight="1" thickBot="1" x14ac:dyDescent="0.25">
      <c r="A112" s="80" t="s">
        <v>950</v>
      </c>
      <c r="B112" s="85" t="s">
        <v>951</v>
      </c>
      <c r="C112" s="379">
        <f>'SGTO POAI VIGENCIA 2021'!BP194</f>
        <v>77000000</v>
      </c>
      <c r="D112" s="379">
        <f>'SGTO POAI VIGENCIA 2021'!BQ194</f>
        <v>73301546</v>
      </c>
      <c r="E112" s="108">
        <f t="shared" si="2"/>
        <v>0.95196812987012991</v>
      </c>
      <c r="F112" s="379">
        <f>'SGTO POAI VIGENCIA 2021'!BR194</f>
        <v>73301546</v>
      </c>
      <c r="G112" s="108">
        <f t="shared" si="3"/>
        <v>1</v>
      </c>
    </row>
    <row r="113" spans="1:7" ht="90" customHeight="1" thickBot="1" x14ac:dyDescent="0.25">
      <c r="A113" s="80" t="s">
        <v>917</v>
      </c>
      <c r="B113" s="86" t="s">
        <v>1443</v>
      </c>
      <c r="C113" s="379">
        <f>'SGTO POAI VIGENCIA 2021'!BP189+'SGTO POAI VIGENCIA 2021'!BP190</f>
        <v>4652290244.0100002</v>
      </c>
      <c r="D113" s="379">
        <f>'SGTO POAI VIGENCIA 2021'!BQ189+'SGTO POAI VIGENCIA 2021'!BQ190</f>
        <v>3388046793.25</v>
      </c>
      <c r="E113" s="108">
        <f t="shared" si="2"/>
        <v>0.72825353009998428</v>
      </c>
      <c r="F113" s="379">
        <f>'SGTO POAI VIGENCIA 2021'!BR189+'SGTO POAI VIGENCIA 2021'!BR190</f>
        <v>3388046793.25</v>
      </c>
      <c r="G113" s="108">
        <f t="shared" si="3"/>
        <v>1</v>
      </c>
    </row>
    <row r="114" spans="1:7" ht="90" customHeight="1" thickBot="1" x14ac:dyDescent="0.25">
      <c r="A114" s="80" t="s">
        <v>983</v>
      </c>
      <c r="B114" s="85" t="s">
        <v>1444</v>
      </c>
      <c r="C114" s="379">
        <f>'SGTO POAI VIGENCIA 2021'!BP200</f>
        <v>143094503</v>
      </c>
      <c r="D114" s="379">
        <f>'SGTO POAI VIGENCIA 2021'!BQ200</f>
        <v>121765134</v>
      </c>
      <c r="E114" s="108">
        <f t="shared" si="2"/>
        <v>0.85094207986452142</v>
      </c>
      <c r="F114" s="379">
        <f>'SGTO POAI VIGENCIA 2021'!BR200</f>
        <v>121765134</v>
      </c>
      <c r="G114" s="108">
        <f t="shared" si="3"/>
        <v>1</v>
      </c>
    </row>
    <row r="115" spans="1:7" ht="90" customHeight="1" thickBot="1" x14ac:dyDescent="0.25">
      <c r="A115" s="80" t="s">
        <v>962</v>
      </c>
      <c r="B115" s="85" t="s">
        <v>1445</v>
      </c>
      <c r="C115" s="379">
        <f>'SGTO POAI VIGENCIA 2021'!BP196</f>
        <v>33000000</v>
      </c>
      <c r="D115" s="379">
        <f>'SGTO POAI VIGENCIA 2021'!BQ196</f>
        <v>26280000</v>
      </c>
      <c r="E115" s="108">
        <f t="shared" si="2"/>
        <v>0.79636363636363638</v>
      </c>
      <c r="F115" s="379">
        <f>'SGTO POAI VIGENCIA 2021'!BR196</f>
        <v>26280000</v>
      </c>
      <c r="G115" s="108">
        <f t="shared" si="3"/>
        <v>1</v>
      </c>
    </row>
    <row r="116" spans="1:7" ht="90" customHeight="1" thickBot="1" x14ac:dyDescent="0.25">
      <c r="A116" s="80" t="s">
        <v>966</v>
      </c>
      <c r="B116" s="86" t="s">
        <v>967</v>
      </c>
      <c r="C116" s="379">
        <f>'SGTO POAI VIGENCIA 2021'!BP197</f>
        <v>48000000</v>
      </c>
      <c r="D116" s="379">
        <f>'SGTO POAI VIGENCIA 2021'!BQ197</f>
        <v>34148219</v>
      </c>
      <c r="E116" s="108">
        <f t="shared" si="2"/>
        <v>0.71142122916666661</v>
      </c>
      <c r="F116" s="379">
        <f>'SGTO POAI VIGENCIA 2021'!BR197</f>
        <v>34148219</v>
      </c>
      <c r="G116" s="108">
        <f t="shared" si="3"/>
        <v>1</v>
      </c>
    </row>
    <row r="117" spans="1:7" ht="90" customHeight="1" thickBot="1" x14ac:dyDescent="0.25">
      <c r="A117" s="80" t="s">
        <v>929</v>
      </c>
      <c r="B117" s="86" t="s">
        <v>1446</v>
      </c>
      <c r="C117" s="379">
        <f>'SGTO POAI VIGENCIA 2021'!BP191</f>
        <v>18000000</v>
      </c>
      <c r="D117" s="379">
        <f>'SGTO POAI VIGENCIA 2021'!BQ191</f>
        <v>17310000</v>
      </c>
      <c r="E117" s="108">
        <f t="shared" si="2"/>
        <v>0.96166666666666667</v>
      </c>
      <c r="F117" s="379">
        <f>'SGTO POAI VIGENCIA 2021'!BR191</f>
        <v>17310000</v>
      </c>
      <c r="G117" s="108">
        <f t="shared" si="3"/>
        <v>1</v>
      </c>
    </row>
    <row r="118" spans="1:7" ht="90" customHeight="1" thickBot="1" x14ac:dyDescent="0.25">
      <c r="A118" s="80" t="s">
        <v>935</v>
      </c>
      <c r="B118" s="86" t="s">
        <v>1447</v>
      </c>
      <c r="C118" s="379">
        <f>'SGTO POAI VIGENCIA 2021'!BP192</f>
        <v>38195000</v>
      </c>
      <c r="D118" s="379">
        <f>'SGTO POAI VIGENCIA 2021'!BQ192</f>
        <v>37695000</v>
      </c>
      <c r="E118" s="108">
        <f t="shared" si="2"/>
        <v>0.98690928131954447</v>
      </c>
      <c r="F118" s="379">
        <f>'SGTO POAI VIGENCIA 2021'!BR192</f>
        <v>37695000</v>
      </c>
      <c r="G118" s="108">
        <f t="shared" si="3"/>
        <v>1</v>
      </c>
    </row>
    <row r="119" spans="1:7" ht="90" customHeight="1" thickBot="1" x14ac:dyDescent="0.25">
      <c r="A119" s="80" t="s">
        <v>942</v>
      </c>
      <c r="B119" s="86" t="s">
        <v>1448</v>
      </c>
      <c r="C119" s="379">
        <f>'SGTO POAI VIGENCIA 2021'!BP193</f>
        <v>18000000</v>
      </c>
      <c r="D119" s="379">
        <f>'SGTO POAI VIGENCIA 2021'!BQ193</f>
        <v>16863999</v>
      </c>
      <c r="E119" s="108">
        <f t="shared" si="2"/>
        <v>0.93688883333333328</v>
      </c>
      <c r="F119" s="379">
        <f>'SGTO POAI VIGENCIA 2021'!BR193</f>
        <v>16863999</v>
      </c>
      <c r="G119" s="108">
        <f t="shared" si="3"/>
        <v>1</v>
      </c>
    </row>
    <row r="120" spans="1:7" ht="90" customHeight="1" thickBot="1" x14ac:dyDescent="0.25">
      <c r="A120" s="106" t="str">
        <f>'SGTO POAI VIGENCIA 2021'!W198</f>
        <v>202000363-0150</v>
      </c>
      <c r="B120" s="87" t="s">
        <v>1449</v>
      </c>
      <c r="C120" s="379">
        <f>'SGTO POAI VIGENCIA 2021'!BP198</f>
        <v>50000000</v>
      </c>
      <c r="D120" s="379">
        <f>'SGTO POAI VIGENCIA 2021'!BQ198</f>
        <v>32713510</v>
      </c>
      <c r="E120" s="108">
        <f t="shared" si="2"/>
        <v>0.65427020000000002</v>
      </c>
      <c r="F120" s="379">
        <f>'SGTO POAI VIGENCIA 2021'!BR198</f>
        <v>32713510</v>
      </c>
      <c r="G120" s="108">
        <f t="shared" si="3"/>
        <v>1</v>
      </c>
    </row>
    <row r="121" spans="1:7" ht="90" customHeight="1" thickBot="1" x14ac:dyDescent="0.25">
      <c r="A121" s="107" t="str">
        <f>'SGTO POAI VIGENCIA 2021'!W199</f>
        <v>202000363-0151</v>
      </c>
      <c r="B121" s="85" t="s">
        <v>979</v>
      </c>
      <c r="C121" s="379">
        <f>'SGTO POAI VIGENCIA 2021'!BP199</f>
        <v>18000000</v>
      </c>
      <c r="D121" s="379">
        <f>'SGTO POAI VIGENCIA 2021'!BQ199</f>
        <v>18000000</v>
      </c>
      <c r="E121" s="108">
        <f t="shared" si="2"/>
        <v>1</v>
      </c>
      <c r="F121" s="379">
        <f>'SGTO POAI VIGENCIA 2021'!BR199</f>
        <v>18000000</v>
      </c>
      <c r="G121" s="108">
        <f t="shared" si="3"/>
        <v>1</v>
      </c>
    </row>
    <row r="122" spans="1:7" ht="20.100000000000001" customHeight="1" thickBot="1" x14ac:dyDescent="0.25">
      <c r="A122" s="652" t="s">
        <v>986</v>
      </c>
      <c r="B122" s="653"/>
      <c r="C122" s="521">
        <f>SUM(C123:C145)</f>
        <v>75161612366.110001</v>
      </c>
      <c r="D122" s="521">
        <f>SUM(D123:D145)</f>
        <v>69848426417.649994</v>
      </c>
      <c r="E122" s="523">
        <f t="shared" si="2"/>
        <v>0.92930984606104994</v>
      </c>
      <c r="F122" s="521">
        <f>SUM(F123:F145)</f>
        <v>69848426417.649994</v>
      </c>
      <c r="G122" s="522">
        <f t="shared" si="3"/>
        <v>1</v>
      </c>
    </row>
    <row r="123" spans="1:7" ht="90" customHeight="1" thickBot="1" x14ac:dyDescent="0.25">
      <c r="A123" s="80" t="s">
        <v>992</v>
      </c>
      <c r="B123" s="87" t="s">
        <v>993</v>
      </c>
      <c r="C123" s="379">
        <f>'SGTO POAI VIGENCIA 2021'!BP201+'SGTO POAI VIGENCIA 2021'!BP202+'SGTO POAI VIGENCIA 2021'!BP203+'SGTO POAI VIGENCIA 2021'!BP204+'SGTO POAI VIGENCIA 2021'!BP205+'SGTO POAI VIGENCIA 2021'!BP206+'SGTO POAI VIGENCIA 2021'!BP207+'SGTO POAI VIGENCIA 2021'!BP208</f>
        <v>1689281421.21</v>
      </c>
      <c r="D123" s="379">
        <f>'SGTO POAI VIGENCIA 2021'!BQ201+'SGTO POAI VIGENCIA 2021'!BQ202+'SGTO POAI VIGENCIA 2021'!BQ203+'SGTO POAI VIGENCIA 2021'!BQ204+'SGTO POAI VIGENCIA 2021'!BQ205+'SGTO POAI VIGENCIA 2021'!BQ206+'SGTO POAI VIGENCIA 2021'!BQ207+'SGTO POAI VIGENCIA 2021'!BQ208</f>
        <v>841973306.65999997</v>
      </c>
      <c r="E123" s="108">
        <f t="shared" si="2"/>
        <v>0.49842098308102539</v>
      </c>
      <c r="F123" s="379">
        <f>'SGTO POAI VIGENCIA 2021'!BR201+'SGTO POAI VIGENCIA 2021'!BR202+'SGTO POAI VIGENCIA 2021'!BR203+'SGTO POAI VIGENCIA 2021'!BR204+'SGTO POAI VIGENCIA 2021'!BR205+'SGTO POAI VIGENCIA 2021'!BR206+'SGTO POAI VIGENCIA 2021'!BR207+'SGTO POAI VIGENCIA 2021'!BR208</f>
        <v>841973306.65999997</v>
      </c>
      <c r="G123" s="108">
        <f t="shared" si="3"/>
        <v>1</v>
      </c>
    </row>
    <row r="124" spans="1:7" ht="90" customHeight="1" thickBot="1" x14ac:dyDescent="0.25">
      <c r="A124" s="80" t="s">
        <v>1018</v>
      </c>
      <c r="B124" s="86" t="s">
        <v>1450</v>
      </c>
      <c r="C124" s="379">
        <f>'SGTO POAI VIGENCIA 2021'!BP209+'SGTO POAI VIGENCIA 2021'!BP210</f>
        <v>293000000</v>
      </c>
      <c r="D124" s="379">
        <f>'SGTO POAI VIGENCIA 2021'!BQ209+'SGTO POAI VIGENCIA 2021'!BQ210</f>
        <v>263146999</v>
      </c>
      <c r="E124" s="108">
        <f t="shared" si="2"/>
        <v>0.89811262457337881</v>
      </c>
      <c r="F124" s="379">
        <f>'SGTO POAI VIGENCIA 2021'!BR209+'SGTO POAI VIGENCIA 2021'!BR210</f>
        <v>263146999</v>
      </c>
      <c r="G124" s="108">
        <f t="shared" si="3"/>
        <v>1</v>
      </c>
    </row>
    <row r="125" spans="1:7" ht="90" customHeight="1" thickBot="1" x14ac:dyDescent="0.25">
      <c r="A125" s="80" t="s">
        <v>1027</v>
      </c>
      <c r="B125" s="86" t="s">
        <v>1451</v>
      </c>
      <c r="C125" s="379">
        <f>'SGTO POAI VIGENCIA 2021'!BP211+'SGTO POAI VIGENCIA 2021'!BP212+'SGTO POAI VIGENCIA 2021'!BP213</f>
        <v>947714309</v>
      </c>
      <c r="D125" s="379">
        <f>'SGTO POAI VIGENCIA 2021'!BQ211+'SGTO POAI VIGENCIA 2021'!BQ212+'SGTO POAI VIGENCIA 2021'!BQ213</f>
        <v>885720656</v>
      </c>
      <c r="E125" s="108">
        <f t="shared" si="2"/>
        <v>0.93458613802569479</v>
      </c>
      <c r="F125" s="379">
        <f>'SGTO POAI VIGENCIA 2021'!BR211+'SGTO POAI VIGENCIA 2021'!BR212+'SGTO POAI VIGENCIA 2021'!BR213</f>
        <v>885720656</v>
      </c>
      <c r="G125" s="108">
        <f t="shared" si="3"/>
        <v>1</v>
      </c>
    </row>
    <row r="126" spans="1:7" ht="90" customHeight="1" thickBot="1" x14ac:dyDescent="0.25">
      <c r="A126" s="80" t="s">
        <v>1035</v>
      </c>
      <c r="B126" s="86" t="s">
        <v>1036</v>
      </c>
      <c r="C126" s="379">
        <f>'SGTO POAI VIGENCIA 2021'!BP214</f>
        <v>96954000</v>
      </c>
      <c r="D126" s="379">
        <f>'SGTO POAI VIGENCIA 2021'!BQ214</f>
        <v>54110832</v>
      </c>
      <c r="E126" s="108">
        <f t="shared" si="2"/>
        <v>0.5581082987808651</v>
      </c>
      <c r="F126" s="379">
        <f>'SGTO POAI VIGENCIA 2021'!BR214</f>
        <v>54110832</v>
      </c>
      <c r="G126" s="108">
        <f t="shared" si="3"/>
        <v>1</v>
      </c>
    </row>
    <row r="127" spans="1:7" ht="90" customHeight="1" thickBot="1" x14ac:dyDescent="0.25">
      <c r="A127" s="80" t="s">
        <v>1041</v>
      </c>
      <c r="B127" s="86" t="s">
        <v>1042</v>
      </c>
      <c r="C127" s="379">
        <f>'SGTO POAI VIGENCIA 2021'!BP215+'SGTO POAI VIGENCIA 2021'!BP216+'SGTO POAI VIGENCIA 2021'!BP217+'SGTO POAI VIGENCIA 2021'!BP218</f>
        <v>64636000</v>
      </c>
      <c r="D127" s="379">
        <f>'SGTO POAI VIGENCIA 2021'!BQ215+'SGTO POAI VIGENCIA 2021'!BQ216+'SGTO POAI VIGENCIA 2021'!BQ217+'SGTO POAI VIGENCIA 2021'!BQ218</f>
        <v>64636000</v>
      </c>
      <c r="E127" s="108">
        <f t="shared" si="2"/>
        <v>1</v>
      </c>
      <c r="F127" s="379">
        <f>'SGTO POAI VIGENCIA 2021'!BR215+'SGTO POAI VIGENCIA 2021'!BR216+'SGTO POAI VIGENCIA 2021'!BR217+'SGTO POAI VIGENCIA 2021'!BR218</f>
        <v>64636000</v>
      </c>
      <c r="G127" s="108">
        <f t="shared" si="3"/>
        <v>1</v>
      </c>
    </row>
    <row r="128" spans="1:7" ht="90" customHeight="1" thickBot="1" x14ac:dyDescent="0.25">
      <c r="A128" s="80" t="s">
        <v>1051</v>
      </c>
      <c r="B128" s="86" t="s">
        <v>1052</v>
      </c>
      <c r="C128" s="379">
        <f>'SGTO POAI VIGENCIA 2021'!BP219+'SGTO POAI VIGENCIA 2021'!BP220+'SGTO POAI VIGENCIA 2021'!BP221+'SGTO POAI VIGENCIA 2021'!BP222</f>
        <v>91081005</v>
      </c>
      <c r="D128" s="379">
        <f>'SGTO POAI VIGENCIA 2021'!BQ219+'SGTO POAI VIGENCIA 2021'!BQ220+'SGTO POAI VIGENCIA 2021'!BQ221+'SGTO POAI VIGENCIA 2021'!BQ222</f>
        <v>60093833</v>
      </c>
      <c r="E128" s="108">
        <f t="shared" si="2"/>
        <v>0.65978447427100739</v>
      </c>
      <c r="F128" s="379">
        <f>'SGTO POAI VIGENCIA 2021'!BR219+'SGTO POAI VIGENCIA 2021'!BR220+'SGTO POAI VIGENCIA 2021'!BR221+'SGTO POAI VIGENCIA 2021'!BR222</f>
        <v>60093833</v>
      </c>
      <c r="G128" s="108">
        <f t="shared" si="3"/>
        <v>1</v>
      </c>
    </row>
    <row r="129" spans="1:7" ht="90" customHeight="1" thickBot="1" x14ac:dyDescent="0.25">
      <c r="A129" s="80" t="s">
        <v>1064</v>
      </c>
      <c r="B129" s="86" t="s">
        <v>1452</v>
      </c>
      <c r="C129" s="379">
        <f>'SGTO POAI VIGENCIA 2021'!BP223+'SGTO POAI VIGENCIA 2021'!BP224</f>
        <v>76000000</v>
      </c>
      <c r="D129" s="379">
        <f>'SGTO POAI VIGENCIA 2021'!BQ223+'SGTO POAI VIGENCIA 2021'!BQ224</f>
        <v>76000000</v>
      </c>
      <c r="E129" s="108">
        <f t="shared" si="2"/>
        <v>1</v>
      </c>
      <c r="F129" s="379">
        <f>'SGTO POAI VIGENCIA 2021'!BR223+'SGTO POAI VIGENCIA 2021'!BR224</f>
        <v>76000000</v>
      </c>
      <c r="G129" s="108">
        <f t="shared" si="3"/>
        <v>1</v>
      </c>
    </row>
    <row r="130" spans="1:7" ht="90" customHeight="1" thickBot="1" x14ac:dyDescent="0.25">
      <c r="A130" s="80" t="s">
        <v>1071</v>
      </c>
      <c r="B130" s="86" t="s">
        <v>1453</v>
      </c>
      <c r="C130" s="379">
        <f>'SGTO POAI VIGENCIA 2021'!BP225+'SGTO POAI VIGENCIA 2021'!BP226+'SGTO POAI VIGENCIA 2021'!BP227+'SGTO POAI VIGENCIA 2021'!BP228+'SGTO POAI VIGENCIA 2021'!BP229+'SGTO POAI VIGENCIA 2021'!BP230+'SGTO POAI VIGENCIA 2021'!BP231</f>
        <v>200000000</v>
      </c>
      <c r="D130" s="379">
        <f>'SGTO POAI VIGENCIA 2021'!BQ225+'SGTO POAI VIGENCIA 2021'!BQ226+'SGTO POAI VIGENCIA 2021'!BQ227+'SGTO POAI VIGENCIA 2021'!BQ228+'SGTO POAI VIGENCIA 2021'!BQ229+'SGTO POAI VIGENCIA 2021'!BQ230+'SGTO POAI VIGENCIA 2021'!BQ231</f>
        <v>177905832</v>
      </c>
      <c r="E130" s="108">
        <f t="shared" si="2"/>
        <v>0.88952916000000004</v>
      </c>
      <c r="F130" s="379">
        <f>'SGTO POAI VIGENCIA 2021'!BR225+'SGTO POAI VIGENCIA 2021'!BR226+'SGTO POAI VIGENCIA 2021'!BR227+'SGTO POAI VIGENCIA 2021'!BR228+'SGTO POAI VIGENCIA 2021'!BR229+'SGTO POAI VIGENCIA 2021'!BR230+'SGTO POAI VIGENCIA 2021'!BR231</f>
        <v>177905832</v>
      </c>
      <c r="G130" s="108">
        <f t="shared" si="3"/>
        <v>1</v>
      </c>
    </row>
    <row r="131" spans="1:7" ht="90" customHeight="1" thickBot="1" x14ac:dyDescent="0.25">
      <c r="A131" s="80" t="s">
        <v>1093</v>
      </c>
      <c r="B131" s="86" t="s">
        <v>1094</v>
      </c>
      <c r="C131" s="379">
        <f>'SGTO POAI VIGENCIA 2021'!BP232+'SGTO POAI VIGENCIA 2021'!BP233</f>
        <v>161000000</v>
      </c>
      <c r="D131" s="379">
        <f>'SGTO POAI VIGENCIA 2021'!BQ232+'SGTO POAI VIGENCIA 2021'!BQ233</f>
        <v>141544833</v>
      </c>
      <c r="E131" s="108">
        <f t="shared" si="2"/>
        <v>0.87916045341614912</v>
      </c>
      <c r="F131" s="379">
        <f>'SGTO POAI VIGENCIA 2021'!BR232+'SGTO POAI VIGENCIA 2021'!BR233</f>
        <v>141544833</v>
      </c>
      <c r="G131" s="108">
        <f t="shared" si="3"/>
        <v>1</v>
      </c>
    </row>
    <row r="132" spans="1:7" ht="90" customHeight="1" thickBot="1" x14ac:dyDescent="0.25">
      <c r="A132" s="79" t="s">
        <v>1101</v>
      </c>
      <c r="B132" s="85" t="s">
        <v>1102</v>
      </c>
      <c r="C132" s="379">
        <f>'SGTO POAI VIGENCIA 2021'!BP234+'SGTO POAI VIGENCIA 2021'!BP235+'SGTO POAI VIGENCIA 2021'!BP236</f>
        <v>701597644</v>
      </c>
      <c r="D132" s="379">
        <f>'SGTO POAI VIGENCIA 2021'!BQ234+'SGTO POAI VIGENCIA 2021'!BQ235+'SGTO POAI VIGENCIA 2021'!BQ236</f>
        <v>120302495</v>
      </c>
      <c r="E132" s="108">
        <f t="shared" si="2"/>
        <v>0.17146935430701077</v>
      </c>
      <c r="F132" s="379">
        <f>'SGTO POAI VIGENCIA 2021'!BR234+'SGTO POAI VIGENCIA 2021'!BR235+'SGTO POAI VIGENCIA 2021'!BR236</f>
        <v>120302495</v>
      </c>
      <c r="G132" s="108">
        <f t="shared" si="3"/>
        <v>1</v>
      </c>
    </row>
    <row r="133" spans="1:7" ht="90" customHeight="1" thickBot="1" x14ac:dyDescent="0.25">
      <c r="A133" s="79" t="s">
        <v>1111</v>
      </c>
      <c r="B133" s="85" t="s">
        <v>1112</v>
      </c>
      <c r="C133" s="379">
        <f>'SGTO POAI VIGENCIA 2021'!BP237+'SGTO POAI VIGENCIA 2021'!BP238</f>
        <v>181000000</v>
      </c>
      <c r="D133" s="379">
        <f>'SGTO POAI VIGENCIA 2021'!BQ237+'SGTO POAI VIGENCIA 2021'!BQ238</f>
        <v>179846000</v>
      </c>
      <c r="E133" s="108">
        <f t="shared" ref="E133:E166" si="4">D133/C133</f>
        <v>0.9936243093922652</v>
      </c>
      <c r="F133" s="379">
        <f>'SGTO POAI VIGENCIA 2021'!BR237+'SGTO POAI VIGENCIA 2021'!BR238</f>
        <v>179846000</v>
      </c>
      <c r="G133" s="108">
        <f t="shared" ref="G133:G166" si="5">F133/D133</f>
        <v>1</v>
      </c>
    </row>
    <row r="134" spans="1:7" ht="90" customHeight="1" thickBot="1" x14ac:dyDescent="0.25">
      <c r="A134" s="79" t="s">
        <v>1116</v>
      </c>
      <c r="B134" s="85" t="s">
        <v>1117</v>
      </c>
      <c r="C134" s="379">
        <f>'SGTO POAI VIGENCIA 2021'!BP239+'SGTO POAI VIGENCIA 2021'!BP240+'SGTO POAI VIGENCIA 2021'!BP241</f>
        <v>1299584216.27</v>
      </c>
      <c r="D134" s="379">
        <f>'SGTO POAI VIGENCIA 2021'!BQ239+'SGTO POAI VIGENCIA 2021'!BQ240+'SGTO POAI VIGENCIA 2021'!BQ241</f>
        <v>138487565.75999999</v>
      </c>
      <c r="E134" s="108">
        <f t="shared" si="4"/>
        <v>0.1065629791638128</v>
      </c>
      <c r="F134" s="379">
        <f>'SGTO POAI VIGENCIA 2021'!BR239+'SGTO POAI VIGENCIA 2021'!BR240+'SGTO POAI VIGENCIA 2021'!BR241</f>
        <v>138487565.75999999</v>
      </c>
      <c r="G134" s="108">
        <f t="shared" si="5"/>
        <v>1</v>
      </c>
    </row>
    <row r="135" spans="1:7" ht="90" customHeight="1" thickBot="1" x14ac:dyDescent="0.25">
      <c r="A135" s="80" t="s">
        <v>1126</v>
      </c>
      <c r="B135" s="85" t="s">
        <v>1127</v>
      </c>
      <c r="C135" s="379">
        <f>'SGTO POAI VIGENCIA 2021'!BP242+'SGTO POAI VIGENCIA 2021'!BP243</f>
        <v>543927149</v>
      </c>
      <c r="D135" s="379">
        <f>'SGTO POAI VIGENCIA 2021'!BQ242+'SGTO POAI VIGENCIA 2021'!BQ243</f>
        <v>509922588</v>
      </c>
      <c r="E135" s="108">
        <f t="shared" si="4"/>
        <v>0.93748324373490688</v>
      </c>
      <c r="F135" s="379">
        <f>'SGTO POAI VIGENCIA 2021'!BR242+'SGTO POAI VIGENCIA 2021'!BR243</f>
        <v>509922588</v>
      </c>
      <c r="G135" s="108">
        <f t="shared" si="5"/>
        <v>1</v>
      </c>
    </row>
    <row r="136" spans="1:7" ht="90" customHeight="1" thickBot="1" x14ac:dyDescent="0.25">
      <c r="A136" s="79" t="s">
        <v>1129</v>
      </c>
      <c r="B136" s="85" t="s">
        <v>1130</v>
      </c>
      <c r="C136" s="379">
        <f>'SGTO POAI VIGENCIA 2021'!BP244+'SGTO POAI VIGENCIA 2021'!BP245</f>
        <v>222424239</v>
      </c>
      <c r="D136" s="379">
        <f>'SGTO POAI VIGENCIA 2021'!BQ244+'SGTO POAI VIGENCIA 2021'!BQ245</f>
        <v>177129469</v>
      </c>
      <c r="E136" s="108">
        <f t="shared" si="4"/>
        <v>0.79635866035266056</v>
      </c>
      <c r="F136" s="379">
        <f>'SGTO POAI VIGENCIA 2021'!BR244+'SGTO POAI VIGENCIA 2021'!BR245</f>
        <v>177129469</v>
      </c>
      <c r="G136" s="108">
        <f t="shared" si="5"/>
        <v>1</v>
      </c>
    </row>
    <row r="137" spans="1:7" ht="90" customHeight="1" thickBot="1" x14ac:dyDescent="0.25">
      <c r="A137" s="80" t="s">
        <v>1133</v>
      </c>
      <c r="B137" s="85" t="s">
        <v>1134</v>
      </c>
      <c r="C137" s="379">
        <f>'SGTO POAI VIGENCIA 2021'!BP246</f>
        <v>1100000000</v>
      </c>
      <c r="D137" s="379">
        <f>'SGTO POAI VIGENCIA 2021'!BQ246</f>
        <v>1059833419</v>
      </c>
      <c r="E137" s="108">
        <f t="shared" si="4"/>
        <v>0.96348492636363636</v>
      </c>
      <c r="F137" s="379">
        <f>'SGTO POAI VIGENCIA 2021'!BR246</f>
        <v>1059833419</v>
      </c>
      <c r="G137" s="108">
        <f t="shared" si="5"/>
        <v>1</v>
      </c>
    </row>
    <row r="138" spans="1:7" ht="90" customHeight="1" thickBot="1" x14ac:dyDescent="0.25">
      <c r="A138" s="80" t="s">
        <v>1139</v>
      </c>
      <c r="B138" s="85" t="s">
        <v>1140</v>
      </c>
      <c r="C138" s="379">
        <f>'SGTO POAI VIGENCIA 2021'!BP247</f>
        <v>20000000</v>
      </c>
      <c r="D138" s="379">
        <f>'SGTO POAI VIGENCIA 2021'!BQ247</f>
        <v>19906500</v>
      </c>
      <c r="E138" s="108">
        <f t="shared" si="4"/>
        <v>0.99532500000000002</v>
      </c>
      <c r="F138" s="379">
        <f>'SGTO POAI VIGENCIA 2021'!BR247</f>
        <v>19906500</v>
      </c>
      <c r="G138" s="108">
        <f t="shared" si="5"/>
        <v>1</v>
      </c>
    </row>
    <row r="139" spans="1:7" ht="90" customHeight="1" thickBot="1" x14ac:dyDescent="0.25">
      <c r="A139" s="80" t="s">
        <v>1144</v>
      </c>
      <c r="B139" s="85" t="s">
        <v>1145</v>
      </c>
      <c r="C139" s="379">
        <f>'SGTO POAI VIGENCIA 2021'!BP248</f>
        <v>84414100</v>
      </c>
      <c r="D139" s="379">
        <f>'SGTO POAI VIGENCIA 2021'!BQ248</f>
        <v>82799499</v>
      </c>
      <c r="E139" s="108">
        <f t="shared" si="4"/>
        <v>0.98087285181030182</v>
      </c>
      <c r="F139" s="379">
        <f>'SGTO POAI VIGENCIA 2021'!BR248</f>
        <v>82799499</v>
      </c>
      <c r="G139" s="108">
        <f t="shared" si="5"/>
        <v>1</v>
      </c>
    </row>
    <row r="140" spans="1:7" ht="90" customHeight="1" thickBot="1" x14ac:dyDescent="0.25">
      <c r="A140" s="80" t="s">
        <v>1148</v>
      </c>
      <c r="B140" s="85" t="s">
        <v>1149</v>
      </c>
      <c r="C140" s="379">
        <f>'SGTO POAI VIGENCIA 2021'!BP249</f>
        <v>320000000</v>
      </c>
      <c r="D140" s="379">
        <f>'SGTO POAI VIGENCIA 2021'!BQ249</f>
        <v>308460000</v>
      </c>
      <c r="E140" s="108">
        <f t="shared" si="4"/>
        <v>0.9639375</v>
      </c>
      <c r="F140" s="379">
        <f>'SGTO POAI VIGENCIA 2021'!BR249</f>
        <v>308460000</v>
      </c>
      <c r="G140" s="108">
        <f t="shared" si="5"/>
        <v>1</v>
      </c>
    </row>
    <row r="141" spans="1:7" ht="90" customHeight="1" thickBot="1" x14ac:dyDescent="0.25">
      <c r="A141" s="80" t="s">
        <v>1158</v>
      </c>
      <c r="B141" s="86" t="s">
        <v>1159</v>
      </c>
      <c r="C141" s="379">
        <f>'SGTO POAI VIGENCIA 2021'!BP250</f>
        <v>321904376</v>
      </c>
      <c r="D141" s="379">
        <f>'SGTO POAI VIGENCIA 2021'!BQ250</f>
        <v>302979740</v>
      </c>
      <c r="E141" s="108">
        <f t="shared" si="4"/>
        <v>0.94121037981788724</v>
      </c>
      <c r="F141" s="379">
        <f>'SGTO POAI VIGENCIA 2021'!BR250</f>
        <v>302979740</v>
      </c>
      <c r="G141" s="108">
        <f t="shared" si="5"/>
        <v>1</v>
      </c>
    </row>
    <row r="142" spans="1:7" ht="90" customHeight="1" thickBot="1" x14ac:dyDescent="0.25">
      <c r="A142" s="80" t="s">
        <v>1161</v>
      </c>
      <c r="B142" s="86" t="s">
        <v>1162</v>
      </c>
      <c r="C142" s="379">
        <f>'SGTO POAI VIGENCIA 2021'!BP251</f>
        <v>1760866325.49</v>
      </c>
      <c r="D142" s="379">
        <f>'SGTO POAI VIGENCIA 2021'!BQ251</f>
        <v>1199652532</v>
      </c>
      <c r="E142" s="108">
        <f t="shared" si="4"/>
        <v>0.68128540743498522</v>
      </c>
      <c r="F142" s="379">
        <f>'SGTO POAI VIGENCIA 2021'!BR251</f>
        <v>1199652532</v>
      </c>
      <c r="G142" s="108">
        <f t="shared" si="5"/>
        <v>1</v>
      </c>
    </row>
    <row r="143" spans="1:7" ht="90" customHeight="1" thickBot="1" x14ac:dyDescent="0.25">
      <c r="A143" s="79" t="s">
        <v>1166</v>
      </c>
      <c r="B143" s="85" t="s">
        <v>1167</v>
      </c>
      <c r="C143" s="379">
        <f>'SGTO POAI VIGENCIA 2021'!BP252+'SGTO POAI VIGENCIA 2021'!BP253</f>
        <v>35074003100.099998</v>
      </c>
      <c r="D143" s="379">
        <f>'SGTO POAI VIGENCIA 2021'!BQ252+'SGTO POAI VIGENCIA 2021'!BQ253</f>
        <v>35074003100.099998</v>
      </c>
      <c r="E143" s="108">
        <f t="shared" si="4"/>
        <v>1</v>
      </c>
      <c r="F143" s="379">
        <f>'SGTO POAI VIGENCIA 2021'!BR252+'SGTO POAI VIGENCIA 2021'!BR253</f>
        <v>35074003100.099998</v>
      </c>
      <c r="G143" s="108">
        <f t="shared" si="5"/>
        <v>1</v>
      </c>
    </row>
    <row r="144" spans="1:7" ht="90" customHeight="1" thickBot="1" x14ac:dyDescent="0.25">
      <c r="A144" s="79" t="s">
        <v>1177</v>
      </c>
      <c r="B144" s="85" t="s">
        <v>1454</v>
      </c>
      <c r="C144" s="379">
        <f>'SGTO POAI VIGENCIA 2021'!BP254+'SGTO POAI VIGENCIA 2021'!BP255+'SGTO POAI VIGENCIA 2021'!BP256</f>
        <v>27242543268.709999</v>
      </c>
      <c r="D144" s="379">
        <f>'SGTO POAI VIGENCIA 2021'!BQ254+'SGTO POAI VIGENCIA 2021'!BQ255+'SGTO POAI VIGENCIA 2021'!BQ256</f>
        <v>26126352073.919998</v>
      </c>
      <c r="E144" s="108">
        <f t="shared" si="4"/>
        <v>0.95902764349934888</v>
      </c>
      <c r="F144" s="379">
        <f>'SGTO POAI VIGENCIA 2021'!BR254+'SGTO POAI VIGENCIA 2021'!BR255+'SGTO POAI VIGENCIA 2021'!BR256</f>
        <v>26126352073.919998</v>
      </c>
      <c r="G144" s="108">
        <f t="shared" si="5"/>
        <v>1</v>
      </c>
    </row>
    <row r="145" spans="1:7" ht="90" customHeight="1" thickBot="1" x14ac:dyDescent="0.25">
      <c r="A145" s="80" t="s">
        <v>1188</v>
      </c>
      <c r="B145" s="86" t="s">
        <v>1189</v>
      </c>
      <c r="C145" s="379">
        <f>'SGTO POAI VIGENCIA 2021'!BP257+'SGTO POAI VIGENCIA 2021'!BP258+'SGTO POAI VIGENCIA 2021'!BP259+'SGTO POAI VIGENCIA 2021'!BP260+'SGTO POAI VIGENCIA 2021'!BP261</f>
        <v>2669681212.3299999</v>
      </c>
      <c r="D145" s="379">
        <f>'SGTO POAI VIGENCIA 2021'!BQ257+'SGTO POAI VIGENCIA 2021'!BQ258+'SGTO POAI VIGENCIA 2021'!BQ259+'SGTO POAI VIGENCIA 2021'!BQ260+'SGTO POAI VIGENCIA 2021'!BQ261</f>
        <v>1983619144.21</v>
      </c>
      <c r="E145" s="108">
        <f t="shared" si="4"/>
        <v>0.74301723181352053</v>
      </c>
      <c r="F145" s="379">
        <f>'SGTO POAI VIGENCIA 2021'!BR257+'SGTO POAI VIGENCIA 2021'!BR258+'SGTO POAI VIGENCIA 2021'!BR259+'SGTO POAI VIGENCIA 2021'!BR260+'SGTO POAI VIGENCIA 2021'!BR261</f>
        <v>1983619144.21</v>
      </c>
      <c r="G145" s="108">
        <f t="shared" si="5"/>
        <v>1</v>
      </c>
    </row>
    <row r="146" spans="1:7" ht="20.100000000000001" customHeight="1" thickBot="1" x14ac:dyDescent="0.25">
      <c r="A146" s="652" t="s">
        <v>1455</v>
      </c>
      <c r="B146" s="653"/>
      <c r="C146" s="521">
        <f>SUM(C147:C152)</f>
        <v>1196000000</v>
      </c>
      <c r="D146" s="521">
        <f>SUM(D147:D152)</f>
        <v>1057106946.9200001</v>
      </c>
      <c r="E146" s="523">
        <f t="shared" si="4"/>
        <v>0.88386868471571911</v>
      </c>
      <c r="F146" s="521">
        <f>SUM(F147:F152)</f>
        <v>1057106946.9200001</v>
      </c>
      <c r="G146" s="522">
        <f t="shared" si="5"/>
        <v>1</v>
      </c>
    </row>
    <row r="147" spans="1:7" ht="90" customHeight="1" thickBot="1" x14ac:dyDescent="0.25">
      <c r="A147" s="79" t="s">
        <v>1203</v>
      </c>
      <c r="B147" s="87" t="s">
        <v>1456</v>
      </c>
      <c r="C147" s="379">
        <f>'SGTO POAI VIGENCIA 2021'!BP262+'SGTO POAI VIGENCIA 2021'!BP263+'SGTO POAI VIGENCIA 2021'!BP264+'SGTO POAI VIGENCIA 2021'!BP265</f>
        <v>325460000</v>
      </c>
      <c r="D147" s="379">
        <f>'SGTO POAI VIGENCIA 2021'!BQ262+'SGTO POAI VIGENCIA 2021'!BQ263+'SGTO POAI VIGENCIA 2021'!BQ264+'SGTO POAI VIGENCIA 2021'!BQ265</f>
        <v>274223114.42000002</v>
      </c>
      <c r="E147" s="108">
        <f t="shared" si="4"/>
        <v>0.84257086714189156</v>
      </c>
      <c r="F147" s="379">
        <f>'SGTO POAI VIGENCIA 2021'!BR262+'SGTO POAI VIGENCIA 2021'!BR263+'SGTO POAI VIGENCIA 2021'!BR264+'SGTO POAI VIGENCIA 2021'!BR265</f>
        <v>274223114.42000002</v>
      </c>
      <c r="G147" s="108">
        <f t="shared" si="5"/>
        <v>1</v>
      </c>
    </row>
    <row r="148" spans="1:7" ht="90" customHeight="1" thickBot="1" x14ac:dyDescent="0.25">
      <c r="A148" s="82" t="s">
        <v>1216</v>
      </c>
      <c r="B148" s="85" t="s">
        <v>1217</v>
      </c>
      <c r="C148" s="379">
        <f>'SGTO POAI VIGENCIA 2021'!BP266+'SGTO POAI VIGENCIA 2021'!BP267+'SGTO POAI VIGENCIA 2021'!BP268+'SGTO POAI VIGENCIA 2021'!BP269+'SGTO POAI VIGENCIA 2021'!BP270</f>
        <v>348540000</v>
      </c>
      <c r="D148" s="379">
        <f>'SGTO POAI VIGENCIA 2021'!BQ266+'SGTO POAI VIGENCIA 2021'!BQ267+'SGTO POAI VIGENCIA 2021'!BQ268+'SGTO POAI VIGENCIA 2021'!BQ269+'SGTO POAI VIGENCIA 2021'!BQ270</f>
        <v>309915001</v>
      </c>
      <c r="E148" s="108">
        <f t="shared" si="4"/>
        <v>0.88918058472485229</v>
      </c>
      <c r="F148" s="379">
        <f>'SGTO POAI VIGENCIA 2021'!BR266+'SGTO POAI VIGENCIA 2021'!BR267+'SGTO POAI VIGENCIA 2021'!BR268+'SGTO POAI VIGENCIA 2021'!BR269+'SGTO POAI VIGENCIA 2021'!BR270</f>
        <v>309915001</v>
      </c>
      <c r="G148" s="108">
        <f t="shared" si="5"/>
        <v>1</v>
      </c>
    </row>
    <row r="149" spans="1:7" ht="90" customHeight="1" thickBot="1" x14ac:dyDescent="0.25">
      <c r="A149" s="81" t="s">
        <v>1227</v>
      </c>
      <c r="B149" s="86" t="s">
        <v>1228</v>
      </c>
      <c r="C149" s="379">
        <f>'SGTO POAI VIGENCIA 2021'!BP271+'SGTO POAI VIGENCIA 2021'!BP272+'SGTO POAI VIGENCIA 2021'!BP273+'SGTO POAI VIGENCIA 2021'!BP274+'SGTO POAI VIGENCIA 2021'!BP275</f>
        <v>146000000</v>
      </c>
      <c r="D149" s="379">
        <f>'SGTO POAI VIGENCIA 2021'!BQ271+'SGTO POAI VIGENCIA 2021'!BQ272+'SGTO POAI VIGENCIA 2021'!BQ273+'SGTO POAI VIGENCIA 2021'!BQ274+'SGTO POAI VIGENCIA 2021'!BQ275</f>
        <v>130610834</v>
      </c>
      <c r="E149" s="108">
        <f t="shared" si="4"/>
        <v>0.89459475342465755</v>
      </c>
      <c r="F149" s="379">
        <f>'SGTO POAI VIGENCIA 2021'!BR271+'SGTO POAI VIGENCIA 2021'!BR272+'SGTO POAI VIGENCIA 2021'!BR273+'SGTO POAI VIGENCIA 2021'!BR274+'SGTO POAI VIGENCIA 2021'!BR275</f>
        <v>130610834</v>
      </c>
      <c r="G149" s="108">
        <f t="shared" si="5"/>
        <v>1</v>
      </c>
    </row>
    <row r="150" spans="1:7" ht="90" customHeight="1" thickBot="1" x14ac:dyDescent="0.25">
      <c r="A150" s="81" t="s">
        <v>1245</v>
      </c>
      <c r="B150" s="85" t="s">
        <v>1246</v>
      </c>
      <c r="C150" s="379">
        <f>'SGTO POAI VIGENCIA 2021'!BP276+'SGTO POAI VIGENCIA 2021'!BP277+'SGTO POAI VIGENCIA 2021'!BP278</f>
        <v>60000000</v>
      </c>
      <c r="D150" s="379">
        <f>'SGTO POAI VIGENCIA 2021'!BQ276+'SGTO POAI VIGENCIA 2021'!BQ277+'SGTO POAI VIGENCIA 2021'!BQ278</f>
        <v>58180832</v>
      </c>
      <c r="E150" s="108">
        <f t="shared" si="4"/>
        <v>0.96968053333333337</v>
      </c>
      <c r="F150" s="379">
        <f>'SGTO POAI VIGENCIA 2021'!BR276+'SGTO POAI VIGENCIA 2021'!BR277+'SGTO POAI VIGENCIA 2021'!BR278</f>
        <v>58180832</v>
      </c>
      <c r="G150" s="108">
        <f t="shared" si="5"/>
        <v>1</v>
      </c>
    </row>
    <row r="151" spans="1:7" ht="90" customHeight="1" thickBot="1" x14ac:dyDescent="0.25">
      <c r="A151" s="81" t="s">
        <v>1255</v>
      </c>
      <c r="B151" s="85" t="s">
        <v>1457</v>
      </c>
      <c r="C151" s="379">
        <f>'SGTO POAI VIGENCIA 2021'!BP279</f>
        <v>18000000</v>
      </c>
      <c r="D151" s="379">
        <f>'SGTO POAI VIGENCIA 2021'!BQ279</f>
        <v>6600000</v>
      </c>
      <c r="E151" s="108">
        <f t="shared" si="4"/>
        <v>0.36666666666666664</v>
      </c>
      <c r="F151" s="379">
        <f>'SGTO POAI VIGENCIA 2021'!BR279</f>
        <v>6600000</v>
      </c>
      <c r="G151" s="108">
        <f t="shared" si="5"/>
        <v>1</v>
      </c>
    </row>
    <row r="152" spans="1:7" ht="90" customHeight="1" thickBot="1" x14ac:dyDescent="0.25">
      <c r="A152" s="81" t="s">
        <v>1261</v>
      </c>
      <c r="B152" s="86" t="s">
        <v>1458</v>
      </c>
      <c r="C152" s="379">
        <f>'SGTO POAI VIGENCIA 2021'!BP280+'SGTO POAI VIGENCIA 2021'!BP281+'SGTO POAI VIGENCIA 2021'!BP282+'SGTO POAI VIGENCIA 2021'!BP283+'SGTO POAI VIGENCIA 2021'!BP284+'SGTO POAI VIGENCIA 2021'!BP285</f>
        <v>298000000</v>
      </c>
      <c r="D152" s="379">
        <f>'SGTO POAI VIGENCIA 2021'!BQ280+'SGTO POAI VIGENCIA 2021'!BQ281+'SGTO POAI VIGENCIA 2021'!BQ282+'SGTO POAI VIGENCIA 2021'!BQ283+'SGTO POAI VIGENCIA 2021'!BQ284+'SGTO POAI VIGENCIA 2021'!BQ285</f>
        <v>277577165.5</v>
      </c>
      <c r="E152" s="108">
        <f t="shared" si="4"/>
        <v>0.93146699832214763</v>
      </c>
      <c r="F152" s="379">
        <f>'SGTO POAI VIGENCIA 2021'!BR280+'SGTO POAI VIGENCIA 2021'!BR281+'SGTO POAI VIGENCIA 2021'!BR282+'SGTO POAI VIGENCIA 2021'!BR283+'SGTO POAI VIGENCIA 2021'!BR284+'SGTO POAI VIGENCIA 2021'!BR285</f>
        <v>277577165.5</v>
      </c>
      <c r="G152" s="108">
        <f t="shared" si="5"/>
        <v>1</v>
      </c>
    </row>
    <row r="153" spans="1:7" s="91" customFormat="1" ht="20.100000000000001" customHeight="1" thickBot="1" x14ac:dyDescent="0.3">
      <c r="A153" s="650" t="s">
        <v>1459</v>
      </c>
      <c r="B153" s="651"/>
      <c r="C153" s="512">
        <f>C146+C122+C93+C83+C79+C59+C53+C48+C35+C20+C17+C9+C4</f>
        <v>319490464131.90997</v>
      </c>
      <c r="D153" s="512">
        <f>D146+D122+D93+D83+D79+D59+D53+D48+D35+D20+D17+D9+D4</f>
        <v>286065239361.57996</v>
      </c>
      <c r="E153" s="513">
        <f t="shared" si="4"/>
        <v>0.89537958554991637</v>
      </c>
      <c r="F153" s="512">
        <f>F146+F122+F93+F83+F79+F59+F53+F48+F35+F20+F17+F9+F4</f>
        <v>286065239361.57996</v>
      </c>
      <c r="G153" s="513">
        <f t="shared" si="5"/>
        <v>1</v>
      </c>
    </row>
    <row r="154" spans="1:7" ht="20.100000000000001" customHeight="1" thickBot="1" x14ac:dyDescent="0.25">
      <c r="A154" s="652" t="s">
        <v>1273</v>
      </c>
      <c r="B154" s="653"/>
      <c r="C154" s="521">
        <f>SUM(C155:C157)</f>
        <v>7160417690.0299997</v>
      </c>
      <c r="D154" s="521">
        <f>SUM(D155:D157)</f>
        <v>4672994056.9699993</v>
      </c>
      <c r="E154" s="523">
        <f t="shared" si="4"/>
        <v>0.65261472993070901</v>
      </c>
      <c r="F154" s="521">
        <f>SUM(F155:F157)</f>
        <v>4652079056.9699993</v>
      </c>
      <c r="G154" s="522">
        <f t="shared" si="5"/>
        <v>0.99552428277352412</v>
      </c>
    </row>
    <row r="155" spans="1:7" ht="90" customHeight="1" thickBot="1" x14ac:dyDescent="0.25">
      <c r="A155" s="83" t="s">
        <v>1460</v>
      </c>
      <c r="B155" s="86" t="s">
        <v>1277</v>
      </c>
      <c r="C155" s="379">
        <f>'SGTO POAI VIGENCIA 2021'!BP286+'SGTO POAI VIGENCIA 2021'!BP287+'SGTO POAI VIGENCIA 2021'!BP288+'SGTO POAI VIGENCIA 2021'!BP289</f>
        <v>2847287098.98</v>
      </c>
      <c r="D155" s="379">
        <f>'SGTO POAI VIGENCIA 2021'!BQ286+'SGTO POAI VIGENCIA 2021'!BQ287+'SGTO POAI VIGENCIA 2021'!BQ288+'SGTO POAI VIGENCIA 2021'!BQ289</f>
        <v>2191949700.79</v>
      </c>
      <c r="E155" s="108">
        <f t="shared" si="4"/>
        <v>0.76983796315279718</v>
      </c>
      <c r="F155" s="379">
        <f>'SGTO POAI VIGENCIA 2021'!BR286+'SGTO POAI VIGENCIA 2021'!BR287+'SGTO POAI VIGENCIA 2021'!BR288+'SGTO POAI VIGENCIA 2021'!BR289</f>
        <v>2191949700.79</v>
      </c>
      <c r="G155" s="108">
        <f t="shared" si="5"/>
        <v>1</v>
      </c>
    </row>
    <row r="156" spans="1:7" ht="90" customHeight="1" thickBot="1" x14ac:dyDescent="0.25">
      <c r="A156" s="83" t="s">
        <v>1461</v>
      </c>
      <c r="B156" s="85" t="s">
        <v>1291</v>
      </c>
      <c r="C156" s="379">
        <f>'SGTO POAI VIGENCIA 2021'!BP290</f>
        <v>4186248516.4099998</v>
      </c>
      <c r="D156" s="379">
        <f>'SGTO POAI VIGENCIA 2021'!BQ290</f>
        <v>2404633024.1799998</v>
      </c>
      <c r="E156" s="108">
        <f t="shared" si="4"/>
        <v>0.57441239208658845</v>
      </c>
      <c r="F156" s="379">
        <f>'SGTO POAI VIGENCIA 2021'!BR290</f>
        <v>2383718024.1799998</v>
      </c>
      <c r="G156" s="108">
        <f t="shared" si="5"/>
        <v>0.99130220711863837</v>
      </c>
    </row>
    <row r="157" spans="1:7" ht="90" customHeight="1" thickBot="1" x14ac:dyDescent="0.25">
      <c r="A157" s="84" t="s">
        <v>1462</v>
      </c>
      <c r="B157" s="85" t="s">
        <v>1463</v>
      </c>
      <c r="C157" s="379">
        <f>'SGTO POAI VIGENCIA 2021'!BP291</f>
        <v>126882074.64</v>
      </c>
      <c r="D157" s="379">
        <f>'SGTO POAI VIGENCIA 2021'!BQ291</f>
        <v>76411332</v>
      </c>
      <c r="E157" s="108">
        <f t="shared" si="4"/>
        <v>0.60222322354674895</v>
      </c>
      <c r="F157" s="379">
        <f>'SGTO POAI VIGENCIA 2021'!BR291</f>
        <v>76411332</v>
      </c>
      <c r="G157" s="108">
        <f t="shared" si="5"/>
        <v>1</v>
      </c>
    </row>
    <row r="158" spans="1:7" ht="20.100000000000001" customHeight="1" thickBot="1" x14ac:dyDescent="0.25">
      <c r="A158" s="652" t="s">
        <v>1299</v>
      </c>
      <c r="B158" s="653"/>
      <c r="C158" s="521">
        <f>SUM(C159:C162)</f>
        <v>2637286334.9400001</v>
      </c>
      <c r="D158" s="521">
        <f>SUM(D159:D162)</f>
        <v>2383790557.2240133</v>
      </c>
      <c r="E158" s="523">
        <f t="shared" si="4"/>
        <v>0.90388007007143811</v>
      </c>
      <c r="F158" s="521">
        <f>SUM(F159:F162)</f>
        <v>2216880294.2925234</v>
      </c>
      <c r="G158" s="522">
        <f t="shared" si="5"/>
        <v>0.92998115441573803</v>
      </c>
    </row>
    <row r="159" spans="1:7" ht="90" customHeight="1" thickBot="1" x14ac:dyDescent="0.25">
      <c r="A159" s="81" t="s">
        <v>1302</v>
      </c>
      <c r="B159" s="86" t="s">
        <v>1464</v>
      </c>
      <c r="C159" s="379">
        <f>'SGTO POAI VIGENCIA 2021'!BP292</f>
        <v>690464077.75999999</v>
      </c>
      <c r="D159" s="379">
        <f>'SGTO POAI VIGENCIA 2021'!BQ292</f>
        <v>683590194.49999976</v>
      </c>
      <c r="E159" s="108">
        <f t="shared" si="4"/>
        <v>0.99004454615177018</v>
      </c>
      <c r="F159" s="379">
        <f>'SGTO POAI VIGENCIA 2021'!BR292</f>
        <v>683590194.49999976</v>
      </c>
      <c r="G159" s="108">
        <f t="shared" si="5"/>
        <v>1</v>
      </c>
    </row>
    <row r="160" spans="1:7" ht="90" customHeight="1" thickBot="1" x14ac:dyDescent="0.25">
      <c r="A160" s="81" t="s">
        <v>1305</v>
      </c>
      <c r="B160" s="86" t="s">
        <v>1306</v>
      </c>
      <c r="C160" s="379">
        <f>'SGTO POAI VIGENCIA 2021'!BP293</f>
        <v>329008863.94999999</v>
      </c>
      <c r="D160" s="379">
        <f>'SGTO POAI VIGENCIA 2021'!BQ293</f>
        <v>290761030.31</v>
      </c>
      <c r="E160" s="108">
        <f t="shared" si="4"/>
        <v>0.88374831856866753</v>
      </c>
      <c r="F160" s="379">
        <f>'SGTO POAI VIGENCIA 2021'!BR293</f>
        <v>290761030.31</v>
      </c>
      <c r="G160" s="108">
        <f t="shared" si="5"/>
        <v>1</v>
      </c>
    </row>
    <row r="161" spans="1:7" ht="90" customHeight="1" thickBot="1" x14ac:dyDescent="0.25">
      <c r="A161" s="81" t="s">
        <v>1309</v>
      </c>
      <c r="B161" s="86" t="s">
        <v>1465</v>
      </c>
      <c r="C161" s="379">
        <f>'SGTO POAI VIGENCIA 2021'!BP294</f>
        <v>348896731.19999999</v>
      </c>
      <c r="D161" s="379">
        <f>'SGTO POAI VIGENCIA 2021'!BQ294</f>
        <v>347384923.11000001</v>
      </c>
      <c r="E161" s="108">
        <f t="shared" si="4"/>
        <v>0.99566688949821847</v>
      </c>
      <c r="F161" s="379">
        <f>'SGTO POAI VIGENCIA 2021'!BR294</f>
        <v>240924657.09</v>
      </c>
      <c r="G161" s="108">
        <f t="shared" si="5"/>
        <v>0.69353803536750158</v>
      </c>
    </row>
    <row r="162" spans="1:7" ht="90" customHeight="1" thickBot="1" x14ac:dyDescent="0.25">
      <c r="A162" s="81" t="s">
        <v>1315</v>
      </c>
      <c r="B162" s="86" t="s">
        <v>1466</v>
      </c>
      <c r="C162" s="379">
        <f>'SGTO POAI VIGENCIA 2021'!BP295+'SGTO POAI VIGENCIA 2021'!BP296+'SGTO POAI VIGENCIA 2021'!BP297+'SGTO POAI VIGENCIA 2021'!BP298+'SGTO POAI VIGENCIA 2021'!BP299+'SGTO POAI VIGENCIA 2021'!BP300+'SGTO POAI VIGENCIA 2021'!BP301</f>
        <v>1268916662.03</v>
      </c>
      <c r="D162" s="379">
        <f>'SGTO POAI VIGENCIA 2021'!BQ295+'SGTO POAI VIGENCIA 2021'!BQ296+'SGTO POAI VIGENCIA 2021'!BQ297+'SGTO POAI VIGENCIA 2021'!BQ298+'SGTO POAI VIGENCIA 2021'!BQ299+'SGTO POAI VIGENCIA 2021'!BQ300+'SGTO POAI VIGENCIA 2021'!BQ301</f>
        <v>1062054409.304014</v>
      </c>
      <c r="E162" s="108">
        <f t="shared" si="4"/>
        <v>0.83697727446099579</v>
      </c>
      <c r="F162" s="379">
        <f>'SGTO POAI VIGENCIA 2021'!BR295+'SGTO POAI VIGENCIA 2021'!BR296+'SGTO POAI VIGENCIA 2021'!BR297+'SGTO POAI VIGENCIA 2021'!BR298+'SGTO POAI VIGENCIA 2021'!BR299+'SGTO POAI VIGENCIA 2021'!BR300+'SGTO POAI VIGENCIA 2021'!BR301</f>
        <v>1001604412.3925239</v>
      </c>
      <c r="G162" s="108">
        <f t="shared" si="5"/>
        <v>0.94308201502491362</v>
      </c>
    </row>
    <row r="163" spans="1:7" ht="20.100000000000001" customHeight="1" thickBot="1" x14ac:dyDescent="0.25">
      <c r="A163" s="654" t="s">
        <v>1333</v>
      </c>
      <c r="B163" s="655"/>
      <c r="C163" s="521">
        <f>SUM(C164)</f>
        <v>110210000</v>
      </c>
      <c r="D163" s="521">
        <f>SUM(D164)</f>
        <v>107716000</v>
      </c>
      <c r="E163" s="523">
        <f t="shared" si="4"/>
        <v>0.97737047454858905</v>
      </c>
      <c r="F163" s="521">
        <f>SUM(F164)</f>
        <v>107716000</v>
      </c>
      <c r="G163" s="522">
        <f t="shared" si="5"/>
        <v>1</v>
      </c>
    </row>
    <row r="164" spans="1:7" ht="90" customHeight="1" thickBot="1" x14ac:dyDescent="0.25">
      <c r="A164" s="89" t="s">
        <v>1340</v>
      </c>
      <c r="B164" s="90" t="s">
        <v>1467</v>
      </c>
      <c r="C164" s="380">
        <f>'SGTO POAI VIGENCIA 2021'!BP302+'SGTO POAI VIGENCIA 2021'!BP303+'SGTO POAI VIGENCIA 2021'!BP304+'SGTO POAI VIGENCIA 2021'!BP305</f>
        <v>110210000</v>
      </c>
      <c r="D164" s="380">
        <f>'SGTO POAI VIGENCIA 2021'!BQ302+'SGTO POAI VIGENCIA 2021'!BQ303+'SGTO POAI VIGENCIA 2021'!BQ304+'SGTO POAI VIGENCIA 2021'!BQ305</f>
        <v>107716000</v>
      </c>
      <c r="E164" s="108">
        <f t="shared" si="4"/>
        <v>0.97737047454858905</v>
      </c>
      <c r="F164" s="380">
        <f>'SGTO POAI VIGENCIA 2021'!BR302+'SGTO POAI VIGENCIA 2021'!BR303+'SGTO POAI VIGENCIA 2021'!BR304+'SGTO POAI VIGENCIA 2021'!BR305</f>
        <v>107716000</v>
      </c>
      <c r="G164" s="108">
        <f t="shared" si="5"/>
        <v>1</v>
      </c>
    </row>
    <row r="165" spans="1:7" s="91" customFormat="1" ht="20.100000000000001" customHeight="1" thickBot="1" x14ac:dyDescent="0.3">
      <c r="A165" s="650" t="s">
        <v>1468</v>
      </c>
      <c r="B165" s="651"/>
      <c r="C165" s="511">
        <f>C163+C158+C154</f>
        <v>9907914024.9699993</v>
      </c>
      <c r="D165" s="512">
        <f>D163+D158+D154</f>
        <v>7164500614.1940126</v>
      </c>
      <c r="E165" s="513">
        <f t="shared" si="4"/>
        <v>0.72310888004659557</v>
      </c>
      <c r="F165" s="512">
        <f>F163+F158+F154</f>
        <v>6976675351.2625227</v>
      </c>
      <c r="G165" s="513">
        <f t="shared" si="5"/>
        <v>0.97378390022615413</v>
      </c>
    </row>
    <row r="166" spans="1:7" s="91" customFormat="1" ht="20.100000000000001" customHeight="1" thickBot="1" x14ac:dyDescent="0.3">
      <c r="A166" s="648" t="s">
        <v>1469</v>
      </c>
      <c r="B166" s="649"/>
      <c r="C166" s="514">
        <f>C165+C153</f>
        <v>329398378156.87994</v>
      </c>
      <c r="D166" s="515">
        <f>D165+D153</f>
        <v>293229739975.77399</v>
      </c>
      <c r="E166" s="516">
        <f t="shared" si="4"/>
        <v>0.89019788626925112</v>
      </c>
      <c r="F166" s="515">
        <f>F165+F153</f>
        <v>293041914712.84247</v>
      </c>
      <c r="G166" s="516">
        <f t="shared" si="5"/>
        <v>0.99935946039120371</v>
      </c>
    </row>
    <row r="169" spans="1:7" x14ac:dyDescent="0.2">
      <c r="D169" s="91"/>
      <c r="E169" s="91"/>
      <c r="F169" s="91"/>
    </row>
  </sheetData>
  <mergeCells count="23">
    <mergeCell ref="A79:B79"/>
    <mergeCell ref="A83:B83"/>
    <mergeCell ref="A20:B20"/>
    <mergeCell ref="A35:B35"/>
    <mergeCell ref="A48:B48"/>
    <mergeCell ref="A53:B53"/>
    <mergeCell ref="A59:B59"/>
    <mergeCell ref="A2:A3"/>
    <mergeCell ref="B2:B3"/>
    <mergeCell ref="C2:G2"/>
    <mergeCell ref="A1:G1"/>
    <mergeCell ref="A166:B166"/>
    <mergeCell ref="A153:B153"/>
    <mergeCell ref="A165:B165"/>
    <mergeCell ref="A146:B146"/>
    <mergeCell ref="A154:B154"/>
    <mergeCell ref="A158:B158"/>
    <mergeCell ref="A163:B163"/>
    <mergeCell ref="A93:B93"/>
    <mergeCell ref="A122:B122"/>
    <mergeCell ref="A4:B4"/>
    <mergeCell ref="A9:B9"/>
    <mergeCell ref="A17:B17"/>
  </mergeCells>
  <phoneticPr fontId="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Q77"/>
  <sheetViews>
    <sheetView showGridLines="0" zoomScale="80" zoomScaleNormal="80" workbookViewId="0">
      <selection activeCell="G17" sqref="G17"/>
    </sheetView>
  </sheetViews>
  <sheetFormatPr baseColWidth="10" defaultRowHeight="12.75" x14ac:dyDescent="0.2"/>
  <cols>
    <col min="1" max="1" width="13.28515625" style="127" customWidth="1"/>
    <col min="2" max="2" width="32.140625" style="147" customWidth="1"/>
    <col min="3" max="3" width="24.28515625" style="146" customWidth="1"/>
    <col min="4" max="4" width="10.140625" style="146" customWidth="1"/>
    <col min="5" max="5" width="25.5703125" style="146" customWidth="1"/>
    <col min="6" max="6" width="14" style="146" customWidth="1"/>
    <col min="7" max="7" width="25.7109375" style="146" customWidth="1"/>
    <col min="8" max="8" width="12.5703125" style="146" customWidth="1"/>
    <col min="9" max="9" width="24.7109375" style="146" customWidth="1"/>
    <col min="10" max="10" width="10.28515625" style="146" customWidth="1"/>
    <col min="11" max="11" width="22.85546875" style="146" customWidth="1"/>
    <col min="12" max="12" width="11.7109375" style="146" customWidth="1"/>
    <col min="13" max="13" width="23.140625" style="146" customWidth="1"/>
    <col min="14" max="14" width="13.5703125" style="127" customWidth="1"/>
    <col min="15" max="256" width="11.42578125" style="127"/>
    <col min="257" max="257" width="13.28515625" style="127" customWidth="1"/>
    <col min="258" max="258" width="32.140625" style="127" customWidth="1"/>
    <col min="259" max="259" width="20.7109375" style="127" customWidth="1"/>
    <col min="260" max="260" width="10.42578125" style="127" customWidth="1"/>
    <col min="261" max="261" width="18.5703125" style="127" customWidth="1"/>
    <col min="262" max="262" width="11.7109375" style="127" customWidth="1"/>
    <col min="263" max="263" width="19.28515625" style="127" customWidth="1"/>
    <col min="264" max="264" width="10.28515625" style="127" customWidth="1"/>
    <col min="265" max="265" width="19.42578125" style="127" customWidth="1"/>
    <col min="266" max="266" width="10.28515625" style="127" customWidth="1"/>
    <col min="267" max="267" width="19.5703125" style="127" customWidth="1"/>
    <col min="268" max="268" width="10.42578125" style="127" customWidth="1"/>
    <col min="269" max="269" width="21.140625" style="127" customWidth="1"/>
    <col min="270" max="270" width="11.7109375" style="127" customWidth="1"/>
    <col min="271" max="512" width="11.42578125" style="127"/>
    <col min="513" max="513" width="13.28515625" style="127" customWidth="1"/>
    <col min="514" max="514" width="32.140625" style="127" customWidth="1"/>
    <col min="515" max="515" width="20.7109375" style="127" customWidth="1"/>
    <col min="516" max="516" width="10.42578125" style="127" customWidth="1"/>
    <col min="517" max="517" width="18.5703125" style="127" customWidth="1"/>
    <col min="518" max="518" width="11.7109375" style="127" customWidth="1"/>
    <col min="519" max="519" width="19.28515625" style="127" customWidth="1"/>
    <col min="520" max="520" width="10.28515625" style="127" customWidth="1"/>
    <col min="521" max="521" width="19.42578125" style="127" customWidth="1"/>
    <col min="522" max="522" width="10.28515625" style="127" customWidth="1"/>
    <col min="523" max="523" width="19.5703125" style="127" customWidth="1"/>
    <col min="524" max="524" width="10.42578125" style="127" customWidth="1"/>
    <col min="525" max="525" width="21.140625" style="127" customWidth="1"/>
    <col min="526" max="526" width="11.7109375" style="127" customWidth="1"/>
    <col min="527" max="768" width="11.42578125" style="127"/>
    <col min="769" max="769" width="13.28515625" style="127" customWidth="1"/>
    <col min="770" max="770" width="32.140625" style="127" customWidth="1"/>
    <col min="771" max="771" width="20.7109375" style="127" customWidth="1"/>
    <col min="772" max="772" width="10.42578125" style="127" customWidth="1"/>
    <col min="773" max="773" width="18.5703125" style="127" customWidth="1"/>
    <col min="774" max="774" width="11.7109375" style="127" customWidth="1"/>
    <col min="775" max="775" width="19.28515625" style="127" customWidth="1"/>
    <col min="776" max="776" width="10.28515625" style="127" customWidth="1"/>
    <col min="777" max="777" width="19.42578125" style="127" customWidth="1"/>
    <col min="778" max="778" width="10.28515625" style="127" customWidth="1"/>
    <col min="779" max="779" width="19.5703125" style="127" customWidth="1"/>
    <col min="780" max="780" width="10.42578125" style="127" customWidth="1"/>
    <col min="781" max="781" width="21.140625" style="127" customWidth="1"/>
    <col min="782" max="782" width="11.7109375" style="127" customWidth="1"/>
    <col min="783" max="1024" width="11.42578125" style="127"/>
    <col min="1025" max="1025" width="13.28515625" style="127" customWidth="1"/>
    <col min="1026" max="1026" width="32.140625" style="127" customWidth="1"/>
    <col min="1027" max="1027" width="20.7109375" style="127" customWidth="1"/>
    <col min="1028" max="1028" width="10.42578125" style="127" customWidth="1"/>
    <col min="1029" max="1029" width="18.5703125" style="127" customWidth="1"/>
    <col min="1030" max="1030" width="11.7109375" style="127" customWidth="1"/>
    <col min="1031" max="1031" width="19.28515625" style="127" customWidth="1"/>
    <col min="1032" max="1032" width="10.28515625" style="127" customWidth="1"/>
    <col min="1033" max="1033" width="19.42578125" style="127" customWidth="1"/>
    <col min="1034" max="1034" width="10.28515625" style="127" customWidth="1"/>
    <col min="1035" max="1035" width="19.5703125" style="127" customWidth="1"/>
    <col min="1036" max="1036" width="10.42578125" style="127" customWidth="1"/>
    <col min="1037" max="1037" width="21.140625" style="127" customWidth="1"/>
    <col min="1038" max="1038" width="11.7109375" style="127" customWidth="1"/>
    <col min="1039" max="1280" width="11.42578125" style="127"/>
    <col min="1281" max="1281" width="13.28515625" style="127" customWidth="1"/>
    <col min="1282" max="1282" width="32.140625" style="127" customWidth="1"/>
    <col min="1283" max="1283" width="20.7109375" style="127" customWidth="1"/>
    <col min="1284" max="1284" width="10.42578125" style="127" customWidth="1"/>
    <col min="1285" max="1285" width="18.5703125" style="127" customWidth="1"/>
    <col min="1286" max="1286" width="11.7109375" style="127" customWidth="1"/>
    <col min="1287" max="1287" width="19.28515625" style="127" customWidth="1"/>
    <col min="1288" max="1288" width="10.28515625" style="127" customWidth="1"/>
    <col min="1289" max="1289" width="19.42578125" style="127" customWidth="1"/>
    <col min="1290" max="1290" width="10.28515625" style="127" customWidth="1"/>
    <col min="1291" max="1291" width="19.5703125" style="127" customWidth="1"/>
    <col min="1292" max="1292" width="10.42578125" style="127" customWidth="1"/>
    <col min="1293" max="1293" width="21.140625" style="127" customWidth="1"/>
    <col min="1294" max="1294" width="11.7109375" style="127" customWidth="1"/>
    <col min="1295" max="1536" width="11.42578125" style="127"/>
    <col min="1537" max="1537" width="13.28515625" style="127" customWidth="1"/>
    <col min="1538" max="1538" width="32.140625" style="127" customWidth="1"/>
    <col min="1539" max="1539" width="20.7109375" style="127" customWidth="1"/>
    <col min="1540" max="1540" width="10.42578125" style="127" customWidth="1"/>
    <col min="1541" max="1541" width="18.5703125" style="127" customWidth="1"/>
    <col min="1542" max="1542" width="11.7109375" style="127" customWidth="1"/>
    <col min="1543" max="1543" width="19.28515625" style="127" customWidth="1"/>
    <col min="1544" max="1544" width="10.28515625" style="127" customWidth="1"/>
    <col min="1545" max="1545" width="19.42578125" style="127" customWidth="1"/>
    <col min="1546" max="1546" width="10.28515625" style="127" customWidth="1"/>
    <col min="1547" max="1547" width="19.5703125" style="127" customWidth="1"/>
    <col min="1548" max="1548" width="10.42578125" style="127" customWidth="1"/>
    <col min="1549" max="1549" width="21.140625" style="127" customWidth="1"/>
    <col min="1550" max="1550" width="11.7109375" style="127" customWidth="1"/>
    <col min="1551" max="1792" width="11.42578125" style="127"/>
    <col min="1793" max="1793" width="13.28515625" style="127" customWidth="1"/>
    <col min="1794" max="1794" width="32.140625" style="127" customWidth="1"/>
    <col min="1795" max="1795" width="20.7109375" style="127" customWidth="1"/>
    <col min="1796" max="1796" width="10.42578125" style="127" customWidth="1"/>
    <col min="1797" max="1797" width="18.5703125" style="127" customWidth="1"/>
    <col min="1798" max="1798" width="11.7109375" style="127" customWidth="1"/>
    <col min="1799" max="1799" width="19.28515625" style="127" customWidth="1"/>
    <col min="1800" max="1800" width="10.28515625" style="127" customWidth="1"/>
    <col min="1801" max="1801" width="19.42578125" style="127" customWidth="1"/>
    <col min="1802" max="1802" width="10.28515625" style="127" customWidth="1"/>
    <col min="1803" max="1803" width="19.5703125" style="127" customWidth="1"/>
    <col min="1804" max="1804" width="10.42578125" style="127" customWidth="1"/>
    <col min="1805" max="1805" width="21.140625" style="127" customWidth="1"/>
    <col min="1806" max="1806" width="11.7109375" style="127" customWidth="1"/>
    <col min="1807" max="2048" width="11.42578125" style="127"/>
    <col min="2049" max="2049" width="13.28515625" style="127" customWidth="1"/>
    <col min="2050" max="2050" width="32.140625" style="127" customWidth="1"/>
    <col min="2051" max="2051" width="20.7109375" style="127" customWidth="1"/>
    <col min="2052" max="2052" width="10.42578125" style="127" customWidth="1"/>
    <col min="2053" max="2053" width="18.5703125" style="127" customWidth="1"/>
    <col min="2054" max="2054" width="11.7109375" style="127" customWidth="1"/>
    <col min="2055" max="2055" width="19.28515625" style="127" customWidth="1"/>
    <col min="2056" max="2056" width="10.28515625" style="127" customWidth="1"/>
    <col min="2057" max="2057" width="19.42578125" style="127" customWidth="1"/>
    <col min="2058" max="2058" width="10.28515625" style="127" customWidth="1"/>
    <col min="2059" max="2059" width="19.5703125" style="127" customWidth="1"/>
    <col min="2060" max="2060" width="10.42578125" style="127" customWidth="1"/>
    <col min="2061" max="2061" width="21.140625" style="127" customWidth="1"/>
    <col min="2062" max="2062" width="11.7109375" style="127" customWidth="1"/>
    <col min="2063" max="2304" width="11.42578125" style="127"/>
    <col min="2305" max="2305" width="13.28515625" style="127" customWidth="1"/>
    <col min="2306" max="2306" width="32.140625" style="127" customWidth="1"/>
    <col min="2307" max="2307" width="20.7109375" style="127" customWidth="1"/>
    <col min="2308" max="2308" width="10.42578125" style="127" customWidth="1"/>
    <col min="2309" max="2309" width="18.5703125" style="127" customWidth="1"/>
    <col min="2310" max="2310" width="11.7109375" style="127" customWidth="1"/>
    <col min="2311" max="2311" width="19.28515625" style="127" customWidth="1"/>
    <col min="2312" max="2312" width="10.28515625" style="127" customWidth="1"/>
    <col min="2313" max="2313" width="19.42578125" style="127" customWidth="1"/>
    <col min="2314" max="2314" width="10.28515625" style="127" customWidth="1"/>
    <col min="2315" max="2315" width="19.5703125" style="127" customWidth="1"/>
    <col min="2316" max="2316" width="10.42578125" style="127" customWidth="1"/>
    <col min="2317" max="2317" width="21.140625" style="127" customWidth="1"/>
    <col min="2318" max="2318" width="11.7109375" style="127" customWidth="1"/>
    <col min="2319" max="2560" width="11.42578125" style="127"/>
    <col min="2561" max="2561" width="13.28515625" style="127" customWidth="1"/>
    <col min="2562" max="2562" width="32.140625" style="127" customWidth="1"/>
    <col min="2563" max="2563" width="20.7109375" style="127" customWidth="1"/>
    <col min="2564" max="2564" width="10.42578125" style="127" customWidth="1"/>
    <col min="2565" max="2565" width="18.5703125" style="127" customWidth="1"/>
    <col min="2566" max="2566" width="11.7109375" style="127" customWidth="1"/>
    <col min="2567" max="2567" width="19.28515625" style="127" customWidth="1"/>
    <col min="2568" max="2568" width="10.28515625" style="127" customWidth="1"/>
    <col min="2569" max="2569" width="19.42578125" style="127" customWidth="1"/>
    <col min="2570" max="2570" width="10.28515625" style="127" customWidth="1"/>
    <col min="2571" max="2571" width="19.5703125" style="127" customWidth="1"/>
    <col min="2572" max="2572" width="10.42578125" style="127" customWidth="1"/>
    <col min="2573" max="2573" width="21.140625" style="127" customWidth="1"/>
    <col min="2574" max="2574" width="11.7109375" style="127" customWidth="1"/>
    <col min="2575" max="2816" width="11.42578125" style="127"/>
    <col min="2817" max="2817" width="13.28515625" style="127" customWidth="1"/>
    <col min="2818" max="2818" width="32.140625" style="127" customWidth="1"/>
    <col min="2819" max="2819" width="20.7109375" style="127" customWidth="1"/>
    <col min="2820" max="2820" width="10.42578125" style="127" customWidth="1"/>
    <col min="2821" max="2821" width="18.5703125" style="127" customWidth="1"/>
    <col min="2822" max="2822" width="11.7109375" style="127" customWidth="1"/>
    <col min="2823" max="2823" width="19.28515625" style="127" customWidth="1"/>
    <col min="2824" max="2824" width="10.28515625" style="127" customWidth="1"/>
    <col min="2825" max="2825" width="19.42578125" style="127" customWidth="1"/>
    <col min="2826" max="2826" width="10.28515625" style="127" customWidth="1"/>
    <col min="2827" max="2827" width="19.5703125" style="127" customWidth="1"/>
    <col min="2828" max="2828" width="10.42578125" style="127" customWidth="1"/>
    <col min="2829" max="2829" width="21.140625" style="127" customWidth="1"/>
    <col min="2830" max="2830" width="11.7109375" style="127" customWidth="1"/>
    <col min="2831" max="3072" width="11.42578125" style="127"/>
    <col min="3073" max="3073" width="13.28515625" style="127" customWidth="1"/>
    <col min="3074" max="3074" width="32.140625" style="127" customWidth="1"/>
    <col min="3075" max="3075" width="20.7109375" style="127" customWidth="1"/>
    <col min="3076" max="3076" width="10.42578125" style="127" customWidth="1"/>
    <col min="3077" max="3077" width="18.5703125" style="127" customWidth="1"/>
    <col min="3078" max="3078" width="11.7109375" style="127" customWidth="1"/>
    <col min="3079" max="3079" width="19.28515625" style="127" customWidth="1"/>
    <col min="3080" max="3080" width="10.28515625" style="127" customWidth="1"/>
    <col min="3081" max="3081" width="19.42578125" style="127" customWidth="1"/>
    <col min="3082" max="3082" width="10.28515625" style="127" customWidth="1"/>
    <col min="3083" max="3083" width="19.5703125" style="127" customWidth="1"/>
    <col min="3084" max="3084" width="10.42578125" style="127" customWidth="1"/>
    <col min="3085" max="3085" width="21.140625" style="127" customWidth="1"/>
    <col min="3086" max="3086" width="11.7109375" style="127" customWidth="1"/>
    <col min="3087" max="3328" width="11.42578125" style="127"/>
    <col min="3329" max="3329" width="13.28515625" style="127" customWidth="1"/>
    <col min="3330" max="3330" width="32.140625" style="127" customWidth="1"/>
    <col min="3331" max="3331" width="20.7109375" style="127" customWidth="1"/>
    <col min="3332" max="3332" width="10.42578125" style="127" customWidth="1"/>
    <col min="3333" max="3333" width="18.5703125" style="127" customWidth="1"/>
    <col min="3334" max="3334" width="11.7109375" style="127" customWidth="1"/>
    <col min="3335" max="3335" width="19.28515625" style="127" customWidth="1"/>
    <col min="3336" max="3336" width="10.28515625" style="127" customWidth="1"/>
    <col min="3337" max="3337" width="19.42578125" style="127" customWidth="1"/>
    <col min="3338" max="3338" width="10.28515625" style="127" customWidth="1"/>
    <col min="3339" max="3339" width="19.5703125" style="127" customWidth="1"/>
    <col min="3340" max="3340" width="10.42578125" style="127" customWidth="1"/>
    <col min="3341" max="3341" width="21.140625" style="127" customWidth="1"/>
    <col min="3342" max="3342" width="11.7109375" style="127" customWidth="1"/>
    <col min="3343" max="3584" width="11.42578125" style="127"/>
    <col min="3585" max="3585" width="13.28515625" style="127" customWidth="1"/>
    <col min="3586" max="3586" width="32.140625" style="127" customWidth="1"/>
    <col min="3587" max="3587" width="20.7109375" style="127" customWidth="1"/>
    <col min="3588" max="3588" width="10.42578125" style="127" customWidth="1"/>
    <col min="3589" max="3589" width="18.5703125" style="127" customWidth="1"/>
    <col min="3590" max="3590" width="11.7109375" style="127" customWidth="1"/>
    <col min="3591" max="3591" width="19.28515625" style="127" customWidth="1"/>
    <col min="3592" max="3592" width="10.28515625" style="127" customWidth="1"/>
    <col min="3593" max="3593" width="19.42578125" style="127" customWidth="1"/>
    <col min="3594" max="3594" width="10.28515625" style="127" customWidth="1"/>
    <col min="3595" max="3595" width="19.5703125" style="127" customWidth="1"/>
    <col min="3596" max="3596" width="10.42578125" style="127" customWidth="1"/>
    <col min="3597" max="3597" width="21.140625" style="127" customWidth="1"/>
    <col min="3598" max="3598" width="11.7109375" style="127" customWidth="1"/>
    <col min="3599" max="3840" width="11.42578125" style="127"/>
    <col min="3841" max="3841" width="13.28515625" style="127" customWidth="1"/>
    <col min="3842" max="3842" width="32.140625" style="127" customWidth="1"/>
    <col min="3843" max="3843" width="20.7109375" style="127" customWidth="1"/>
    <col min="3844" max="3844" width="10.42578125" style="127" customWidth="1"/>
    <col min="3845" max="3845" width="18.5703125" style="127" customWidth="1"/>
    <col min="3846" max="3846" width="11.7109375" style="127" customWidth="1"/>
    <col min="3847" max="3847" width="19.28515625" style="127" customWidth="1"/>
    <col min="3848" max="3848" width="10.28515625" style="127" customWidth="1"/>
    <col min="3849" max="3849" width="19.42578125" style="127" customWidth="1"/>
    <col min="3850" max="3850" width="10.28515625" style="127" customWidth="1"/>
    <col min="3851" max="3851" width="19.5703125" style="127" customWidth="1"/>
    <col min="3852" max="3852" width="10.42578125" style="127" customWidth="1"/>
    <col min="3853" max="3853" width="21.140625" style="127" customWidth="1"/>
    <col min="3854" max="3854" width="11.7109375" style="127" customWidth="1"/>
    <col min="3855" max="4096" width="11.42578125" style="127"/>
    <col min="4097" max="4097" width="13.28515625" style="127" customWidth="1"/>
    <col min="4098" max="4098" width="32.140625" style="127" customWidth="1"/>
    <col min="4099" max="4099" width="20.7109375" style="127" customWidth="1"/>
    <col min="4100" max="4100" width="10.42578125" style="127" customWidth="1"/>
    <col min="4101" max="4101" width="18.5703125" style="127" customWidth="1"/>
    <col min="4102" max="4102" width="11.7109375" style="127" customWidth="1"/>
    <col min="4103" max="4103" width="19.28515625" style="127" customWidth="1"/>
    <col min="4104" max="4104" width="10.28515625" style="127" customWidth="1"/>
    <col min="4105" max="4105" width="19.42578125" style="127" customWidth="1"/>
    <col min="4106" max="4106" width="10.28515625" style="127" customWidth="1"/>
    <col min="4107" max="4107" width="19.5703125" style="127" customWidth="1"/>
    <col min="4108" max="4108" width="10.42578125" style="127" customWidth="1"/>
    <col min="4109" max="4109" width="21.140625" style="127" customWidth="1"/>
    <col min="4110" max="4110" width="11.7109375" style="127" customWidth="1"/>
    <col min="4111" max="4352" width="11.42578125" style="127"/>
    <col min="4353" max="4353" width="13.28515625" style="127" customWidth="1"/>
    <col min="4354" max="4354" width="32.140625" style="127" customWidth="1"/>
    <col min="4355" max="4355" width="20.7109375" style="127" customWidth="1"/>
    <col min="4356" max="4356" width="10.42578125" style="127" customWidth="1"/>
    <col min="4357" max="4357" width="18.5703125" style="127" customWidth="1"/>
    <col min="4358" max="4358" width="11.7109375" style="127" customWidth="1"/>
    <col min="4359" max="4359" width="19.28515625" style="127" customWidth="1"/>
    <col min="4360" max="4360" width="10.28515625" style="127" customWidth="1"/>
    <col min="4361" max="4361" width="19.42578125" style="127" customWidth="1"/>
    <col min="4362" max="4362" width="10.28515625" style="127" customWidth="1"/>
    <col min="4363" max="4363" width="19.5703125" style="127" customWidth="1"/>
    <col min="4364" max="4364" width="10.42578125" style="127" customWidth="1"/>
    <col min="4365" max="4365" width="21.140625" style="127" customWidth="1"/>
    <col min="4366" max="4366" width="11.7109375" style="127" customWidth="1"/>
    <col min="4367" max="4608" width="11.42578125" style="127"/>
    <col min="4609" max="4609" width="13.28515625" style="127" customWidth="1"/>
    <col min="4610" max="4610" width="32.140625" style="127" customWidth="1"/>
    <col min="4611" max="4611" width="20.7109375" style="127" customWidth="1"/>
    <col min="4612" max="4612" width="10.42578125" style="127" customWidth="1"/>
    <col min="4613" max="4613" width="18.5703125" style="127" customWidth="1"/>
    <col min="4614" max="4614" width="11.7109375" style="127" customWidth="1"/>
    <col min="4615" max="4615" width="19.28515625" style="127" customWidth="1"/>
    <col min="4616" max="4616" width="10.28515625" style="127" customWidth="1"/>
    <col min="4617" max="4617" width="19.42578125" style="127" customWidth="1"/>
    <col min="4618" max="4618" width="10.28515625" style="127" customWidth="1"/>
    <col min="4619" max="4619" width="19.5703125" style="127" customWidth="1"/>
    <col min="4620" max="4620" width="10.42578125" style="127" customWidth="1"/>
    <col min="4621" max="4621" width="21.140625" style="127" customWidth="1"/>
    <col min="4622" max="4622" width="11.7109375" style="127" customWidth="1"/>
    <col min="4623" max="4864" width="11.42578125" style="127"/>
    <col min="4865" max="4865" width="13.28515625" style="127" customWidth="1"/>
    <col min="4866" max="4866" width="32.140625" style="127" customWidth="1"/>
    <col min="4867" max="4867" width="20.7109375" style="127" customWidth="1"/>
    <col min="4868" max="4868" width="10.42578125" style="127" customWidth="1"/>
    <col min="4869" max="4869" width="18.5703125" style="127" customWidth="1"/>
    <col min="4870" max="4870" width="11.7109375" style="127" customWidth="1"/>
    <col min="4871" max="4871" width="19.28515625" style="127" customWidth="1"/>
    <col min="4872" max="4872" width="10.28515625" style="127" customWidth="1"/>
    <col min="4873" max="4873" width="19.42578125" style="127" customWidth="1"/>
    <col min="4874" max="4874" width="10.28515625" style="127" customWidth="1"/>
    <col min="4875" max="4875" width="19.5703125" style="127" customWidth="1"/>
    <col min="4876" max="4876" width="10.42578125" style="127" customWidth="1"/>
    <col min="4877" max="4877" width="21.140625" style="127" customWidth="1"/>
    <col min="4878" max="4878" width="11.7109375" style="127" customWidth="1"/>
    <col min="4879" max="5120" width="11.42578125" style="127"/>
    <col min="5121" max="5121" width="13.28515625" style="127" customWidth="1"/>
    <col min="5122" max="5122" width="32.140625" style="127" customWidth="1"/>
    <col min="5123" max="5123" width="20.7109375" style="127" customWidth="1"/>
    <col min="5124" max="5124" width="10.42578125" style="127" customWidth="1"/>
    <col min="5125" max="5125" width="18.5703125" style="127" customWidth="1"/>
    <col min="5126" max="5126" width="11.7109375" style="127" customWidth="1"/>
    <col min="5127" max="5127" width="19.28515625" style="127" customWidth="1"/>
    <col min="5128" max="5128" width="10.28515625" style="127" customWidth="1"/>
    <col min="5129" max="5129" width="19.42578125" style="127" customWidth="1"/>
    <col min="5130" max="5130" width="10.28515625" style="127" customWidth="1"/>
    <col min="5131" max="5131" width="19.5703125" style="127" customWidth="1"/>
    <col min="5132" max="5132" width="10.42578125" style="127" customWidth="1"/>
    <col min="5133" max="5133" width="21.140625" style="127" customWidth="1"/>
    <col min="5134" max="5134" width="11.7109375" style="127" customWidth="1"/>
    <col min="5135" max="5376" width="11.42578125" style="127"/>
    <col min="5377" max="5377" width="13.28515625" style="127" customWidth="1"/>
    <col min="5378" max="5378" width="32.140625" style="127" customWidth="1"/>
    <col min="5379" max="5379" width="20.7109375" style="127" customWidth="1"/>
    <col min="5380" max="5380" width="10.42578125" style="127" customWidth="1"/>
    <col min="5381" max="5381" width="18.5703125" style="127" customWidth="1"/>
    <col min="5382" max="5382" width="11.7109375" style="127" customWidth="1"/>
    <col min="5383" max="5383" width="19.28515625" style="127" customWidth="1"/>
    <col min="5384" max="5384" width="10.28515625" style="127" customWidth="1"/>
    <col min="5385" max="5385" width="19.42578125" style="127" customWidth="1"/>
    <col min="5386" max="5386" width="10.28515625" style="127" customWidth="1"/>
    <col min="5387" max="5387" width="19.5703125" style="127" customWidth="1"/>
    <col min="5388" max="5388" width="10.42578125" style="127" customWidth="1"/>
    <col min="5389" max="5389" width="21.140625" style="127" customWidth="1"/>
    <col min="5390" max="5390" width="11.7109375" style="127" customWidth="1"/>
    <col min="5391" max="5632" width="11.42578125" style="127"/>
    <col min="5633" max="5633" width="13.28515625" style="127" customWidth="1"/>
    <col min="5634" max="5634" width="32.140625" style="127" customWidth="1"/>
    <col min="5635" max="5635" width="20.7109375" style="127" customWidth="1"/>
    <col min="5636" max="5636" width="10.42578125" style="127" customWidth="1"/>
    <col min="5637" max="5637" width="18.5703125" style="127" customWidth="1"/>
    <col min="5638" max="5638" width="11.7109375" style="127" customWidth="1"/>
    <col min="5639" max="5639" width="19.28515625" style="127" customWidth="1"/>
    <col min="5640" max="5640" width="10.28515625" style="127" customWidth="1"/>
    <col min="5641" max="5641" width="19.42578125" style="127" customWidth="1"/>
    <col min="5642" max="5642" width="10.28515625" style="127" customWidth="1"/>
    <col min="5643" max="5643" width="19.5703125" style="127" customWidth="1"/>
    <col min="5644" max="5644" width="10.42578125" style="127" customWidth="1"/>
    <col min="5645" max="5645" width="21.140625" style="127" customWidth="1"/>
    <col min="5646" max="5646" width="11.7109375" style="127" customWidth="1"/>
    <col min="5647" max="5888" width="11.42578125" style="127"/>
    <col min="5889" max="5889" width="13.28515625" style="127" customWidth="1"/>
    <col min="5890" max="5890" width="32.140625" style="127" customWidth="1"/>
    <col min="5891" max="5891" width="20.7109375" style="127" customWidth="1"/>
    <col min="5892" max="5892" width="10.42578125" style="127" customWidth="1"/>
    <col min="5893" max="5893" width="18.5703125" style="127" customWidth="1"/>
    <col min="5894" max="5894" width="11.7109375" style="127" customWidth="1"/>
    <col min="5895" max="5895" width="19.28515625" style="127" customWidth="1"/>
    <col min="5896" max="5896" width="10.28515625" style="127" customWidth="1"/>
    <col min="5897" max="5897" width="19.42578125" style="127" customWidth="1"/>
    <col min="5898" max="5898" width="10.28515625" style="127" customWidth="1"/>
    <col min="5899" max="5899" width="19.5703125" style="127" customWidth="1"/>
    <col min="5900" max="5900" width="10.42578125" style="127" customWidth="1"/>
    <col min="5901" max="5901" width="21.140625" style="127" customWidth="1"/>
    <col min="5902" max="5902" width="11.7109375" style="127" customWidth="1"/>
    <col min="5903" max="6144" width="11.42578125" style="127"/>
    <col min="6145" max="6145" width="13.28515625" style="127" customWidth="1"/>
    <col min="6146" max="6146" width="32.140625" style="127" customWidth="1"/>
    <col min="6147" max="6147" width="20.7109375" style="127" customWidth="1"/>
    <col min="6148" max="6148" width="10.42578125" style="127" customWidth="1"/>
    <col min="6149" max="6149" width="18.5703125" style="127" customWidth="1"/>
    <col min="6150" max="6150" width="11.7109375" style="127" customWidth="1"/>
    <col min="6151" max="6151" width="19.28515625" style="127" customWidth="1"/>
    <col min="6152" max="6152" width="10.28515625" style="127" customWidth="1"/>
    <col min="6153" max="6153" width="19.42578125" style="127" customWidth="1"/>
    <col min="6154" max="6154" width="10.28515625" style="127" customWidth="1"/>
    <col min="6155" max="6155" width="19.5703125" style="127" customWidth="1"/>
    <col min="6156" max="6156" width="10.42578125" style="127" customWidth="1"/>
    <col min="6157" max="6157" width="21.140625" style="127" customWidth="1"/>
    <col min="6158" max="6158" width="11.7109375" style="127" customWidth="1"/>
    <col min="6159" max="6400" width="11.42578125" style="127"/>
    <col min="6401" max="6401" width="13.28515625" style="127" customWidth="1"/>
    <col min="6402" max="6402" width="32.140625" style="127" customWidth="1"/>
    <col min="6403" max="6403" width="20.7109375" style="127" customWidth="1"/>
    <col min="6404" max="6404" width="10.42578125" style="127" customWidth="1"/>
    <col min="6405" max="6405" width="18.5703125" style="127" customWidth="1"/>
    <col min="6406" max="6406" width="11.7109375" style="127" customWidth="1"/>
    <col min="6407" max="6407" width="19.28515625" style="127" customWidth="1"/>
    <col min="6408" max="6408" width="10.28515625" style="127" customWidth="1"/>
    <col min="6409" max="6409" width="19.42578125" style="127" customWidth="1"/>
    <col min="6410" max="6410" width="10.28515625" style="127" customWidth="1"/>
    <col min="6411" max="6411" width="19.5703125" style="127" customWidth="1"/>
    <col min="6412" max="6412" width="10.42578125" style="127" customWidth="1"/>
    <col min="6413" max="6413" width="21.140625" style="127" customWidth="1"/>
    <col min="6414" max="6414" width="11.7109375" style="127" customWidth="1"/>
    <col min="6415" max="6656" width="11.42578125" style="127"/>
    <col min="6657" max="6657" width="13.28515625" style="127" customWidth="1"/>
    <col min="6658" max="6658" width="32.140625" style="127" customWidth="1"/>
    <col min="6659" max="6659" width="20.7109375" style="127" customWidth="1"/>
    <col min="6660" max="6660" width="10.42578125" style="127" customWidth="1"/>
    <col min="6661" max="6661" width="18.5703125" style="127" customWidth="1"/>
    <col min="6662" max="6662" width="11.7109375" style="127" customWidth="1"/>
    <col min="6663" max="6663" width="19.28515625" style="127" customWidth="1"/>
    <col min="6664" max="6664" width="10.28515625" style="127" customWidth="1"/>
    <col min="6665" max="6665" width="19.42578125" style="127" customWidth="1"/>
    <col min="6666" max="6666" width="10.28515625" style="127" customWidth="1"/>
    <col min="6667" max="6667" width="19.5703125" style="127" customWidth="1"/>
    <col min="6668" max="6668" width="10.42578125" style="127" customWidth="1"/>
    <col min="6669" max="6669" width="21.140625" style="127" customWidth="1"/>
    <col min="6670" max="6670" width="11.7109375" style="127" customWidth="1"/>
    <col min="6671" max="6912" width="11.42578125" style="127"/>
    <col min="6913" max="6913" width="13.28515625" style="127" customWidth="1"/>
    <col min="6914" max="6914" width="32.140625" style="127" customWidth="1"/>
    <col min="6915" max="6915" width="20.7109375" style="127" customWidth="1"/>
    <col min="6916" max="6916" width="10.42578125" style="127" customWidth="1"/>
    <col min="6917" max="6917" width="18.5703125" style="127" customWidth="1"/>
    <col min="6918" max="6918" width="11.7109375" style="127" customWidth="1"/>
    <col min="6919" max="6919" width="19.28515625" style="127" customWidth="1"/>
    <col min="6920" max="6920" width="10.28515625" style="127" customWidth="1"/>
    <col min="6921" max="6921" width="19.42578125" style="127" customWidth="1"/>
    <col min="6922" max="6922" width="10.28515625" style="127" customWidth="1"/>
    <col min="6923" max="6923" width="19.5703125" style="127" customWidth="1"/>
    <col min="6924" max="6924" width="10.42578125" style="127" customWidth="1"/>
    <col min="6925" max="6925" width="21.140625" style="127" customWidth="1"/>
    <col min="6926" max="6926" width="11.7109375" style="127" customWidth="1"/>
    <col min="6927" max="7168" width="11.42578125" style="127"/>
    <col min="7169" max="7169" width="13.28515625" style="127" customWidth="1"/>
    <col min="7170" max="7170" width="32.140625" style="127" customWidth="1"/>
    <col min="7171" max="7171" width="20.7109375" style="127" customWidth="1"/>
    <col min="7172" max="7172" width="10.42578125" style="127" customWidth="1"/>
    <col min="7173" max="7173" width="18.5703125" style="127" customWidth="1"/>
    <col min="7174" max="7174" width="11.7109375" style="127" customWidth="1"/>
    <col min="7175" max="7175" width="19.28515625" style="127" customWidth="1"/>
    <col min="7176" max="7176" width="10.28515625" style="127" customWidth="1"/>
    <col min="7177" max="7177" width="19.42578125" style="127" customWidth="1"/>
    <col min="7178" max="7178" width="10.28515625" style="127" customWidth="1"/>
    <col min="7179" max="7179" width="19.5703125" style="127" customWidth="1"/>
    <col min="7180" max="7180" width="10.42578125" style="127" customWidth="1"/>
    <col min="7181" max="7181" width="21.140625" style="127" customWidth="1"/>
    <col min="7182" max="7182" width="11.7109375" style="127" customWidth="1"/>
    <col min="7183" max="7424" width="11.42578125" style="127"/>
    <col min="7425" max="7425" width="13.28515625" style="127" customWidth="1"/>
    <col min="7426" max="7426" width="32.140625" style="127" customWidth="1"/>
    <col min="7427" max="7427" width="20.7109375" style="127" customWidth="1"/>
    <col min="7428" max="7428" width="10.42578125" style="127" customWidth="1"/>
    <col min="7429" max="7429" width="18.5703125" style="127" customWidth="1"/>
    <col min="7430" max="7430" width="11.7109375" style="127" customWidth="1"/>
    <col min="7431" max="7431" width="19.28515625" style="127" customWidth="1"/>
    <col min="7432" max="7432" width="10.28515625" style="127" customWidth="1"/>
    <col min="7433" max="7433" width="19.42578125" style="127" customWidth="1"/>
    <col min="7434" max="7434" width="10.28515625" style="127" customWidth="1"/>
    <col min="7435" max="7435" width="19.5703125" style="127" customWidth="1"/>
    <col min="7436" max="7436" width="10.42578125" style="127" customWidth="1"/>
    <col min="7437" max="7437" width="21.140625" style="127" customWidth="1"/>
    <col min="7438" max="7438" width="11.7109375" style="127" customWidth="1"/>
    <col min="7439" max="7680" width="11.42578125" style="127"/>
    <col min="7681" max="7681" width="13.28515625" style="127" customWidth="1"/>
    <col min="7682" max="7682" width="32.140625" style="127" customWidth="1"/>
    <col min="7683" max="7683" width="20.7109375" style="127" customWidth="1"/>
    <col min="7684" max="7684" width="10.42578125" style="127" customWidth="1"/>
    <col min="7685" max="7685" width="18.5703125" style="127" customWidth="1"/>
    <col min="7686" max="7686" width="11.7109375" style="127" customWidth="1"/>
    <col min="7687" max="7687" width="19.28515625" style="127" customWidth="1"/>
    <col min="7688" max="7688" width="10.28515625" style="127" customWidth="1"/>
    <col min="7689" max="7689" width="19.42578125" style="127" customWidth="1"/>
    <col min="7690" max="7690" width="10.28515625" style="127" customWidth="1"/>
    <col min="7691" max="7691" width="19.5703125" style="127" customWidth="1"/>
    <col min="7692" max="7692" width="10.42578125" style="127" customWidth="1"/>
    <col min="7693" max="7693" width="21.140625" style="127" customWidth="1"/>
    <col min="7694" max="7694" width="11.7109375" style="127" customWidth="1"/>
    <col min="7695" max="7936" width="11.42578125" style="127"/>
    <col min="7937" max="7937" width="13.28515625" style="127" customWidth="1"/>
    <col min="7938" max="7938" width="32.140625" style="127" customWidth="1"/>
    <col min="7939" max="7939" width="20.7109375" style="127" customWidth="1"/>
    <col min="7940" max="7940" width="10.42578125" style="127" customWidth="1"/>
    <col min="7941" max="7941" width="18.5703125" style="127" customWidth="1"/>
    <col min="7942" max="7942" width="11.7109375" style="127" customWidth="1"/>
    <col min="7943" max="7943" width="19.28515625" style="127" customWidth="1"/>
    <col min="7944" max="7944" width="10.28515625" style="127" customWidth="1"/>
    <col min="7945" max="7945" width="19.42578125" style="127" customWidth="1"/>
    <col min="7946" max="7946" width="10.28515625" style="127" customWidth="1"/>
    <col min="7947" max="7947" width="19.5703125" style="127" customWidth="1"/>
    <col min="7948" max="7948" width="10.42578125" style="127" customWidth="1"/>
    <col min="7949" max="7949" width="21.140625" style="127" customWidth="1"/>
    <col min="7950" max="7950" width="11.7109375" style="127" customWidth="1"/>
    <col min="7951" max="8192" width="11.42578125" style="127"/>
    <col min="8193" max="8193" width="13.28515625" style="127" customWidth="1"/>
    <col min="8194" max="8194" width="32.140625" style="127" customWidth="1"/>
    <col min="8195" max="8195" width="20.7109375" style="127" customWidth="1"/>
    <col min="8196" max="8196" width="10.42578125" style="127" customWidth="1"/>
    <col min="8197" max="8197" width="18.5703125" style="127" customWidth="1"/>
    <col min="8198" max="8198" width="11.7109375" style="127" customWidth="1"/>
    <col min="8199" max="8199" width="19.28515625" style="127" customWidth="1"/>
    <col min="8200" max="8200" width="10.28515625" style="127" customWidth="1"/>
    <col min="8201" max="8201" width="19.42578125" style="127" customWidth="1"/>
    <col min="8202" max="8202" width="10.28515625" style="127" customWidth="1"/>
    <col min="8203" max="8203" width="19.5703125" style="127" customWidth="1"/>
    <col min="8204" max="8204" width="10.42578125" style="127" customWidth="1"/>
    <col min="8205" max="8205" width="21.140625" style="127" customWidth="1"/>
    <col min="8206" max="8206" width="11.7109375" style="127" customWidth="1"/>
    <col min="8207" max="8448" width="11.42578125" style="127"/>
    <col min="8449" max="8449" width="13.28515625" style="127" customWidth="1"/>
    <col min="8450" max="8450" width="32.140625" style="127" customWidth="1"/>
    <col min="8451" max="8451" width="20.7109375" style="127" customWidth="1"/>
    <col min="8452" max="8452" width="10.42578125" style="127" customWidth="1"/>
    <col min="8453" max="8453" width="18.5703125" style="127" customWidth="1"/>
    <col min="8454" max="8454" width="11.7109375" style="127" customWidth="1"/>
    <col min="8455" max="8455" width="19.28515625" style="127" customWidth="1"/>
    <col min="8456" max="8456" width="10.28515625" style="127" customWidth="1"/>
    <col min="8457" max="8457" width="19.42578125" style="127" customWidth="1"/>
    <col min="8458" max="8458" width="10.28515625" style="127" customWidth="1"/>
    <col min="8459" max="8459" width="19.5703125" style="127" customWidth="1"/>
    <col min="8460" max="8460" width="10.42578125" style="127" customWidth="1"/>
    <col min="8461" max="8461" width="21.140625" style="127" customWidth="1"/>
    <col min="8462" max="8462" width="11.7109375" style="127" customWidth="1"/>
    <col min="8463" max="8704" width="11.42578125" style="127"/>
    <col min="8705" max="8705" width="13.28515625" style="127" customWidth="1"/>
    <col min="8706" max="8706" width="32.140625" style="127" customWidth="1"/>
    <col min="8707" max="8707" width="20.7109375" style="127" customWidth="1"/>
    <col min="8708" max="8708" width="10.42578125" style="127" customWidth="1"/>
    <col min="8709" max="8709" width="18.5703125" style="127" customWidth="1"/>
    <col min="8710" max="8710" width="11.7109375" style="127" customWidth="1"/>
    <col min="8711" max="8711" width="19.28515625" style="127" customWidth="1"/>
    <col min="8712" max="8712" width="10.28515625" style="127" customWidth="1"/>
    <col min="8713" max="8713" width="19.42578125" style="127" customWidth="1"/>
    <col min="8714" max="8714" width="10.28515625" style="127" customWidth="1"/>
    <col min="8715" max="8715" width="19.5703125" style="127" customWidth="1"/>
    <col min="8716" max="8716" width="10.42578125" style="127" customWidth="1"/>
    <col min="8717" max="8717" width="21.140625" style="127" customWidth="1"/>
    <col min="8718" max="8718" width="11.7109375" style="127" customWidth="1"/>
    <col min="8719" max="8960" width="11.42578125" style="127"/>
    <col min="8961" max="8961" width="13.28515625" style="127" customWidth="1"/>
    <col min="8962" max="8962" width="32.140625" style="127" customWidth="1"/>
    <col min="8963" max="8963" width="20.7109375" style="127" customWidth="1"/>
    <col min="8964" max="8964" width="10.42578125" style="127" customWidth="1"/>
    <col min="8965" max="8965" width="18.5703125" style="127" customWidth="1"/>
    <col min="8966" max="8966" width="11.7109375" style="127" customWidth="1"/>
    <col min="8967" max="8967" width="19.28515625" style="127" customWidth="1"/>
    <col min="8968" max="8968" width="10.28515625" style="127" customWidth="1"/>
    <col min="8969" max="8969" width="19.42578125" style="127" customWidth="1"/>
    <col min="8970" max="8970" width="10.28515625" style="127" customWidth="1"/>
    <col min="8971" max="8971" width="19.5703125" style="127" customWidth="1"/>
    <col min="8972" max="8972" width="10.42578125" style="127" customWidth="1"/>
    <col min="8973" max="8973" width="21.140625" style="127" customWidth="1"/>
    <col min="8974" max="8974" width="11.7109375" style="127" customWidth="1"/>
    <col min="8975" max="9216" width="11.42578125" style="127"/>
    <col min="9217" max="9217" width="13.28515625" style="127" customWidth="1"/>
    <col min="9218" max="9218" width="32.140625" style="127" customWidth="1"/>
    <col min="9219" max="9219" width="20.7109375" style="127" customWidth="1"/>
    <col min="9220" max="9220" width="10.42578125" style="127" customWidth="1"/>
    <col min="9221" max="9221" width="18.5703125" style="127" customWidth="1"/>
    <col min="9222" max="9222" width="11.7109375" style="127" customWidth="1"/>
    <col min="9223" max="9223" width="19.28515625" style="127" customWidth="1"/>
    <col min="9224" max="9224" width="10.28515625" style="127" customWidth="1"/>
    <col min="9225" max="9225" width="19.42578125" style="127" customWidth="1"/>
    <col min="9226" max="9226" width="10.28515625" style="127" customWidth="1"/>
    <col min="9227" max="9227" width="19.5703125" style="127" customWidth="1"/>
    <col min="9228" max="9228" width="10.42578125" style="127" customWidth="1"/>
    <col min="9229" max="9229" width="21.140625" style="127" customWidth="1"/>
    <col min="9230" max="9230" width="11.7109375" style="127" customWidth="1"/>
    <col min="9231" max="9472" width="11.42578125" style="127"/>
    <col min="9473" max="9473" width="13.28515625" style="127" customWidth="1"/>
    <col min="9474" max="9474" width="32.140625" style="127" customWidth="1"/>
    <col min="9475" max="9475" width="20.7109375" style="127" customWidth="1"/>
    <col min="9476" max="9476" width="10.42578125" style="127" customWidth="1"/>
    <col min="9477" max="9477" width="18.5703125" style="127" customWidth="1"/>
    <col min="9478" max="9478" width="11.7109375" style="127" customWidth="1"/>
    <col min="9479" max="9479" width="19.28515625" style="127" customWidth="1"/>
    <col min="9480" max="9480" width="10.28515625" style="127" customWidth="1"/>
    <col min="9481" max="9481" width="19.42578125" style="127" customWidth="1"/>
    <col min="9482" max="9482" width="10.28515625" style="127" customWidth="1"/>
    <col min="9483" max="9483" width="19.5703125" style="127" customWidth="1"/>
    <col min="9484" max="9484" width="10.42578125" style="127" customWidth="1"/>
    <col min="9485" max="9485" width="21.140625" style="127" customWidth="1"/>
    <col min="9486" max="9486" width="11.7109375" style="127" customWidth="1"/>
    <col min="9487" max="9728" width="11.42578125" style="127"/>
    <col min="9729" max="9729" width="13.28515625" style="127" customWidth="1"/>
    <col min="9730" max="9730" width="32.140625" style="127" customWidth="1"/>
    <col min="9731" max="9731" width="20.7109375" style="127" customWidth="1"/>
    <col min="9732" max="9732" width="10.42578125" style="127" customWidth="1"/>
    <col min="9733" max="9733" width="18.5703125" style="127" customWidth="1"/>
    <col min="9734" max="9734" width="11.7109375" style="127" customWidth="1"/>
    <col min="9735" max="9735" width="19.28515625" style="127" customWidth="1"/>
    <col min="9736" max="9736" width="10.28515625" style="127" customWidth="1"/>
    <col min="9737" max="9737" width="19.42578125" style="127" customWidth="1"/>
    <col min="9738" max="9738" width="10.28515625" style="127" customWidth="1"/>
    <col min="9739" max="9739" width="19.5703125" style="127" customWidth="1"/>
    <col min="9740" max="9740" width="10.42578125" style="127" customWidth="1"/>
    <col min="9741" max="9741" width="21.140625" style="127" customWidth="1"/>
    <col min="9742" max="9742" width="11.7109375" style="127" customWidth="1"/>
    <col min="9743" max="9984" width="11.42578125" style="127"/>
    <col min="9985" max="9985" width="13.28515625" style="127" customWidth="1"/>
    <col min="9986" max="9986" width="32.140625" style="127" customWidth="1"/>
    <col min="9987" max="9987" width="20.7109375" style="127" customWidth="1"/>
    <col min="9988" max="9988" width="10.42578125" style="127" customWidth="1"/>
    <col min="9989" max="9989" width="18.5703125" style="127" customWidth="1"/>
    <col min="9990" max="9990" width="11.7109375" style="127" customWidth="1"/>
    <col min="9991" max="9991" width="19.28515625" style="127" customWidth="1"/>
    <col min="9992" max="9992" width="10.28515625" style="127" customWidth="1"/>
    <col min="9993" max="9993" width="19.42578125" style="127" customWidth="1"/>
    <col min="9994" max="9994" width="10.28515625" style="127" customWidth="1"/>
    <col min="9995" max="9995" width="19.5703125" style="127" customWidth="1"/>
    <col min="9996" max="9996" width="10.42578125" style="127" customWidth="1"/>
    <col min="9997" max="9997" width="21.140625" style="127" customWidth="1"/>
    <col min="9998" max="9998" width="11.7109375" style="127" customWidth="1"/>
    <col min="9999" max="10240" width="11.42578125" style="127"/>
    <col min="10241" max="10241" width="13.28515625" style="127" customWidth="1"/>
    <col min="10242" max="10242" width="32.140625" style="127" customWidth="1"/>
    <col min="10243" max="10243" width="20.7109375" style="127" customWidth="1"/>
    <col min="10244" max="10244" width="10.42578125" style="127" customWidth="1"/>
    <col min="10245" max="10245" width="18.5703125" style="127" customWidth="1"/>
    <col min="10246" max="10246" width="11.7109375" style="127" customWidth="1"/>
    <col min="10247" max="10247" width="19.28515625" style="127" customWidth="1"/>
    <col min="10248" max="10248" width="10.28515625" style="127" customWidth="1"/>
    <col min="10249" max="10249" width="19.42578125" style="127" customWidth="1"/>
    <col min="10250" max="10250" width="10.28515625" style="127" customWidth="1"/>
    <col min="10251" max="10251" width="19.5703125" style="127" customWidth="1"/>
    <col min="10252" max="10252" width="10.42578125" style="127" customWidth="1"/>
    <col min="10253" max="10253" width="21.140625" style="127" customWidth="1"/>
    <col min="10254" max="10254" width="11.7109375" style="127" customWidth="1"/>
    <col min="10255" max="10496" width="11.42578125" style="127"/>
    <col min="10497" max="10497" width="13.28515625" style="127" customWidth="1"/>
    <col min="10498" max="10498" width="32.140625" style="127" customWidth="1"/>
    <col min="10499" max="10499" width="20.7109375" style="127" customWidth="1"/>
    <col min="10500" max="10500" width="10.42578125" style="127" customWidth="1"/>
    <col min="10501" max="10501" width="18.5703125" style="127" customWidth="1"/>
    <col min="10502" max="10502" width="11.7109375" style="127" customWidth="1"/>
    <col min="10503" max="10503" width="19.28515625" style="127" customWidth="1"/>
    <col min="10504" max="10504" width="10.28515625" style="127" customWidth="1"/>
    <col min="10505" max="10505" width="19.42578125" style="127" customWidth="1"/>
    <col min="10506" max="10506" width="10.28515625" style="127" customWidth="1"/>
    <col min="10507" max="10507" width="19.5703125" style="127" customWidth="1"/>
    <col min="10508" max="10508" width="10.42578125" style="127" customWidth="1"/>
    <col min="10509" max="10509" width="21.140625" style="127" customWidth="1"/>
    <col min="10510" max="10510" width="11.7109375" style="127" customWidth="1"/>
    <col min="10511" max="10752" width="11.42578125" style="127"/>
    <col min="10753" max="10753" width="13.28515625" style="127" customWidth="1"/>
    <col min="10754" max="10754" width="32.140625" style="127" customWidth="1"/>
    <col min="10755" max="10755" width="20.7109375" style="127" customWidth="1"/>
    <col min="10756" max="10756" width="10.42578125" style="127" customWidth="1"/>
    <col min="10757" max="10757" width="18.5703125" style="127" customWidth="1"/>
    <col min="10758" max="10758" width="11.7109375" style="127" customWidth="1"/>
    <col min="10759" max="10759" width="19.28515625" style="127" customWidth="1"/>
    <col min="10760" max="10760" width="10.28515625" style="127" customWidth="1"/>
    <col min="10761" max="10761" width="19.42578125" style="127" customWidth="1"/>
    <col min="10762" max="10762" width="10.28515625" style="127" customWidth="1"/>
    <col min="10763" max="10763" width="19.5703125" style="127" customWidth="1"/>
    <col min="10764" max="10764" width="10.42578125" style="127" customWidth="1"/>
    <col min="10765" max="10765" width="21.140625" style="127" customWidth="1"/>
    <col min="10766" max="10766" width="11.7109375" style="127" customWidth="1"/>
    <col min="10767" max="11008" width="11.42578125" style="127"/>
    <col min="11009" max="11009" width="13.28515625" style="127" customWidth="1"/>
    <col min="11010" max="11010" width="32.140625" style="127" customWidth="1"/>
    <col min="11011" max="11011" width="20.7109375" style="127" customWidth="1"/>
    <col min="11012" max="11012" width="10.42578125" style="127" customWidth="1"/>
    <col min="11013" max="11013" width="18.5703125" style="127" customWidth="1"/>
    <col min="11014" max="11014" width="11.7109375" style="127" customWidth="1"/>
    <col min="11015" max="11015" width="19.28515625" style="127" customWidth="1"/>
    <col min="11016" max="11016" width="10.28515625" style="127" customWidth="1"/>
    <col min="11017" max="11017" width="19.42578125" style="127" customWidth="1"/>
    <col min="11018" max="11018" width="10.28515625" style="127" customWidth="1"/>
    <col min="11019" max="11019" width="19.5703125" style="127" customWidth="1"/>
    <col min="11020" max="11020" width="10.42578125" style="127" customWidth="1"/>
    <col min="11021" max="11021" width="21.140625" style="127" customWidth="1"/>
    <col min="11022" max="11022" width="11.7109375" style="127" customWidth="1"/>
    <col min="11023" max="11264" width="11.42578125" style="127"/>
    <col min="11265" max="11265" width="13.28515625" style="127" customWidth="1"/>
    <col min="11266" max="11266" width="32.140625" style="127" customWidth="1"/>
    <col min="11267" max="11267" width="20.7109375" style="127" customWidth="1"/>
    <col min="11268" max="11268" width="10.42578125" style="127" customWidth="1"/>
    <col min="11269" max="11269" width="18.5703125" style="127" customWidth="1"/>
    <col min="11270" max="11270" width="11.7109375" style="127" customWidth="1"/>
    <col min="11271" max="11271" width="19.28515625" style="127" customWidth="1"/>
    <col min="11272" max="11272" width="10.28515625" style="127" customWidth="1"/>
    <col min="11273" max="11273" width="19.42578125" style="127" customWidth="1"/>
    <col min="11274" max="11274" width="10.28515625" style="127" customWidth="1"/>
    <col min="11275" max="11275" width="19.5703125" style="127" customWidth="1"/>
    <col min="11276" max="11276" width="10.42578125" style="127" customWidth="1"/>
    <col min="11277" max="11277" width="21.140625" style="127" customWidth="1"/>
    <col min="11278" max="11278" width="11.7109375" style="127" customWidth="1"/>
    <col min="11279" max="11520" width="11.42578125" style="127"/>
    <col min="11521" max="11521" width="13.28515625" style="127" customWidth="1"/>
    <col min="11522" max="11522" width="32.140625" style="127" customWidth="1"/>
    <col min="11523" max="11523" width="20.7109375" style="127" customWidth="1"/>
    <col min="11524" max="11524" width="10.42578125" style="127" customWidth="1"/>
    <col min="11525" max="11525" width="18.5703125" style="127" customWidth="1"/>
    <col min="11526" max="11526" width="11.7109375" style="127" customWidth="1"/>
    <col min="11527" max="11527" width="19.28515625" style="127" customWidth="1"/>
    <col min="11528" max="11528" width="10.28515625" style="127" customWidth="1"/>
    <col min="11529" max="11529" width="19.42578125" style="127" customWidth="1"/>
    <col min="11530" max="11530" width="10.28515625" style="127" customWidth="1"/>
    <col min="11531" max="11531" width="19.5703125" style="127" customWidth="1"/>
    <col min="11532" max="11532" width="10.42578125" style="127" customWidth="1"/>
    <col min="11533" max="11533" width="21.140625" style="127" customWidth="1"/>
    <col min="11534" max="11534" width="11.7109375" style="127" customWidth="1"/>
    <col min="11535" max="11776" width="11.42578125" style="127"/>
    <col min="11777" max="11777" width="13.28515625" style="127" customWidth="1"/>
    <col min="11778" max="11778" width="32.140625" style="127" customWidth="1"/>
    <col min="11779" max="11779" width="20.7109375" style="127" customWidth="1"/>
    <col min="11780" max="11780" width="10.42578125" style="127" customWidth="1"/>
    <col min="11781" max="11781" width="18.5703125" style="127" customWidth="1"/>
    <col min="11782" max="11782" width="11.7109375" style="127" customWidth="1"/>
    <col min="11783" max="11783" width="19.28515625" style="127" customWidth="1"/>
    <col min="11784" max="11784" width="10.28515625" style="127" customWidth="1"/>
    <col min="11785" max="11785" width="19.42578125" style="127" customWidth="1"/>
    <col min="11786" max="11786" width="10.28515625" style="127" customWidth="1"/>
    <col min="11787" max="11787" width="19.5703125" style="127" customWidth="1"/>
    <col min="11788" max="11788" width="10.42578125" style="127" customWidth="1"/>
    <col min="11789" max="11789" width="21.140625" style="127" customWidth="1"/>
    <col min="11790" max="11790" width="11.7109375" style="127" customWidth="1"/>
    <col min="11791" max="12032" width="11.42578125" style="127"/>
    <col min="12033" max="12033" width="13.28515625" style="127" customWidth="1"/>
    <col min="12034" max="12034" width="32.140625" style="127" customWidth="1"/>
    <col min="12035" max="12035" width="20.7109375" style="127" customWidth="1"/>
    <col min="12036" max="12036" width="10.42578125" style="127" customWidth="1"/>
    <col min="12037" max="12037" width="18.5703125" style="127" customWidth="1"/>
    <col min="12038" max="12038" width="11.7109375" style="127" customWidth="1"/>
    <col min="12039" max="12039" width="19.28515625" style="127" customWidth="1"/>
    <col min="12040" max="12040" width="10.28515625" style="127" customWidth="1"/>
    <col min="12041" max="12041" width="19.42578125" style="127" customWidth="1"/>
    <col min="12042" max="12042" width="10.28515625" style="127" customWidth="1"/>
    <col min="12043" max="12043" width="19.5703125" style="127" customWidth="1"/>
    <col min="12044" max="12044" width="10.42578125" style="127" customWidth="1"/>
    <col min="12045" max="12045" width="21.140625" style="127" customWidth="1"/>
    <col min="12046" max="12046" width="11.7109375" style="127" customWidth="1"/>
    <col min="12047" max="12288" width="11.42578125" style="127"/>
    <col min="12289" max="12289" width="13.28515625" style="127" customWidth="1"/>
    <col min="12290" max="12290" width="32.140625" style="127" customWidth="1"/>
    <col min="12291" max="12291" width="20.7109375" style="127" customWidth="1"/>
    <col min="12292" max="12292" width="10.42578125" style="127" customWidth="1"/>
    <col min="12293" max="12293" width="18.5703125" style="127" customWidth="1"/>
    <col min="12294" max="12294" width="11.7109375" style="127" customWidth="1"/>
    <col min="12295" max="12295" width="19.28515625" style="127" customWidth="1"/>
    <col min="12296" max="12296" width="10.28515625" style="127" customWidth="1"/>
    <col min="12297" max="12297" width="19.42578125" style="127" customWidth="1"/>
    <col min="12298" max="12298" width="10.28515625" style="127" customWidth="1"/>
    <col min="12299" max="12299" width="19.5703125" style="127" customWidth="1"/>
    <col min="12300" max="12300" width="10.42578125" style="127" customWidth="1"/>
    <col min="12301" max="12301" width="21.140625" style="127" customWidth="1"/>
    <col min="12302" max="12302" width="11.7109375" style="127" customWidth="1"/>
    <col min="12303" max="12544" width="11.42578125" style="127"/>
    <col min="12545" max="12545" width="13.28515625" style="127" customWidth="1"/>
    <col min="12546" max="12546" width="32.140625" style="127" customWidth="1"/>
    <col min="12547" max="12547" width="20.7109375" style="127" customWidth="1"/>
    <col min="12548" max="12548" width="10.42578125" style="127" customWidth="1"/>
    <col min="12549" max="12549" width="18.5703125" style="127" customWidth="1"/>
    <col min="12550" max="12550" width="11.7109375" style="127" customWidth="1"/>
    <col min="12551" max="12551" width="19.28515625" style="127" customWidth="1"/>
    <col min="12552" max="12552" width="10.28515625" style="127" customWidth="1"/>
    <col min="12553" max="12553" width="19.42578125" style="127" customWidth="1"/>
    <col min="12554" max="12554" width="10.28515625" style="127" customWidth="1"/>
    <col min="12555" max="12555" width="19.5703125" style="127" customWidth="1"/>
    <col min="12556" max="12556" width="10.42578125" style="127" customWidth="1"/>
    <col min="12557" max="12557" width="21.140625" style="127" customWidth="1"/>
    <col min="12558" max="12558" width="11.7109375" style="127" customWidth="1"/>
    <col min="12559" max="12800" width="11.42578125" style="127"/>
    <col min="12801" max="12801" width="13.28515625" style="127" customWidth="1"/>
    <col min="12802" max="12802" width="32.140625" style="127" customWidth="1"/>
    <col min="12803" max="12803" width="20.7109375" style="127" customWidth="1"/>
    <col min="12804" max="12804" width="10.42578125" style="127" customWidth="1"/>
    <col min="12805" max="12805" width="18.5703125" style="127" customWidth="1"/>
    <col min="12806" max="12806" width="11.7109375" style="127" customWidth="1"/>
    <col min="12807" max="12807" width="19.28515625" style="127" customWidth="1"/>
    <col min="12808" max="12808" width="10.28515625" style="127" customWidth="1"/>
    <col min="12809" max="12809" width="19.42578125" style="127" customWidth="1"/>
    <col min="12810" max="12810" width="10.28515625" style="127" customWidth="1"/>
    <col min="12811" max="12811" width="19.5703125" style="127" customWidth="1"/>
    <col min="12812" max="12812" width="10.42578125" style="127" customWidth="1"/>
    <col min="12813" max="12813" width="21.140625" style="127" customWidth="1"/>
    <col min="12814" max="12814" width="11.7109375" style="127" customWidth="1"/>
    <col min="12815" max="13056" width="11.42578125" style="127"/>
    <col min="13057" max="13057" width="13.28515625" style="127" customWidth="1"/>
    <col min="13058" max="13058" width="32.140625" style="127" customWidth="1"/>
    <col min="13059" max="13059" width="20.7109375" style="127" customWidth="1"/>
    <col min="13060" max="13060" width="10.42578125" style="127" customWidth="1"/>
    <col min="13061" max="13061" width="18.5703125" style="127" customWidth="1"/>
    <col min="13062" max="13062" width="11.7109375" style="127" customWidth="1"/>
    <col min="13063" max="13063" width="19.28515625" style="127" customWidth="1"/>
    <col min="13064" max="13064" width="10.28515625" style="127" customWidth="1"/>
    <col min="13065" max="13065" width="19.42578125" style="127" customWidth="1"/>
    <col min="13066" max="13066" width="10.28515625" style="127" customWidth="1"/>
    <col min="13067" max="13067" width="19.5703125" style="127" customWidth="1"/>
    <col min="13068" max="13068" width="10.42578125" style="127" customWidth="1"/>
    <col min="13069" max="13069" width="21.140625" style="127" customWidth="1"/>
    <col min="13070" max="13070" width="11.7109375" style="127" customWidth="1"/>
    <col min="13071" max="13312" width="11.42578125" style="127"/>
    <col min="13313" max="13313" width="13.28515625" style="127" customWidth="1"/>
    <col min="13314" max="13314" width="32.140625" style="127" customWidth="1"/>
    <col min="13315" max="13315" width="20.7109375" style="127" customWidth="1"/>
    <col min="13316" max="13316" width="10.42578125" style="127" customWidth="1"/>
    <col min="13317" max="13317" width="18.5703125" style="127" customWidth="1"/>
    <col min="13318" max="13318" width="11.7109375" style="127" customWidth="1"/>
    <col min="13319" max="13319" width="19.28515625" style="127" customWidth="1"/>
    <col min="13320" max="13320" width="10.28515625" style="127" customWidth="1"/>
    <col min="13321" max="13321" width="19.42578125" style="127" customWidth="1"/>
    <col min="13322" max="13322" width="10.28515625" style="127" customWidth="1"/>
    <col min="13323" max="13323" width="19.5703125" style="127" customWidth="1"/>
    <col min="13324" max="13324" width="10.42578125" style="127" customWidth="1"/>
    <col min="13325" max="13325" width="21.140625" style="127" customWidth="1"/>
    <col min="13326" max="13326" width="11.7109375" style="127" customWidth="1"/>
    <col min="13327" max="13568" width="11.42578125" style="127"/>
    <col min="13569" max="13569" width="13.28515625" style="127" customWidth="1"/>
    <col min="13570" max="13570" width="32.140625" style="127" customWidth="1"/>
    <col min="13571" max="13571" width="20.7109375" style="127" customWidth="1"/>
    <col min="13572" max="13572" width="10.42578125" style="127" customWidth="1"/>
    <col min="13573" max="13573" width="18.5703125" style="127" customWidth="1"/>
    <col min="13574" max="13574" width="11.7109375" style="127" customWidth="1"/>
    <col min="13575" max="13575" width="19.28515625" style="127" customWidth="1"/>
    <col min="13576" max="13576" width="10.28515625" style="127" customWidth="1"/>
    <col min="13577" max="13577" width="19.42578125" style="127" customWidth="1"/>
    <col min="13578" max="13578" width="10.28515625" style="127" customWidth="1"/>
    <col min="13579" max="13579" width="19.5703125" style="127" customWidth="1"/>
    <col min="13580" max="13580" width="10.42578125" style="127" customWidth="1"/>
    <col min="13581" max="13581" width="21.140625" style="127" customWidth="1"/>
    <col min="13582" max="13582" width="11.7109375" style="127" customWidth="1"/>
    <col min="13583" max="13824" width="11.42578125" style="127"/>
    <col min="13825" max="13825" width="13.28515625" style="127" customWidth="1"/>
    <col min="13826" max="13826" width="32.140625" style="127" customWidth="1"/>
    <col min="13827" max="13827" width="20.7109375" style="127" customWidth="1"/>
    <col min="13828" max="13828" width="10.42578125" style="127" customWidth="1"/>
    <col min="13829" max="13829" width="18.5703125" style="127" customWidth="1"/>
    <col min="13830" max="13830" width="11.7109375" style="127" customWidth="1"/>
    <col min="13831" max="13831" width="19.28515625" style="127" customWidth="1"/>
    <col min="13832" max="13832" width="10.28515625" style="127" customWidth="1"/>
    <col min="13833" max="13833" width="19.42578125" style="127" customWidth="1"/>
    <col min="13834" max="13834" width="10.28515625" style="127" customWidth="1"/>
    <col min="13835" max="13835" width="19.5703125" style="127" customWidth="1"/>
    <col min="13836" max="13836" width="10.42578125" style="127" customWidth="1"/>
    <col min="13837" max="13837" width="21.140625" style="127" customWidth="1"/>
    <col min="13838" max="13838" width="11.7109375" style="127" customWidth="1"/>
    <col min="13839" max="14080" width="11.42578125" style="127"/>
    <col min="14081" max="14081" width="13.28515625" style="127" customWidth="1"/>
    <col min="14082" max="14082" width="32.140625" style="127" customWidth="1"/>
    <col min="14083" max="14083" width="20.7109375" style="127" customWidth="1"/>
    <col min="14084" max="14084" width="10.42578125" style="127" customWidth="1"/>
    <col min="14085" max="14085" width="18.5703125" style="127" customWidth="1"/>
    <col min="14086" max="14086" width="11.7109375" style="127" customWidth="1"/>
    <col min="14087" max="14087" width="19.28515625" style="127" customWidth="1"/>
    <col min="14088" max="14088" width="10.28515625" style="127" customWidth="1"/>
    <col min="14089" max="14089" width="19.42578125" style="127" customWidth="1"/>
    <col min="14090" max="14090" width="10.28515625" style="127" customWidth="1"/>
    <col min="14091" max="14091" width="19.5703125" style="127" customWidth="1"/>
    <col min="14092" max="14092" width="10.42578125" style="127" customWidth="1"/>
    <col min="14093" max="14093" width="21.140625" style="127" customWidth="1"/>
    <col min="14094" max="14094" width="11.7109375" style="127" customWidth="1"/>
    <col min="14095" max="14336" width="11.42578125" style="127"/>
    <col min="14337" max="14337" width="13.28515625" style="127" customWidth="1"/>
    <col min="14338" max="14338" width="32.140625" style="127" customWidth="1"/>
    <col min="14339" max="14339" width="20.7109375" style="127" customWidth="1"/>
    <col min="14340" max="14340" width="10.42578125" style="127" customWidth="1"/>
    <col min="14341" max="14341" width="18.5703125" style="127" customWidth="1"/>
    <col min="14342" max="14342" width="11.7109375" style="127" customWidth="1"/>
    <col min="14343" max="14343" width="19.28515625" style="127" customWidth="1"/>
    <col min="14344" max="14344" width="10.28515625" style="127" customWidth="1"/>
    <col min="14345" max="14345" width="19.42578125" style="127" customWidth="1"/>
    <col min="14346" max="14346" width="10.28515625" style="127" customWidth="1"/>
    <col min="14347" max="14347" width="19.5703125" style="127" customWidth="1"/>
    <col min="14348" max="14348" width="10.42578125" style="127" customWidth="1"/>
    <col min="14349" max="14349" width="21.140625" style="127" customWidth="1"/>
    <col min="14350" max="14350" width="11.7109375" style="127" customWidth="1"/>
    <col min="14351" max="14592" width="11.42578125" style="127"/>
    <col min="14593" max="14593" width="13.28515625" style="127" customWidth="1"/>
    <col min="14594" max="14594" width="32.140625" style="127" customWidth="1"/>
    <col min="14595" max="14595" width="20.7109375" style="127" customWidth="1"/>
    <col min="14596" max="14596" width="10.42578125" style="127" customWidth="1"/>
    <col min="14597" max="14597" width="18.5703125" style="127" customWidth="1"/>
    <col min="14598" max="14598" width="11.7109375" style="127" customWidth="1"/>
    <col min="14599" max="14599" width="19.28515625" style="127" customWidth="1"/>
    <col min="14600" max="14600" width="10.28515625" style="127" customWidth="1"/>
    <col min="14601" max="14601" width="19.42578125" style="127" customWidth="1"/>
    <col min="14602" max="14602" width="10.28515625" style="127" customWidth="1"/>
    <col min="14603" max="14603" width="19.5703125" style="127" customWidth="1"/>
    <col min="14604" max="14604" width="10.42578125" style="127" customWidth="1"/>
    <col min="14605" max="14605" width="21.140625" style="127" customWidth="1"/>
    <col min="14606" max="14606" width="11.7109375" style="127" customWidth="1"/>
    <col min="14607" max="14848" width="11.42578125" style="127"/>
    <col min="14849" max="14849" width="13.28515625" style="127" customWidth="1"/>
    <col min="14850" max="14850" width="32.140625" style="127" customWidth="1"/>
    <col min="14851" max="14851" width="20.7109375" style="127" customWidth="1"/>
    <col min="14852" max="14852" width="10.42578125" style="127" customWidth="1"/>
    <col min="14853" max="14853" width="18.5703125" style="127" customWidth="1"/>
    <col min="14854" max="14854" width="11.7109375" style="127" customWidth="1"/>
    <col min="14855" max="14855" width="19.28515625" style="127" customWidth="1"/>
    <col min="14856" max="14856" width="10.28515625" style="127" customWidth="1"/>
    <col min="14857" max="14857" width="19.42578125" style="127" customWidth="1"/>
    <col min="14858" max="14858" width="10.28515625" style="127" customWidth="1"/>
    <col min="14859" max="14859" width="19.5703125" style="127" customWidth="1"/>
    <col min="14860" max="14860" width="10.42578125" style="127" customWidth="1"/>
    <col min="14861" max="14861" width="21.140625" style="127" customWidth="1"/>
    <col min="14862" max="14862" width="11.7109375" style="127" customWidth="1"/>
    <col min="14863" max="15104" width="11.42578125" style="127"/>
    <col min="15105" max="15105" width="13.28515625" style="127" customWidth="1"/>
    <col min="15106" max="15106" width="32.140625" style="127" customWidth="1"/>
    <col min="15107" max="15107" width="20.7109375" style="127" customWidth="1"/>
    <col min="15108" max="15108" width="10.42578125" style="127" customWidth="1"/>
    <col min="15109" max="15109" width="18.5703125" style="127" customWidth="1"/>
    <col min="15110" max="15110" width="11.7109375" style="127" customWidth="1"/>
    <col min="15111" max="15111" width="19.28515625" style="127" customWidth="1"/>
    <col min="15112" max="15112" width="10.28515625" style="127" customWidth="1"/>
    <col min="15113" max="15113" width="19.42578125" style="127" customWidth="1"/>
    <col min="15114" max="15114" width="10.28515625" style="127" customWidth="1"/>
    <col min="15115" max="15115" width="19.5703125" style="127" customWidth="1"/>
    <col min="15116" max="15116" width="10.42578125" style="127" customWidth="1"/>
    <col min="15117" max="15117" width="21.140625" style="127" customWidth="1"/>
    <col min="15118" max="15118" width="11.7109375" style="127" customWidth="1"/>
    <col min="15119" max="15360" width="11.42578125" style="127"/>
    <col min="15361" max="15361" width="13.28515625" style="127" customWidth="1"/>
    <col min="15362" max="15362" width="32.140625" style="127" customWidth="1"/>
    <col min="15363" max="15363" width="20.7109375" style="127" customWidth="1"/>
    <col min="15364" max="15364" width="10.42578125" style="127" customWidth="1"/>
    <col min="15365" max="15365" width="18.5703125" style="127" customWidth="1"/>
    <col min="15366" max="15366" width="11.7109375" style="127" customWidth="1"/>
    <col min="15367" max="15367" width="19.28515625" style="127" customWidth="1"/>
    <col min="15368" max="15368" width="10.28515625" style="127" customWidth="1"/>
    <col min="15369" max="15369" width="19.42578125" style="127" customWidth="1"/>
    <col min="15370" max="15370" width="10.28515625" style="127" customWidth="1"/>
    <col min="15371" max="15371" width="19.5703125" style="127" customWidth="1"/>
    <col min="15372" max="15372" width="10.42578125" style="127" customWidth="1"/>
    <col min="15373" max="15373" width="21.140625" style="127" customWidth="1"/>
    <col min="15374" max="15374" width="11.7109375" style="127" customWidth="1"/>
    <col min="15375" max="15616" width="11.42578125" style="127"/>
    <col min="15617" max="15617" width="13.28515625" style="127" customWidth="1"/>
    <col min="15618" max="15618" width="32.140625" style="127" customWidth="1"/>
    <col min="15619" max="15619" width="20.7109375" style="127" customWidth="1"/>
    <col min="15620" max="15620" width="10.42578125" style="127" customWidth="1"/>
    <col min="15621" max="15621" width="18.5703125" style="127" customWidth="1"/>
    <col min="15622" max="15622" width="11.7109375" style="127" customWidth="1"/>
    <col min="15623" max="15623" width="19.28515625" style="127" customWidth="1"/>
    <col min="15624" max="15624" width="10.28515625" style="127" customWidth="1"/>
    <col min="15625" max="15625" width="19.42578125" style="127" customWidth="1"/>
    <col min="15626" max="15626" width="10.28515625" style="127" customWidth="1"/>
    <col min="15627" max="15627" width="19.5703125" style="127" customWidth="1"/>
    <col min="15628" max="15628" width="10.42578125" style="127" customWidth="1"/>
    <col min="15629" max="15629" width="21.140625" style="127" customWidth="1"/>
    <col min="15630" max="15630" width="11.7109375" style="127" customWidth="1"/>
    <col min="15631" max="15872" width="11.42578125" style="127"/>
    <col min="15873" max="15873" width="13.28515625" style="127" customWidth="1"/>
    <col min="15874" max="15874" width="32.140625" style="127" customWidth="1"/>
    <col min="15875" max="15875" width="20.7109375" style="127" customWidth="1"/>
    <col min="15876" max="15876" width="10.42578125" style="127" customWidth="1"/>
    <col min="15877" max="15877" width="18.5703125" style="127" customWidth="1"/>
    <col min="15878" max="15878" width="11.7109375" style="127" customWidth="1"/>
    <col min="15879" max="15879" width="19.28515625" style="127" customWidth="1"/>
    <col min="15880" max="15880" width="10.28515625" style="127" customWidth="1"/>
    <col min="15881" max="15881" width="19.42578125" style="127" customWidth="1"/>
    <col min="15882" max="15882" width="10.28515625" style="127" customWidth="1"/>
    <col min="15883" max="15883" width="19.5703125" style="127" customWidth="1"/>
    <col min="15884" max="15884" width="10.42578125" style="127" customWidth="1"/>
    <col min="15885" max="15885" width="21.140625" style="127" customWidth="1"/>
    <col min="15886" max="15886" width="11.7109375" style="127" customWidth="1"/>
    <col min="15887" max="16128" width="11.42578125" style="127"/>
    <col min="16129" max="16129" width="13.28515625" style="127" customWidth="1"/>
    <col min="16130" max="16130" width="32.140625" style="127" customWidth="1"/>
    <col min="16131" max="16131" width="20.7109375" style="127" customWidth="1"/>
    <col min="16132" max="16132" width="10.42578125" style="127" customWidth="1"/>
    <col min="16133" max="16133" width="18.5703125" style="127" customWidth="1"/>
    <col min="16134" max="16134" width="11.7109375" style="127" customWidth="1"/>
    <col min="16135" max="16135" width="19.28515625" style="127" customWidth="1"/>
    <col min="16136" max="16136" width="10.28515625" style="127" customWidth="1"/>
    <col min="16137" max="16137" width="19.42578125" style="127" customWidth="1"/>
    <col min="16138" max="16138" width="10.28515625" style="127" customWidth="1"/>
    <col min="16139" max="16139" width="19.5703125" style="127" customWidth="1"/>
    <col min="16140" max="16140" width="10.42578125" style="127" customWidth="1"/>
    <col min="16141" max="16141" width="21.140625" style="127" customWidth="1"/>
    <col min="16142" max="16142" width="11.7109375" style="127" customWidth="1"/>
    <col min="16143" max="16384" width="11.42578125" style="127"/>
  </cols>
  <sheetData>
    <row r="1" spans="1:14" ht="67.5" customHeight="1" x14ac:dyDescent="0.2">
      <c r="A1" s="660" t="s">
        <v>1704</v>
      </c>
      <c r="B1" s="661"/>
      <c r="C1" s="661"/>
      <c r="D1" s="661"/>
      <c r="E1" s="661"/>
      <c r="F1" s="661"/>
      <c r="G1" s="661"/>
      <c r="H1" s="661"/>
      <c r="I1" s="661"/>
      <c r="J1" s="661"/>
      <c r="K1" s="661"/>
      <c r="L1" s="661"/>
      <c r="M1" s="661"/>
      <c r="N1" s="661"/>
    </row>
    <row r="2" spans="1:14" s="128" customFormat="1" ht="44.25" customHeight="1" x14ac:dyDescent="0.2">
      <c r="A2" s="532"/>
      <c r="B2" s="533" t="s">
        <v>4</v>
      </c>
      <c r="C2" s="534" t="s">
        <v>1513</v>
      </c>
      <c r="D2" s="534" t="s">
        <v>1514</v>
      </c>
      <c r="E2" s="534" t="s">
        <v>1515</v>
      </c>
      <c r="F2" s="534" t="s">
        <v>1516</v>
      </c>
      <c r="G2" s="534" t="s">
        <v>1490</v>
      </c>
      <c r="H2" s="535" t="s">
        <v>1517</v>
      </c>
      <c r="I2" s="534" t="s">
        <v>1518</v>
      </c>
      <c r="J2" s="534" t="s">
        <v>1505</v>
      </c>
      <c r="K2" s="534" t="s">
        <v>1519</v>
      </c>
      <c r="L2" s="534" t="s">
        <v>1520</v>
      </c>
      <c r="M2" s="536" t="s">
        <v>1521</v>
      </c>
      <c r="N2" s="534" t="s">
        <v>1522</v>
      </c>
    </row>
    <row r="3" spans="1:14" s="138" customFormat="1" ht="15.75" x14ac:dyDescent="0.25">
      <c r="A3" s="129">
        <v>304</v>
      </c>
      <c r="B3" s="130" t="s">
        <v>1523</v>
      </c>
      <c r="C3" s="131">
        <f>'RESUMEN POR UNIDAD'!E7</f>
        <v>457524940</v>
      </c>
      <c r="D3" s="132">
        <v>1</v>
      </c>
      <c r="E3" s="133">
        <v>421596834.77999997</v>
      </c>
      <c r="F3" s="384">
        <f>E3/C3</f>
        <v>0.92147290326949161</v>
      </c>
      <c r="G3" s="134">
        <f>'RESUMEN POR UNIDAD'!F8</f>
        <v>421596834.77999997</v>
      </c>
      <c r="H3" s="382">
        <f>G3/C3</f>
        <v>0.92147290326949161</v>
      </c>
      <c r="I3" s="135">
        <f>'RESUMEN POR UNIDAD'!G8</f>
        <v>421596834.77999997</v>
      </c>
      <c r="J3" s="386">
        <f>I3/G3</f>
        <v>1</v>
      </c>
      <c r="K3" s="136">
        <v>421596834.77999997</v>
      </c>
      <c r="L3" s="386">
        <f>K3/G3</f>
        <v>1</v>
      </c>
      <c r="M3" s="137">
        <f t="shared" ref="M3:M15" si="0">C3-E3</f>
        <v>35928105.220000029</v>
      </c>
      <c r="N3" s="387">
        <f>M3/C3</f>
        <v>7.8527096730508353E-2</v>
      </c>
    </row>
    <row r="4" spans="1:14" s="138" customFormat="1" ht="15.75" x14ac:dyDescent="0.25">
      <c r="A4" s="129">
        <v>305</v>
      </c>
      <c r="B4" s="130" t="s">
        <v>1524</v>
      </c>
      <c r="C4" s="131">
        <f>'RESUMEN POR UNIDAD'!E13</f>
        <v>910965833</v>
      </c>
      <c r="D4" s="132">
        <v>1</v>
      </c>
      <c r="E4" s="133">
        <v>877866456</v>
      </c>
      <c r="F4" s="384">
        <f t="shared" ref="F4:F15" si="1">E4/C4</f>
        <v>0.96366562191361571</v>
      </c>
      <c r="G4" s="134">
        <f>'RESUMEN POR UNIDAD'!F13</f>
        <v>877866456</v>
      </c>
      <c r="H4" s="382">
        <f t="shared" ref="H4:H16" si="2">G4/C4</f>
        <v>0.96366562191361571</v>
      </c>
      <c r="I4" s="135">
        <f>'RESUMEN POR UNIDAD'!G13</f>
        <v>877866456</v>
      </c>
      <c r="J4" s="386">
        <f t="shared" ref="J4:J15" si="3">I4/G4</f>
        <v>1</v>
      </c>
      <c r="K4" s="136">
        <v>877866456</v>
      </c>
      <c r="L4" s="386">
        <f t="shared" ref="L4:L20" si="4">K4/G4</f>
        <v>1</v>
      </c>
      <c r="M4" s="137">
        <f t="shared" si="0"/>
        <v>33099377</v>
      </c>
      <c r="N4" s="387">
        <f t="shared" ref="N4:N15" si="5">M4/C4</f>
        <v>3.6334378086384275E-2</v>
      </c>
    </row>
    <row r="5" spans="1:14" s="138" customFormat="1" ht="15.75" x14ac:dyDescent="0.25">
      <c r="A5" s="129">
        <v>307</v>
      </c>
      <c r="B5" s="130" t="s">
        <v>1525</v>
      </c>
      <c r="C5" s="131">
        <f>'RESUMEN POR UNIDAD'!E19</f>
        <v>2801625342.8400002</v>
      </c>
      <c r="D5" s="132">
        <v>1</v>
      </c>
      <c r="E5" s="133">
        <v>2189284618.6799998</v>
      </c>
      <c r="F5" s="384">
        <f t="shared" si="1"/>
        <v>0.78143375747048593</v>
      </c>
      <c r="G5" s="134">
        <f>'RESUMEN POR UNIDAD'!F19</f>
        <v>2189284618.6800003</v>
      </c>
      <c r="H5" s="382">
        <f t="shared" si="2"/>
        <v>0.78143375747048616</v>
      </c>
      <c r="I5" s="135">
        <f>'RESUMEN POR UNIDAD'!G19</f>
        <v>2189284618.6800003</v>
      </c>
      <c r="J5" s="386">
        <f t="shared" si="3"/>
        <v>1</v>
      </c>
      <c r="K5" s="136">
        <v>2189284618.6799998</v>
      </c>
      <c r="L5" s="386">
        <f t="shared" si="4"/>
        <v>0.99999999999999978</v>
      </c>
      <c r="M5" s="137">
        <f t="shared" si="0"/>
        <v>612340724.16000032</v>
      </c>
      <c r="N5" s="387">
        <f t="shared" si="5"/>
        <v>0.21856624252951401</v>
      </c>
    </row>
    <row r="6" spans="1:14" s="138" customFormat="1" ht="15.75" x14ac:dyDescent="0.25">
      <c r="A6" s="129">
        <v>308</v>
      </c>
      <c r="B6" s="130" t="s">
        <v>1526</v>
      </c>
      <c r="C6" s="137">
        <f>'RESUMEN POR UNIDAD'!E24</f>
        <v>19845352105.279999</v>
      </c>
      <c r="D6" s="132">
        <v>1</v>
      </c>
      <c r="E6" s="133">
        <v>4976127086.9700003</v>
      </c>
      <c r="F6" s="384">
        <f t="shared" si="1"/>
        <v>0.25074521533160732</v>
      </c>
      <c r="G6" s="139">
        <f>'RESUMEN POR UNIDAD'!F24</f>
        <v>4976127086.9700003</v>
      </c>
      <c r="H6" s="382">
        <f t="shared" si="2"/>
        <v>0.25074521533160732</v>
      </c>
      <c r="I6" s="135">
        <f>'RESUMEN POR UNIDAD'!G24</f>
        <v>4976127086.9700003</v>
      </c>
      <c r="J6" s="386">
        <f t="shared" si="3"/>
        <v>1</v>
      </c>
      <c r="K6" s="136">
        <v>4976127086.9700003</v>
      </c>
      <c r="L6" s="386">
        <f t="shared" si="4"/>
        <v>1</v>
      </c>
      <c r="M6" s="137">
        <f t="shared" si="0"/>
        <v>14869225018.309998</v>
      </c>
      <c r="N6" s="387">
        <f t="shared" si="5"/>
        <v>0.74925478466839257</v>
      </c>
    </row>
    <row r="7" spans="1:14" s="138" customFormat="1" ht="15.75" x14ac:dyDescent="0.25">
      <c r="A7" s="129">
        <v>309</v>
      </c>
      <c r="B7" s="130" t="s">
        <v>1527</v>
      </c>
      <c r="C7" s="137">
        <f>'RESUMEN POR UNIDAD'!E52</f>
        <v>6443722008.3299999</v>
      </c>
      <c r="D7" s="132">
        <v>1</v>
      </c>
      <c r="E7" s="133">
        <v>2583294879.1700001</v>
      </c>
      <c r="F7" s="384">
        <f t="shared" si="1"/>
        <v>0.4009010438114019</v>
      </c>
      <c r="G7" s="139">
        <f>'RESUMEN POR UNIDAD'!F52</f>
        <v>2583294879.1700001</v>
      </c>
      <c r="H7" s="382">
        <f t="shared" si="2"/>
        <v>0.4009010438114019</v>
      </c>
      <c r="I7" s="135">
        <f>'RESUMEN POR UNIDAD'!G52</f>
        <v>2583294879.1700001</v>
      </c>
      <c r="J7" s="386">
        <f t="shared" si="3"/>
        <v>1</v>
      </c>
      <c r="K7" s="136">
        <v>2583294879.1700001</v>
      </c>
      <c r="L7" s="386">
        <f t="shared" si="4"/>
        <v>1</v>
      </c>
      <c r="M7" s="137">
        <f t="shared" si="0"/>
        <v>3860427129.1599998</v>
      </c>
      <c r="N7" s="387">
        <f t="shared" si="5"/>
        <v>0.5990989561885981</v>
      </c>
    </row>
    <row r="8" spans="1:14" s="138" customFormat="1" ht="15.75" x14ac:dyDescent="0.25">
      <c r="A8" s="129">
        <v>310</v>
      </c>
      <c r="B8" s="130" t="s">
        <v>166</v>
      </c>
      <c r="C8" s="131">
        <f>'RESUMEN POR UNIDAD'!E74</f>
        <v>3988607319.3199997</v>
      </c>
      <c r="D8" s="132">
        <v>1</v>
      </c>
      <c r="E8" s="133">
        <v>3398905453.8099999</v>
      </c>
      <c r="F8" s="384">
        <f t="shared" si="1"/>
        <v>0.85215344146474281</v>
      </c>
      <c r="G8" s="139">
        <f>'RESUMEN POR UNIDAD'!F74</f>
        <v>3398905453.8099999</v>
      </c>
      <c r="H8" s="382">
        <f t="shared" si="2"/>
        <v>0.85215344146474281</v>
      </c>
      <c r="I8" s="135">
        <f>'RESUMEN POR UNIDAD'!G74</f>
        <v>3398905453.8099999</v>
      </c>
      <c r="J8" s="386">
        <f t="shared" si="3"/>
        <v>1</v>
      </c>
      <c r="K8" s="136">
        <v>3398905453.8099999</v>
      </c>
      <c r="L8" s="386">
        <f t="shared" si="4"/>
        <v>1</v>
      </c>
      <c r="M8" s="137">
        <f t="shared" si="0"/>
        <v>589701865.50999975</v>
      </c>
      <c r="N8" s="387">
        <f t="shared" si="5"/>
        <v>0.14784655853525722</v>
      </c>
    </row>
    <row r="9" spans="1:14" s="138" customFormat="1" ht="19.5" customHeight="1" x14ac:dyDescent="0.25">
      <c r="A9" s="129">
        <v>311</v>
      </c>
      <c r="B9" s="140" t="s">
        <v>1528</v>
      </c>
      <c r="C9" s="131">
        <f>'RESUMEN POR UNIDAD'!E80</f>
        <v>3556587709.6100001</v>
      </c>
      <c r="D9" s="132">
        <v>1</v>
      </c>
      <c r="E9" s="133">
        <v>2928955045.5100002</v>
      </c>
      <c r="F9" s="384">
        <f t="shared" si="1"/>
        <v>0.82352954141855728</v>
      </c>
      <c r="G9" s="139">
        <f>'RESUMEN POR UNIDAD'!F80</f>
        <v>2928955045.5100002</v>
      </c>
      <c r="H9" s="382">
        <f t="shared" si="2"/>
        <v>0.82352954141855728</v>
      </c>
      <c r="I9" s="135">
        <f>'RESUMEN POR UNIDAD'!G80</f>
        <v>2928955045.5100002</v>
      </c>
      <c r="J9" s="386">
        <f t="shared" si="3"/>
        <v>1</v>
      </c>
      <c r="K9" s="136">
        <v>2928955045.5100002</v>
      </c>
      <c r="L9" s="386">
        <f t="shared" si="4"/>
        <v>1</v>
      </c>
      <c r="M9" s="137">
        <f t="shared" si="0"/>
        <v>627632664.0999999</v>
      </c>
      <c r="N9" s="387">
        <f t="shared" si="5"/>
        <v>0.17647045858144275</v>
      </c>
    </row>
    <row r="10" spans="1:14" s="138" customFormat="1" ht="30" x14ac:dyDescent="0.25">
      <c r="A10" s="129">
        <v>312</v>
      </c>
      <c r="B10" s="140" t="s">
        <v>1529</v>
      </c>
      <c r="C10" s="131">
        <f>'RESUMEN POR UNIDAD'!E87</f>
        <v>3838799887.6300001</v>
      </c>
      <c r="D10" s="132">
        <v>1</v>
      </c>
      <c r="E10" s="133">
        <v>2309257005.5699997</v>
      </c>
      <c r="F10" s="384">
        <f t="shared" si="1"/>
        <v>0.60155701603807477</v>
      </c>
      <c r="G10" s="139">
        <f>'RESUMEN POR UNIDAD'!F87</f>
        <v>2309257005.5699997</v>
      </c>
      <c r="H10" s="382">
        <f t="shared" si="2"/>
        <v>0.60155701603807477</v>
      </c>
      <c r="I10" s="135">
        <f>'RESUMEN POR UNIDAD'!G87</f>
        <v>2309257005.5699997</v>
      </c>
      <c r="J10" s="386">
        <f t="shared" si="3"/>
        <v>1</v>
      </c>
      <c r="K10" s="136">
        <v>2309257005.5700002</v>
      </c>
      <c r="L10" s="386">
        <f t="shared" si="4"/>
        <v>1.0000000000000002</v>
      </c>
      <c r="M10" s="137">
        <f t="shared" si="0"/>
        <v>1529542882.0600004</v>
      </c>
      <c r="N10" s="387">
        <f t="shared" si="5"/>
        <v>0.39844298396192518</v>
      </c>
    </row>
    <row r="11" spans="1:14" s="143" customFormat="1" ht="15.75" x14ac:dyDescent="0.25">
      <c r="A11" s="141">
        <v>313</v>
      </c>
      <c r="B11" s="130" t="s">
        <v>1530</v>
      </c>
      <c r="C11" s="142">
        <f>'RESUMEN POR UNIDAD'!E107</f>
        <v>1177000000</v>
      </c>
      <c r="D11" s="132">
        <v>1</v>
      </c>
      <c r="E11" s="133">
        <v>1175258655.9299998</v>
      </c>
      <c r="F11" s="384">
        <f t="shared" si="1"/>
        <v>0.99852052330501262</v>
      </c>
      <c r="G11" s="139">
        <f>'RESUMEN POR UNIDAD'!F107</f>
        <v>1175258655.9299998</v>
      </c>
      <c r="H11" s="382">
        <f t="shared" si="2"/>
        <v>0.99852052330501262</v>
      </c>
      <c r="I11" s="135">
        <f>'RESUMEN POR UNIDAD'!G107</f>
        <v>1175258655.9299998</v>
      </c>
      <c r="J11" s="386">
        <f t="shared" si="3"/>
        <v>1</v>
      </c>
      <c r="K11" s="136">
        <v>1175258655.9300001</v>
      </c>
      <c r="L11" s="386">
        <f t="shared" si="4"/>
        <v>1.0000000000000002</v>
      </c>
      <c r="M11" s="137">
        <f t="shared" si="0"/>
        <v>1741344.0700001717</v>
      </c>
      <c r="N11" s="387">
        <f t="shared" si="5"/>
        <v>1.4794766949874016E-3</v>
      </c>
    </row>
    <row r="12" spans="1:14" s="143" customFormat="1" ht="15.75" x14ac:dyDescent="0.25">
      <c r="A12" s="141">
        <v>314</v>
      </c>
      <c r="B12" s="130" t="s">
        <v>156</v>
      </c>
      <c r="C12" s="144">
        <f>'RESUMEN POR UNIDAD'!E113</f>
        <v>193197400269.78006</v>
      </c>
      <c r="D12" s="132">
        <v>1</v>
      </c>
      <c r="E12" s="133">
        <v>188842332007.94998</v>
      </c>
      <c r="F12" s="384">
        <f t="shared" si="1"/>
        <v>0.97745793548076387</v>
      </c>
      <c r="G12" s="139">
        <f>'RESUMEN POR UNIDAD'!F113</f>
        <v>188842332007.94998</v>
      </c>
      <c r="H12" s="382">
        <f t="shared" si="2"/>
        <v>0.97745793548076387</v>
      </c>
      <c r="I12" s="135">
        <f>'RESUMEN POR UNIDAD'!G113</f>
        <v>188842332007.94998</v>
      </c>
      <c r="J12" s="386">
        <f t="shared" si="3"/>
        <v>1</v>
      </c>
      <c r="K12" s="136">
        <v>188213034889.94998</v>
      </c>
      <c r="L12" s="547">
        <f t="shared" si="4"/>
        <v>0.99666760566177759</v>
      </c>
      <c r="M12" s="137">
        <f t="shared" si="0"/>
        <v>4355068261.8300781</v>
      </c>
      <c r="N12" s="387">
        <f t="shared" si="5"/>
        <v>2.2542064519236172E-2</v>
      </c>
    </row>
    <row r="13" spans="1:14" s="138" customFormat="1" ht="15.75" x14ac:dyDescent="0.25">
      <c r="A13" s="129">
        <v>316</v>
      </c>
      <c r="B13" s="130" t="s">
        <v>1531</v>
      </c>
      <c r="C13" s="142">
        <f>'RESUMEN POR UNIDAD'!E122</f>
        <v>6915266350.0100002</v>
      </c>
      <c r="D13" s="132">
        <v>1</v>
      </c>
      <c r="E13" s="133">
        <v>5456827952.6399994</v>
      </c>
      <c r="F13" s="384">
        <f t="shared" si="1"/>
        <v>0.78909873842127687</v>
      </c>
      <c r="G13" s="139">
        <f>'RESUMEN POR UNIDAD'!F122</f>
        <v>5456827952.6399994</v>
      </c>
      <c r="H13" s="382">
        <f t="shared" si="2"/>
        <v>0.78909873842127687</v>
      </c>
      <c r="I13" s="135">
        <f>'RESUMEN POR UNIDAD'!G122</f>
        <v>5456827952.6399994</v>
      </c>
      <c r="J13" s="386">
        <f t="shared" si="3"/>
        <v>1</v>
      </c>
      <c r="K13" s="136">
        <v>5456827952.6400003</v>
      </c>
      <c r="L13" s="386">
        <f t="shared" si="4"/>
        <v>1.0000000000000002</v>
      </c>
      <c r="M13" s="137">
        <f t="shared" si="0"/>
        <v>1458438397.3700008</v>
      </c>
      <c r="N13" s="387">
        <f t="shared" si="5"/>
        <v>0.2109012615787231</v>
      </c>
    </row>
    <row r="14" spans="1:14" s="138" customFormat="1" ht="15.75" x14ac:dyDescent="0.25">
      <c r="A14" s="129">
        <v>318</v>
      </c>
      <c r="B14" s="130" t="s">
        <v>1532</v>
      </c>
      <c r="C14" s="131">
        <f>'RESUMEN POR UNIDAD'!E142</f>
        <v>75161612366.110001</v>
      </c>
      <c r="D14" s="132">
        <v>1</v>
      </c>
      <c r="E14" s="133">
        <v>69848426417.619995</v>
      </c>
      <c r="F14" s="384">
        <f t="shared" si="1"/>
        <v>0.92930984606065081</v>
      </c>
      <c r="G14" s="139">
        <f>'RESUMEN POR UNIDAD'!F142</f>
        <v>69848426417.649994</v>
      </c>
      <c r="H14" s="382">
        <f t="shared" si="2"/>
        <v>0.92930984606104994</v>
      </c>
      <c r="I14" s="135">
        <f>'RESUMEN POR UNIDAD'!G142</f>
        <v>69848426417.649994</v>
      </c>
      <c r="J14" s="386">
        <f t="shared" si="3"/>
        <v>1</v>
      </c>
      <c r="K14" s="136">
        <v>69848426417.649994</v>
      </c>
      <c r="L14" s="386">
        <f t="shared" si="4"/>
        <v>1</v>
      </c>
      <c r="M14" s="137">
        <f t="shared" si="0"/>
        <v>5313185948.4900055</v>
      </c>
      <c r="N14" s="387">
        <f t="shared" si="5"/>
        <v>7.069015393934916E-2</v>
      </c>
    </row>
    <row r="15" spans="1:14" s="138" customFormat="1" ht="30" x14ac:dyDescent="0.25">
      <c r="A15" s="129">
        <v>324</v>
      </c>
      <c r="B15" s="140" t="s">
        <v>1533</v>
      </c>
      <c r="C15" s="131">
        <f>'RESUMEN POR UNIDAD'!E149</f>
        <v>1196000000</v>
      </c>
      <c r="D15" s="132">
        <v>1</v>
      </c>
      <c r="E15" s="133">
        <v>1057106946.9200001</v>
      </c>
      <c r="F15" s="384">
        <f t="shared" si="1"/>
        <v>0.88386868471571911</v>
      </c>
      <c r="G15" s="139">
        <f>'RESUMEN POR UNIDAD'!F149</f>
        <v>1057106946.9200001</v>
      </c>
      <c r="H15" s="382">
        <f t="shared" si="2"/>
        <v>0.88386868471571911</v>
      </c>
      <c r="I15" s="135">
        <f>'RESUMEN POR UNIDAD'!G149</f>
        <v>1057106946.9200001</v>
      </c>
      <c r="J15" s="386">
        <f t="shared" si="3"/>
        <v>1</v>
      </c>
      <c r="K15" s="136">
        <v>1057106946.92</v>
      </c>
      <c r="L15" s="386">
        <f t="shared" si="4"/>
        <v>0.99999999999999989</v>
      </c>
      <c r="M15" s="137">
        <f t="shared" si="0"/>
        <v>138893053.07999992</v>
      </c>
      <c r="N15" s="387">
        <f t="shared" si="5"/>
        <v>0.11613131528428088</v>
      </c>
    </row>
    <row r="16" spans="1:14" s="145" customFormat="1" ht="16.5" customHeight="1" x14ac:dyDescent="0.25">
      <c r="A16" s="524"/>
      <c r="B16" s="524" t="s">
        <v>1459</v>
      </c>
      <c r="C16" s="525">
        <f>SUM(C3:C15)</f>
        <v>319490464131.91003</v>
      </c>
      <c r="D16" s="526">
        <v>1</v>
      </c>
      <c r="E16" s="525">
        <f>SUM(E3:E15)</f>
        <v>286065239361.54999</v>
      </c>
      <c r="F16" s="527">
        <f>E16/C16</f>
        <v>0.89537958554982233</v>
      </c>
      <c r="G16" s="525">
        <f>SUM(G3:G15)</f>
        <v>286065239361.58002</v>
      </c>
      <c r="H16" s="382">
        <f t="shared" si="2"/>
        <v>0.89537958554991637</v>
      </c>
      <c r="I16" s="525">
        <f>SUM(I3:I15)</f>
        <v>286065239361.58002</v>
      </c>
      <c r="J16" s="529">
        <f>I16/G16</f>
        <v>1</v>
      </c>
      <c r="K16" s="525">
        <f>SUM(K3:K15)</f>
        <v>285435942243.58002</v>
      </c>
      <c r="L16" s="529">
        <f t="shared" si="4"/>
        <v>0.99780016223080992</v>
      </c>
      <c r="M16" s="525">
        <f>SUM(M3:M15)</f>
        <v>33425224770.360085</v>
      </c>
      <c r="N16" s="527">
        <f>M16/C16</f>
        <v>0.10462041445017778</v>
      </c>
    </row>
    <row r="17" spans="1:17" ht="15.75" x14ac:dyDescent="0.2">
      <c r="A17" s="129">
        <v>319</v>
      </c>
      <c r="B17" s="130" t="s">
        <v>1534</v>
      </c>
      <c r="C17" s="142">
        <f>'RESUMEN POR UNIDAD'!E164</f>
        <v>7160417690.0300007</v>
      </c>
      <c r="D17" s="132">
        <v>1</v>
      </c>
      <c r="E17" s="133">
        <v>4672994056.9699993</v>
      </c>
      <c r="F17" s="384">
        <f>E17/C17</f>
        <v>0.6526147299307089</v>
      </c>
      <c r="G17" s="139">
        <f>'RESUMEN POR UNIDAD'!F164</f>
        <v>4672994056.9699993</v>
      </c>
      <c r="H17" s="382">
        <f>G17/C17</f>
        <v>0.6526147299307089</v>
      </c>
      <c r="I17" s="135">
        <f>'RESUMEN POR UNIDAD'!G164</f>
        <v>4652079056.9699993</v>
      </c>
      <c r="J17" s="386">
        <f t="shared" ref="J17:J20" si="6">I17/G17</f>
        <v>0.99552428277352412</v>
      </c>
      <c r="K17" s="136">
        <v>4652079056.9700003</v>
      </c>
      <c r="L17" s="386">
        <f t="shared" si="4"/>
        <v>0.99552428277352434</v>
      </c>
      <c r="M17" s="137">
        <f>C17-E17</f>
        <v>2487423633.0600014</v>
      </c>
      <c r="N17" s="387">
        <f t="shared" ref="N17:N20" si="7">M17/C17</f>
        <v>0.3473852700692911</v>
      </c>
    </row>
    <row r="18" spans="1:17" s="146" customFormat="1" ht="15.75" x14ac:dyDescent="0.2">
      <c r="A18" s="129">
        <v>320</v>
      </c>
      <c r="B18" s="130" t="s">
        <v>1535</v>
      </c>
      <c r="C18" s="131">
        <f>'RESUMEN POR UNIDAD'!E170</f>
        <v>2637286334.9400001</v>
      </c>
      <c r="D18" s="132">
        <v>1</v>
      </c>
      <c r="E18" s="133">
        <v>2383790557.2240133</v>
      </c>
      <c r="F18" s="384">
        <f>E18/C18</f>
        <v>0.90388007007143811</v>
      </c>
      <c r="G18" s="139">
        <f>'RESUMEN POR UNIDAD'!F170</f>
        <v>2383790557.2240133</v>
      </c>
      <c r="H18" s="382">
        <f>G18/C18</f>
        <v>0.90388007007143811</v>
      </c>
      <c r="I18" s="135">
        <f>'RESUMEN POR UNIDAD'!G170</f>
        <v>2216880294.2925234</v>
      </c>
      <c r="J18" s="386">
        <f t="shared" si="6"/>
        <v>0.92998115441573803</v>
      </c>
      <c r="K18" s="136">
        <v>2216880294.2925234</v>
      </c>
      <c r="L18" s="386">
        <f t="shared" si="4"/>
        <v>0.92998115441573803</v>
      </c>
      <c r="M18" s="137">
        <f>C18-E18</f>
        <v>253495777.71598673</v>
      </c>
      <c r="N18" s="387">
        <f t="shared" si="7"/>
        <v>9.6119929928561942E-2</v>
      </c>
    </row>
    <row r="19" spans="1:17" s="146" customFormat="1" ht="30" x14ac:dyDescent="0.2">
      <c r="A19" s="129">
        <v>321</v>
      </c>
      <c r="B19" s="140" t="s">
        <v>1703</v>
      </c>
      <c r="C19" s="131">
        <f>'RESUMEN POR UNIDAD'!E182</f>
        <v>110210000</v>
      </c>
      <c r="D19" s="132">
        <v>1</v>
      </c>
      <c r="E19" s="133">
        <v>107716000</v>
      </c>
      <c r="F19" s="384">
        <f>E19/C19</f>
        <v>0.97737047454858905</v>
      </c>
      <c r="G19" s="139">
        <f>'RESUMEN POR UNIDAD'!F182</f>
        <v>107716000</v>
      </c>
      <c r="H19" s="382">
        <f>G19/C19</f>
        <v>0.97737047454858905</v>
      </c>
      <c r="I19" s="135">
        <f>'RESUMEN POR UNIDAD'!G182</f>
        <v>107716000</v>
      </c>
      <c r="J19" s="386">
        <f t="shared" si="6"/>
        <v>1</v>
      </c>
      <c r="K19" s="136">
        <v>107716000</v>
      </c>
      <c r="L19" s="386">
        <f t="shared" si="4"/>
        <v>1</v>
      </c>
      <c r="M19" s="137">
        <f>C19-E19</f>
        <v>2494000</v>
      </c>
      <c r="N19" s="387">
        <f t="shared" si="7"/>
        <v>2.2629525451410944E-2</v>
      </c>
    </row>
    <row r="20" spans="1:17" s="146" customFormat="1" ht="15.75" x14ac:dyDescent="0.2">
      <c r="A20" s="530"/>
      <c r="B20" s="531" t="s">
        <v>1468</v>
      </c>
      <c r="C20" s="525">
        <f>SUM(C17:C19)</f>
        <v>9907914024.9700012</v>
      </c>
      <c r="D20" s="526">
        <v>1</v>
      </c>
      <c r="E20" s="525">
        <f>SUM(E17:E19)</f>
        <v>7164500614.1940126</v>
      </c>
      <c r="F20" s="527">
        <f>E20/C20</f>
        <v>0.72310888004659535</v>
      </c>
      <c r="G20" s="525">
        <f>SUM(G17:G19)</f>
        <v>7164500614.1940126</v>
      </c>
      <c r="H20" s="528">
        <f>G20/C20</f>
        <v>0.72310888004659535</v>
      </c>
      <c r="I20" s="525">
        <f>SUM(I17:I19)</f>
        <v>6976675351.2625227</v>
      </c>
      <c r="J20" s="529">
        <f t="shared" si="6"/>
        <v>0.97378390022615413</v>
      </c>
      <c r="K20" s="525">
        <f>SUM(K17:K19)</f>
        <v>6976675351.2625237</v>
      </c>
      <c r="L20" s="529">
        <f t="shared" si="4"/>
        <v>0.97378390022615435</v>
      </c>
      <c r="M20" s="525">
        <f>SUM(M17:M19)</f>
        <v>2743413410.7759881</v>
      </c>
      <c r="N20" s="527">
        <f t="shared" si="7"/>
        <v>0.2768911199534046</v>
      </c>
    </row>
    <row r="21" spans="1:17" s="146" customFormat="1" x14ac:dyDescent="0.2">
      <c r="A21" s="127"/>
      <c r="B21" s="147"/>
      <c r="C21" s="148"/>
      <c r="D21" s="149"/>
      <c r="E21" s="149"/>
      <c r="F21" s="385"/>
      <c r="H21" s="383"/>
      <c r="J21" s="383"/>
      <c r="L21" s="383"/>
      <c r="N21" s="388"/>
    </row>
    <row r="22" spans="1:17" s="146" customFormat="1" ht="15.75" x14ac:dyDescent="0.2">
      <c r="A22" s="537"/>
      <c r="B22" s="538" t="s">
        <v>1552</v>
      </c>
      <c r="C22" s="539">
        <f>C16+C20</f>
        <v>329398378156.88</v>
      </c>
      <c r="D22" s="540">
        <v>1</v>
      </c>
      <c r="E22" s="539">
        <f>E16+E20</f>
        <v>293229739975.74402</v>
      </c>
      <c r="F22" s="541">
        <f>E22/C22</f>
        <v>0.89019788626915997</v>
      </c>
      <c r="G22" s="539">
        <f>G16+G20</f>
        <v>293229739975.77405</v>
      </c>
      <c r="H22" s="542">
        <f>G22/C22</f>
        <v>0.89019788626925112</v>
      </c>
      <c r="I22" s="539">
        <f>I16+I20</f>
        <v>293041914712.84253</v>
      </c>
      <c r="J22" s="543">
        <f>I22/G22</f>
        <v>0.99935946039120371</v>
      </c>
      <c r="K22" s="539">
        <f>K16+K20</f>
        <v>292412617594.84253</v>
      </c>
      <c r="L22" s="543">
        <f>K22/G22</f>
        <v>0.997213371396097</v>
      </c>
      <c r="M22" s="539">
        <f>M16+M20</f>
        <v>36168638181.13607</v>
      </c>
      <c r="N22" s="541">
        <f>M22/C22</f>
        <v>0.10980211373084027</v>
      </c>
    </row>
    <row r="23" spans="1:17" s="146" customFormat="1" ht="15" x14ac:dyDescent="0.25">
      <c r="A23" s="127"/>
      <c r="B23" s="150" t="s">
        <v>1536</v>
      </c>
      <c r="C23" s="151" t="s">
        <v>1537</v>
      </c>
      <c r="D23" s="152" t="s">
        <v>1538</v>
      </c>
      <c r="E23" s="152"/>
      <c r="F23" s="152"/>
      <c r="K23" s="268"/>
      <c r="M23" s="150"/>
      <c r="N23" s="151"/>
      <c r="O23" s="152"/>
      <c r="P23" s="153"/>
      <c r="Q23" s="153"/>
    </row>
    <row r="24" spans="1:17" s="146" customFormat="1" ht="16.5" thickBot="1" x14ac:dyDescent="0.3">
      <c r="A24" s="127"/>
      <c r="B24" s="394" t="s">
        <v>1549</v>
      </c>
      <c r="C24" s="395">
        <f>C16</f>
        <v>319490464131.91003</v>
      </c>
      <c r="D24" s="154">
        <f>C24/C24</f>
        <v>1</v>
      </c>
      <c r="E24" s="154"/>
      <c r="F24" s="155"/>
      <c r="M24" s="156"/>
      <c r="N24" s="157"/>
      <c r="O24" s="155"/>
      <c r="P24" s="153"/>
      <c r="Q24" s="153"/>
    </row>
    <row r="25" spans="1:17" s="146" customFormat="1" ht="15.75" x14ac:dyDescent="0.25">
      <c r="A25" s="127"/>
      <c r="B25" s="394" t="s">
        <v>1539</v>
      </c>
      <c r="C25" s="395">
        <f>E16</f>
        <v>286065239361.54999</v>
      </c>
      <c r="D25" s="396">
        <f>C25/C24</f>
        <v>0.89537958554982233</v>
      </c>
      <c r="E25" s="630" t="s">
        <v>1702</v>
      </c>
      <c r="F25" s="631"/>
      <c r="G25" s="153"/>
      <c r="M25" s="156"/>
      <c r="N25" s="157"/>
      <c r="O25" s="158"/>
      <c r="P25" s="153"/>
      <c r="Q25" s="153"/>
    </row>
    <row r="26" spans="1:17" s="146" customFormat="1" ht="15.75" x14ac:dyDescent="0.25">
      <c r="A26" s="127"/>
      <c r="B26" s="394" t="s">
        <v>1540</v>
      </c>
      <c r="C26" s="395">
        <f>G16</f>
        <v>286065239361.58002</v>
      </c>
      <c r="D26" s="397">
        <f>C26/C24</f>
        <v>0.89537958554991637</v>
      </c>
      <c r="E26" s="632" t="s">
        <v>1544</v>
      </c>
      <c r="F26" s="633"/>
      <c r="G26" s="153"/>
      <c r="M26" s="156"/>
      <c r="N26" s="157"/>
      <c r="O26" s="159"/>
      <c r="P26" s="153"/>
      <c r="Q26" s="153"/>
    </row>
    <row r="27" spans="1:17" s="146" customFormat="1" ht="15.75" x14ac:dyDescent="0.25">
      <c r="A27" s="127"/>
      <c r="B27" s="394" t="s">
        <v>1541</v>
      </c>
      <c r="C27" s="395">
        <f>I16</f>
        <v>286065239361.58002</v>
      </c>
      <c r="D27" s="397">
        <f>C27/C26</f>
        <v>1</v>
      </c>
      <c r="E27" s="634" t="s">
        <v>1545</v>
      </c>
      <c r="F27" s="635"/>
      <c r="G27" s="153"/>
      <c r="M27" s="156"/>
      <c r="N27" s="157"/>
      <c r="O27" s="159"/>
      <c r="P27" s="153"/>
      <c r="Q27" s="153"/>
    </row>
    <row r="28" spans="1:17" s="146" customFormat="1" ht="15.75" x14ac:dyDescent="0.25">
      <c r="A28" s="127"/>
      <c r="B28" s="394" t="s">
        <v>1542</v>
      </c>
      <c r="C28" s="395">
        <f>K16</f>
        <v>285435942243.58002</v>
      </c>
      <c r="D28" s="397">
        <f>C28/C26</f>
        <v>0.99780016223080992</v>
      </c>
      <c r="E28" s="636" t="s">
        <v>1546</v>
      </c>
      <c r="F28" s="637"/>
      <c r="G28" s="153"/>
      <c r="M28" s="156"/>
      <c r="N28" s="157"/>
      <c r="O28" s="159"/>
      <c r="P28" s="153"/>
      <c r="Q28" s="153"/>
    </row>
    <row r="29" spans="1:17" ht="15.75" x14ac:dyDescent="0.25">
      <c r="B29" s="398" t="s">
        <v>1543</v>
      </c>
      <c r="C29" s="395">
        <f>M16</f>
        <v>33425224770.360085</v>
      </c>
      <c r="D29" s="397">
        <f>C29/C24</f>
        <v>0.10462041445017778</v>
      </c>
      <c r="E29" s="626" t="s">
        <v>1547</v>
      </c>
      <c r="F29" s="627"/>
      <c r="G29" s="153"/>
      <c r="M29" s="160"/>
      <c r="N29" s="157"/>
      <c r="O29" s="159"/>
      <c r="P29" s="161"/>
      <c r="Q29" s="161"/>
    </row>
    <row r="30" spans="1:17" ht="15" x14ac:dyDescent="0.2">
      <c r="B30" s="399"/>
      <c r="C30" s="400"/>
      <c r="D30" s="400"/>
      <c r="E30" s="628" t="s">
        <v>1548</v>
      </c>
      <c r="F30" s="629"/>
      <c r="G30" s="153"/>
      <c r="M30" s="153"/>
      <c r="N30" s="161"/>
      <c r="O30" s="161"/>
      <c r="P30" s="161"/>
      <c r="Q30" s="161"/>
    </row>
    <row r="31" spans="1:17" x14ac:dyDescent="0.2">
      <c r="B31" s="401"/>
      <c r="C31" s="402"/>
      <c r="D31" s="403"/>
      <c r="E31" s="162"/>
      <c r="F31" s="162"/>
      <c r="G31" s="153"/>
      <c r="M31" s="153"/>
      <c r="N31" s="161"/>
      <c r="O31" s="161"/>
      <c r="P31" s="161"/>
      <c r="Q31" s="161"/>
    </row>
    <row r="32" spans="1:17" x14ac:dyDescent="0.2">
      <c r="B32" s="401"/>
      <c r="C32" s="402"/>
      <c r="D32" s="403"/>
      <c r="E32" s="162"/>
      <c r="F32" s="162"/>
      <c r="G32" s="153"/>
      <c r="M32" s="153"/>
      <c r="N32" s="161"/>
      <c r="O32" s="161"/>
      <c r="P32" s="161"/>
      <c r="Q32" s="161"/>
    </row>
    <row r="33" spans="1:17" ht="15" x14ac:dyDescent="0.2">
      <c r="B33" s="401" t="s">
        <v>1550</v>
      </c>
      <c r="C33" s="395">
        <f>C20</f>
        <v>9907914024.9700012</v>
      </c>
      <c r="D33" s="154">
        <f>C33/C33</f>
        <v>1</v>
      </c>
      <c r="E33" s="162"/>
      <c r="F33" s="162"/>
      <c r="G33" s="153"/>
      <c r="M33" s="153"/>
      <c r="N33" s="161"/>
      <c r="O33" s="161"/>
      <c r="P33" s="161"/>
      <c r="Q33" s="161"/>
    </row>
    <row r="34" spans="1:17" ht="15.75" x14ac:dyDescent="0.25">
      <c r="B34" s="394" t="s">
        <v>1539</v>
      </c>
      <c r="C34" s="395">
        <f>E20</f>
        <v>7164500614.1940126</v>
      </c>
      <c r="D34" s="396">
        <f>C34/C33</f>
        <v>0.72310888004659535</v>
      </c>
      <c r="E34" s="162"/>
      <c r="F34" s="162"/>
      <c r="G34" s="153"/>
      <c r="M34" s="153"/>
      <c r="N34" s="161"/>
      <c r="O34" s="161"/>
      <c r="P34" s="161"/>
      <c r="Q34" s="161"/>
    </row>
    <row r="35" spans="1:17" ht="15.75" x14ac:dyDescent="0.25">
      <c r="B35" s="394" t="s">
        <v>1540</v>
      </c>
      <c r="C35" s="395">
        <f>G20</f>
        <v>7164500614.1940126</v>
      </c>
      <c r="D35" s="397">
        <f>C35/C33</f>
        <v>0.72310888004659535</v>
      </c>
      <c r="E35" s="162"/>
      <c r="F35" s="162"/>
      <c r="G35" s="153"/>
      <c r="M35" s="153"/>
      <c r="N35" s="161"/>
      <c r="O35" s="161"/>
      <c r="P35" s="161"/>
      <c r="Q35" s="161"/>
    </row>
    <row r="36" spans="1:17" ht="15.75" x14ac:dyDescent="0.25">
      <c r="B36" s="394" t="s">
        <v>1541</v>
      </c>
      <c r="C36" s="395">
        <f>I20</f>
        <v>6976675351.2625227</v>
      </c>
      <c r="D36" s="397">
        <f>C36/C35</f>
        <v>0.97378390022615413</v>
      </c>
      <c r="E36" s="162"/>
      <c r="F36" s="162"/>
      <c r="G36" s="153"/>
      <c r="M36" s="153"/>
      <c r="N36" s="161"/>
      <c r="O36" s="161"/>
      <c r="P36" s="161"/>
      <c r="Q36" s="161"/>
    </row>
    <row r="37" spans="1:17" ht="15.75" x14ac:dyDescent="0.25">
      <c r="B37" s="394" t="s">
        <v>1542</v>
      </c>
      <c r="C37" s="395">
        <f>K20</f>
        <v>6976675351.2625237</v>
      </c>
      <c r="D37" s="397">
        <f>C37/C35</f>
        <v>0.97378390022615435</v>
      </c>
      <c r="E37" s="162"/>
      <c r="F37" s="162"/>
      <c r="G37" s="153"/>
      <c r="M37" s="153"/>
      <c r="N37" s="161"/>
      <c r="O37" s="161"/>
      <c r="P37" s="161"/>
      <c r="Q37" s="161"/>
    </row>
    <row r="38" spans="1:17" ht="15.75" x14ac:dyDescent="0.25">
      <c r="B38" s="398" t="s">
        <v>1543</v>
      </c>
      <c r="C38" s="395">
        <f>M20</f>
        <v>2743413410.7759881</v>
      </c>
      <c r="D38" s="397">
        <f>C38/C33</f>
        <v>0.2768911199534046</v>
      </c>
      <c r="E38" s="162"/>
      <c r="F38" s="162"/>
      <c r="G38" s="153"/>
      <c r="M38" s="153"/>
      <c r="N38" s="161"/>
      <c r="O38" s="161"/>
      <c r="P38" s="161"/>
      <c r="Q38" s="161"/>
    </row>
    <row r="39" spans="1:17" x14ac:dyDescent="0.2">
      <c r="B39" s="401"/>
      <c r="C39" s="402"/>
      <c r="D39" s="402"/>
      <c r="E39" s="149"/>
      <c r="F39" s="149"/>
      <c r="G39" s="153"/>
      <c r="M39" s="153"/>
      <c r="N39" s="161"/>
      <c r="O39" s="161"/>
      <c r="P39" s="161"/>
      <c r="Q39" s="161"/>
    </row>
    <row r="40" spans="1:17" s="146" customFormat="1" x14ac:dyDescent="0.2">
      <c r="A40" s="127"/>
      <c r="B40" s="401"/>
      <c r="C40" s="402"/>
      <c r="D40" s="402"/>
      <c r="E40" s="149"/>
      <c r="F40" s="149"/>
      <c r="G40" s="153"/>
      <c r="N40" s="127"/>
      <c r="O40" s="127"/>
      <c r="P40" s="127"/>
      <c r="Q40" s="127"/>
    </row>
    <row r="41" spans="1:17" s="146" customFormat="1" x14ac:dyDescent="0.2">
      <c r="A41" s="127"/>
      <c r="B41" s="399"/>
      <c r="C41" s="400"/>
      <c r="D41" s="400"/>
      <c r="E41" s="153"/>
      <c r="F41" s="153"/>
      <c r="G41" s="153"/>
      <c r="N41" s="127"/>
      <c r="O41" s="127"/>
      <c r="P41" s="127"/>
      <c r="Q41" s="127"/>
    </row>
    <row r="42" spans="1:17" x14ac:dyDescent="0.2">
      <c r="B42" s="399"/>
      <c r="C42" s="400"/>
      <c r="D42" s="400"/>
      <c r="E42" s="153"/>
      <c r="F42" s="153"/>
      <c r="G42" s="153"/>
    </row>
    <row r="43" spans="1:17" x14ac:dyDescent="0.2">
      <c r="B43" s="399"/>
      <c r="C43" s="400"/>
      <c r="D43" s="400"/>
      <c r="E43" s="153"/>
      <c r="F43" s="153"/>
      <c r="G43" s="153"/>
    </row>
    <row r="44" spans="1:17" x14ac:dyDescent="0.2">
      <c r="B44" s="399"/>
      <c r="C44" s="400"/>
      <c r="D44" s="400"/>
      <c r="E44" s="153"/>
      <c r="F44" s="153"/>
      <c r="G44" s="153"/>
    </row>
    <row r="45" spans="1:17" x14ac:dyDescent="0.2">
      <c r="B45" s="399"/>
      <c r="C45" s="400"/>
      <c r="D45" s="400"/>
      <c r="E45" s="153"/>
      <c r="F45" s="153"/>
      <c r="G45" s="153"/>
    </row>
    <row r="46" spans="1:17" x14ac:dyDescent="0.2">
      <c r="B46" s="399"/>
      <c r="C46" s="400"/>
      <c r="D46" s="400"/>
      <c r="E46" s="153"/>
      <c r="F46" s="153"/>
      <c r="G46" s="153"/>
    </row>
    <row r="47" spans="1:17" ht="15" x14ac:dyDescent="0.2">
      <c r="B47" s="401" t="s">
        <v>1551</v>
      </c>
      <c r="C47" s="395">
        <f>C22</f>
        <v>329398378156.88</v>
      </c>
      <c r="D47" s="154">
        <f>C47/C47</f>
        <v>1</v>
      </c>
      <c r="E47" s="153"/>
      <c r="F47" s="153"/>
      <c r="G47" s="153"/>
    </row>
    <row r="48" spans="1:17" ht="15.75" x14ac:dyDescent="0.25">
      <c r="B48" s="394" t="s">
        <v>1539</v>
      </c>
      <c r="C48" s="395">
        <f>E22</f>
        <v>293229739975.74402</v>
      </c>
      <c r="D48" s="396">
        <f>C48/C47</f>
        <v>0.89019788626915997</v>
      </c>
      <c r="E48" s="153"/>
      <c r="F48" s="153"/>
      <c r="G48" s="153"/>
    </row>
    <row r="49" spans="2:7" ht="15.75" x14ac:dyDescent="0.25">
      <c r="B49" s="394" t="s">
        <v>1540</v>
      </c>
      <c r="C49" s="395">
        <f>G22</f>
        <v>293229739975.77405</v>
      </c>
      <c r="D49" s="397">
        <f>C49/C47</f>
        <v>0.89019788626925112</v>
      </c>
      <c r="E49" s="153"/>
      <c r="F49" s="153"/>
      <c r="G49" s="153"/>
    </row>
    <row r="50" spans="2:7" ht="15.75" x14ac:dyDescent="0.25">
      <c r="B50" s="394" t="s">
        <v>1541</v>
      </c>
      <c r="C50" s="395">
        <f>I22</f>
        <v>293041914712.84253</v>
      </c>
      <c r="D50" s="397">
        <f>C50/C49</f>
        <v>0.99935946039120371</v>
      </c>
      <c r="E50" s="153"/>
      <c r="F50" s="153"/>
      <c r="G50" s="153"/>
    </row>
    <row r="51" spans="2:7" ht="15.75" x14ac:dyDescent="0.25">
      <c r="B51" s="394" t="s">
        <v>1542</v>
      </c>
      <c r="C51" s="395">
        <f>K22</f>
        <v>292412617594.84253</v>
      </c>
      <c r="D51" s="397">
        <f>C51/C49</f>
        <v>0.997213371396097</v>
      </c>
      <c r="E51" s="153"/>
      <c r="F51" s="153"/>
      <c r="G51" s="153"/>
    </row>
    <row r="52" spans="2:7" ht="15.75" x14ac:dyDescent="0.25">
      <c r="B52" s="398" t="s">
        <v>1543</v>
      </c>
      <c r="C52" s="395">
        <f>M22</f>
        <v>36168638181.13607</v>
      </c>
      <c r="D52" s="397">
        <f>C52/C47</f>
        <v>0.10980211373084027</v>
      </c>
      <c r="E52" s="153"/>
      <c r="F52" s="153"/>
      <c r="G52" s="153"/>
    </row>
    <row r="53" spans="2:7" x14ac:dyDescent="0.2">
      <c r="C53" s="153"/>
      <c r="D53" s="153"/>
      <c r="E53" s="153"/>
      <c r="F53" s="153"/>
      <c r="G53" s="153"/>
    </row>
    <row r="54" spans="2:7" x14ac:dyDescent="0.2">
      <c r="C54" s="153"/>
      <c r="D54" s="153"/>
      <c r="E54" s="153"/>
      <c r="F54" s="153"/>
      <c r="G54" s="153"/>
    </row>
    <row r="55" spans="2:7" x14ac:dyDescent="0.2">
      <c r="C55" s="153"/>
      <c r="D55" s="153"/>
      <c r="E55" s="153"/>
      <c r="F55" s="153"/>
      <c r="G55" s="153"/>
    </row>
    <row r="56" spans="2:7" x14ac:dyDescent="0.2">
      <c r="C56" s="153"/>
      <c r="D56" s="153"/>
      <c r="E56" s="153"/>
      <c r="F56" s="153"/>
      <c r="G56" s="153"/>
    </row>
    <row r="57" spans="2:7" x14ac:dyDescent="0.2">
      <c r="B57" s="127"/>
      <c r="C57" s="153"/>
      <c r="D57" s="153"/>
      <c r="E57" s="153"/>
      <c r="F57" s="153"/>
      <c r="G57" s="153"/>
    </row>
    <row r="58" spans="2:7" x14ac:dyDescent="0.2">
      <c r="B58" s="127"/>
      <c r="C58" s="153"/>
      <c r="D58" s="153"/>
      <c r="E58" s="153"/>
      <c r="F58" s="153"/>
      <c r="G58" s="153"/>
    </row>
    <row r="59" spans="2:7" x14ac:dyDescent="0.2">
      <c r="B59" s="127"/>
      <c r="C59" s="153"/>
      <c r="D59" s="153"/>
      <c r="E59" s="153"/>
      <c r="F59" s="153"/>
      <c r="G59" s="153"/>
    </row>
    <row r="60" spans="2:7" x14ac:dyDescent="0.2">
      <c r="B60" s="127"/>
      <c r="C60" s="153"/>
      <c r="D60" s="153"/>
      <c r="E60" s="153"/>
      <c r="F60" s="153"/>
      <c r="G60" s="153"/>
    </row>
    <row r="61" spans="2:7" x14ac:dyDescent="0.2">
      <c r="B61" s="127"/>
      <c r="C61" s="153"/>
      <c r="D61" s="153"/>
      <c r="E61" s="153"/>
      <c r="F61" s="153"/>
      <c r="G61" s="153"/>
    </row>
    <row r="62" spans="2:7" x14ac:dyDescent="0.2">
      <c r="B62" s="127"/>
      <c r="C62" s="153"/>
      <c r="D62" s="153"/>
      <c r="E62" s="153"/>
      <c r="F62" s="153"/>
      <c r="G62" s="153"/>
    </row>
    <row r="63" spans="2:7" x14ac:dyDescent="0.2">
      <c r="C63" s="153"/>
      <c r="D63" s="153"/>
      <c r="E63" s="153"/>
      <c r="F63" s="153"/>
      <c r="G63" s="153"/>
    </row>
    <row r="64" spans="2:7" x14ac:dyDescent="0.2">
      <c r="C64" s="153"/>
      <c r="D64" s="153"/>
      <c r="E64" s="153"/>
      <c r="F64" s="153"/>
      <c r="G64" s="153"/>
    </row>
    <row r="65" spans="1:17" x14ac:dyDescent="0.2">
      <c r="C65" s="153"/>
      <c r="D65" s="153"/>
      <c r="E65" s="153"/>
      <c r="F65" s="153"/>
      <c r="G65" s="153"/>
    </row>
    <row r="66" spans="1:17" x14ac:dyDescent="0.2">
      <c r="C66" s="153"/>
      <c r="D66" s="153"/>
      <c r="E66" s="153"/>
      <c r="F66" s="153"/>
      <c r="G66" s="153"/>
    </row>
    <row r="67" spans="1:17" x14ac:dyDescent="0.2">
      <c r="C67" s="153"/>
      <c r="D67" s="153"/>
      <c r="E67" s="153"/>
      <c r="F67" s="153"/>
      <c r="G67" s="153"/>
    </row>
    <row r="68" spans="1:17" x14ac:dyDescent="0.2">
      <c r="C68" s="153"/>
      <c r="D68" s="153"/>
      <c r="E68" s="153"/>
      <c r="F68" s="153"/>
      <c r="G68" s="153"/>
    </row>
    <row r="69" spans="1:17" x14ac:dyDescent="0.2">
      <c r="C69" s="153"/>
      <c r="D69" s="153"/>
      <c r="E69" s="153"/>
      <c r="F69" s="153"/>
      <c r="G69" s="153"/>
    </row>
    <row r="71" spans="1:17" s="146" customFormat="1" x14ac:dyDescent="0.2">
      <c r="A71" s="127"/>
      <c r="B71" s="147"/>
      <c r="N71" s="127"/>
      <c r="O71" s="127"/>
      <c r="P71" s="127"/>
      <c r="Q71" s="127"/>
    </row>
    <row r="72" spans="1:17" s="146" customFormat="1" x14ac:dyDescent="0.2">
      <c r="N72" s="127"/>
      <c r="O72" s="127"/>
      <c r="P72" s="127"/>
      <c r="Q72" s="127"/>
    </row>
    <row r="73" spans="1:17" s="146" customFormat="1" x14ac:dyDescent="0.2">
      <c r="N73" s="127"/>
      <c r="O73" s="127"/>
      <c r="P73" s="127"/>
      <c r="Q73" s="127"/>
    </row>
    <row r="74" spans="1:17" s="146" customFormat="1" x14ac:dyDescent="0.2">
      <c r="N74" s="127"/>
      <c r="O74" s="127"/>
      <c r="P74" s="127"/>
      <c r="Q74" s="127"/>
    </row>
    <row r="75" spans="1:17" s="146" customFormat="1" x14ac:dyDescent="0.2">
      <c r="N75" s="127"/>
      <c r="O75" s="127"/>
      <c r="P75" s="127"/>
      <c r="Q75" s="127"/>
    </row>
    <row r="76" spans="1:17" s="146" customFormat="1" x14ac:dyDescent="0.2">
      <c r="N76" s="127"/>
      <c r="O76" s="127"/>
      <c r="P76" s="127"/>
      <c r="Q76" s="127"/>
    </row>
    <row r="77" spans="1:17" s="146" customFormat="1" x14ac:dyDescent="0.2">
      <c r="N77" s="127"/>
      <c r="O77" s="127"/>
      <c r="P77" s="127"/>
      <c r="Q77" s="127"/>
    </row>
  </sheetData>
  <mergeCells count="7">
    <mergeCell ref="E30:F30"/>
    <mergeCell ref="A1:N1"/>
    <mergeCell ref="E25:F25"/>
    <mergeCell ref="E26:F26"/>
    <mergeCell ref="E27:F27"/>
    <mergeCell ref="E28:F28"/>
    <mergeCell ref="E29:F29"/>
  </mergeCells>
  <conditionalFormatting sqref="H3">
    <cfRule type="cellIs" dxfId="29" priority="31" operator="between">
      <formula>0</formula>
      <formula>0.3999</formula>
    </cfRule>
    <cfRule type="cellIs" dxfId="28" priority="32" operator="between">
      <formula>0.4</formula>
      <formula>0.59</formula>
    </cfRule>
    <cfRule type="cellIs" dxfId="27" priority="33" operator="between">
      <formula>0.6</formula>
      <formula>0.69</formula>
    </cfRule>
    <cfRule type="cellIs" dxfId="26" priority="34" operator="between">
      <formula>0.7</formula>
      <formula>0.79</formula>
    </cfRule>
    <cfRule type="cellIs" dxfId="25" priority="35" operator="between">
      <formula>0.8</formula>
      <formula>1</formula>
    </cfRule>
  </conditionalFormatting>
  <conditionalFormatting sqref="H4:H15">
    <cfRule type="cellIs" dxfId="24" priority="26" operator="between">
      <formula>0</formula>
      <formula>0.3999</formula>
    </cfRule>
    <cfRule type="cellIs" dxfId="23" priority="27" operator="between">
      <formula>0.4</formula>
      <formula>0.59</formula>
    </cfRule>
    <cfRule type="cellIs" dxfId="22" priority="28" operator="between">
      <formula>0.6</formula>
      <formula>0.695</formula>
    </cfRule>
    <cfRule type="cellIs" dxfId="21" priority="29" operator="between">
      <formula>0.695</formula>
      <formula>0.7949</formula>
    </cfRule>
    <cfRule type="cellIs" dxfId="20" priority="30" operator="between">
      <formula>0.8</formula>
      <formula>1</formula>
    </cfRule>
  </conditionalFormatting>
  <conditionalFormatting sqref="H17:H19">
    <cfRule type="cellIs" dxfId="19" priority="16" operator="between">
      <formula>0</formula>
      <formula>0.3999</formula>
    </cfRule>
    <cfRule type="cellIs" dxfId="18" priority="17" operator="between">
      <formula>0.4</formula>
      <formula>0.59</formula>
    </cfRule>
    <cfRule type="cellIs" dxfId="17" priority="18" operator="between">
      <formula>0.6</formula>
      <formula>0.695</formula>
    </cfRule>
    <cfRule type="cellIs" dxfId="16" priority="19" operator="between">
      <formula>0.695</formula>
      <formula>0.7949</formula>
    </cfRule>
    <cfRule type="cellIs" dxfId="15" priority="20" operator="between">
      <formula>0.8</formula>
      <formula>1</formula>
    </cfRule>
  </conditionalFormatting>
  <conditionalFormatting sqref="H20">
    <cfRule type="cellIs" dxfId="14" priority="11" operator="between">
      <formula>0</formula>
      <formula>0.3999</formula>
    </cfRule>
    <cfRule type="cellIs" dxfId="13" priority="12" operator="between">
      <formula>0.4</formula>
      <formula>0.59</formula>
    </cfRule>
    <cfRule type="cellIs" dxfId="12" priority="13" operator="between">
      <formula>0.595</formula>
      <formula>0.6949</formula>
    </cfRule>
    <cfRule type="cellIs" dxfId="11" priority="14" operator="between">
      <formula>0.7</formula>
      <formula>0.79</formula>
    </cfRule>
    <cfRule type="cellIs" dxfId="10" priority="15" operator="between">
      <formula>0.8</formula>
      <formula>1</formula>
    </cfRule>
  </conditionalFormatting>
  <conditionalFormatting sqref="H22">
    <cfRule type="cellIs" dxfId="9" priority="6" operator="between">
      <formula>0</formula>
      <formula>0.3999</formula>
    </cfRule>
    <cfRule type="cellIs" dxfId="8" priority="7" operator="between">
      <formula>0.4</formula>
      <formula>0.59</formula>
    </cfRule>
    <cfRule type="cellIs" dxfId="7" priority="8" operator="between">
      <formula>0.595</formula>
      <formula>0.6949</formula>
    </cfRule>
    <cfRule type="cellIs" dxfId="6" priority="9" operator="between">
      <formula>0.7</formula>
      <formula>0.79</formula>
    </cfRule>
    <cfRule type="cellIs" dxfId="5" priority="10" operator="between">
      <formula>0.8</formula>
      <formula>1</formula>
    </cfRule>
  </conditionalFormatting>
  <conditionalFormatting sqref="H16">
    <cfRule type="cellIs" dxfId="4" priority="1" operator="between">
      <formula>0</formula>
      <formula>0.3999</formula>
    </cfRule>
    <cfRule type="cellIs" dxfId="3" priority="2" operator="between">
      <formula>0.4</formula>
      <formula>0.59</formula>
    </cfRule>
    <cfRule type="cellIs" dxfId="2" priority="3" operator="between">
      <formula>0.6</formula>
      <formula>0.695</formula>
    </cfRule>
    <cfRule type="cellIs" dxfId="1" priority="4" operator="between">
      <formula>0.695</formula>
      <formula>0.7949</formula>
    </cfRule>
    <cfRule type="cellIs" dxfId="0" priority="5" operator="greaterThan">
      <formula>0.795</formula>
    </cfRule>
  </conditionalFormatting>
  <pageMargins left="0.7" right="0.7" top="0.75" bottom="0.75" header="0.3" footer="0.3"/>
  <pageSetup orientation="portrait"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SGTO POAI VIGENCIA 2021</vt:lpstr>
      <vt:lpstr>RESUMEN POR UNIDAD</vt:lpstr>
      <vt:lpstr>UNIDADES + FUENTE</vt:lpstr>
      <vt:lpstr>SECTORES</vt:lpstr>
      <vt:lpstr>PROGRAMAS</vt:lpstr>
      <vt:lpstr>EJE ESTRATEGICO</vt:lpstr>
      <vt:lpstr>PROYECTOS</vt:lpstr>
      <vt:lpstr>CONSOLIDADO UNIDADES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Lucia</dc:creator>
  <cp:lastModifiedBy>AUXPLANEACION03</cp:lastModifiedBy>
  <cp:revision/>
  <dcterms:created xsi:type="dcterms:W3CDTF">2020-08-12T15:20:51Z</dcterms:created>
  <dcterms:modified xsi:type="dcterms:W3CDTF">2022-02-24T19:16:00Z</dcterms:modified>
</cp:coreProperties>
</file>