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Gobernación 2021\SGTO PDD 2021\SGTO IV TRIMESTRE 2021\"/>
    </mc:Choice>
  </mc:AlternateContent>
  <bookViews>
    <workbookView xWindow="9915" yWindow="0" windowWidth="10515" windowHeight="10755"/>
  </bookViews>
  <sheets>
    <sheet name="SGTO POAI VIGENCIA 2021" sheetId="1" r:id="rId1"/>
    <sheet name="RESUMEN POR UNIDAD" sheetId="5" r:id="rId2"/>
    <sheet name="SECTORES" sheetId="12" r:id="rId3"/>
    <sheet name="PROGRAMAS" sheetId="9" r:id="rId4"/>
    <sheet name="EJE ESTRATEGICO" sheetId="8" r:id="rId5"/>
    <sheet name="PROYECTOS" sheetId="10" r:id="rId6"/>
    <sheet name="CONSOLIDADO UNIDADES" sheetId="11" r:id="rId7"/>
  </sheets>
  <definedNames>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1" hidden="1">'RESUMEN POR UNIDAD'!$E$1:$E$189</definedName>
    <definedName name="_xlnm._FilterDatabase" localSheetId="0" hidden="1">'SGTO POAI VIGENCIA 2021'!$A$7:$CA$308</definedName>
    <definedName name="aa" localSheetId="2">#REF!</definedName>
    <definedName name="aa">#REF!</definedName>
    <definedName name="CODIGO_DIVIPOLA" localSheetId="2">#REF!</definedName>
    <definedName name="CODIGO_DIVIPOLA">#REF!</definedName>
    <definedName name="DboREGISTRO_LEY_617" localSheetId="2">#REF!</definedName>
    <definedName name="DboREGISTRO_LEY_617">#REF!</definedName>
    <definedName name="ññ" localSheetId="2">#REF!</definedName>
    <definedName name="ññ">#REF!</definedName>
  </definedNames>
  <calcPr calcId="162913"/>
</workbook>
</file>

<file path=xl/calcChain.xml><?xml version="1.0" encoding="utf-8"?>
<calcChain xmlns="http://schemas.openxmlformats.org/spreadsheetml/2006/main">
  <c r="U228" i="1" l="1"/>
  <c r="U279" i="1" l="1"/>
  <c r="U215" i="1" l="1"/>
  <c r="U201" i="1" l="1"/>
  <c r="U186" i="1" l="1"/>
  <c r="U73" i="1" l="1"/>
  <c r="U67" i="1"/>
  <c r="U96" i="1" l="1"/>
  <c r="U94" i="1"/>
  <c r="U93" i="1"/>
  <c r="U92" i="1"/>
  <c r="U90" i="1"/>
  <c r="AI290" i="1" l="1"/>
  <c r="AJ290" i="1"/>
  <c r="AK288" i="1" l="1"/>
  <c r="AJ288" i="1"/>
  <c r="AK287" i="1" l="1"/>
  <c r="AJ287" i="1"/>
  <c r="AM28" i="1" l="1"/>
  <c r="AM240" i="1" l="1"/>
  <c r="AM248" i="1" l="1"/>
  <c r="AC251" i="1"/>
  <c r="AC255" i="1"/>
  <c r="AK254" i="1"/>
  <c r="AK205" i="1"/>
  <c r="AI257" i="1"/>
  <c r="AD256" i="1"/>
  <c r="AD253" i="1"/>
  <c r="AM204" i="1"/>
  <c r="AM158" i="1"/>
  <c r="AM155" i="1"/>
  <c r="AM156" i="1"/>
  <c r="AM142" i="1"/>
  <c r="AM130" i="1"/>
  <c r="AI83" i="1"/>
  <c r="Y299" i="1" l="1"/>
  <c r="AC256" i="1" l="1"/>
  <c r="AM257" i="1"/>
  <c r="AM259" i="1"/>
  <c r="AM145" i="1" l="1"/>
  <c r="AM143" i="1"/>
  <c r="AI194" i="1"/>
  <c r="AI170" i="1"/>
  <c r="AI167" i="1"/>
  <c r="AI276" i="1"/>
  <c r="AI117" i="1"/>
  <c r="AI98" i="1"/>
  <c r="AI97" i="1"/>
  <c r="AI31" i="1" l="1"/>
  <c r="C33" i="12" l="1"/>
  <c r="B33" i="12"/>
  <c r="C32" i="12"/>
  <c r="B32" i="12"/>
  <c r="Y290" i="1" l="1"/>
  <c r="Y288" i="1"/>
  <c r="AK286" i="1"/>
  <c r="Y297" i="1" l="1"/>
  <c r="Y292" i="1"/>
  <c r="AJ305" i="1" l="1"/>
  <c r="AJ303" i="1"/>
  <c r="AJ302" i="1"/>
  <c r="AL314" i="1" l="1"/>
  <c r="AM31" i="1" l="1"/>
  <c r="E38" i="5" l="1"/>
  <c r="E37" i="5" s="1"/>
  <c r="E36" i="5" s="1"/>
  <c r="C26" i="10"/>
  <c r="AB256" i="1" l="1"/>
  <c r="AB255" i="1"/>
  <c r="AI197" i="1"/>
  <c r="AI162" i="1"/>
  <c r="AI112" i="1"/>
  <c r="AI105" i="1"/>
  <c r="AI86" i="1"/>
  <c r="AI85" i="1"/>
  <c r="AI84" i="1"/>
  <c r="AI80" i="1"/>
  <c r="AI79" i="1"/>
  <c r="AI78" i="1"/>
  <c r="AI17" i="1" l="1"/>
  <c r="AI10" i="1"/>
  <c r="AA306" i="1" l="1"/>
  <c r="AF306" i="1"/>
  <c r="AL306" i="1"/>
  <c r="Z307" i="1"/>
  <c r="AA307" i="1"/>
  <c r="AB307" i="1"/>
  <c r="AC307" i="1"/>
  <c r="AD307" i="1"/>
  <c r="AE307" i="1"/>
  <c r="AF307" i="1"/>
  <c r="AG307" i="1"/>
  <c r="AH307" i="1"/>
  <c r="AK307" i="1"/>
  <c r="AL307" i="1"/>
  <c r="AA308" i="1" l="1"/>
  <c r="AF308" i="1"/>
  <c r="AL308" i="1"/>
  <c r="Y300" i="1" l="1"/>
  <c r="AJ300" i="1"/>
  <c r="AJ299" i="1"/>
  <c r="AJ297" i="1"/>
  <c r="Y296" i="1"/>
  <c r="AJ295" i="1"/>
  <c r="AJ294" i="1" l="1"/>
  <c r="Y293" i="1"/>
  <c r="Y307" i="1" s="1"/>
  <c r="AM90" i="1" l="1"/>
  <c r="AM91" i="1"/>
  <c r="AM93" i="1"/>
  <c r="AM94" i="1"/>
  <c r="AM95" i="1"/>
  <c r="AM96" i="1"/>
  <c r="AM97" i="1"/>
  <c r="AM98" i="1"/>
  <c r="AM99" i="1"/>
  <c r="AM100" i="1"/>
  <c r="AM101" i="1"/>
  <c r="AM102" i="1"/>
  <c r="AM103" i="1"/>
  <c r="AM104" i="1"/>
  <c r="AM105" i="1"/>
  <c r="AM106" i="1"/>
  <c r="AM107" i="1"/>
  <c r="AM108" i="1"/>
  <c r="AM109" i="1"/>
  <c r="AM110" i="1"/>
  <c r="AM111" i="1"/>
  <c r="AM112" i="1"/>
  <c r="AM113" i="1"/>
  <c r="AM118" i="1"/>
  <c r="AM119" i="1"/>
  <c r="AM120" i="1"/>
  <c r="AM121" i="1"/>
  <c r="AM122" i="1"/>
  <c r="AM123" i="1"/>
  <c r="AM124" i="1"/>
  <c r="AM125" i="1"/>
  <c r="AM126" i="1"/>
  <c r="AI288" i="1" l="1"/>
  <c r="AG306" i="1"/>
  <c r="AG308" i="1" s="1"/>
  <c r="AI132" i="1"/>
  <c r="AK243" i="1" l="1"/>
  <c r="AM243" i="1" s="1"/>
  <c r="AC239" i="1"/>
  <c r="AM197" i="1"/>
  <c r="AI161" i="1"/>
  <c r="AI151" i="1"/>
  <c r="AM151" i="1" s="1"/>
  <c r="AI138" i="1"/>
  <c r="AM127" i="1"/>
  <c r="AM289" i="1" l="1"/>
  <c r="G4" i="11" l="1"/>
  <c r="L4" i="11" s="1"/>
  <c r="I4" i="11" l="1"/>
  <c r="J4" i="11" s="1"/>
  <c r="AJ286" i="1"/>
  <c r="AI264" i="1"/>
  <c r="AI263" i="1"/>
  <c r="AD220" i="1"/>
  <c r="AM202" i="1" l="1"/>
  <c r="AC236" i="1"/>
  <c r="AC235" i="1"/>
  <c r="AC229" i="1"/>
  <c r="AC228" i="1"/>
  <c r="AC207" i="1"/>
  <c r="AM206" i="1"/>
  <c r="AC205" i="1"/>
  <c r="AM196" i="1"/>
  <c r="AM198" i="1"/>
  <c r="AI200" i="1"/>
  <c r="AM200" i="1" s="1"/>
  <c r="AI189" i="1"/>
  <c r="AI175" i="1"/>
  <c r="AI174" i="1"/>
  <c r="AI172" i="1"/>
  <c r="AI171" i="1"/>
  <c r="AI166" i="1"/>
  <c r="AM162" i="1"/>
  <c r="AM161" i="1"/>
  <c r="AM160" i="1"/>
  <c r="AM159" i="1"/>
  <c r="AM154" i="1"/>
  <c r="AM150" i="1"/>
  <c r="AM149" i="1"/>
  <c r="AM148" i="1"/>
  <c r="AM147" i="1"/>
  <c r="AM141" i="1"/>
  <c r="AM138" i="1"/>
  <c r="AM134" i="1"/>
  <c r="AM132" i="1"/>
  <c r="AI163" i="1"/>
  <c r="AM163" i="1" s="1"/>
  <c r="AI153" i="1"/>
  <c r="AM153" i="1" s="1"/>
  <c r="AM152" i="1"/>
  <c r="AI140" i="1"/>
  <c r="AM140" i="1" s="1"/>
  <c r="AM137" i="1"/>
  <c r="AM164" i="1" l="1"/>
  <c r="AM136" i="1"/>
  <c r="E117" i="5" l="1"/>
  <c r="AM135" i="1"/>
  <c r="AI88" i="1" l="1"/>
  <c r="AI21" i="1"/>
  <c r="AI20" i="1"/>
  <c r="AI18" i="1"/>
  <c r="AM16" i="1"/>
  <c r="AM15" i="1"/>
  <c r="E11" i="5"/>
  <c r="AI8" i="1"/>
  <c r="AM85" i="1" l="1"/>
  <c r="AM67" i="1"/>
  <c r="AI291" i="1"/>
  <c r="AI307" i="1" l="1"/>
  <c r="AJ296" i="1" l="1"/>
  <c r="AJ307" i="1" s="1"/>
  <c r="I18" i="11" l="1"/>
  <c r="G18" i="11"/>
  <c r="L18" i="11" s="1"/>
  <c r="AI187" i="1"/>
  <c r="AI186" i="1"/>
  <c r="J18" i="11" l="1"/>
  <c r="E91" i="5"/>
  <c r="E20" i="11" l="1"/>
  <c r="K16" i="11"/>
  <c r="C34" i="11" l="1"/>
  <c r="C28" i="11"/>
  <c r="E16" i="11"/>
  <c r="E22" i="11" l="1"/>
  <c r="C48" i="11" s="1"/>
  <c r="C25" i="11"/>
  <c r="AM282" i="1" l="1"/>
  <c r="AM190" i="1" l="1"/>
  <c r="AK306" i="1" l="1"/>
  <c r="AI277" i="1"/>
  <c r="AI266" i="1"/>
  <c r="AK308" i="1" l="1"/>
  <c r="AD254" i="1"/>
  <c r="AD306" i="1" s="1"/>
  <c r="AD308" i="1" s="1"/>
  <c r="AI192" i="1"/>
  <c r="AI185" i="1"/>
  <c r="AI182" i="1"/>
  <c r="AI176" i="1"/>
  <c r="AI169" i="1"/>
  <c r="AC306" i="1" l="1"/>
  <c r="AC308" i="1" s="1"/>
  <c r="AI116" i="1"/>
  <c r="AM116" i="1" s="1"/>
  <c r="AJ84" i="1"/>
  <c r="Z306" i="1" l="1"/>
  <c r="Z308" i="1" s="1"/>
  <c r="AJ306" i="1"/>
  <c r="AJ308" i="1" s="1"/>
  <c r="AM92" i="1"/>
  <c r="AH306" i="1" l="1"/>
  <c r="AH308" i="1" s="1"/>
  <c r="AM12" i="1"/>
  <c r="E16" i="5"/>
  <c r="G14" i="11" l="1"/>
  <c r="L14" i="11" s="1"/>
  <c r="I14" i="11"/>
  <c r="J14" i="11" l="1"/>
  <c r="I19" i="11" l="1"/>
  <c r="G19" i="11"/>
  <c r="L19" i="11" s="1"/>
  <c r="J19" i="11" l="1"/>
  <c r="AM35" i="1" l="1"/>
  <c r="AM57" i="1"/>
  <c r="I17" i="11" l="1"/>
  <c r="G17" i="11"/>
  <c r="L17" i="11" s="1"/>
  <c r="I13" i="11" l="1"/>
  <c r="G13" i="11"/>
  <c r="L13" i="11" s="1"/>
  <c r="J17" i="11"/>
  <c r="I15" i="11"/>
  <c r="G15" i="11"/>
  <c r="L15" i="11" s="1"/>
  <c r="E103" i="5"/>
  <c r="E94" i="5"/>
  <c r="E93" i="5"/>
  <c r="AM89" i="1"/>
  <c r="G5" i="11" l="1"/>
  <c r="L5" i="11" s="1"/>
  <c r="J13" i="11"/>
  <c r="J15" i="11"/>
  <c r="E95" i="5"/>
  <c r="E98" i="5"/>
  <c r="E105" i="5"/>
  <c r="E96" i="5"/>
  <c r="E104" i="5"/>
  <c r="E92" i="5"/>
  <c r="E90" i="5"/>
  <c r="E101" i="5"/>
  <c r="I5" i="11"/>
  <c r="G20" i="11"/>
  <c r="G3" i="11" l="1"/>
  <c r="L3" i="11" s="1"/>
  <c r="I3" i="11"/>
  <c r="G12" i="11"/>
  <c r="L12" i="11" s="1"/>
  <c r="I12" i="11"/>
  <c r="J5" i="11"/>
  <c r="G8" i="11"/>
  <c r="L8" i="11" s="1"/>
  <c r="I11" i="11"/>
  <c r="I8" i="11"/>
  <c r="I20" i="11"/>
  <c r="K20" i="11"/>
  <c r="L20" i="11" s="1"/>
  <c r="C35" i="11"/>
  <c r="G10" i="11" l="1"/>
  <c r="L10" i="11" s="1"/>
  <c r="I9" i="11"/>
  <c r="G9" i="11"/>
  <c r="L9" i="11" s="1"/>
  <c r="I7" i="11"/>
  <c r="J12" i="11"/>
  <c r="J8" i="11"/>
  <c r="C36" i="11"/>
  <c r="D36" i="11" s="1"/>
  <c r="J20" i="11"/>
  <c r="G11" i="11"/>
  <c r="L11" i="11" s="1"/>
  <c r="I10" i="11"/>
  <c r="J3" i="11"/>
  <c r="C37" i="11"/>
  <c r="D37" i="11" s="1"/>
  <c r="K22" i="11"/>
  <c r="G7" i="11" l="1"/>
  <c r="L7" i="11" s="1"/>
  <c r="G6" i="11"/>
  <c r="L6" i="11" s="1"/>
  <c r="I6" i="11"/>
  <c r="J9" i="11"/>
  <c r="J10" i="11"/>
  <c r="J11" i="11"/>
  <c r="C51" i="11"/>
  <c r="J7" i="11" l="1"/>
  <c r="J6" i="11"/>
  <c r="I16" i="11"/>
  <c r="G16" i="11"/>
  <c r="AM146" i="1"/>
  <c r="AI211" i="1"/>
  <c r="AE157" i="1"/>
  <c r="AM157" i="1" s="1"/>
  <c r="AM133" i="1"/>
  <c r="AM36" i="1"/>
  <c r="AE306" i="1" l="1"/>
  <c r="AE308" i="1" s="1"/>
  <c r="E43" i="5"/>
  <c r="G22" i="11"/>
  <c r="L22" i="11" s="1"/>
  <c r="L16" i="11"/>
  <c r="I22" i="11"/>
  <c r="J16" i="11"/>
  <c r="Y306" i="1"/>
  <c r="Y308" i="1" s="1"/>
  <c r="C27" i="11"/>
  <c r="C26" i="11"/>
  <c r="A121" i="10"/>
  <c r="A120" i="10"/>
  <c r="C50" i="11" l="1"/>
  <c r="J22" i="11"/>
  <c r="D28" i="11"/>
  <c r="D27" i="11"/>
  <c r="C49" i="11"/>
  <c r="D51" i="11" l="1"/>
  <c r="D50" i="11"/>
  <c r="AB249" i="1" l="1"/>
  <c r="AB236" i="1"/>
  <c r="AB211" i="1"/>
  <c r="AB306" i="1" l="1"/>
  <c r="AB308" i="1" s="1"/>
  <c r="AM70" i="1"/>
  <c r="AI199" i="1" l="1"/>
  <c r="AM199" i="1" l="1"/>
  <c r="AM195" i="1"/>
  <c r="AM194" i="1"/>
  <c r="AM173" i="1"/>
  <c r="C121" i="10" l="1"/>
  <c r="C112" i="10"/>
  <c r="C111" i="10"/>
  <c r="E140" i="5"/>
  <c r="C114" i="10" l="1"/>
  <c r="AM172" i="1" l="1"/>
  <c r="C98" i="10" l="1"/>
  <c r="C120" i="10"/>
  <c r="AM139" i="1"/>
  <c r="AI131" i="1"/>
  <c r="AM131" i="1" l="1"/>
  <c r="C116" i="10" l="1"/>
  <c r="C115" i="10"/>
  <c r="AM62" i="1"/>
  <c r="C43" i="10" l="1"/>
  <c r="AM144" i="1"/>
  <c r="E116" i="5" l="1"/>
  <c r="AM178" i="1" l="1"/>
  <c r="AM177" i="1"/>
  <c r="AM176" i="1"/>
  <c r="AM175" i="1"/>
  <c r="AM174" i="1"/>
  <c r="AM171" i="1"/>
  <c r="AM170" i="1"/>
  <c r="AM169" i="1"/>
  <c r="AM167" i="1"/>
  <c r="AM166" i="1"/>
  <c r="AM168" i="1"/>
  <c r="C102" i="10" l="1"/>
  <c r="C100" i="10"/>
  <c r="C99" i="10"/>
  <c r="C97" i="10"/>
  <c r="E127" i="5"/>
  <c r="E125" i="5"/>
  <c r="E129" i="5"/>
  <c r="C101" i="10"/>
  <c r="C95" i="10"/>
  <c r="C94" i="10"/>
  <c r="C96" i="10"/>
  <c r="C67" i="10" l="1"/>
  <c r="AI115" i="1" l="1"/>
  <c r="AM115" i="1" s="1"/>
  <c r="AM117" i="1"/>
  <c r="AI114" i="1"/>
  <c r="AM114" i="1" s="1"/>
  <c r="E102" i="5" l="1"/>
  <c r="AM191" i="1" l="1"/>
  <c r="AM63" i="1"/>
  <c r="AM66" i="1"/>
  <c r="AM65" i="1"/>
  <c r="AM64" i="1"/>
  <c r="AM61" i="1"/>
  <c r="AM60" i="1"/>
  <c r="AM59" i="1"/>
  <c r="AM58" i="1"/>
  <c r="C44" i="10"/>
  <c r="C30" i="10"/>
  <c r="C10" i="10"/>
  <c r="AM11" i="1"/>
  <c r="AM10" i="1"/>
  <c r="AM9" i="1"/>
  <c r="AM8" i="1"/>
  <c r="D19" i="12" l="1"/>
  <c r="D13" i="12"/>
  <c r="D21" i="12"/>
  <c r="E134" i="5"/>
  <c r="C6" i="10"/>
  <c r="C7" i="10"/>
  <c r="E69" i="5"/>
  <c r="C5" i="10"/>
  <c r="E10" i="5"/>
  <c r="E72" i="5"/>
  <c r="C45" i="10"/>
  <c r="E67" i="5"/>
  <c r="C46" i="10"/>
  <c r="C117" i="10"/>
  <c r="C47" i="10"/>
  <c r="C8" i="10"/>
  <c r="C4" i="10" l="1"/>
  <c r="E68" i="5"/>
  <c r="E71" i="5"/>
  <c r="E70" i="5" s="1"/>
  <c r="E66" i="5"/>
  <c r="E65" i="5" l="1"/>
  <c r="D44" i="9"/>
  <c r="AM299" i="1"/>
  <c r="AM300" i="1"/>
  <c r="AM301" i="1"/>
  <c r="AM71" i="1" l="1"/>
  <c r="C29" i="10" l="1"/>
  <c r="AM260" i="1"/>
  <c r="AM261" i="1"/>
  <c r="AM281" i="1" l="1"/>
  <c r="AM283" i="1"/>
  <c r="AM284" i="1"/>
  <c r="AM285" i="1"/>
  <c r="AM272" i="1"/>
  <c r="AM273" i="1"/>
  <c r="AM274" i="1"/>
  <c r="AM275" i="1"/>
  <c r="AM263" i="1"/>
  <c r="AM264" i="1"/>
  <c r="AM265" i="1"/>
  <c r="AM266" i="1"/>
  <c r="AM267" i="1"/>
  <c r="AM268" i="1"/>
  <c r="AM269" i="1"/>
  <c r="AM270" i="1"/>
  <c r="C89" i="10" l="1"/>
  <c r="C148" i="10"/>
  <c r="C90" i="10"/>
  <c r="C88" i="10"/>
  <c r="E17" i="5"/>
  <c r="AM43" i="1" l="1"/>
  <c r="AM258" i="1" l="1"/>
  <c r="AM76" i="1" l="1"/>
  <c r="AM165" i="1" l="1"/>
  <c r="E120" i="5" l="1"/>
  <c r="C92" i="10"/>
  <c r="E119" i="5" l="1"/>
  <c r="E118" i="5" s="1"/>
  <c r="E15" i="5" l="1"/>
  <c r="E14" i="5" s="1"/>
  <c r="E13" i="5" s="1"/>
  <c r="C4" i="11" s="1"/>
  <c r="C87" i="10"/>
  <c r="C85" i="10"/>
  <c r="C86" i="10"/>
  <c r="C77" i="10"/>
  <c r="AM69" i="1" l="1"/>
  <c r="AM13" i="1"/>
  <c r="AM305" i="1"/>
  <c r="AM304" i="1"/>
  <c r="AM303" i="1"/>
  <c r="AM302" i="1"/>
  <c r="AM298" i="1"/>
  <c r="AM297" i="1"/>
  <c r="AM296" i="1"/>
  <c r="AM295" i="1"/>
  <c r="AM294" i="1"/>
  <c r="AM292" i="1"/>
  <c r="AM291" i="1"/>
  <c r="AM290" i="1"/>
  <c r="AM288" i="1"/>
  <c r="AM287" i="1"/>
  <c r="AM286" i="1"/>
  <c r="AM280" i="1"/>
  <c r="AM279" i="1"/>
  <c r="AM278" i="1"/>
  <c r="AM277" i="1"/>
  <c r="AM276" i="1"/>
  <c r="AM271" i="1"/>
  <c r="AM262" i="1"/>
  <c r="AM255" i="1"/>
  <c r="AM254" i="1"/>
  <c r="AM252" i="1"/>
  <c r="AM250" i="1"/>
  <c r="AM249" i="1"/>
  <c r="AM247" i="1"/>
  <c r="AM246" i="1"/>
  <c r="AM245" i="1"/>
  <c r="AM244" i="1"/>
  <c r="AI241" i="1"/>
  <c r="AM239" i="1"/>
  <c r="AM238" i="1"/>
  <c r="AM237" i="1"/>
  <c r="AM236" i="1"/>
  <c r="AM235" i="1"/>
  <c r="AM234" i="1"/>
  <c r="AM233" i="1"/>
  <c r="AM232" i="1"/>
  <c r="AM231" i="1"/>
  <c r="AM230" i="1"/>
  <c r="AM229" i="1"/>
  <c r="AM228" i="1"/>
  <c r="AM227" i="1"/>
  <c r="AM226" i="1"/>
  <c r="AM225" i="1"/>
  <c r="AM224" i="1"/>
  <c r="AM223" i="1"/>
  <c r="AM222" i="1"/>
  <c r="AM221" i="1"/>
  <c r="AM220" i="1"/>
  <c r="AM219" i="1"/>
  <c r="AM218" i="1"/>
  <c r="AM217" i="1"/>
  <c r="AM216" i="1"/>
  <c r="AM215" i="1"/>
  <c r="AM214" i="1"/>
  <c r="AM213" i="1"/>
  <c r="AM212" i="1"/>
  <c r="AM211" i="1"/>
  <c r="AM210" i="1"/>
  <c r="AM209" i="1"/>
  <c r="AM208" i="1"/>
  <c r="AM207" i="1"/>
  <c r="AM205" i="1"/>
  <c r="AM203" i="1"/>
  <c r="AI201" i="1"/>
  <c r="AM201" i="1" s="1"/>
  <c r="AM193" i="1"/>
  <c r="AM192" i="1"/>
  <c r="AM189" i="1"/>
  <c r="AM188" i="1"/>
  <c r="AM187" i="1"/>
  <c r="AM186" i="1"/>
  <c r="AM185" i="1"/>
  <c r="AM184" i="1"/>
  <c r="AM183" i="1"/>
  <c r="AM182" i="1"/>
  <c r="AM181" i="1"/>
  <c r="AM180" i="1"/>
  <c r="AM179" i="1"/>
  <c r="AM129" i="1"/>
  <c r="AM128" i="1"/>
  <c r="C80" i="10"/>
  <c r="C78" i="10"/>
  <c r="C75" i="10"/>
  <c r="C74" i="10"/>
  <c r="C72" i="10"/>
  <c r="D26" i="9"/>
  <c r="C64" i="10"/>
  <c r="AM88" i="1"/>
  <c r="AM87" i="1"/>
  <c r="AM86" i="1"/>
  <c r="AM82" i="1"/>
  <c r="AM83" i="1"/>
  <c r="AM81" i="1"/>
  <c r="AM80" i="1"/>
  <c r="AM79" i="1"/>
  <c r="AM78" i="1"/>
  <c r="AM77" i="1"/>
  <c r="AM75" i="1"/>
  <c r="AM74" i="1"/>
  <c r="AM72" i="1"/>
  <c r="AM68" i="1"/>
  <c r="AM56" i="1"/>
  <c r="AM55" i="1"/>
  <c r="AM54" i="1"/>
  <c r="AM53" i="1"/>
  <c r="AM52" i="1"/>
  <c r="AM51" i="1"/>
  <c r="AM50" i="1"/>
  <c r="AM49" i="1"/>
  <c r="AM48" i="1"/>
  <c r="AM46" i="1"/>
  <c r="AM45" i="1"/>
  <c r="AM44" i="1"/>
  <c r="AM42" i="1"/>
  <c r="AM41" i="1"/>
  <c r="AM40" i="1"/>
  <c r="AM39" i="1"/>
  <c r="AM38" i="1"/>
  <c r="AM37" i="1"/>
  <c r="AM34" i="1"/>
  <c r="AM33" i="1"/>
  <c r="AM30" i="1"/>
  <c r="AM29" i="1"/>
  <c r="AM27" i="1"/>
  <c r="AM26" i="1"/>
  <c r="AM25" i="1"/>
  <c r="AM24" i="1"/>
  <c r="AM23" i="1"/>
  <c r="AM22" i="1"/>
  <c r="AM21" i="1"/>
  <c r="AM20" i="1"/>
  <c r="AM19" i="1"/>
  <c r="AM18" i="1"/>
  <c r="AM17" i="1"/>
  <c r="C14" i="10"/>
  <c r="C13" i="10"/>
  <c r="AM14" i="1"/>
  <c r="D10" i="12" l="1"/>
  <c r="D11" i="12"/>
  <c r="D23" i="12"/>
  <c r="E145" i="5"/>
  <c r="D6" i="12"/>
  <c r="D33" i="12"/>
  <c r="D32" i="12"/>
  <c r="D30" i="12"/>
  <c r="D24" i="12"/>
  <c r="D20" i="12"/>
  <c r="D16" i="12"/>
  <c r="D15" i="12"/>
  <c r="D9" i="12"/>
  <c r="D7" i="12"/>
  <c r="E178" i="5"/>
  <c r="E173" i="5"/>
  <c r="C157" i="10"/>
  <c r="C140" i="10"/>
  <c r="C137" i="10"/>
  <c r="C141" i="10"/>
  <c r="C139" i="10"/>
  <c r="C138" i="10"/>
  <c r="C126" i="10"/>
  <c r="C106" i="10"/>
  <c r="C105" i="10"/>
  <c r="C104" i="10"/>
  <c r="C108" i="10"/>
  <c r="E78" i="5"/>
  <c r="C51" i="10"/>
  <c r="E64" i="5"/>
  <c r="E55" i="5"/>
  <c r="E50" i="5"/>
  <c r="C28" i="10"/>
  <c r="E31" i="5"/>
  <c r="E33" i="5"/>
  <c r="E27" i="5"/>
  <c r="E35" i="5"/>
  <c r="C19" i="10"/>
  <c r="C16" i="10"/>
  <c r="AI306" i="1"/>
  <c r="AI308" i="1" s="1"/>
  <c r="E29" i="5"/>
  <c r="E46" i="5"/>
  <c r="E131" i="5"/>
  <c r="E180" i="5"/>
  <c r="E185" i="5"/>
  <c r="C38" i="10"/>
  <c r="E57" i="5"/>
  <c r="E61" i="5"/>
  <c r="C81" i="10"/>
  <c r="E110" i="5"/>
  <c r="C118" i="10"/>
  <c r="E136" i="5"/>
  <c r="C147" i="10"/>
  <c r="E152" i="5"/>
  <c r="C18" i="10"/>
  <c r="E22" i="5"/>
  <c r="C31" i="10"/>
  <c r="E45" i="5"/>
  <c r="C33" i="10"/>
  <c r="E49" i="5"/>
  <c r="C39" i="10"/>
  <c r="E59" i="5"/>
  <c r="C41" i="10"/>
  <c r="E62" i="5"/>
  <c r="C49" i="10"/>
  <c r="E85" i="5"/>
  <c r="C82" i="10"/>
  <c r="E111" i="5"/>
  <c r="C149" i="10"/>
  <c r="E153" i="5"/>
  <c r="C151" i="10"/>
  <c r="E157" i="5"/>
  <c r="E167" i="5"/>
  <c r="C12" i="10"/>
  <c r="E130" i="5"/>
  <c r="C119" i="10"/>
  <c r="E139" i="5"/>
  <c r="E156" i="5"/>
  <c r="C152" i="10"/>
  <c r="E160" i="5"/>
  <c r="C156" i="10"/>
  <c r="E168" i="5"/>
  <c r="C103" i="10"/>
  <c r="C110" i="10"/>
  <c r="C32" i="10"/>
  <c r="C40" i="10"/>
  <c r="C60" i="10"/>
  <c r="C62" i="10"/>
  <c r="C63" i="10"/>
  <c r="C69" i="10"/>
  <c r="C113" i="10"/>
  <c r="C124" i="10"/>
  <c r="C125" i="10"/>
  <c r="C131" i="10"/>
  <c r="C132" i="10"/>
  <c r="C150" i="10"/>
  <c r="C162" i="10"/>
  <c r="C164" i="10"/>
  <c r="C52" i="10"/>
  <c r="D39" i="9"/>
  <c r="C76" i="10"/>
  <c r="D11" i="9"/>
  <c r="C91" i="10"/>
  <c r="C11" i="10"/>
  <c r="C24" i="10"/>
  <c r="C25" i="10"/>
  <c r="C15" i="10"/>
  <c r="C21" i="10"/>
  <c r="C22" i="10"/>
  <c r="C23" i="10"/>
  <c r="C34" i="10"/>
  <c r="C36" i="10"/>
  <c r="C42" i="10"/>
  <c r="C54" i="10"/>
  <c r="C55" i="10"/>
  <c r="C56" i="10"/>
  <c r="C61" i="10"/>
  <c r="C65" i="10"/>
  <c r="C66" i="10"/>
  <c r="D27" i="9"/>
  <c r="C68" i="10"/>
  <c r="C70" i="10"/>
  <c r="C71" i="10"/>
  <c r="C107" i="10"/>
  <c r="C109" i="10"/>
  <c r="C127" i="10"/>
  <c r="C128" i="10"/>
  <c r="C129" i="10"/>
  <c r="C130" i="10"/>
  <c r="C133" i="10"/>
  <c r="C136" i="10"/>
  <c r="C155" i="10"/>
  <c r="C159" i="10"/>
  <c r="C161" i="10"/>
  <c r="D41" i="9"/>
  <c r="E133" i="5"/>
  <c r="AM241" i="1"/>
  <c r="AM256" i="1"/>
  <c r="D25" i="9"/>
  <c r="D29" i="9"/>
  <c r="D28" i="9"/>
  <c r="AM47" i="1"/>
  <c r="D4" i="12" s="1"/>
  <c r="E126" i="5"/>
  <c r="AM293" i="1"/>
  <c r="AM84" i="1"/>
  <c r="E83" i="5" s="1"/>
  <c r="C58" i="10"/>
  <c r="AM251" i="1"/>
  <c r="AM32" i="1"/>
  <c r="AM253" i="1"/>
  <c r="AM73" i="1"/>
  <c r="AM242" i="1"/>
  <c r="C73" i="10"/>
  <c r="D29" i="12" l="1"/>
  <c r="D14" i="12"/>
  <c r="D18" i="12"/>
  <c r="C134" i="10"/>
  <c r="C143" i="10"/>
  <c r="D8" i="12"/>
  <c r="E109" i="5"/>
  <c r="E108" i="5" s="1"/>
  <c r="E107" i="5" s="1"/>
  <c r="C11" i="11" s="1"/>
  <c r="D5" i="12"/>
  <c r="AM307" i="1"/>
  <c r="C135" i="10"/>
  <c r="C142" i="10"/>
  <c r="E34" i="5"/>
  <c r="E28" i="5"/>
  <c r="E32" i="5"/>
  <c r="E30" i="5"/>
  <c r="D31" i="12"/>
  <c r="C57" i="10"/>
  <c r="E56" i="5"/>
  <c r="E41" i="5"/>
  <c r="AM306" i="1"/>
  <c r="D6" i="9"/>
  <c r="D43" i="9"/>
  <c r="C123" i="10"/>
  <c r="C17" i="10"/>
  <c r="D13" i="9"/>
  <c r="C160" i="10"/>
  <c r="E175" i="5"/>
  <c r="E147" i="5"/>
  <c r="C79" i="10"/>
  <c r="E146" i="5"/>
  <c r="E77" i="5"/>
  <c r="D55" i="9"/>
  <c r="E9" i="5"/>
  <c r="E8" i="5" s="1"/>
  <c r="E7" i="5" s="1"/>
  <c r="E166" i="5"/>
  <c r="E165" i="5" s="1"/>
  <c r="E164" i="5" s="1"/>
  <c r="C17" i="11" s="1"/>
  <c r="M17" i="11" s="1"/>
  <c r="N17" i="11" s="1"/>
  <c r="D33" i="9"/>
  <c r="D23" i="9"/>
  <c r="E89" i="5"/>
  <c r="D16" i="9"/>
  <c r="E60" i="5"/>
  <c r="D17" i="9"/>
  <c r="C145" i="10"/>
  <c r="C144" i="10"/>
  <c r="D19" i="9"/>
  <c r="D15" i="9"/>
  <c r="C84" i="10"/>
  <c r="C154" i="10"/>
  <c r="C163" i="10"/>
  <c r="C146" i="10"/>
  <c r="E26" i="5"/>
  <c r="E177" i="5"/>
  <c r="E63" i="5"/>
  <c r="C93" i="10"/>
  <c r="C59" i="10"/>
  <c r="C27" i="10"/>
  <c r="C37" i="10"/>
  <c r="C9" i="10"/>
  <c r="C50" i="10"/>
  <c r="D20" i="9"/>
  <c r="D24" i="9"/>
  <c r="E138" i="5"/>
  <c r="E137" i="5" s="1"/>
  <c r="E97" i="5"/>
  <c r="E58" i="5"/>
  <c r="E48" i="5"/>
  <c r="E47" i="5" s="1"/>
  <c r="E155" i="5"/>
  <c r="E154" i="5" s="1"/>
  <c r="E151" i="5"/>
  <c r="E150" i="5" s="1"/>
  <c r="E128" i="5"/>
  <c r="E135" i="5"/>
  <c r="E132" i="5" s="1"/>
  <c r="E159" i="5"/>
  <c r="E158" i="5" s="1"/>
  <c r="E179" i="5"/>
  <c r="E44" i="5"/>
  <c r="E124" i="5"/>
  <c r="E42" i="5"/>
  <c r="E21" i="5"/>
  <c r="E20" i="5" s="1"/>
  <c r="C3" i="11" l="1"/>
  <c r="F3" i="11" s="1"/>
  <c r="E19" i="5"/>
  <c r="C5" i="11" s="1"/>
  <c r="AM308" i="1"/>
  <c r="E25" i="5"/>
  <c r="D17" i="12"/>
  <c r="D30" i="9"/>
  <c r="D28" i="12"/>
  <c r="D22" i="12"/>
  <c r="D3" i="12"/>
  <c r="C53" i="10"/>
  <c r="C158" i="10"/>
  <c r="E144" i="5"/>
  <c r="E143" i="5" s="1"/>
  <c r="C122" i="10"/>
  <c r="D54" i="9"/>
  <c r="E172" i="5"/>
  <c r="M11" i="11"/>
  <c r="N11" i="11" s="1"/>
  <c r="F11" i="11"/>
  <c r="H11" i="11"/>
  <c r="F17" i="11"/>
  <c r="H17" i="11"/>
  <c r="M4" i="11"/>
  <c r="N4" i="11" s="1"/>
  <c r="F4" i="11"/>
  <c r="H4" i="11"/>
  <c r="E176" i="5"/>
  <c r="E88" i="5"/>
  <c r="E76" i="5"/>
  <c r="E75" i="5" s="1"/>
  <c r="D37" i="9"/>
  <c r="E149" i="5"/>
  <c r="C15" i="11" s="1"/>
  <c r="E123" i="5"/>
  <c r="E122" i="5" s="1"/>
  <c r="C13" i="11" s="1"/>
  <c r="D9" i="9"/>
  <c r="C83" i="10"/>
  <c r="C20" i="10"/>
  <c r="C48" i="10"/>
  <c r="C35" i="10"/>
  <c r="D4" i="9"/>
  <c r="D57" i="9"/>
  <c r="D21" i="9"/>
  <c r="D14" i="9"/>
  <c r="D40" i="9"/>
  <c r="D59" i="9"/>
  <c r="D46" i="9"/>
  <c r="D12" i="9"/>
  <c r="D47" i="9"/>
  <c r="D42" i="9"/>
  <c r="D32" i="9"/>
  <c r="D34" i="9"/>
  <c r="D48" i="9"/>
  <c r="D18" i="9"/>
  <c r="E82" i="5"/>
  <c r="E84" i="5"/>
  <c r="E115" i="5"/>
  <c r="E114" i="5" s="1"/>
  <c r="E113" i="5" s="1"/>
  <c r="E174" i="5"/>
  <c r="E100" i="5"/>
  <c r="E99" i="5" s="1"/>
  <c r="M3" i="11" l="1"/>
  <c r="N3" i="11" s="1"/>
  <c r="H3" i="11"/>
  <c r="H5" i="11"/>
  <c r="F5" i="11"/>
  <c r="M5" i="11"/>
  <c r="N5" i="11" s="1"/>
  <c r="E142" i="5"/>
  <c r="C14" i="11" s="1"/>
  <c r="C12" i="11"/>
  <c r="E87" i="5"/>
  <c r="C10" i="11" s="1"/>
  <c r="M10" i="11" s="1"/>
  <c r="N10" i="11" s="1"/>
  <c r="E74" i="5"/>
  <c r="C8" i="11" s="1"/>
  <c r="D12" i="12"/>
  <c r="D34" i="12"/>
  <c r="C165" i="10"/>
  <c r="M15" i="11"/>
  <c r="N15" i="11" s="1"/>
  <c r="D58" i="9"/>
  <c r="E184" i="5"/>
  <c r="E183" i="5" s="1"/>
  <c r="E182" i="5" s="1"/>
  <c r="C19" i="11" s="1"/>
  <c r="D5" i="9"/>
  <c r="E54" i="5"/>
  <c r="E53" i="5" s="1"/>
  <c r="E52" i="5" s="1"/>
  <c r="C7" i="11" s="1"/>
  <c r="M7" i="11" s="1"/>
  <c r="N7" i="11" s="1"/>
  <c r="E81" i="5"/>
  <c r="E80" i="5" s="1"/>
  <c r="C9" i="11" s="1"/>
  <c r="H9" i="11" s="1"/>
  <c r="E171" i="5"/>
  <c r="E170" i="5" s="1"/>
  <c r="C18" i="11" s="1"/>
  <c r="F18" i="11" s="1"/>
  <c r="D7" i="9"/>
  <c r="D36" i="9"/>
  <c r="E40" i="5"/>
  <c r="E39" i="5" s="1"/>
  <c r="E24" i="5" s="1"/>
  <c r="C153" i="10"/>
  <c r="D10" i="9"/>
  <c r="D38" i="9"/>
  <c r="D53" i="9"/>
  <c r="D31" i="9"/>
  <c r="D45" i="9"/>
  <c r="D8" i="9"/>
  <c r="E162" i="5" l="1"/>
  <c r="M8" i="11"/>
  <c r="N8" i="11" s="1"/>
  <c r="H8" i="11"/>
  <c r="F8" i="11"/>
  <c r="D25" i="12"/>
  <c r="C6" i="11"/>
  <c r="F9" i="11"/>
  <c r="H10" i="11"/>
  <c r="F10" i="11"/>
  <c r="H7" i="11"/>
  <c r="F7" i="11"/>
  <c r="M9" i="11"/>
  <c r="N9" i="11" s="1"/>
  <c r="M18" i="11"/>
  <c r="N18" i="11" s="1"/>
  <c r="H18" i="11"/>
  <c r="F19" i="11"/>
  <c r="M19" i="11"/>
  <c r="N19" i="11" s="1"/>
  <c r="H19" i="11"/>
  <c r="C20" i="11"/>
  <c r="H20" i="11" s="1"/>
  <c r="H15" i="11"/>
  <c r="F15" i="11"/>
  <c r="E187" i="5"/>
  <c r="D56" i="9"/>
  <c r="M13" i="11"/>
  <c r="N13" i="11" s="1"/>
  <c r="F13" i="11"/>
  <c r="H13" i="11"/>
  <c r="M12" i="11"/>
  <c r="N12" i="11" s="1"/>
  <c r="F12" i="11"/>
  <c r="H12" i="11"/>
  <c r="C166" i="10"/>
  <c r="D52" i="9"/>
  <c r="D35" i="9"/>
  <c r="D3" i="9"/>
  <c r="D6" i="8"/>
  <c r="D22" i="9"/>
  <c r="E189" i="5" l="1"/>
  <c r="D36" i="12"/>
  <c r="H6" i="11"/>
  <c r="M6" i="11"/>
  <c r="N6" i="11" s="1"/>
  <c r="F6" i="11"/>
  <c r="F20" i="11"/>
  <c r="M20" i="11"/>
  <c r="N20" i="11" s="1"/>
  <c r="C33" i="11"/>
  <c r="D34" i="11" s="1"/>
  <c r="D17" i="8"/>
  <c r="M14" i="11"/>
  <c r="N14" i="11" s="1"/>
  <c r="F14" i="11"/>
  <c r="H14" i="11"/>
  <c r="C16" i="11"/>
  <c r="C24" i="11" s="1"/>
  <c r="D24" i="11" s="1"/>
  <c r="D60" i="9"/>
  <c r="D4" i="8"/>
  <c r="D5" i="8"/>
  <c r="D16" i="8"/>
  <c r="D3" i="8"/>
  <c r="D49" i="9"/>
  <c r="D35" i="8"/>
  <c r="C22" i="11" l="1"/>
  <c r="H16" i="11"/>
  <c r="C38" i="11"/>
  <c r="D38" i="11" s="1"/>
  <c r="D33" i="11"/>
  <c r="D35" i="11"/>
  <c r="M16" i="11"/>
  <c r="F16" i="11"/>
  <c r="D32" i="8"/>
  <c r="D33" i="8"/>
  <c r="D18" i="8"/>
  <c r="D34" i="8"/>
  <c r="D7" i="8"/>
  <c r="D62" i="9"/>
  <c r="C29" i="11" l="1"/>
  <c r="D29" i="11" s="1"/>
  <c r="N16" i="11"/>
  <c r="M22" i="11"/>
  <c r="C47" i="11"/>
  <c r="F22" i="11"/>
  <c r="H22" i="11"/>
  <c r="D25" i="11"/>
  <c r="D26" i="11"/>
  <c r="D36" i="8"/>
  <c r="C52" i="11" l="1"/>
  <c r="D52" i="11" s="1"/>
  <c r="N22" i="11"/>
  <c r="D48" i="11"/>
  <c r="D47" i="11"/>
  <c r="D49" i="11"/>
</calcChain>
</file>

<file path=xl/sharedStrings.xml><?xml version="1.0" encoding="utf-8"?>
<sst xmlns="http://schemas.openxmlformats.org/spreadsheetml/2006/main" count="5553" uniqueCount="1667">
  <si>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</si>
  <si>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</si>
  <si>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</si>
  <si>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</si>
  <si>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</si>
  <si>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</si>
  <si>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</si>
  <si>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</si>
  <si>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</si>
  <si>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</si>
  <si>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</si>
  <si>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</si>
  <si>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TOTAL RECURSOS</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</si>
  <si>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</si>
  <si>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</si>
  <si>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</si>
  <si>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</si>
  <si>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</si>
  <si>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</si>
  <si>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</si>
  <si>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</si>
  <si>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</si>
  <si>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</si>
  <si>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</si>
  <si>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</si>
  <si>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</si>
  <si>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CONTRIBUCION ESPECIAL
(FONDO DE SEGURIDAD 5%) 
 </t>
  </si>
  <si>
    <t xml:space="preserve">SOBRETASA AL ACPM  
</t>
  </si>
  <si>
    <t xml:space="preserve">MONOPOLIO EDUCACIÓN Y SALUD  51% DESTINACION ESPECIFICA
 </t>
  </si>
  <si>
    <t xml:space="preserve">SGP SALÚD PUBLICA - PRESTACIÓN DE SERVICIOS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</si>
  <si>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</si>
  <si>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</si>
  <si>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</si>
  <si>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</si>
  <si>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EXTRACCION MATERIAL RIO  </t>
  </si>
  <si>
    <t>NACIÓN  - COFINANCIACIÓN
CONV ANTICONTRABANDO</t>
  </si>
  <si>
    <t xml:space="preserve">304 -SECRETARÍA ADMINISTRATIVA </t>
  </si>
  <si>
    <t xml:space="preserve">LIDERAZGO, GOBERNABILIDAD Y TRANSPARENCIA </t>
  </si>
  <si>
    <t>Gobierno territorial</t>
  </si>
  <si>
    <t>Fortalecimiento a la gestión y dirección de la administración pública territorial "Quindío con una administración al servicio de la ciudadanía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</si>
  <si>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</si>
  <si>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</si>
  <si>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</si>
  <si>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</si>
  <si>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</si>
  <si>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</si>
  <si>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202000363-0006</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</si>
  <si>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</si>
  <si>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</si>
  <si>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</si>
  <si>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</si>
  <si>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</si>
  <si>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202000363-0007</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</si>
  <si>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</si>
  <si>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</si>
  <si>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</si>
  <si>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</si>
  <si>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</si>
  <si>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202000363-0041</t>
  </si>
  <si>
    <t xml:space="preserve">Implementación de un programa de modernización  de la gestión Administrativa  de la Administración Departamental del Quindío. "TÚ y YO SOMOS QUINDÍO" </t>
  </si>
  <si>
    <t>Fortalecimiento del buen gobierno para el respeto y garantía de los derechos humanos.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</si>
  <si>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</si>
  <si>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</si>
  <si>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</si>
  <si>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</si>
  <si>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</si>
  <si>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202000363-0005</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</si>
  <si>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</si>
  <si>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</si>
  <si>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</si>
  <si>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</si>
  <si>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</si>
  <si>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</si>
  <si>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</si>
  <si>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</si>
  <si>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202000363-0042</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</si>
  <si>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</si>
  <si>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</si>
  <si>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</si>
  <si>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</si>
  <si>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202000363-0043</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</si>
  <si>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</si>
  <si>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</si>
  <si>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</si>
  <si>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</si>
  <si>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</si>
  <si>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</si>
  <si>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202000363-0044</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</si>
  <si>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</si>
  <si>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</si>
  <si>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</si>
  <si>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</si>
  <si>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</si>
  <si>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</si>
  <si>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202000363-0045</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</si>
  <si>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</si>
  <si>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</si>
  <si>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</si>
  <si>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202000363-0046</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</si>
  <si>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</si>
  <si>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</si>
  <si>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</si>
  <si>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</si>
  <si>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</si>
  <si>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</si>
  <si>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</si>
  <si>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202000363-0047</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</si>
  <si>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</si>
  <si>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</si>
  <si>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</si>
  <si>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</si>
  <si>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</si>
  <si>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</si>
  <si>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</si>
  <si>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</si>
  <si>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</si>
  <si>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</si>
  <si>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</si>
  <si>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202000363-0008</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</si>
  <si>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</si>
  <si>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</si>
  <si>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307 SECRETARÍA DE HACIENDA</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</si>
  <si>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</si>
  <si>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</si>
  <si>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</si>
  <si>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</si>
  <si>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202000363-0048</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</si>
  <si>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</si>
  <si>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</si>
  <si>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</si>
  <si>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</si>
  <si>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</si>
  <si>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202000363-0049</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</si>
  <si>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</si>
  <si>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</si>
  <si>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</si>
  <si>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 xml:space="preserve">INCLUSIÓN SOCIAL Y EQUIDAD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</si>
  <si>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</si>
  <si>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</si>
  <si>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</si>
  <si>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</si>
  <si>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</si>
  <si>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</si>
  <si>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</si>
  <si>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202000363-0017</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</si>
  <si>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</si>
  <si>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</si>
  <si>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</si>
  <si>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Aseguramiento y Prestación integral de servicios de salud "Tú y yo con servicios de salud"</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</si>
  <si>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</si>
  <si>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</si>
  <si>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</si>
  <si>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</si>
  <si>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202000363-0018</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</si>
  <si>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</si>
  <si>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</si>
  <si>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</si>
  <si>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</si>
  <si>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</si>
  <si>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</si>
  <si>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</si>
  <si>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</si>
  <si>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</si>
  <si>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202000363-0050</t>
  </si>
  <si>
    <t xml:space="preserve"> 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</si>
  <si>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</si>
  <si>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</si>
  <si>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</si>
  <si>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</si>
  <si>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</si>
  <si>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</si>
  <si>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</si>
  <si>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</si>
  <si>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202000363-0051</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</si>
  <si>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</si>
  <si>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</si>
  <si>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</si>
  <si>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Fomento a la recreación, la actividad física y el deporte para desarrollar entornos de convivencia y paz "Tú y yo en la recreación y en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</si>
  <si>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</si>
  <si>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</si>
  <si>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</si>
  <si>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</si>
  <si>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</si>
  <si>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202000363-0052</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</si>
  <si>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</si>
  <si>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</si>
  <si>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</si>
  <si>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</si>
  <si>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</si>
  <si>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</si>
  <si>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</si>
  <si>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</si>
  <si>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</si>
  <si>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202000363-0053</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</si>
  <si>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</si>
  <si>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</si>
  <si>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</si>
  <si>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</si>
  <si>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</si>
  <si>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</si>
  <si>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</si>
  <si>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</si>
  <si>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</si>
  <si>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</si>
  <si>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202000363-0054</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</si>
  <si>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</si>
  <si>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</si>
  <si>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</si>
  <si>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</si>
  <si>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</si>
  <si>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</si>
  <si>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</si>
  <si>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</si>
  <si>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202000363-0055</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</si>
  <si>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</si>
  <si>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</si>
  <si>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</si>
  <si>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</si>
  <si>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202000363-0056</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</si>
  <si>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</si>
  <si>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</si>
  <si>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</si>
  <si>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</si>
  <si>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</si>
  <si>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</si>
  <si>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</si>
  <si>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</si>
  <si>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202000363-0057</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</si>
  <si>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</si>
  <si>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</si>
  <si>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</si>
  <si>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</si>
  <si>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</si>
  <si>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</si>
  <si>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</si>
  <si>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</si>
  <si>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202000363-0014</t>
  </si>
  <si>
    <t xml:space="preserve"> 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</si>
  <si>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</si>
  <si>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</si>
  <si>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</si>
  <si>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</si>
  <si>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</si>
  <si>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</si>
  <si>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</si>
  <si>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</si>
  <si>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</si>
  <si>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</si>
  <si>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</si>
  <si>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</si>
  <si>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</si>
  <si>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</si>
  <si>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</si>
  <si>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</si>
  <si>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202000363-0058</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</si>
  <si>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</si>
  <si>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</si>
  <si>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</si>
  <si>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202000363-0059</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</si>
  <si>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</si>
  <si>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</si>
  <si>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</si>
  <si>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</si>
  <si>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202000363-0060</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</si>
  <si>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</si>
  <si>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</si>
  <si>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</si>
  <si>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</si>
  <si>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202000363-0061</t>
  </si>
  <si>
    <t xml:space="preserve">  Implementación de  métodos  para la resolución de conflictos y el  fortalecimiento de la seguridad de los ciudadanos den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</si>
  <si>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</si>
  <si>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</si>
  <si>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</si>
  <si>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</si>
  <si>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202000363-0062</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</si>
  <si>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</si>
  <si>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</si>
  <si>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</si>
  <si>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</si>
  <si>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</si>
  <si>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</si>
  <si>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202000363-0063</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</si>
  <si>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</si>
  <si>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</si>
  <si>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</si>
  <si>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</si>
  <si>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</si>
  <si>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</si>
  <si>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</si>
  <si>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202000363-0064</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</si>
  <si>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</si>
  <si>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</si>
  <si>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</si>
  <si>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</si>
  <si>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</si>
  <si>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</si>
  <si>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</si>
  <si>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</si>
  <si>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</si>
  <si>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</si>
  <si>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</si>
  <si>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</si>
  <si>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</si>
  <si>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</si>
  <si>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</si>
  <si>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</si>
  <si>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</si>
  <si>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</si>
  <si>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202000363-0065</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</si>
  <si>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</si>
  <si>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</si>
  <si>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</si>
  <si>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</si>
  <si>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</si>
  <si>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</si>
  <si>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</si>
  <si>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202000363-0066</t>
  </si>
  <si>
    <t xml:space="preserve"> Fortalecimiento de los organismos de seguridad del Departamento del Quindío,  para mejorar la convivencia, preservación del orden público y la seguridad ciudadana. </t>
  </si>
  <si>
    <t xml:space="preserve"> 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</si>
  <si>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</si>
  <si>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202000363-0068</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</si>
  <si>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</si>
  <si>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</si>
  <si>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</si>
  <si>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</si>
  <si>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202000363-0069</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</si>
  <si>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</si>
  <si>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</si>
  <si>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</si>
  <si>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</si>
  <si>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</si>
  <si>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202000363-0070</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</si>
  <si>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</si>
  <si>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</si>
  <si>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</si>
  <si>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</si>
  <si>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</si>
  <si>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</si>
  <si>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</si>
  <si>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</si>
  <si>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</si>
  <si>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</si>
  <si>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</si>
  <si>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202000363-0067</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</si>
  <si>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</si>
  <si>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</si>
  <si>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</si>
  <si>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202000363-0071</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</si>
  <si>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</si>
  <si>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</si>
  <si>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</si>
  <si>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</si>
  <si>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</si>
  <si>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</si>
  <si>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</si>
  <si>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</si>
  <si>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</si>
  <si>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</si>
  <si>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</si>
  <si>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</si>
  <si>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.Cobertura en formación artística y cultural
.Tasa de consumo de sustancias sicoactivas por 100.000 habitantes en el departamento del Quindío.</t>
  </si>
  <si>
    <t>Servicio de educación informal en áreas artísticas y culturales</t>
  </si>
  <si>
    <t>202000363-0021</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</si>
  <si>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</si>
  <si>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</si>
  <si>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</si>
  <si>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</si>
  <si>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.Tasa de cumplimiento al Plan de Biocultura en patrimonio y del PCC.
.Tasa de consumo de sustancias sicoactivas por 100.000 habitantes en el departamento del Quindío.</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</si>
  <si>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</si>
  <si>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</si>
  <si>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</si>
  <si>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</si>
  <si>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</si>
  <si>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Tasa de lectura
Tasa de consumo de sustancias sicoactivas por 100.000 habitantes en el departamento del Quindío.</t>
  </si>
  <si>
    <t>Servicios bibliotecarios</t>
  </si>
  <si>
    <t>330108500</t>
  </si>
  <si>
    <t>Usuarios atendidos</t>
  </si>
  <si>
    <t>202000363-0020</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</si>
  <si>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</si>
  <si>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</si>
  <si>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</si>
  <si>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</si>
  <si>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</si>
  <si>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</si>
  <si>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</si>
  <si>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</si>
  <si>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202000363-0072</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</si>
  <si>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</si>
  <si>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</si>
  <si>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</si>
  <si>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</si>
  <si>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</si>
  <si>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</si>
  <si>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</si>
  <si>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202000363-0073</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</si>
  <si>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</si>
  <si>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</si>
  <si>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</si>
  <si>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</si>
  <si>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</si>
  <si>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PRODUCTIVIDAD Y COMPETITIVIDAD</t>
  </si>
  <si>
    <t>Comercio, Industria y Turismo</t>
  </si>
  <si>
    <t xml:space="preserve">Productividad y competitividad de las empresas colombianas. "Tú y yo con empresas competitivas"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</si>
  <si>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</si>
  <si>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</si>
  <si>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</si>
  <si>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</si>
  <si>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202000363-0074</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</si>
  <si>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</si>
  <si>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</si>
  <si>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</si>
  <si>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</si>
  <si>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</si>
  <si>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</si>
  <si>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</si>
  <si>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202000363-0075</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</si>
  <si>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</si>
  <si>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</si>
  <si>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350204700</t>
  </si>
  <si>
    <t>0.7</t>
  </si>
  <si>
    <t>Índice Departamental de Competitividad Turística
Tasa de desempleo</t>
  </si>
  <si>
    <t>Servicio de asistencia técnica a los entes territoriales para el desarrollo turístico</t>
  </si>
  <si>
    <t>350203900</t>
  </si>
  <si>
    <t>202000363-0076</t>
  </si>
  <si>
    <t xml:space="preserve"> 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</si>
  <si>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</si>
  <si>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</si>
  <si>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</si>
  <si>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</si>
  <si>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</si>
  <si>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202000363-0077</t>
  </si>
  <si>
    <t xml:space="preserve"> 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</si>
  <si>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</si>
  <si>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</si>
  <si>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</si>
  <si>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</si>
  <si>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</si>
  <si>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</si>
  <si>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202000363-0078</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</si>
  <si>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</si>
  <si>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</si>
  <si>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</si>
  <si>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</si>
  <si>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</si>
  <si>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</si>
  <si>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</si>
  <si>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</si>
  <si>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</si>
  <si>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</si>
  <si>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</si>
  <si>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</si>
  <si>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</si>
  <si>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</si>
  <si>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</si>
  <si>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</si>
  <si>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</si>
  <si>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</si>
  <si>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202000363-0079</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</si>
  <si>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</si>
  <si>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</si>
  <si>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</si>
  <si>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</si>
  <si>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</si>
  <si>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</si>
  <si>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</si>
  <si>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</si>
  <si>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</si>
  <si>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</si>
  <si>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</si>
  <si>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202000363-0023</t>
  </si>
  <si>
    <t xml:space="preserve"> 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</si>
  <si>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</si>
  <si>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</si>
  <si>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</si>
  <si>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</si>
  <si>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</si>
  <si>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</si>
  <si>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</si>
  <si>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</si>
  <si>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</si>
  <si>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</si>
  <si>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202000363-0080</t>
  </si>
  <si>
    <t xml:space="preserve"> 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</si>
  <si>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</si>
  <si>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</si>
  <si>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</si>
  <si>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</si>
  <si>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</si>
  <si>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202000363-0022</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</si>
  <si>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</si>
  <si>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</si>
  <si>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</si>
  <si>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</si>
  <si>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</si>
  <si>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</si>
  <si>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</si>
  <si>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</si>
  <si>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202000363-0081</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</si>
  <si>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</si>
  <si>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</si>
  <si>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</si>
  <si>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</si>
  <si>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</si>
  <si>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</si>
  <si>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202000363-0082</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</si>
  <si>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</si>
  <si>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</si>
  <si>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</si>
  <si>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</si>
  <si>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</si>
  <si>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202000363-0025</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</si>
  <si>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</si>
  <si>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</si>
  <si>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</si>
  <si>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</si>
  <si>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</si>
  <si>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</si>
  <si>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</si>
  <si>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</si>
  <si>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</si>
  <si>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202000363-0083</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</si>
  <si>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</si>
  <si>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</si>
  <si>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</si>
  <si>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</si>
  <si>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</si>
  <si>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</si>
  <si>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202000363-0084</t>
  </si>
  <si>
    <t xml:space="preserve"> 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</si>
  <si>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</si>
  <si>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</si>
  <si>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</si>
  <si>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</si>
  <si>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202000363-0026</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</si>
  <si>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</si>
  <si>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</si>
  <si>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</si>
  <si>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</si>
  <si>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</si>
  <si>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</si>
  <si>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</si>
  <si>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202000363-0024</t>
  </si>
  <si>
    <t xml:space="preserve"> 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</si>
  <si>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</si>
  <si>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</si>
  <si>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</si>
  <si>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</si>
  <si>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</si>
  <si>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</si>
  <si>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</si>
  <si>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</si>
  <si>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</si>
  <si>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</si>
  <si>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202000363-0085</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</si>
  <si>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</si>
  <si>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</si>
  <si>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</si>
  <si>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</si>
  <si>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</si>
  <si>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</si>
  <si>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</si>
  <si>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</si>
  <si>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202000363-0027</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</si>
  <si>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</si>
  <si>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</si>
  <si>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</si>
  <si>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</si>
  <si>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</si>
  <si>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</si>
  <si>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3202005</t>
  </si>
  <si>
    <t>Servicio de restauración de ecosistemas</t>
  </si>
  <si>
    <t>320200500</t>
  </si>
  <si>
    <t>Áreas en proceso de restauración</t>
  </si>
  <si>
    <t>202000363-0086</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</si>
  <si>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</si>
  <si>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</si>
  <si>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</si>
  <si>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</si>
  <si>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</si>
  <si>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</si>
  <si>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</si>
  <si>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</si>
  <si>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</si>
  <si>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</si>
  <si>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</si>
  <si>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</si>
  <si>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</si>
  <si>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</si>
  <si>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</si>
  <si>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</si>
  <si>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202000363-0028</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</si>
  <si>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</si>
  <si>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</si>
  <si>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</si>
  <si>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</si>
  <si>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202000363-0087</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</si>
  <si>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</si>
  <si>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</si>
  <si>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</si>
  <si>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</si>
  <si>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</si>
  <si>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</si>
  <si>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</si>
  <si>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202000363-0029</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</si>
  <si>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</si>
  <si>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</si>
  <si>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</si>
  <si>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</si>
  <si>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</si>
  <si>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</si>
  <si>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202000363-0030</t>
  </si>
  <si>
    <t xml:space="preserve"> Implementación de acciones de Gestión del Cambio Climático en el marco del PIGCC, en el Departamento del Quindío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</si>
  <si>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</si>
  <si>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</si>
  <si>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</si>
  <si>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</si>
  <si>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</si>
  <si>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</si>
  <si>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</si>
  <si>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</si>
  <si>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</si>
  <si>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</si>
  <si>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</si>
  <si>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202000363-0088</t>
  </si>
  <si>
    <t xml:space="preserve">Implementación de un programa  de protección del  patrimonio ambiental , en paisaje, la biodiversidad y sus servicios ecosistémicos en el Departamento del Quindío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</si>
  <si>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</si>
  <si>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</si>
  <si>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</si>
  <si>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</si>
  <si>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</si>
  <si>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</si>
  <si>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</si>
  <si>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</si>
  <si>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 xml:space="preserve">313 DIRECCIÓN OFICINA PRIVADA </t>
  </si>
  <si>
    <t>Fortalecimiento a la gestión y dirección de la administración pública territorial "Quindío con una administración al servicio de la ciudadanía"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</si>
  <si>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</si>
  <si>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</si>
  <si>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</si>
  <si>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202000363-0089</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</si>
  <si>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</si>
  <si>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</si>
  <si>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</si>
  <si>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</si>
  <si>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202000363-0090</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</si>
  <si>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</si>
  <si>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</si>
  <si>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</si>
  <si>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</si>
  <si>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202000363-0031</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</si>
  <si>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</si>
  <si>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</si>
  <si>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</si>
  <si>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</si>
  <si>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</si>
  <si>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</si>
  <si>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202000363-0091</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</si>
  <si>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</si>
  <si>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</si>
  <si>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</si>
  <si>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</si>
  <si>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</si>
  <si>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</si>
  <si>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</si>
  <si>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</si>
  <si>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</si>
  <si>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</si>
  <si>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</si>
  <si>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</si>
  <si>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</si>
  <si>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</si>
  <si>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</si>
  <si>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</si>
  <si>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</si>
  <si>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</si>
  <si>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</si>
  <si>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</si>
  <si>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</si>
  <si>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</si>
  <si>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</si>
  <si>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</si>
  <si>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</si>
  <si>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</si>
  <si>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</si>
  <si>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</si>
  <si>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202000363-0092</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</si>
  <si>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</si>
  <si>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</si>
  <si>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</si>
  <si>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</si>
  <si>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</si>
  <si>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</si>
  <si>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</si>
  <si>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</si>
  <si>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202000363-0093</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</si>
  <si>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</si>
  <si>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</si>
  <si>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</si>
  <si>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</si>
  <si>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</si>
  <si>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</si>
  <si>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</si>
  <si>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</si>
  <si>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</si>
  <si>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</si>
  <si>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</si>
  <si>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</si>
  <si>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</si>
  <si>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</si>
  <si>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</si>
  <si>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</si>
  <si>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</si>
  <si>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</si>
  <si>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</si>
  <si>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</si>
  <si>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</si>
  <si>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</si>
  <si>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</si>
  <si>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</si>
  <si>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</si>
  <si>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202000363-0016</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</si>
  <si>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</si>
  <si>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</si>
  <si>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</si>
  <si>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</si>
  <si>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</si>
  <si>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</si>
  <si>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 xml:space="preserve">Tasa de cobertura bruta en transición
Tasa de cobertura bruta en educación básica
Tasa de cobertura en educación media
</t>
  </si>
  <si>
    <t>Servicio educativo</t>
  </si>
  <si>
    <t>Establecimientos educativos en operación</t>
  </si>
  <si>
    <t>Servicio de accesibilidad a contenidos web para fines pedagógicos</t>
  </si>
  <si>
    <t>Estudiantes con acceso a contenidos web en el establecimiento educativo</t>
  </si>
  <si>
    <t>202000363-0094</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</si>
  <si>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</si>
  <si>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</si>
  <si>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</si>
  <si>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</si>
  <si>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</si>
  <si>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</si>
  <si>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</si>
  <si>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</si>
  <si>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</si>
  <si>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202000363-0015</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</si>
  <si>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</si>
  <si>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</si>
  <si>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</si>
  <si>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</si>
  <si>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</si>
  <si>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</si>
  <si>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202000363-0095</t>
  </si>
  <si>
    <t>Implementación del observatorio de educación, con el fin de recopilar y producir información del sector educativo con enfoque territorial.</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</si>
  <si>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</si>
  <si>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</si>
  <si>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</si>
  <si>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</si>
  <si>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</si>
  <si>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</si>
  <si>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202000363-0096</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</si>
  <si>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</si>
  <si>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</si>
  <si>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</si>
  <si>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</si>
  <si>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</si>
  <si>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</si>
  <si>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</si>
  <si>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202000363-0097</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</si>
  <si>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</si>
  <si>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</si>
  <si>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</si>
  <si>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</si>
  <si>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</si>
  <si>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</si>
  <si>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</si>
  <si>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202000363-0011</t>
  </si>
  <si>
    <t xml:space="preserve">  Diseño e implementación de campañas para la promoción de la vida y prevención del consumo de sustancias psicoactivas en el Departamento del Quindío. "TU Y YO UNIDOS POR LA VIDA".  </t>
  </si>
  <si>
    <t xml:space="preserve"> 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</si>
  <si>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</si>
  <si>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</si>
  <si>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</si>
  <si>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</si>
  <si>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</si>
  <si>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</si>
  <si>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202000363-0098</t>
  </si>
  <si>
    <t xml:space="preserve"> 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</si>
  <si>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</si>
  <si>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</si>
  <si>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</si>
  <si>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</si>
  <si>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</si>
  <si>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</si>
  <si>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202000363-0099</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</si>
  <si>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</si>
  <si>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</si>
  <si>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</si>
  <si>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</si>
  <si>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</si>
  <si>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</si>
  <si>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</si>
  <si>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</si>
  <si>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</si>
  <si>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</si>
  <si>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</si>
  <si>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</si>
  <si>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</si>
  <si>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202000363-0100</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</si>
  <si>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</si>
  <si>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</si>
  <si>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</si>
  <si>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Revisar y ajustar   la política pública de primera infancia, infancia y adolescencia</t>
  </si>
  <si>
    <t xml:space="preserve">4102035
 </t>
  </si>
  <si>
    <t xml:space="preserve">Documento  de Política Pública de Primera Infancia, Infancia y Adolescencia, revisado, ajustado </t>
  </si>
  <si>
    <t xml:space="preserve">410203501
</t>
  </si>
  <si>
    <t>Documentos de lineamientos técnicos en Política y Atención Integral de niños, niñas y adolescentes realizados</t>
  </si>
  <si>
    <t>202000363-0101</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</si>
  <si>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</si>
  <si>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</si>
  <si>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</si>
  <si>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</si>
  <si>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</si>
  <si>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</si>
  <si>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</si>
  <si>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</si>
  <si>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</si>
  <si>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</si>
  <si>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202000363-0102</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</si>
  <si>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</si>
  <si>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</si>
  <si>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</si>
  <si>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</si>
  <si>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</si>
  <si>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</si>
  <si>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</si>
  <si>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202000363-0032</t>
  </si>
  <si>
    <t xml:space="preserve"> Diseño e implementación del programa de acompañamiento familiar y comunitario con enfoque preventivo en los tipos de violencias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</si>
  <si>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</si>
  <si>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</si>
  <si>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</si>
  <si>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</si>
  <si>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</si>
  <si>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</si>
  <si>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202000363-0033</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</si>
  <si>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</si>
  <si>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</si>
  <si>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</si>
  <si>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</si>
  <si>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</si>
  <si>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</si>
  <si>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</si>
  <si>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</si>
  <si>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</si>
  <si>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</si>
  <si>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</si>
  <si>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202000363-0034</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</si>
  <si>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</si>
  <si>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</si>
  <si>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</si>
  <si>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</si>
  <si>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</si>
  <si>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202000363-0103</t>
  </si>
  <si>
    <t xml:space="preserve">  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</si>
  <si>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</si>
  <si>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</si>
  <si>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</si>
  <si>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202000363-0104</t>
  </si>
  <si>
    <t xml:space="preserve">  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</si>
  <si>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</si>
  <si>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</si>
  <si>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</si>
  <si>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202000363-0105</t>
  </si>
  <si>
    <t xml:space="preserve">   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</si>
  <si>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</si>
  <si>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</si>
  <si>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</si>
  <si>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</si>
  <si>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202000363-0106</t>
  </si>
  <si>
    <t xml:space="preserve">  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</si>
  <si>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</si>
  <si>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</si>
  <si>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</si>
  <si>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</si>
  <si>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</si>
  <si>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</si>
  <si>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202000363-0036</t>
  </si>
  <si>
    <t xml:space="preserve">  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</si>
  <si>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</si>
  <si>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</si>
  <si>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</si>
  <si>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</si>
  <si>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</si>
  <si>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</si>
  <si>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</si>
  <si>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202000363-0037</t>
  </si>
  <si>
    <t xml:space="preserve">  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</si>
  <si>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</si>
  <si>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</si>
  <si>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del Departamento del Quindío con el Programa de Rehabilitación Basada en la Comunidad  RBC
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</si>
  <si>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</si>
  <si>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</si>
  <si>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</si>
  <si>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</si>
  <si>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202000363-0035</t>
  </si>
  <si>
    <t xml:space="preserve"> 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</si>
  <si>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</si>
  <si>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en   Programas  de Rehabilitación Basada en la Comunidad  RBC
Cobertura de municipios atendidos  con el Banco de ayudas técnicas NO POS tipo Estándar, para las personas con discapacidad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</si>
  <si>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</si>
  <si>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</si>
  <si>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</si>
  <si>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</si>
  <si>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</si>
  <si>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</si>
  <si>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 202000363-0012</t>
  </si>
  <si>
    <t xml:space="preserve">   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</si>
  <si>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</si>
  <si>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</si>
  <si>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</si>
  <si>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</si>
  <si>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</si>
  <si>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</si>
  <si>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202000363-0109</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</si>
  <si>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</si>
  <si>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</si>
  <si>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</si>
  <si>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</si>
  <si>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</si>
  <si>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</si>
  <si>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</si>
  <si>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</si>
  <si>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</si>
  <si>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</si>
  <si>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</si>
  <si>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202000363-0113</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</si>
  <si>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</si>
  <si>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</si>
  <si>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</si>
  <si>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</si>
  <si>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</si>
  <si>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202000363-0114</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</si>
  <si>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</si>
  <si>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</si>
  <si>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</si>
  <si>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</si>
  <si>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</si>
  <si>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</si>
  <si>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202000363-0115</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</si>
  <si>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</si>
  <si>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</si>
  <si>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Tasa de Violencia Intrafamiliar x 100.000 Habitantes en el Departamento del Quindío.
Tasa de violencia de Género
Tasa  de mujeres de 12 a 14 años qué han sido madres o están en embarazo X 100.000 habitantes en el Departamento del Quindío
Tasa de participación femenina en cargos de elección popular en el  departamento del Quindío
Cobertura de Asociaciones de mujeres fortalecidas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</si>
  <si>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</si>
  <si>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</si>
  <si>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</si>
  <si>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</si>
  <si>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202000363-0108</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</si>
  <si>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</si>
  <si>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</si>
  <si>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</si>
  <si>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</si>
  <si>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</si>
  <si>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202000363-0107</t>
  </si>
  <si>
    <t xml:space="preserve">    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</si>
  <si>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</si>
  <si>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Mejorar las condiciones de calidad de vida de la población, en acceso incluyente y equitativo a la oferta de servicios del Estado y la ampliación de oportunidades para los Quindianos. </t>
  </si>
  <si>
    <t>Casa de la Mujer Empoderada implementada</t>
  </si>
  <si>
    <t>Espacios generados para el fortalecimiento de capacidades institucionales del Estado</t>
  </si>
  <si>
    <t>202000363-0111</t>
  </si>
  <si>
    <t xml:space="preserve">Implementación de la Casa  de la Mujer Empoderada para la promoción a la participación ciudadana  de Mujeres en escenarios sociales, políticos y el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</si>
  <si>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</si>
  <si>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</si>
  <si>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202000363-0112</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</si>
  <si>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</si>
  <si>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</si>
  <si>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</si>
  <si>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 xml:space="preserve">Formular e implementar la Política Pública de Adulto Mayor </t>
  </si>
  <si>
    <t>4599019</t>
  </si>
  <si>
    <t xml:space="preserve">Política Pública de Adulto Mayor  formulada e implementada </t>
  </si>
  <si>
    <t>459901900</t>
  </si>
  <si>
    <t>Documentos de planeación realizados</t>
  </si>
  <si>
    <t>202000363-0150</t>
  </si>
  <si>
    <t xml:space="preserve">Revisar y ajustar  la política pública de equidad de género para la mujer </t>
  </si>
  <si>
    <t xml:space="preserve">Documento de Política Pública de la mujer y equidad de género revisada y ajustada </t>
  </si>
  <si>
    <t>202000363-0151</t>
  </si>
  <si>
    <t xml:space="preserve">Revisar y ajustar la política pública de equidad de género para la mujer en el Departamento del Quindío  </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</si>
  <si>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</si>
  <si>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Revisar y ajustar    la Política Pública de  Discapacidad</t>
  </si>
  <si>
    <t xml:space="preserve">Documento de Política Pública de  Discapacidad revisado y ajustado.  </t>
  </si>
  <si>
    <t>202000363-0110</t>
  </si>
  <si>
    <t xml:space="preserve">  Revisar y ajustar  la política pública de  discapacidad del departamento del Quindío  </t>
  </si>
  <si>
    <t>Disminuir  la tasa de suicidio, violencia intrafamiliar, además de aumentar la Cobertura de los  municipios del departamento con procesos de implementación de proyectos  productivos  para las personas con discapacidad,  a través de la participación de los diferentes actores qué contribuyen de manera integral a garantizar una mejor calidad de vida de las personas objeto de intervención.</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</si>
  <si>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</si>
  <si>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</si>
  <si>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</si>
  <si>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</si>
  <si>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</si>
  <si>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</si>
  <si>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202000363-0116</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</si>
  <si>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</si>
  <si>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</si>
  <si>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</si>
  <si>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</si>
  <si>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</si>
  <si>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</si>
  <si>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</si>
  <si>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</si>
  <si>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</si>
  <si>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Servicio de vigilancia y control de las políticas y normas técnicas, científicas y administrativas expedidas por el Ministerio de Salud y Protección Social</t>
  </si>
  <si>
    <t>Municipios con procesos de vigilancia epidemiológica de plaguicidas organofosforados y carbamatos realizados.</t>
  </si>
  <si>
    <t>Entidades territoriales con vigilancia y control realizados</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</si>
  <si>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</si>
  <si>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</si>
  <si>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</si>
  <si>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</si>
  <si>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</si>
  <si>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</si>
  <si>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</si>
  <si>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</si>
  <si>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</si>
  <si>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</si>
  <si>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</si>
  <si>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</si>
  <si>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</si>
  <si>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202000363-0117</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</si>
  <si>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</si>
  <si>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</si>
  <si>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</si>
  <si>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</si>
  <si>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</si>
  <si>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</si>
  <si>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</si>
  <si>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</si>
  <si>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202000363-0118</t>
  </si>
  <si>
    <t xml:space="preserve"> Fortalecimiento de las actividades de vigilancia y control del laboratorio de salud pública en el Departamento del Quindío  
</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</si>
  <si>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</si>
  <si>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</si>
  <si>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</si>
  <si>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</si>
  <si>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</si>
  <si>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</si>
  <si>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202000363-0119</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</si>
  <si>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</si>
  <si>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</si>
  <si>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</si>
  <si>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</si>
  <si>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</si>
  <si>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202000363-0120</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</si>
  <si>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</si>
  <si>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</si>
  <si>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</si>
  <si>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</si>
  <si>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</si>
  <si>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</si>
  <si>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</si>
  <si>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</si>
  <si>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</si>
  <si>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202000363-0121</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</si>
  <si>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</si>
  <si>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</si>
  <si>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</si>
  <si>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</si>
  <si>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</si>
  <si>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</si>
  <si>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</si>
  <si>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</si>
  <si>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</si>
  <si>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</si>
  <si>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</si>
  <si>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</si>
  <si>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202000363-0122</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</si>
  <si>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</si>
  <si>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</si>
  <si>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</si>
  <si>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</si>
  <si>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</si>
  <si>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</si>
  <si>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202000363-0123</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</si>
  <si>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</si>
  <si>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</si>
  <si>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</si>
  <si>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</si>
  <si>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</si>
  <si>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</si>
  <si>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</si>
  <si>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Letalidad por dengue.</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</si>
  <si>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</si>
  <si>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</si>
  <si>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</si>
  <si>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</si>
  <si>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</si>
  <si>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</si>
  <si>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</si>
  <si>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</si>
  <si>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</si>
  <si>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</si>
  <si>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</si>
  <si>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</si>
  <si>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</si>
  <si>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202000363-0124</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</si>
  <si>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</si>
  <si>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</si>
  <si>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</si>
  <si>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</si>
  <si>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</si>
  <si>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</si>
  <si>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</si>
  <si>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202000363-0125</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</si>
  <si>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</si>
  <si>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</si>
  <si>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</si>
  <si>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</si>
  <si>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</si>
  <si>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</si>
  <si>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</si>
  <si>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</si>
  <si>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</si>
  <si>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202000363-0126</t>
  </si>
  <si>
    <t>Proyecto de promoción de estilos de vida saludable,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</si>
  <si>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</si>
  <si>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</si>
  <si>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</si>
  <si>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202000363-0127</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</si>
  <si>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</si>
  <si>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</si>
  <si>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</si>
  <si>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</si>
  <si>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</si>
  <si>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</si>
  <si>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</si>
  <si>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</si>
  <si>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t>
  </si>
  <si>
    <t>202000363-0128</t>
  </si>
  <si>
    <t xml:space="preserve">Difusión de la estrategia de gestión integral y de control en vectores, zoonosis y cambio climático del Departamento del Quindío.   </t>
  </si>
  <si>
    <t xml:space="preserve"> Disminuir en índice de enfermedades trasmisión vectorial y zoonosis en la población   </t>
  </si>
  <si>
    <t>202000363-0129</t>
  </si>
  <si>
    <t xml:space="preserve"> Fortalecimiento de la inclusión social para la disminución del riesgo de contraer enfermedades transmisibles en el Departamento del Quindío.  </t>
  </si>
  <si>
    <t xml:space="preserve"> Aumentar la adherencia al tratamiento de los pacientes con diagnóstico de tuberculosis  </t>
  </si>
  <si>
    <t>Servicio de gestión del riesgo para enfermedades emergentes, reemergentes y desatendidas.</t>
  </si>
  <si>
    <t>202000363-0130</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</si>
  <si>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</si>
  <si>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</si>
  <si>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</si>
  <si>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</si>
  <si>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</si>
  <si>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202000363-0131</t>
  </si>
  <si>
    <t xml:space="preserve"> 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</si>
  <si>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</si>
  <si>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</si>
  <si>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</si>
  <si>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202000363-0132</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</si>
  <si>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</si>
  <si>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</si>
  <si>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</si>
  <si>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202000363-0133</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</si>
  <si>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</si>
  <si>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</si>
  <si>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</si>
  <si>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</si>
  <si>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1905009
</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</si>
  <si>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</si>
  <si>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</si>
  <si>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</si>
  <si>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</si>
  <si>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202000363-0134</t>
  </si>
  <si>
    <t xml:space="preserve">Fortalecimiento de la red de urgencias y emergencias en el Departamento del Quindío. </t>
  </si>
  <si>
    <t>Fortalecer en la integración de la red hospitalaria del departamento del Quindío.</t>
  </si>
  <si>
    <t>202000363-0135</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</si>
  <si>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</si>
  <si>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</si>
  <si>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Servicio de promoción de afiliaciones al régimen contributivo del Sistema General de Seguridad Social de las personas con capacidad de pago</t>
  </si>
  <si>
    <t>Personas con capacidad de pago afiliadas</t>
  </si>
  <si>
    <t>202000363-0136</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</si>
  <si>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</si>
  <si>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</si>
  <si>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</si>
  <si>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</si>
  <si>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</si>
  <si>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</si>
  <si>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</si>
  <si>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</si>
  <si>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</si>
  <si>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</si>
  <si>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202000363-0137</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</si>
  <si>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</si>
  <si>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</si>
  <si>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</si>
  <si>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</si>
  <si>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</si>
  <si>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</si>
  <si>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</si>
  <si>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</si>
  <si>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</si>
  <si>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</si>
  <si>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202000363-0138</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</si>
  <si>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</si>
  <si>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</si>
  <si>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</si>
  <si>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</si>
  <si>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</si>
  <si>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</si>
  <si>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</si>
  <si>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</si>
  <si>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324  SECRETARÍA TECNOLÓGIAS DE LA INFORMACIÓN Y COMUNICACIÓN</t>
  </si>
  <si>
    <t>Tecnologías de la información y las comunicaciones</t>
  </si>
  <si>
    <t>Facilitar en acceso y uso de las Tecnologías de la Información y las Comunicaciones (TIC)  en todo el territorio nacional.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</si>
  <si>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</si>
  <si>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</si>
  <si>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</si>
  <si>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202000363-0038</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</si>
  <si>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</si>
  <si>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</si>
  <si>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</si>
  <si>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</si>
  <si>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</si>
  <si>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</si>
  <si>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</si>
  <si>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</si>
  <si>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</si>
  <si>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</si>
  <si>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</si>
  <si>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</si>
  <si>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202000363-0139</t>
  </si>
  <si>
    <t>Apoyo a la apropiación tecnológica y generacional en el Departamento del Quindío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</si>
  <si>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</si>
  <si>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</si>
  <si>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</si>
  <si>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</si>
  <si>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</si>
  <si>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</si>
  <si>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</si>
  <si>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</si>
  <si>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</si>
  <si>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202000363-0039</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</si>
  <si>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</si>
  <si>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</si>
  <si>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</si>
  <si>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</si>
  <si>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</si>
  <si>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</si>
  <si>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</si>
  <si>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</si>
  <si>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</si>
  <si>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</si>
  <si>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</si>
  <si>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</si>
  <si>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</si>
  <si>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</si>
  <si>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</si>
  <si>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</si>
  <si>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</si>
  <si>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202000363-0140</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</si>
  <si>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</si>
  <si>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</si>
  <si>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</si>
  <si>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</si>
  <si>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</si>
  <si>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</si>
  <si>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</si>
  <si>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</si>
  <si>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</si>
  <si>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202000363-0040</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</si>
  <si>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</si>
  <si>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</si>
  <si>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</si>
  <si>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</si>
  <si>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</si>
  <si>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202000363-0141</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</si>
  <si>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</si>
  <si>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</si>
  <si>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</si>
  <si>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</si>
  <si>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</si>
  <si>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</si>
  <si>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</si>
  <si>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</si>
  <si>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</si>
  <si>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</si>
  <si>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</si>
  <si>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</si>
  <si>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</si>
  <si>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</si>
  <si>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</si>
  <si>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</si>
  <si>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</si>
  <si>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</si>
  <si>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</si>
  <si>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</si>
  <si>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</si>
  <si>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</si>
  <si>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</si>
  <si>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</si>
  <si>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</si>
  <si>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</si>
  <si>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 xml:space="preserve">Cobertura de ligas apoyadas en el departamento del Quindío.
Tasa de consumo de sustancias psicoactivas X100.000 habitantes en el Departamento del Quindío
</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</si>
  <si>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</si>
  <si>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</si>
  <si>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</si>
  <si>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</si>
  <si>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Porcentaje de medallería del departamento del Quindío en los Juegos Nacionales.
Tasa de consumo de sustancias psicoactivas X100.000 habitantes en el Departamento del Quindío</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</si>
  <si>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</si>
  <si>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</si>
  <si>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</si>
  <si>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</si>
  <si>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</si>
  <si>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320 PROMOTORA DE VIVIENDA </t>
  </si>
  <si>
    <t xml:space="preserve">Infraestructura  deportiva y/o recreativa con procesos   constructivos, mejorados,  ampliados, mantenidos y/o  reforzados </t>
  </si>
  <si>
    <t xml:space="preserve">Infraestructura   deportiva y/o recreativa construida, mejorada, ampliada, mantenida, y/o  reforzada </t>
  </si>
  <si>
    <t>202000363-0142</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</si>
  <si>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</si>
  <si>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</si>
  <si>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202000363-0143</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</si>
  <si>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</si>
  <si>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</si>
  <si>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</si>
  <si>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202000363-0144</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</si>
  <si>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</si>
  <si>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</si>
  <si>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</si>
  <si>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</si>
  <si>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</si>
  <si>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202000363-0145</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</si>
  <si>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</si>
  <si>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</si>
  <si>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</si>
  <si>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</si>
  <si>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</si>
  <si>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</si>
  <si>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</si>
  <si>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</si>
  <si>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</si>
  <si>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</si>
  <si>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</si>
  <si>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</si>
  <si>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</si>
  <si>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</si>
  <si>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</si>
  <si>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</si>
  <si>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</si>
  <si>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</si>
  <si>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</si>
  <si>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</si>
  <si>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</si>
  <si>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</si>
  <si>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</si>
  <si>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</si>
  <si>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202000363-0149</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</si>
  <si>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</si>
  <si>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</si>
  <si>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</si>
  <si>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</si>
  <si>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</si>
  <si>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</si>
  <si>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</si>
  <si>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</si>
  <si>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</si>
  <si>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</si>
  <si>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ENTIDADES DESCENTRALIZADAS</t>
  </si>
  <si>
    <t>TOTAL POAI:</t>
  </si>
  <si>
    <t>LINEA ESTRATEGICA</t>
  </si>
  <si>
    <t>307 SECREATRÍA DE HACIENDA</t>
  </si>
  <si>
    <t>CODIGO</t>
  </si>
  <si>
    <t>No.</t>
  </si>
  <si>
    <t>SUB TOTAL SECTOR CENTRAL</t>
  </si>
  <si>
    <t>SUB TOTAL DESCENTRALIZADOS</t>
  </si>
  <si>
    <t>TOTAL DEPARTAMENTO QUINDIO</t>
  </si>
  <si>
    <t>TOTAL</t>
  </si>
  <si>
    <t>VALOR DEL PROYECTO</t>
  </si>
  <si>
    <t>Implementación del Modelo Integrado de Planeación y de Gestión MIPG de la Administración Departamental del Quindío (Dimensiones de Talento humano, Información y Comunicación y Gestión del Conocimiento).</t>
  </si>
  <si>
    <t xml:space="preserve">Implementación de un programa de modernización de la gestión Administrativa de la Administración Departamental del Quindío. "TÚ y YO SOMOS QUINDÍO" </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</si>
  <si>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</si>
  <si>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</si>
  <si>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el Ordenamiento y la Gestión Territorial Departamental del Quindío “TU Y YO SOMOS QUINDIO" </t>
  </si>
  <si>
    <t xml:space="preserve">  Implementación del Observatorio Económico de la Administración Departamental del Quindío "TU Y YO SOMOS QUINDIO"</t>
  </si>
  <si>
    <t>Fortalecimiento del Banco de Programas y Proyectos de la administración departamental “TÚ Y YO SOMOS QUINDIO"</t>
  </si>
  <si>
    <t>Asistencia Técnica en Instrumentos de Planificación y gestión territorial en los municipios del Departamento del Quindío.</t>
  </si>
  <si>
    <t xml:space="preserve"> Implementación del Modelo Integrado de Planeación y de Gestión MIPG en la Administración Departamental del   Quindío</t>
  </si>
  <si>
    <t xml:space="preserve">Implementación de un programa para en cumplimiento de las políticas y prácticas contables de la administración departamental    del Quindío.    </t>
  </si>
  <si>
    <t>Mantenimiento de las instituciones públicas y/o de seguridad y justicia del estado en el Departamento Quindío</t>
  </si>
  <si>
    <t>Mejoramiento de la infraestructura física de las instituciones de salud pública y bienestar social del departamento en el Departamento del Quindío</t>
  </si>
  <si>
    <t xml:space="preserve"> Mantenimiento de la infraestructura Educativa en el Departamento del Quindío. </t>
  </si>
  <si>
    <t xml:space="preserve">Mantenimiento, mejoramiento y/o rehabilitación de obras físicas de infraestructura deportiva y recreativa en el Departamento del Quindío  </t>
  </si>
  <si>
    <t>Mantenimiento, mejoramiento, rehabilitación y/o atención de las vías para garantizar la movilidad y competitividad del departamento del Quindío.</t>
  </si>
  <si>
    <t>Construcción, mantenimiento y/o mejoramiento de obras de estabilización de Taludes en el Departamento del Quindío</t>
  </si>
  <si>
    <t xml:space="preserve"> Construcción, mantenimiento y/o mejoramiento de obras de infraestructura para la mitigación y atención de desastres en los municipios del departamento del Quindío </t>
  </si>
  <si>
    <t>Mantenimiento de la infraestructura institucional o de edificios públicos en el Departamento del Quindío</t>
  </si>
  <si>
    <t xml:space="preserve">309 SECRETARÍA DEL INTERIOR </t>
  </si>
  <si>
    <t>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</si>
  <si>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</si>
  <si>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</si>
  <si>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</si>
  <si>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Asistencia, atención y capacitación a la población excombatiente en el Departamento del Quindío</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</si>
  <si>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</si>
  <si>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</si>
  <si>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Fortalecimiento institucional de las entidades municipales para la consolidación de la convivencia, el orden público y la seguridad ciudadana en el departamento del Quindío</t>
  </si>
  <si>
    <t>Fortalecimiento de los procesos de planificación del territorio para en conocimiento y reducción del riesgo en el Departamento del Quindío.</t>
  </si>
  <si>
    <t xml:space="preserve"> Fortalecimiento de la participación ciudadana, veedurías y organizaciones comunales para el cumplimiento, protección y restablecimiento de los derechos contemplados en la Constitución Política.   </t>
  </si>
  <si>
    <t xml:space="preserve">Implementación de la "Ruta de la felicidad y la identidad quindiana", para el fortalecimiento y visibilizarían de los procesos artísticos y culturales en el Departamento del Quindío  </t>
  </si>
  <si>
    <t xml:space="preserve">Implementación del programa "Tú y Yo Somos Cultura", para el fortalecimiento a la lectura, escritura y bibliotecas en el Departamento del Quindío   </t>
  </si>
  <si>
    <t xml:space="preserve"> Apoyo artistas y gestores culturales del departamento del Quindío con el beneficio de la Seguridad Social.  </t>
  </si>
  <si>
    <t xml:space="preserve">Fortalecimiento de la competitividad y productividad en el departamento del Quindío </t>
  </si>
  <si>
    <t xml:space="preserve"> Fortalecimiento del sector empresarial para el acceso a nuevos mercados en el departamento del Quindío </t>
  </si>
  <si>
    <t xml:space="preserve"> Mejoramiento de la competitividad del departamento como destino turístico sostenible y de calidad.</t>
  </si>
  <si>
    <t xml:space="preserve"> Fortalecimiento de la promoción turística del destino Quindío a nivel nacional e internacional </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</si>
  <si>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</si>
  <si>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</si>
  <si>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Fortalecimiento de eventos y ferias para la competitividad productiva y empresarial del sector rural en el Departamento del Quindío </t>
  </si>
  <si>
    <t xml:space="preserve"> 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</si>
  <si>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</si>
  <si>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Fortalecimiento de los procesos de Gestión Ambiental Urbana y Rural para la protección del Paisaje y la Biodiversidad en el departamento del   Quindío  </t>
  </si>
  <si>
    <t xml:space="preserve"> Apoyo a la generación de entornos amigables para los animales domésticos y silvestres, en el departamento del Quindío </t>
  </si>
  <si>
    <t xml:space="preserve">Realización de campañas de sensibilización y apropiación del patrimonio ambiental del paisaje, la biodiversidad y sus servicios ecosistémicos en el Departamento del Quindío </t>
  </si>
  <si>
    <t xml:space="preserve">Implementación de un programa de protección del patrimonio ambiental, en paisaje, la biodiversidad y sus servicios ecosistémicos en el Departamento del Quindío  </t>
  </si>
  <si>
    <t>Implementar la Política de Transparencia, Acceso a la Información Pública y Lucha Contra la Corrupción del Modelo Integrado de Planificación y Gestión MIPG, articulada con el "Pacto por la Integridad, Transparencia y Legalidad” en el departamento del Quindío</t>
  </si>
  <si>
    <t>Desarrollo e implementación de una estrategia de comunicaciones de la gestión institucional de la Administración Departamental del Quindío "Hacia un gobierno abierto".</t>
  </si>
  <si>
    <t>Fortalecimiento de las capacidades institucionales de la administración departamental del Quindío, para generar condiciones de gobernanza territorial, participación, administración eficiente y transparente.</t>
  </si>
  <si>
    <t>Fortalecimiento de las Tecnologías de Información y Comunicación TIC, para una innovación educativa de calidad en el departamento del Quindío.</t>
  </si>
  <si>
    <t>Fortalecimiento de estrategias para en acceso y la permanencia de los estudiantes egresados de los Establecimientos Educativos Oficiales a la educación superior o terciaria en el Departamento del Quindío.</t>
  </si>
  <si>
    <t>Implementación y fortalecimiento de las estrategias qué fomenten la ciencia, la tecnología y la innovación en las Instituciones Educativas Oficiales del Departamento.</t>
  </si>
  <si>
    <t xml:space="preserve">Diseño e implementación de campañas para la promoción de la vida y prevención del consumo de sustancias psicoactivas en el Departamento del Quindío, “TU Y YO UNIDOS POR LA VIDA".  </t>
  </si>
  <si>
    <t xml:space="preserve"> Implementación acciones de fortalecimiento de los entornos protectores de los jóvenes en barrios vulnerables de los municipios, del Departamento del Quindío. </t>
  </si>
  <si>
    <t>Diseño e implementación de un Modelo de Atención Integral a la Primera Infancia a través de las Rutas Integrales de Atención RIAS en el departamento del Quindío</t>
  </si>
  <si>
    <t xml:space="preserve"> Implementación de la política pública de Familia para la promoción del desarrollo integral de la población del Departamento del Quindío. </t>
  </si>
  <si>
    <t xml:space="preserve"> Revisión, ajuste e implementación de la política pública de primera infancia, infancia y adolescencia en el Departamento del Quindío  </t>
  </si>
  <si>
    <t xml:space="preserve"> Implementación de la política pública de juventud en el Departamento del Quindío  </t>
  </si>
  <si>
    <t xml:space="preserve"> Diseño e implementación de programa de acompañamiento familiar y comunitario con enfoque preventivo en los tipos de violencias en el Departamento del Quindío "TU Y YO COMPROMETIDOS CON LA FAMILIA"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</si>
  <si>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</si>
  <si>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  Fortalecimiento de unidades productivas colectivas juveniles para la generación de ingresos en el departamento del Quindío  </t>
  </si>
  <si>
    <t xml:space="preserve">  Formulación e Implementación del programa departamental para atención al ciudadano migrante y de repatriación.  </t>
  </si>
  <si>
    <t xml:space="preserve">   Desarrollo de un programa de acompañamiento familiar y comunitario en procesos de Inclusión social y productivos para el emprendimiento de alternativas de generación de ingresos en el departamento del Quindío  </t>
  </si>
  <si>
    <t xml:space="preserve">  Formulación e implementación   de proyectos productivos dirigidos a la población en condición de discapacidad y sus familias para la generación de ingresos y fortalecimiento del entorno familiar.  </t>
  </si>
  <si>
    <t xml:space="preserve">  Apoyo en la construcción e Implementación de los Planes de Vida de los Cabildos y Resguardos indígenas asentados en el Departamento del Quindío "TU Y YO UNIDOS CON DIGNIDAD".  </t>
  </si>
  <si>
    <t xml:space="preserve">   Apoyo en la articulación de la oferta social para la población habitante de calle del Departamento del Quindío  </t>
  </si>
  <si>
    <t xml:space="preserve">    Implementación de la política pública de diversidad sexual en el Departamento del Quindío 2019-2029  </t>
  </si>
  <si>
    <t xml:space="preserve"> Servicio de atención integral e inclusión para el bienestar de los adultos mayores del departamento del Quindío </t>
  </si>
  <si>
    <t xml:space="preserve">  Revisar y ajustar la política pública de discapacidad del departamento del Quindío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</si>
  <si>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</si>
  <si>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 xml:space="preserve"> Implementación de estrategias de acompañamiento y asesoría a las asociaciones de mujeres del departamento del Quindío</t>
  </si>
  <si>
    <t>Desarrollo de jornadas de capacitación, sensibilización y prevención del trabajo infantil y protección del adolescente en el departamento del Quindío.</t>
  </si>
  <si>
    <t xml:space="preserve"> Implementación del programa de liderazgo para la participación femenina en escenarios sociales y políticos del departamento del Quindío</t>
  </si>
  <si>
    <t>Formulación de la política pública de adulto mayor en el Departamento del Quindío.</t>
  </si>
  <si>
    <t xml:space="preserve"> Implementación de programas de promoción social en poblaciones especiales en el Departamento del Quindío </t>
  </si>
  <si>
    <t xml:space="preserve"> Fortalecimiento de las actividades de vigilancia y control del laboratorio de salud pública en el Departamento del Quindío  </t>
  </si>
  <si>
    <t xml:space="preserve"> Aprovechamiento biológico y consumo de alimentos inocuos en el Departamento del Quindío </t>
  </si>
  <si>
    <t>Control en Salud Ambiental para la consecución de un estado de vida saludable de la población del Departamento del Quindío.</t>
  </si>
  <si>
    <t>Prestación de Servicios a la Población no Afiliada al Sistema General de Seguridad Social en Salud y en los no POS a la Población del Régimen Subsidiado.</t>
  </si>
  <si>
    <t>324 SECRETARÍA TECNOLÓGIAS DE LA INFORMACIÓN Y COMUNICACIÓN</t>
  </si>
  <si>
    <t xml:space="preserve"> Fortalecimiento y apoyo a las tecnologías de la información y las comunicaciones en el departamento del Quindío.</t>
  </si>
  <si>
    <t xml:space="preserve">  Implementación y divulgación de la estrategia    "Quindío innovador y competitivo"   </t>
  </si>
  <si>
    <t xml:space="preserve"> Fortalecimiento de la estrategia de gobierno digital en la Administración Departamental y los Entes Territoriales del departamento del Quindío  </t>
  </si>
  <si>
    <t>TOTAL SECTOR CENTRAL</t>
  </si>
  <si>
    <t>202000363-0009</t>
  </si>
  <si>
    <t>202000363-0010</t>
  </si>
  <si>
    <t>202000363-0013</t>
  </si>
  <si>
    <t>Desarrollo de los XXII JUEGOS DEPORTIVOS NACIONALES Y VI JUEGOS PARANACIONALES   2023</t>
  </si>
  <si>
    <t>Mantenimiento de obras complementarias de la infraestructura deportiva y recreativa en el Departamento del Quindío.</t>
  </si>
  <si>
    <t xml:space="preserve">  Mantenimiento de obras complementarias a la infraestructura vial en el Departamento del Quindío </t>
  </si>
  <si>
    <t xml:space="preserve"> Apoyo en la formulación y ejecución de proyectos de vivienda en el Departamento del Quindío   </t>
  </si>
  <si>
    <t>Implementación del programa de seguridad vial en el Departamento del Quindío “TU Y YO POR LA SEGURIDAD VIAL"</t>
  </si>
  <si>
    <t>TOTAL DESCENTRALIZADOS</t>
  </si>
  <si>
    <t>TOTAL INVERSION DEPARTAMENTAL</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</si>
  <si>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</si>
  <si>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</si>
  <si>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</si>
  <si>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</si>
  <si>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</si>
  <si>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</si>
  <si>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Gestión del riesgo de desastres y emergencias. "Tú y yo preparados en gestión del riesgo"</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</si>
  <si>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</si>
  <si>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</si>
  <si>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</si>
  <si>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</si>
  <si>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</si>
  <si>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Calidad y fomento de la Educación "Tú y yo preparados para la educación superior"</t>
  </si>
  <si>
    <t>Ciencia, Tecnología e Innovación</t>
  </si>
  <si>
    <t xml:space="preserve"> Diseño e implementación de un  Modelo de  atención integral a la primera infancia  a través de las Rutas Integrales de Atención  RIA en el Departamento del  Quindío </t>
  </si>
  <si>
    <t>Formulación de la política pública de adulto mayor en el Departamento del Quindío</t>
  </si>
  <si>
    <t>Disminuir Tasa de Suicidio  y Violencia Intrafamiliar, además del aumento de la Cobertura a los grupos de adulto mayor, a través de la formulación de la política pública de este grupo de población en el Departamento del Quindío.</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</si>
  <si>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</si>
  <si>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</si>
  <si>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</si>
  <si>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COMPROMISOS</t>
  </si>
  <si>
    <t>PRESUPUESTADO</t>
  </si>
  <si>
    <t xml:space="preserve"> 1 de 1</t>
  </si>
  <si>
    <t xml:space="preserve"> Banco de Programas y Proyectos del Departamento  con procesos de fortalecimiento</t>
  </si>
  <si>
    <t>% OBLIG</t>
  </si>
  <si>
    <t>Registros sanitarios expedidos</t>
  </si>
  <si>
    <t>Actualizar los procesos y procedimientos implementados al interior de la entidad, que permitan desarrollar una modernización administrativa incluyente y participativa.</t>
  </si>
  <si>
    <t>APROPIACION DEFINITIVA</t>
  </si>
  <si>
    <t>% PD</t>
  </si>
  <si>
    <t>DISPONIBILIDADES</t>
  </si>
  <si>
    <t>% CD</t>
  </si>
  <si>
    <t>% RP</t>
  </si>
  <si>
    <t xml:space="preserve">OBLIGACIONES </t>
  </si>
  <si>
    <t>PAGOS</t>
  </si>
  <si>
    <t>% PAGOS</t>
  </si>
  <si>
    <t>SALDOS
DISPONIBLES</t>
  </si>
  <si>
    <t>% SALDO DISP.</t>
  </si>
  <si>
    <t>Administrativa</t>
  </si>
  <si>
    <t>Planeación</t>
  </si>
  <si>
    <t>Hacienda</t>
  </si>
  <si>
    <t>Aguas e Infraestructura</t>
  </si>
  <si>
    <t>Interior</t>
  </si>
  <si>
    <t>Turismo Industria y Comercio</t>
  </si>
  <si>
    <t>Agricultura, Desarrollo Rural y Medio Ambiente</t>
  </si>
  <si>
    <t>Oficina Privada</t>
  </si>
  <si>
    <t>Familia</t>
  </si>
  <si>
    <t>Salud</t>
  </si>
  <si>
    <t>Tecnología de la Información y las Comunicaciones</t>
  </si>
  <si>
    <t>Indeportes</t>
  </si>
  <si>
    <t>Promotora</t>
  </si>
  <si>
    <t>Presupuesto</t>
  </si>
  <si>
    <t>Valor</t>
  </si>
  <si>
    <t>%</t>
  </si>
  <si>
    <t xml:space="preserve">Disponibilidades </t>
  </si>
  <si>
    <t>Compromisos</t>
  </si>
  <si>
    <t>Obligaciones</t>
  </si>
  <si>
    <t xml:space="preserve">Pagos </t>
  </si>
  <si>
    <t>Disponible</t>
  </si>
  <si>
    <t xml:space="preserve">Sobresaliente  (Entre 80%-100%) </t>
  </si>
  <si>
    <t>Satisfactorio (Entre 70% -79%)</t>
  </si>
  <si>
    <t>Medio (Entre 60%-69%)</t>
  </si>
  <si>
    <t>Bajo (Entre 40% - 59%)</t>
  </si>
  <si>
    <t>Critico (Entre 0% - 39%)</t>
  </si>
  <si>
    <t>Sector Central</t>
  </si>
  <si>
    <t>Descentralizados</t>
  </si>
  <si>
    <t>Departamento Quindío</t>
  </si>
  <si>
    <t>TOTAL DEPARTAMENTO</t>
  </si>
  <si>
    <t>RECURSO DEL CRÉDITO</t>
  </si>
  <si>
    <t>Prestación de servicios de salud. "Tú y yo con servicios de salud"</t>
  </si>
  <si>
    <t>Aseguramiento y prestación integral de servicios de salud</t>
  </si>
  <si>
    <t>Fortalecimiento de la educación media para la articulación con la educación superior o terciaria. "Tú y yo preparados para la educación superior"</t>
  </si>
  <si>
    <t xml:space="preserve">Calidad y fomento de la educación superior </t>
  </si>
  <si>
    <t>Facilitar el acceso y uso de las Tecnologías de la Información y las Comunicaciones en todo el departamento del Quindio. "Tú y yo somos ciudadanos TIC"</t>
  </si>
  <si>
    <t>Facilitar el acceso y uso de las Tecnologías de la Información y las Comunicaciones en todo el territorio nacional</t>
  </si>
  <si>
    <t>Desarrollo integral de la primera infancia a la juventud, y fortalecimiento de las capacidades de las familias de niñas, niños y adolescentes</t>
  </si>
  <si>
    <t>Fomento a la recreación, la actividad física y el deporte. "Tú y yo en la recreación y el deporte"</t>
  </si>
  <si>
    <t>Fomento a la recreación, la actividad física y el deporte para desarrollar entornos de convivencia y paz</t>
  </si>
  <si>
    <t>Participación ciudadana y política y respeto por los derechos humanos y diversidad de creencias. "Quindío integrado y participativo"</t>
  </si>
  <si>
    <t>Fortalecimiento del buen gobierno para el respeto y garantía de los derechos humanos</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</si>
  <si>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</si>
  <si>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</si>
  <si>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</si>
  <si>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Fortalecimiento a la gestión y dirección de la administración pública territorial</t>
  </si>
  <si>
    <t>Promoción al acceso a la justicia</t>
  </si>
  <si>
    <t>Promoción al acceso a la justicia."Tú y yo con justicia"</t>
  </si>
  <si>
    <t>Sistema penitenciario y carcelario en el marco de los derechos humanos</t>
  </si>
  <si>
    <t xml:space="preserve">Inclusión productiva de pequeños productores rurales </t>
  </si>
  <si>
    <t>Servicios financieros y gestión del riesgo para las actividades agropecuarias y rurales</t>
  </si>
  <si>
    <t>Ordenamiento social y uso productivo del territorio rural</t>
  </si>
  <si>
    <t>Aprovechamiento de mercados externos</t>
  </si>
  <si>
    <t>Sanidad agropecuaria e inocuidad agroalimentaria</t>
  </si>
  <si>
    <t>Ciencia, tecnología e innovación agropecuaria</t>
  </si>
  <si>
    <t>Infraestructura productiva y comercialización</t>
  </si>
  <si>
    <t>Productividad y competitividad de las empresas colombianas</t>
  </si>
  <si>
    <t xml:space="preserve">Productividad y competitividad de las empresas. "Tú y yo con empresas competitivas" </t>
  </si>
  <si>
    <t>Inspección, vigilancia y control. “Tú y yo con salud certificada”</t>
  </si>
  <si>
    <t xml:space="preserve">Inspección, vigilancia y control </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</si>
  <si>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</si>
  <si>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</si>
  <si>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 "Quindío paraiso empresarial TIC-Quindío TIC"</t>
  </si>
  <si>
    <t>Fomento del desarrollo de aplicaciones, software y contenidos para impulsar la apropiación de las Tecnologías de la Información y las Comunicaciones (TIC)</t>
  </si>
  <si>
    <t>Infraestructura red vial regional</t>
  </si>
  <si>
    <t>Seguridad de transporte</t>
  </si>
  <si>
    <t>Fortalecimiento del desempeño ambiental de los sectores productivos. "Tú y yo guardianes de la biodiversidad".</t>
  </si>
  <si>
    <t>Fortalecimiento del desempeño ambiental de los sectores productivos</t>
  </si>
  <si>
    <t>Conservación de la biodiversidad y sus servicios ecosistémicos</t>
  </si>
  <si>
    <t>Gestión de la información y el conocimiento ambiental.  “Tú y yo conscientes con la naturaleza”</t>
  </si>
  <si>
    <t>Ordenamiento ambiental territorial</t>
  </si>
  <si>
    <t>Gestión del cambio climático para un desarrollo bajo en carbono y resiliente al clima</t>
  </si>
  <si>
    <t>Promoción y acceso efectivo a procesos culturales y artísticos</t>
  </si>
  <si>
    <t>Gestión, protección y salvaguardia del patrimonio cultural colombiano</t>
  </si>
  <si>
    <t>Generación y formalización del empleo</t>
  </si>
  <si>
    <t>Derechos fundamentales del trabajo y fortalecimiento del diálogo social</t>
  </si>
  <si>
    <t>Generación de una cultura que valora y gestiona el conocimiento y la innovación</t>
  </si>
  <si>
    <t>Acceso a soluciones de vivienda</t>
  </si>
  <si>
    <t>Acceso de la población a los servicios de agua potable y saneamiento básico</t>
  </si>
  <si>
    <t>Atención, asistencia  y reparación integral a las víctimas</t>
  </si>
  <si>
    <t>Inclusión social y productiva para la población en situación de vulnerabilidad</t>
  </si>
  <si>
    <t>Atención integral de población en situación permanente de desprotección social y/o familiar</t>
  </si>
  <si>
    <t>Formación y preparación de deportistas</t>
  </si>
  <si>
    <t>Fortalecimiento de la convivencia y la seguridad ciudadana</t>
  </si>
  <si>
    <t xml:space="preserve">Promoción de los métodos de resolución de conflictos </t>
  </si>
  <si>
    <t>Secretaría Administrativa</t>
  </si>
  <si>
    <t>Liderazgo, gobernabilidad y transparencia</t>
  </si>
  <si>
    <t>Secretaría de Planeación</t>
  </si>
  <si>
    <t>Inclusión social y equidad</t>
  </si>
  <si>
    <t>Secretaría de Hacienda y Finanzas Públicas</t>
  </si>
  <si>
    <t>Territorio, ambiente y desarrollo sostenible</t>
  </si>
  <si>
    <t>Secretaría del Interior</t>
  </si>
  <si>
    <t>Secretaría de Aguas e Infraestructura</t>
  </si>
  <si>
    <t xml:space="preserve">Territorio, ambiente y desarrollo sostenible </t>
  </si>
  <si>
    <t>Secretaría de Cultura</t>
  </si>
  <si>
    <t>Productividad y competitividad</t>
  </si>
  <si>
    <t>Secretaría de Agricultura, Desarrollo Rural y Medio Ambiente</t>
  </si>
  <si>
    <t>Secretaría de Turismo Industria y Comercio</t>
  </si>
  <si>
    <t>Dirección Oficina Privada</t>
  </si>
  <si>
    <t>INCLUSION SOCIAL Y EQUIDAd</t>
  </si>
  <si>
    <t>Secretaría de Educación</t>
  </si>
  <si>
    <t>Secretaría de Familia</t>
  </si>
  <si>
    <t>Secretaria de Salud</t>
  </si>
  <si>
    <t>Instituto Departamental de Deporte y Recreación del Quindío</t>
  </si>
  <si>
    <t>PROYECTA Empresa para el Desarrollo Territorial</t>
  </si>
  <si>
    <t xml:space="preserve">Territorio, Ambiente y Desarrollo Sostenible </t>
  </si>
  <si>
    <t xml:space="preserve">Instituto Departamental de Tránsito del Quindío </t>
  </si>
  <si>
    <t>CÓDIGO
PDD</t>
  </si>
  <si>
    <t>NOMBRE PDD</t>
  </si>
  <si>
    <t>CÓDIGO CATÁLOGO MGA</t>
  </si>
  <si>
    <t xml:space="preserve">PROGRAMA CATÁLOGO MGA </t>
  </si>
  <si>
    <t>META PRODUCTO</t>
  </si>
  <si>
    <t>PROGRAMADA
VIGENCIA</t>
  </si>
  <si>
    <t>FUENTES DE FINANCIACIÓN</t>
  </si>
  <si>
    <t>TOTAL PRESUPUESTO</t>
  </si>
  <si>
    <t>PRESUPUESTO</t>
  </si>
  <si>
    <t xml:space="preserve"> FORMATO</t>
  </si>
  <si>
    <t>PLAN DE DESARROLLO 2020 -2023 "TÚ Y YO SOMOS QUINDIO"</t>
  </si>
  <si>
    <t xml:space="preserve">  John Harold Valencia Rodríguez, Secretario Administrativo</t>
  </si>
  <si>
    <t>Luis Alberto Rincón Quintero, Secretario de Planeación</t>
  </si>
  <si>
    <t>Maria Aleyda  Marin Betancourt, Secretaria de Hacienda</t>
  </si>
  <si>
    <t>Gilberto Gutiérrez Caro, Secretario de Aguas e Infraestructura</t>
  </si>
  <si>
    <t>Magda  Inés Montoya  Naranjo, Secretaria del Interior</t>
  </si>
  <si>
    <t>Juan Manuel Rodríguez Brito, Secretario de Cultura</t>
  </si>
  <si>
    <t>Carlos Andrés Arredondo Salazar, Secretario de Turismo, Industria y Comercio</t>
  </si>
  <si>
    <t>Julio César Cortés Pulido, Secretario de Agricultura, Desarrollo Rural y Medio Ambiente</t>
  </si>
  <si>
    <t>Jorge Hernan Zapata Botero, Director Oficina Privada</t>
  </si>
  <si>
    <t>Liliana María Sánchez Villada, Secretaria de Educación</t>
  </si>
  <si>
    <t>Alba Johana Quejada Torres, Secretaria de Familia</t>
  </si>
  <si>
    <t>Yenny Alexandra Trujillo Álzate, Secretaria de Salud</t>
  </si>
  <si>
    <t>John Mario Liévano Fernández, Secretario Tecnologías de la Información y las Comunicaciones</t>
  </si>
  <si>
    <t>Fernando  Augusto Paneso Zuluaga, Gerente INDEPORTES QUINDÍO</t>
  </si>
  <si>
    <t>Pablo César Herrera Correa, Gerente General PROYECTA para el Desarrollo Territorial</t>
  </si>
  <si>
    <t>Secretaría Tecnologías de la Información y las Comunicaciones</t>
  </si>
  <si>
    <t xml:space="preserve">Prestación de Servicios a la Población no Afiliada al Sistema General de Seguridad Social en Salud y en el NO POS a la Población del Régimen Subsidiado.  </t>
  </si>
  <si>
    <t>R - A</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</si>
  <si>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</si>
  <si>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</si>
  <si>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ESTAMPILLAS 
PRO - CULTURA
PRO - ADULTO MAYOR
PRO - DESARROLLO</t>
  </si>
  <si>
    <t>FONDO LOCAL DE SALUD  -  RENTAS CEDIDAS -LOTERIAS-RIFAS-PREMIO - IVA LICORES SALUD</t>
  </si>
  <si>
    <t>LINEA ESTRATÉGICA</t>
  </si>
  <si>
    <t xml:space="preserve">SGP PRESTACIÓN DE SERVICIOS - EDUCACIÓN  - Y CONECTIVIDAD
(25-21-09-188)
</t>
  </si>
  <si>
    <t>Formular el Plan de Fortalecimiento de Capacidades en Salud Ambiental en coordinación con el Consejo Territorial de Salud Ambiental COTSA</t>
  </si>
  <si>
    <t>Acumulada</t>
  </si>
  <si>
    <t>ACUMULADA (MANTENIMIENTO)
NO ACUAULADA (INCREMENTO)</t>
  </si>
  <si>
    <t>No Acumulada</t>
  </si>
  <si>
    <t>Instancias territoriales de coordinación institucional asistidas y apoyadas</t>
  </si>
  <si>
    <t>Fernando Baena Villareal Director IDTQ</t>
  </si>
  <si>
    <t>TOTAL POAI</t>
  </si>
  <si>
    <t>Campañas de promoción de la salud  y prevención de riesgos asociados a condiciones no transmisibles implementadas</t>
  </si>
  <si>
    <t>Productividad y Competitividad</t>
  </si>
  <si>
    <t xml:space="preserve">Productividad y competitividad de las empresas "Tú y yo con empresas competitivas" </t>
  </si>
  <si>
    <t xml:space="preserve">Productividad y competitividad de las empresas colombianas </t>
  </si>
  <si>
    <t>Mejoramiento casa del artesano del municipio de filandia en el departamento del Quindío</t>
  </si>
  <si>
    <t xml:space="preserve">Índice Departamental de Competitividad Turística
Tasa de desempleo
</t>
  </si>
  <si>
    <t>202100363-0020</t>
  </si>
  <si>
    <t>Diseñar una propuesta turística que mejore la infraestructura de la casa del artesano  como oferta de diversificación que permita aprovechar las oportunidades económicas actuales del sector..</t>
  </si>
  <si>
    <t>DICIEMBRE 31  DE  2021</t>
  </si>
  <si>
    <t>PLAN DE DESARROLLO 2020-2023 "TÚ Y YO SOMOS QUINDIO"
PLAN OPERATIVO ANUAL DE INVERSIÓN POAI  2021 - 
DICIEMBRE 31 DE 2021</t>
  </si>
  <si>
    <t>PLAN OPERATIVO ANUAL DE INVERSIONES 2021
SECTOR CENTRAL ADMINISTRACION DEPARTAMENTAL
RECURSOS POR LINEA ESTRATÉGICA
A DICIEMBRE 31 DE 2021</t>
  </si>
  <si>
    <t>PLAN OPERATIVO ANUAL DE INVERSIONES 2021
ENTES DESCENTRALIZADOS
RECURSOS POR LINEA ESTRATÉGICA
A DICIEMBRE 31 DE 2021</t>
  </si>
  <si>
    <t>PLAN OPERATIVO ANUAL DE INVERSIONES 2021
DEPARTAMENTO DEL QUINDIO
RECURSOS POR LINEA ESTRATÉGICA
DICIEMBRE 31 DE 2021</t>
  </si>
  <si>
    <t>ESTADO DE EJECUCIÓN DE PROYECTOS DE INVERSION PUBLICA DEPARTAMENTAL VIABILIZADOS, PRIORIZADOS Y APROBADOS 
A DICIEMBRE 31 2021</t>
  </si>
  <si>
    <t>INVERSIÓN POR SECTORES
SECTOR CENTRAL ADMINISTRACION DEPARTAMENTAL
DICIEMBRE 31 DE 2021</t>
  </si>
  <si>
    <t>INVERSIÓN POR SECTORES
ENTES DESCENTRALIZADOS
DICIEMBRE 31 DE 2021</t>
  </si>
  <si>
    <t>LÍNEA ESTRATÉGICA/PROGRAMA</t>
  </si>
  <si>
    <t>LÍNEA ESTRATÉGICA/SECTOR</t>
  </si>
  <si>
    <t>INVERSIÓN POR PROGRAMAS
SECTOR CENTRAL ADMINISTRACION DEPARTAMENTAL
DICIEMBRE 31 DE 2021</t>
  </si>
  <si>
    <t>INVERSIÓN POR PROGRAMAS
ENTES DESCENTRALIZADOS
SEPTIEMBRE 30 DE 2021</t>
  </si>
  <si>
    <t>304 SECRETARÍA ADMINISTRATIVA</t>
  </si>
  <si>
    <t>SEMAFORO CUMPLIMIENTO RP</t>
  </si>
  <si>
    <t>Instituto Departamental de Transito</t>
  </si>
  <si>
    <t>PLAN DE DESARROLLO 2020 - 2023 "TÚ Y YO SOMOS QUINDIO"
CONSOLIDADO EJECUCIÓN GASTOS DE INVERSIÓN 
A DICIEMBRE 31 VIGENCIA 2021</t>
  </si>
  <si>
    <t>PLAN OPERATIVO ANUAL DE INVERSIONES POAI 2021 
PLAN DE DESARROLLO 2020-2023 "TÚ Y YO SOMOS QUINDIO"</t>
  </si>
  <si>
    <t xml:space="preserve">F-PLA-42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</si>
</sst>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 #,##0.00_-;\-* #,##0.00_-;_-* &quot;-&quot;_-;_-@_-"/>
    <numFmt numFmtId="173" formatCode="_-&quot;$&quot;\ * #,##0.00_-;\-&quot;$&quot;\ * #,##0.00_-;_-&quot;$&quot;\ * &quot;-&quot;_-;_-@_-"/>
    <numFmt numFmtId="174" formatCode="_-* #,##0.00\ _€_-;\-* #,##0.00\ _€_-;_-* &quot;-&quot;??\ _€_-;_-@_-"/>
    <numFmt numFmtId="175" formatCode="_ [$€-2]\ * #,##0.00_ ;_ [$€-2]\ * \-#,##0.00_ ;_ [$€-2]\ * &quot;-&quot;??_ "/>
    <numFmt numFmtId="176" formatCode="#,##0."/>
    <numFmt numFmtId="177" formatCode="_ * #,##0.00_ ;_ * \-#,##0.00_ ;_ * &quot;-&quot;??_ ;_ @_ "/>
    <numFmt numFmtId="178" formatCode="#,##0.00_);\-#,##0.00"/>
    <numFmt numFmtId="179" formatCode="0.0%"/>
  </numFmts>
  <fonts count="66"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sz val="8"/>
      <name val="Calibri"/>
      <family val="2"/>
      <scheme val="minor"/>
    </font>
    <font>
      <b/>
      <sz val="11"/>
      <color theme="0"/>
      <name val="Calibri"/>
      <family val="2"/>
      <scheme val="minor"/>
    </font>
    <font>
      <sz val="11"/>
      <color rgb="FF000000"/>
      <name val="Calibri"/>
      <family val="2"/>
    </font>
    <font>
      <sz val="12"/>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2"/>
      <color theme="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12"/>
      <color rgb="FF000000"/>
      <name val="Arial"/>
      <family val="2"/>
    </font>
    <font>
      <b/>
      <sz val="12"/>
      <color theme="1"/>
      <name val="Arial"/>
      <family val="2"/>
    </font>
    <font>
      <b/>
      <sz val="12"/>
      <color rgb="FF000000"/>
      <name val="Arial"/>
      <family val="2"/>
    </font>
    <font>
      <b/>
      <sz val="10"/>
      <color theme="1"/>
      <name val="Arial"/>
      <family val="2"/>
    </font>
    <font>
      <b/>
      <sz val="9"/>
      <name val="Arial"/>
      <family val="2"/>
    </font>
    <font>
      <sz val="11"/>
      <name val="Calibri"/>
      <family val="2"/>
      <scheme val="minor"/>
    </font>
    <font>
      <b/>
      <sz val="14"/>
      <name val="Arial"/>
      <family val="2"/>
    </font>
    <font>
      <sz val="11"/>
      <name val="Arial"/>
      <family val="2"/>
    </font>
    <font>
      <sz val="10"/>
      <color indexed="8"/>
      <name val="MS Sans Serif"/>
    </font>
    <font>
      <b/>
      <sz val="12"/>
      <color indexed="8"/>
      <name val="Times New Roman"/>
      <family val="1"/>
    </font>
    <font>
      <sz val="11"/>
      <color rgb="FF000000"/>
      <name val="Arial"/>
      <family val="2"/>
    </font>
    <font>
      <sz val="9"/>
      <color indexed="8"/>
      <name val="Calibri"/>
      <family val="2"/>
      <scheme val="minor"/>
    </font>
    <font>
      <sz val="10"/>
      <color theme="0"/>
      <name val="Arial"/>
      <family val="2"/>
    </font>
    <font>
      <sz val="11"/>
      <color theme="1"/>
      <name val="Arial"/>
      <family val="2"/>
    </font>
    <font>
      <b/>
      <sz val="10"/>
      <color indexed="8"/>
      <name val="Arial"/>
      <family val="2"/>
    </font>
  </fonts>
  <fills count="7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
      <patternFill patternType="solid">
        <fgColor rgb="FFECECEC"/>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rgb="FF522B57"/>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9" tint="0.79998168889431442"/>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s>
  <cellStyleXfs count="1038">
    <xf numFmtId="168"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8" fontId="7" fillId="6" borderId="10">
      <alignment horizontal="center" vertical="center" wrapText="1"/>
    </xf>
    <xf numFmtId="0" fontId="1" fillId="0" borderId="0"/>
    <xf numFmtId="167" fontId="1" fillId="0" borderId="0" applyFont="0" applyFill="0" applyBorder="0" applyAlignment="0" applyProtection="0"/>
    <xf numFmtId="0" fontId="7" fillId="6" borderId="10">
      <alignment horizontal="center" vertical="center" wrapText="1"/>
    </xf>
    <xf numFmtId="168"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10" fillId="10" borderId="14">
      <alignment horizontal="center" vertical="center" wrapText="1"/>
    </xf>
    <xf numFmtId="0" fontId="8" fillId="0" borderId="0"/>
    <xf numFmtId="0" fontId="11" fillId="0" borderId="0"/>
    <xf numFmtId="0" fontId="8" fillId="0" borderId="0"/>
    <xf numFmtId="0" fontId="1" fillId="0" borderId="0"/>
    <xf numFmtId="0" fontId="1" fillId="0" borderId="0"/>
    <xf numFmtId="0" fontId="13" fillId="0" borderId="32" applyNumberFormat="0" applyFill="0" applyAlignment="0" applyProtection="0"/>
    <xf numFmtId="0" fontId="14" fillId="0" borderId="33" applyNumberFormat="0" applyFill="0" applyAlignment="0" applyProtection="0"/>
    <xf numFmtId="0" fontId="15" fillId="0" borderId="34" applyNumberFormat="0" applyFill="0" applyAlignment="0" applyProtection="0"/>
    <xf numFmtId="0" fontId="15" fillId="0" borderId="0" applyNumberFormat="0" applyFill="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8" fillId="16" borderId="35" applyNumberFormat="0" applyAlignment="0" applyProtection="0"/>
    <xf numFmtId="0" fontId="19" fillId="17" borderId="36" applyNumberFormat="0" applyAlignment="0" applyProtection="0"/>
    <xf numFmtId="0" fontId="20" fillId="17" borderId="35" applyNumberFormat="0" applyAlignment="0" applyProtection="0"/>
    <xf numFmtId="0" fontId="21" fillId="0" borderId="37" applyNumberFormat="0" applyFill="0" applyAlignment="0" applyProtection="0"/>
    <xf numFmtId="0" fontId="10" fillId="18" borderId="38" applyNumberFormat="0" applyAlignment="0" applyProtection="0"/>
    <xf numFmtId="0" fontId="22" fillId="0" borderId="0" applyNumberFormat="0" applyFill="0" applyBorder="0" applyAlignment="0" applyProtection="0"/>
    <xf numFmtId="0" fontId="1" fillId="19" borderId="39" applyNumberFormat="0" applyFont="0" applyAlignment="0" applyProtection="0"/>
    <xf numFmtId="0" fontId="23" fillId="0" borderId="0" applyNumberFormat="0" applyFill="0" applyBorder="0" applyAlignment="0" applyProtection="0"/>
    <xf numFmtId="0" fontId="24" fillId="0" borderId="40" applyNumberFormat="0" applyFill="0" applyAlignment="0" applyProtection="0"/>
    <xf numFmtId="0" fontId="2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25" fillId="43" borderId="0" applyNumberFormat="0" applyBorder="0" applyAlignment="0" applyProtection="0"/>
    <xf numFmtId="0" fontId="1" fillId="0" borderId="0"/>
    <xf numFmtId="168" fontId="1" fillId="0" borderId="0"/>
    <xf numFmtId="175" fontId="1" fillId="29" borderId="0" applyNumberFormat="0" applyBorder="0" applyAlignment="0" applyProtection="0"/>
    <xf numFmtId="175" fontId="1" fillId="0" borderId="0"/>
    <xf numFmtId="168" fontId="1" fillId="0" borderId="0"/>
    <xf numFmtId="0" fontId="27" fillId="0" borderId="0" applyNumberFormat="0" applyFill="0" applyBorder="0" applyAlignment="0" applyProtection="0"/>
    <xf numFmtId="175" fontId="14" fillId="0" borderId="33" applyNumberFormat="0" applyFill="0" applyAlignment="0" applyProtection="0"/>
    <xf numFmtId="175" fontId="1" fillId="0" borderId="0"/>
    <xf numFmtId="175" fontId="1" fillId="42" borderId="0" applyNumberFormat="0" applyBorder="0" applyAlignment="0" applyProtection="0"/>
    <xf numFmtId="175" fontId="10" fillId="18" borderId="38" applyNumberFormat="0" applyAlignment="0" applyProtection="0"/>
    <xf numFmtId="175" fontId="20" fillId="17" borderId="35" applyNumberFormat="0" applyAlignment="0" applyProtection="0"/>
    <xf numFmtId="175" fontId="1" fillId="0" borderId="0"/>
    <xf numFmtId="168" fontId="1" fillId="0" borderId="0"/>
    <xf numFmtId="175" fontId="25" fillId="31" borderId="0" applyNumberFormat="0" applyBorder="0" applyAlignment="0" applyProtection="0"/>
    <xf numFmtId="175" fontId="1" fillId="0" borderId="0"/>
    <xf numFmtId="175" fontId="1" fillId="0" borderId="0"/>
    <xf numFmtId="175" fontId="1" fillId="0" borderId="0"/>
    <xf numFmtId="168" fontId="1" fillId="0" borderId="0"/>
    <xf numFmtId="175" fontId="17" fillId="15" borderId="0" applyNumberFormat="0" applyBorder="0" applyAlignment="0" applyProtection="0"/>
    <xf numFmtId="175" fontId="1" fillId="0" borderId="0"/>
    <xf numFmtId="168" fontId="1" fillId="0" borderId="0"/>
    <xf numFmtId="175" fontId="25" fillId="43" borderId="0" applyNumberFormat="0" applyBorder="0" applyAlignment="0" applyProtection="0"/>
    <xf numFmtId="168"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8"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4" fontId="1" fillId="0" borderId="0" applyFont="0" applyFill="0" applyBorder="0" applyAlignment="0" applyProtection="0"/>
    <xf numFmtId="42" fontId="8" fillId="0" borderId="0" applyFont="0" applyFill="0" applyBorder="0" applyAlignment="0" applyProtection="0"/>
    <xf numFmtId="175"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8" fillId="0" borderId="0"/>
    <xf numFmtId="164" fontId="1" fillId="0" borderId="0" applyFont="0" applyFill="0" applyBorder="0" applyAlignment="0" applyProtection="0"/>
    <xf numFmtId="0" fontId="1" fillId="0" borderId="0"/>
    <xf numFmtId="168" fontId="1" fillId="0" borderId="0"/>
    <xf numFmtId="175" fontId="21" fillId="0" borderId="37" applyNumberFormat="0" applyFill="0" applyAlignment="0" applyProtection="0"/>
    <xf numFmtId="168" fontId="1" fillId="0" borderId="0"/>
    <xf numFmtId="175" fontId="25" fillId="28" borderId="0" applyNumberFormat="0" applyBorder="0" applyAlignment="0" applyProtection="0"/>
    <xf numFmtId="175" fontId="1" fillId="0" borderId="0"/>
    <xf numFmtId="168" fontId="1" fillId="0" borderId="0"/>
    <xf numFmtId="175" fontId="1" fillId="0" borderId="0"/>
    <xf numFmtId="175" fontId="1" fillId="0" borderId="0"/>
    <xf numFmtId="175" fontId="1" fillId="0" borderId="0"/>
    <xf numFmtId="175" fontId="1" fillId="0" borderId="0"/>
    <xf numFmtId="175" fontId="1" fillId="0" borderId="0"/>
    <xf numFmtId="175" fontId="18" fillId="16" borderId="35" applyNumberFormat="0" applyAlignment="0" applyProtection="0"/>
    <xf numFmtId="168" fontId="1" fillId="0" borderId="0"/>
    <xf numFmtId="175" fontId="1" fillId="0" borderId="0"/>
    <xf numFmtId="175" fontId="25" fillId="24" borderId="0" applyNumberFormat="0" applyBorder="0" applyAlignment="0" applyProtection="0"/>
    <xf numFmtId="175" fontId="1" fillId="0" borderId="0"/>
    <xf numFmtId="175" fontId="1" fillId="0" borderId="0"/>
    <xf numFmtId="175" fontId="1" fillId="0" borderId="0"/>
    <xf numFmtId="175" fontId="25" fillId="32" borderId="0" applyNumberFormat="0" applyBorder="0" applyAlignment="0" applyProtection="0"/>
    <xf numFmtId="175" fontId="1" fillId="0" borderId="0"/>
    <xf numFmtId="175" fontId="15" fillId="0" borderId="34" applyNumberFormat="0" applyFill="0" applyAlignment="0" applyProtection="0"/>
    <xf numFmtId="168" fontId="1" fillId="0" borderId="0"/>
    <xf numFmtId="175" fontId="26" fillId="0" borderId="0" applyNumberFormat="0" applyFill="0" applyBorder="0" applyAlignment="0" applyProtection="0"/>
    <xf numFmtId="175" fontId="1" fillId="0" borderId="0"/>
    <xf numFmtId="175" fontId="1" fillId="0" borderId="0"/>
    <xf numFmtId="168" fontId="1" fillId="0" borderId="0"/>
    <xf numFmtId="175" fontId="1" fillId="22" borderId="0" applyNumberFormat="0" applyBorder="0" applyAlignment="0" applyProtection="0"/>
    <xf numFmtId="175" fontId="28" fillId="0" borderId="0"/>
    <xf numFmtId="175" fontId="1" fillId="0" borderId="0"/>
    <xf numFmtId="168" fontId="1" fillId="0" borderId="0"/>
    <xf numFmtId="175" fontId="1" fillId="0" borderId="0"/>
    <xf numFmtId="175" fontId="15" fillId="0" borderId="0" applyNumberFormat="0" applyFill="0" applyBorder="0" applyAlignment="0" applyProtection="0"/>
    <xf numFmtId="175" fontId="1" fillId="0" borderId="0"/>
    <xf numFmtId="175" fontId="1" fillId="19" borderId="39" applyNumberFormat="0" applyFont="0" applyAlignment="0" applyProtection="0"/>
    <xf numFmtId="175" fontId="1" fillId="0" borderId="0"/>
    <xf numFmtId="175" fontId="19" fillId="17" borderId="36" applyNumberFormat="0" applyAlignment="0" applyProtection="0"/>
    <xf numFmtId="168" fontId="1" fillId="0" borderId="0"/>
    <xf numFmtId="168" fontId="1" fillId="0" borderId="0"/>
    <xf numFmtId="175" fontId="1" fillId="0" borderId="0"/>
    <xf numFmtId="175" fontId="1" fillId="0" borderId="0"/>
    <xf numFmtId="175" fontId="1" fillId="0" borderId="0"/>
    <xf numFmtId="168" fontId="1" fillId="0" borderId="0"/>
    <xf numFmtId="175" fontId="8" fillId="0" borderId="0"/>
    <xf numFmtId="175" fontId="25" fillId="23" borderId="0" applyNumberFormat="0" applyBorder="0" applyAlignment="0" applyProtection="0"/>
    <xf numFmtId="168" fontId="1" fillId="0" borderId="0"/>
    <xf numFmtId="175" fontId="1" fillId="41" borderId="0" applyNumberFormat="0" applyBorder="0" applyAlignment="0" applyProtection="0"/>
    <xf numFmtId="175" fontId="1" fillId="0" borderId="0"/>
    <xf numFmtId="175" fontId="1" fillId="0" borderId="0"/>
    <xf numFmtId="175" fontId="1" fillId="34" borderId="0" applyNumberFormat="0" applyBorder="0" applyAlignment="0" applyProtection="0"/>
    <xf numFmtId="168" fontId="1" fillId="0" borderId="0"/>
    <xf numFmtId="175" fontId="24" fillId="0" borderId="40" applyNumberFormat="0" applyFill="0" applyAlignment="0" applyProtection="0"/>
    <xf numFmtId="175" fontId="8" fillId="0" borderId="0"/>
    <xf numFmtId="175" fontId="1" fillId="0" borderId="0"/>
    <xf numFmtId="175" fontId="1" fillId="37" borderId="0" applyNumberFormat="0" applyBorder="0" applyAlignment="0" applyProtection="0"/>
    <xf numFmtId="175" fontId="25" fillId="20" borderId="0" applyNumberFormat="0" applyBorder="0" applyAlignment="0" applyProtection="0"/>
    <xf numFmtId="175" fontId="1" fillId="0" borderId="0"/>
    <xf numFmtId="168" fontId="1" fillId="0" borderId="0"/>
    <xf numFmtId="175" fontId="1" fillId="0" borderId="0"/>
    <xf numFmtId="168" fontId="1" fillId="0" borderId="0"/>
    <xf numFmtId="168" fontId="1" fillId="0" borderId="0"/>
    <xf numFmtId="175" fontId="8" fillId="0" borderId="0"/>
    <xf numFmtId="175" fontId="27" fillId="0" borderId="0" applyNumberFormat="0" applyFill="0" applyBorder="0" applyAlignment="0" applyProtection="0"/>
    <xf numFmtId="175" fontId="1" fillId="0" borderId="0"/>
    <xf numFmtId="175" fontId="1" fillId="21" borderId="0" applyNumberFormat="0" applyBorder="0" applyAlignment="0" applyProtection="0"/>
    <xf numFmtId="175" fontId="1" fillId="0" borderId="0"/>
    <xf numFmtId="175" fontId="25" fillId="39" borderId="0" applyNumberFormat="0" applyBorder="0" applyAlignment="0" applyProtection="0"/>
    <xf numFmtId="175" fontId="1" fillId="0" borderId="0"/>
    <xf numFmtId="175" fontId="25" fillId="35" borderId="0" applyNumberFormat="0" applyBorder="0" applyAlignment="0" applyProtection="0"/>
    <xf numFmtId="175" fontId="1" fillId="0" borderId="0"/>
    <xf numFmtId="175" fontId="1" fillId="0" borderId="0"/>
    <xf numFmtId="175" fontId="1" fillId="0" borderId="0"/>
    <xf numFmtId="175" fontId="1" fillId="0" borderId="0"/>
    <xf numFmtId="175" fontId="25" fillId="27" borderId="0" applyNumberFormat="0" applyBorder="0" applyAlignment="0" applyProtection="0"/>
    <xf numFmtId="175" fontId="1" fillId="0" borderId="0"/>
    <xf numFmtId="175" fontId="8" fillId="0" borderId="0"/>
    <xf numFmtId="175" fontId="1" fillId="0" borderId="0"/>
    <xf numFmtId="175" fontId="11" fillId="0" borderId="0"/>
    <xf numFmtId="175" fontId="1" fillId="0" borderId="0"/>
    <xf numFmtId="175" fontId="25" fillId="40" borderId="0" applyNumberFormat="0" applyBorder="0" applyAlignment="0" applyProtection="0"/>
    <xf numFmtId="175" fontId="22" fillId="0" borderId="0" applyNumberFormat="0" applyFill="0" applyBorder="0" applyAlignment="0" applyProtection="0"/>
    <xf numFmtId="175" fontId="1" fillId="38" borderId="0" applyNumberFormat="0" applyBorder="0" applyAlignment="0" applyProtection="0"/>
    <xf numFmtId="175" fontId="1" fillId="26" borderId="0" applyNumberFormat="0" applyBorder="0" applyAlignment="0" applyProtection="0"/>
    <xf numFmtId="175" fontId="23" fillId="0" borderId="0" applyNumberFormat="0" applyFill="0" applyBorder="0" applyAlignment="0" applyProtection="0"/>
    <xf numFmtId="175" fontId="1" fillId="25" borderId="0" applyNumberFormat="0" applyBorder="0" applyAlignment="0" applyProtection="0"/>
    <xf numFmtId="175" fontId="16" fillId="14" borderId="0" applyNumberFormat="0" applyBorder="0" applyAlignment="0" applyProtection="0"/>
    <xf numFmtId="168" fontId="1" fillId="0" borderId="0"/>
    <xf numFmtId="168" fontId="1" fillId="0" borderId="0"/>
    <xf numFmtId="175" fontId="1" fillId="33" borderId="0" applyNumberFormat="0" applyBorder="0" applyAlignment="0" applyProtection="0"/>
    <xf numFmtId="175" fontId="1" fillId="0" borderId="0"/>
    <xf numFmtId="175" fontId="1" fillId="0" borderId="0"/>
    <xf numFmtId="175" fontId="1" fillId="30" borderId="0" applyNumberFormat="0" applyBorder="0" applyAlignment="0" applyProtection="0"/>
    <xf numFmtId="175" fontId="7" fillId="6" borderId="10">
      <alignment horizontal="center" vertical="center" wrapText="1"/>
    </xf>
    <xf numFmtId="175" fontId="1" fillId="0" borderId="0"/>
    <xf numFmtId="175" fontId="7" fillId="6" borderId="10">
      <alignment horizontal="center" vertical="center" wrapText="1"/>
    </xf>
    <xf numFmtId="175" fontId="1" fillId="0" borderId="0"/>
    <xf numFmtId="175" fontId="25" fillId="36" borderId="0" applyNumberFormat="0" applyBorder="0" applyAlignment="0" applyProtection="0"/>
    <xf numFmtId="168" fontId="1" fillId="0" borderId="0"/>
    <xf numFmtId="175" fontId="1" fillId="0" borderId="0"/>
    <xf numFmtId="175" fontId="1" fillId="0" borderId="0"/>
    <xf numFmtId="175" fontId="13" fillId="0" borderId="32" applyNumberFormat="0" applyFill="0" applyAlignment="0" applyProtection="0"/>
    <xf numFmtId="175" fontId="28" fillId="0" borderId="0"/>
    <xf numFmtId="175" fontId="1" fillId="0" borderId="0"/>
    <xf numFmtId="175" fontId="1" fillId="0" borderId="0"/>
    <xf numFmtId="175" fontId="1" fillId="0" borderId="0"/>
    <xf numFmtId="168" fontId="1" fillId="0" borderId="0"/>
    <xf numFmtId="175" fontId="1" fillId="0" borderId="0"/>
    <xf numFmtId="175" fontId="1" fillId="0" borderId="0"/>
    <xf numFmtId="0" fontId="8" fillId="0" borderId="0"/>
    <xf numFmtId="175" fontId="1" fillId="0" borderId="0"/>
    <xf numFmtId="175" fontId="1" fillId="0" borderId="0"/>
    <xf numFmtId="175" fontId="1" fillId="0" borderId="0"/>
    <xf numFmtId="168" fontId="1" fillId="0" borderId="0"/>
    <xf numFmtId="9" fontId="1" fillId="0" borderId="0" applyFont="0" applyFill="0" applyBorder="0" applyAlignment="0" applyProtection="0"/>
    <xf numFmtId="0" fontId="1" fillId="0" borderId="0"/>
    <xf numFmtId="0" fontId="8" fillId="0" borderId="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30" fillId="55" borderId="0" applyNumberFormat="0" applyBorder="0" applyAlignment="0" applyProtection="0"/>
    <xf numFmtId="0" fontId="30" fillId="52" borderId="0" applyNumberFormat="0" applyBorder="0" applyAlignment="0" applyProtection="0"/>
    <xf numFmtId="0" fontId="30" fillId="53" borderId="0" applyNumberFormat="0" applyBorder="0" applyAlignment="0" applyProtection="0"/>
    <xf numFmtId="0" fontId="30" fillId="56" borderId="0" applyNumberFormat="0" applyBorder="0" applyAlignment="0" applyProtection="0"/>
    <xf numFmtId="0" fontId="30" fillId="57" borderId="0" applyNumberFormat="0" applyBorder="0" applyAlignment="0" applyProtection="0"/>
    <xf numFmtId="0" fontId="30" fillId="58" borderId="0" applyNumberFormat="0" applyBorder="0" applyAlignment="0" applyProtection="0"/>
    <xf numFmtId="0" fontId="31" fillId="47" borderId="0" applyNumberFormat="0" applyBorder="0" applyAlignment="0" applyProtection="0"/>
    <xf numFmtId="0" fontId="32" fillId="59" borderId="41" applyNumberFormat="0" applyAlignment="0" applyProtection="0"/>
    <xf numFmtId="0" fontId="33" fillId="60" borderId="42" applyNumberFormat="0" applyAlignment="0" applyProtection="0"/>
    <xf numFmtId="0" fontId="34" fillId="0" borderId="43" applyNumberFormat="0" applyFill="0" applyAlignment="0" applyProtection="0"/>
    <xf numFmtId="0" fontId="35" fillId="0" borderId="0" applyNumberFormat="0" applyFill="0" applyBorder="0" applyAlignment="0" applyProtection="0"/>
    <xf numFmtId="0" fontId="30" fillId="61" borderId="0" applyNumberFormat="0" applyBorder="0" applyAlignment="0" applyProtection="0"/>
    <xf numFmtId="0" fontId="30" fillId="62" borderId="0" applyNumberFormat="0" applyBorder="0" applyAlignment="0" applyProtection="0"/>
    <xf numFmtId="0" fontId="30" fillId="63" borderId="0" applyNumberFormat="0" applyBorder="0" applyAlignment="0" applyProtection="0"/>
    <xf numFmtId="0" fontId="30" fillId="56" borderId="0" applyNumberFormat="0" applyBorder="0" applyAlignment="0" applyProtection="0"/>
    <xf numFmtId="0" fontId="30" fillId="57" borderId="0" applyNumberFormat="0" applyBorder="0" applyAlignment="0" applyProtection="0"/>
    <xf numFmtId="0" fontId="30" fillId="64" borderId="0" applyNumberFormat="0" applyBorder="0" applyAlignment="0" applyProtection="0"/>
    <xf numFmtId="0" fontId="36" fillId="50" borderId="41" applyNumberFormat="0" applyAlignment="0" applyProtection="0"/>
    <xf numFmtId="175" fontId="8" fillId="0" borderId="0" applyFont="0" applyFill="0" applyBorder="0" applyAlignment="0" applyProtection="0"/>
    <xf numFmtId="175" fontId="8" fillId="0" borderId="0" applyFont="0" applyFill="0" applyBorder="0" applyAlignment="0" applyProtection="0"/>
    <xf numFmtId="176" fontId="37" fillId="0" borderId="0">
      <protection locked="0"/>
    </xf>
    <xf numFmtId="176" fontId="37" fillId="0" borderId="0">
      <protection locked="0"/>
    </xf>
    <xf numFmtId="176" fontId="37" fillId="0" borderId="0">
      <protection locked="0"/>
    </xf>
    <xf numFmtId="176" fontId="38" fillId="0" borderId="0">
      <protection locked="0"/>
    </xf>
    <xf numFmtId="176" fontId="39" fillId="0" borderId="0">
      <protection locked="0"/>
    </xf>
    <xf numFmtId="176" fontId="38" fillId="0" borderId="0">
      <protection locked="0"/>
    </xf>
    <xf numFmtId="176" fontId="39" fillId="0" borderId="0">
      <protection locked="0"/>
    </xf>
    <xf numFmtId="0" fontId="40" fillId="46" borderId="0" applyNumberFormat="0" applyBorder="0" applyAlignment="0" applyProtection="0"/>
    <xf numFmtId="177" fontId="8" fillId="0" borderId="0" applyFont="0" applyFill="0" applyBorder="0" applyAlignment="0" applyProtection="0"/>
    <xf numFmtId="0" fontId="41" fillId="65" borderId="0" applyNumberFormat="0" applyBorder="0" applyAlignment="0" applyProtection="0"/>
    <xf numFmtId="0" fontId="8" fillId="0" borderId="0"/>
    <xf numFmtId="175" fontId="5" fillId="0" borderId="0"/>
    <xf numFmtId="0" fontId="8" fillId="0" borderId="0"/>
    <xf numFmtId="175" fontId="5" fillId="0" borderId="0"/>
    <xf numFmtId="0" fontId="8" fillId="0" borderId="0"/>
    <xf numFmtId="175" fontId="5" fillId="0" borderId="0"/>
    <xf numFmtId="0" fontId="8" fillId="0" borderId="0"/>
    <xf numFmtId="0" fontId="8" fillId="0" borderId="0"/>
    <xf numFmtId="175" fontId="5" fillId="0" borderId="0"/>
    <xf numFmtId="175" fontId="5" fillId="0" borderId="0"/>
    <xf numFmtId="0" fontId="8" fillId="0" borderId="0"/>
    <xf numFmtId="0" fontId="8" fillId="0" borderId="0"/>
    <xf numFmtId="0" fontId="8" fillId="0" borderId="0"/>
    <xf numFmtId="175" fontId="5" fillId="0" borderId="0"/>
    <xf numFmtId="175" fontId="5" fillId="0" borderId="0"/>
    <xf numFmtId="175" fontId="5" fillId="0" borderId="0"/>
    <xf numFmtId="0" fontId="8" fillId="0" borderId="0"/>
    <xf numFmtId="0" fontId="1" fillId="0" borderId="0"/>
    <xf numFmtId="175" fontId="5" fillId="0" borderId="0"/>
    <xf numFmtId="175" fontId="5" fillId="0" borderId="0"/>
    <xf numFmtId="0" fontId="8" fillId="0" borderId="0"/>
    <xf numFmtId="0" fontId="8" fillId="0" borderId="0"/>
    <xf numFmtId="0" fontId="8" fillId="0" borderId="0"/>
    <xf numFmtId="0" fontId="49" fillId="0" borderId="0"/>
    <xf numFmtId="0" fontId="8" fillId="0" borderId="0"/>
    <xf numFmtId="0" fontId="8" fillId="0" borderId="0"/>
    <xf numFmtId="0" fontId="8" fillId="66" borderId="45" applyNumberFormat="0" applyFont="0" applyAlignment="0" applyProtection="0"/>
    <xf numFmtId="0" fontId="8" fillId="66" borderId="45" applyNumberFormat="0" applyFont="0" applyAlignment="0" applyProtection="0"/>
    <xf numFmtId="0" fontId="42" fillId="59" borderId="46" applyNumberFormat="0" applyAlignment="0" applyProtection="0"/>
    <xf numFmtId="0" fontId="50" fillId="67" borderId="0"/>
    <xf numFmtId="0" fontId="43" fillId="0" borderId="0" applyNumberFormat="0" applyFill="0" applyBorder="0" applyAlignment="0" applyProtection="0"/>
    <xf numFmtId="0" fontId="44" fillId="0" borderId="0" applyNumberFormat="0" applyFill="0" applyBorder="0" applyAlignment="0" applyProtection="0"/>
    <xf numFmtId="0" fontId="45" fillId="0" borderId="44" applyNumberFormat="0" applyFill="0" applyAlignment="0" applyProtection="0"/>
    <xf numFmtId="0" fontId="46" fillId="0" borderId="47" applyNumberFormat="0" applyFill="0" applyAlignment="0" applyProtection="0"/>
    <xf numFmtId="0" fontId="35" fillId="0" borderId="48" applyNumberFormat="0" applyFill="0" applyAlignment="0" applyProtection="0"/>
    <xf numFmtId="0" fontId="47" fillId="0" borderId="0" applyNumberFormat="0" applyFill="0" applyBorder="0" applyAlignment="0" applyProtection="0"/>
    <xf numFmtId="0" fontId="48" fillId="0" borderId="49" applyNumberFormat="0" applyFill="0" applyAlignment="0" applyProtection="0"/>
    <xf numFmtId="0" fontId="8" fillId="0" borderId="0"/>
    <xf numFmtId="0" fontId="1" fillId="0" borderId="0"/>
    <xf numFmtId="167" fontId="1" fillId="0" borderId="0" applyFont="0" applyFill="0" applyBorder="0" applyAlignment="0" applyProtection="0"/>
    <xf numFmtId="168" fontId="1" fillId="0" borderId="0"/>
    <xf numFmtId="166" fontId="1" fillId="0" borderId="0" applyFont="0" applyFill="0" applyBorder="0" applyAlignment="0" applyProtection="0"/>
    <xf numFmtId="175" fontId="1" fillId="0" borderId="0"/>
    <xf numFmtId="0" fontId="27" fillId="0" borderId="0" applyNumberFormat="0" applyFill="0" applyBorder="0" applyAlignment="0" applyProtection="0"/>
    <xf numFmtId="0" fontId="1" fillId="0" borderId="0"/>
    <xf numFmtId="175" fontId="8" fillId="0" borderId="0" applyFont="0" applyFill="0" applyBorder="0" applyAlignment="0" applyProtection="0"/>
    <xf numFmtId="175" fontId="8" fillId="0" borderId="0" applyFont="0" applyFill="0" applyBorder="0" applyAlignment="0" applyProtection="0"/>
    <xf numFmtId="17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66" borderId="45" applyNumberFormat="0" applyFont="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8" fontId="8" fillId="0" borderId="0"/>
    <xf numFmtId="43" fontId="1" fillId="0" borderId="0" applyFont="0" applyFill="0" applyBorder="0" applyAlignment="0" applyProtection="0"/>
    <xf numFmtId="0" fontId="11" fillId="0" borderId="0"/>
    <xf numFmtId="168" fontId="1" fillId="0" borderId="0"/>
    <xf numFmtId="43" fontId="1" fillId="0" borderId="0" applyFont="0" applyFill="0" applyBorder="0" applyAlignment="0" applyProtection="0"/>
    <xf numFmtId="0" fontId="17" fillId="15" borderId="0" applyNumberFormat="0" applyBorder="0" applyAlignment="0" applyProtection="0"/>
    <xf numFmtId="43" fontId="1" fillId="0" borderId="0" applyFont="0" applyFill="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0" fontId="25" fillId="39" borderId="0" applyNumberFormat="0" applyBorder="0" applyAlignment="0" applyProtection="0"/>
    <xf numFmtId="0" fontId="25" fillId="4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28" fillId="0" borderId="0"/>
    <xf numFmtId="4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2" fontId="8" fillId="0" borderId="0" applyFont="0" applyFill="0" applyBorder="0" applyAlignment="0" applyProtection="0"/>
    <xf numFmtId="175" fontId="1" fillId="0" borderId="0"/>
    <xf numFmtId="0" fontId="1" fillId="0" borderId="0"/>
    <xf numFmtId="168" fontId="8"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0" fontId="28" fillId="0" borderId="0"/>
    <xf numFmtId="168" fontId="1"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175" fontId="1" fillId="29" borderId="0" applyNumberFormat="0" applyBorder="0" applyAlignment="0" applyProtection="0"/>
    <xf numFmtId="175" fontId="1" fillId="0" borderId="0"/>
    <xf numFmtId="0" fontId="27" fillId="0" borderId="0" applyNumberFormat="0" applyFill="0" applyBorder="0" applyAlignment="0" applyProtection="0"/>
    <xf numFmtId="175" fontId="14" fillId="0" borderId="33" applyNumberFormat="0" applyFill="0" applyAlignment="0" applyProtection="0"/>
    <xf numFmtId="175" fontId="1" fillId="42" borderId="0" applyNumberFormat="0" applyBorder="0" applyAlignment="0" applyProtection="0"/>
    <xf numFmtId="175" fontId="10" fillId="18" borderId="38" applyNumberFormat="0" applyAlignment="0" applyProtection="0"/>
    <xf numFmtId="175" fontId="20" fillId="17" borderId="35" applyNumberFormat="0" applyAlignment="0" applyProtection="0"/>
    <xf numFmtId="44" fontId="1" fillId="0" borderId="0" applyFont="0" applyFill="0" applyBorder="0" applyAlignment="0" applyProtection="0"/>
    <xf numFmtId="175" fontId="25" fillId="31" borderId="0" applyNumberFormat="0" applyBorder="0" applyAlignment="0" applyProtection="0"/>
    <xf numFmtId="175" fontId="17" fillId="15" borderId="0" applyNumberFormat="0" applyBorder="0" applyAlignment="0" applyProtection="0"/>
    <xf numFmtId="175" fontId="25" fillId="43" borderId="0" applyNumberFormat="0" applyBorder="0" applyAlignment="0" applyProtection="0"/>
    <xf numFmtId="175"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8" fontId="1" fillId="0" borderId="0"/>
    <xf numFmtId="43"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2" fontId="8"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75" fontId="21" fillId="0" borderId="37" applyNumberFormat="0" applyFill="0" applyAlignment="0" applyProtection="0"/>
    <xf numFmtId="175" fontId="25" fillId="28" borderId="0" applyNumberFormat="0" applyBorder="0" applyAlignment="0" applyProtection="0"/>
    <xf numFmtId="175" fontId="18" fillId="16" borderId="35" applyNumberFormat="0" applyAlignment="0" applyProtection="0"/>
    <xf numFmtId="175" fontId="25" fillId="24" borderId="0" applyNumberFormat="0" applyBorder="0" applyAlignment="0" applyProtection="0"/>
    <xf numFmtId="175" fontId="1" fillId="0" borderId="0"/>
    <xf numFmtId="175" fontId="25" fillId="32" borderId="0" applyNumberFormat="0" applyBorder="0" applyAlignment="0" applyProtection="0"/>
    <xf numFmtId="175" fontId="15" fillId="0" borderId="34" applyNumberFormat="0" applyFill="0" applyAlignment="0" applyProtection="0"/>
    <xf numFmtId="175" fontId="1" fillId="0" borderId="0"/>
    <xf numFmtId="175" fontId="1" fillId="22" borderId="0" applyNumberFormat="0" applyBorder="0" applyAlignment="0" applyProtection="0"/>
    <xf numFmtId="175" fontId="28" fillId="0" borderId="0"/>
    <xf numFmtId="175" fontId="15" fillId="0" borderId="0" applyNumberFormat="0" applyFill="0" applyBorder="0" applyAlignment="0" applyProtection="0"/>
    <xf numFmtId="175" fontId="1" fillId="19" borderId="39" applyNumberFormat="0" applyFont="0" applyAlignment="0" applyProtection="0"/>
    <xf numFmtId="175" fontId="19" fillId="17" borderId="36" applyNumberFormat="0" applyAlignment="0" applyProtection="0"/>
    <xf numFmtId="175" fontId="1" fillId="0" borderId="0"/>
    <xf numFmtId="175" fontId="8" fillId="0" borderId="0"/>
    <xf numFmtId="175" fontId="25" fillId="23" borderId="0" applyNumberFormat="0" applyBorder="0" applyAlignment="0" applyProtection="0"/>
    <xf numFmtId="175" fontId="1" fillId="41" borderId="0" applyNumberFormat="0" applyBorder="0" applyAlignment="0" applyProtection="0"/>
    <xf numFmtId="175" fontId="1" fillId="34" borderId="0" applyNumberFormat="0" applyBorder="0" applyAlignment="0" applyProtection="0"/>
    <xf numFmtId="175" fontId="24" fillId="0" borderId="40" applyNumberFormat="0" applyFill="0" applyAlignment="0" applyProtection="0"/>
    <xf numFmtId="175" fontId="8" fillId="0" borderId="0"/>
    <xf numFmtId="175" fontId="1" fillId="37" borderId="0" applyNumberFormat="0" applyBorder="0" applyAlignment="0" applyProtection="0"/>
    <xf numFmtId="175" fontId="25" fillId="20" borderId="0" applyNumberFormat="0" applyBorder="0" applyAlignment="0" applyProtection="0"/>
    <xf numFmtId="175" fontId="1" fillId="0" borderId="0"/>
    <xf numFmtId="175" fontId="8" fillId="0" borderId="0"/>
    <xf numFmtId="175" fontId="1" fillId="21" borderId="0" applyNumberFormat="0" applyBorder="0" applyAlignment="0" applyProtection="0"/>
    <xf numFmtId="175" fontId="25" fillId="39" borderId="0" applyNumberFormat="0" applyBorder="0" applyAlignment="0" applyProtection="0"/>
    <xf numFmtId="175" fontId="25" fillId="35" borderId="0" applyNumberFormat="0" applyBorder="0" applyAlignment="0" applyProtection="0"/>
    <xf numFmtId="175" fontId="1" fillId="0" borderId="0"/>
    <xf numFmtId="175" fontId="25" fillId="27" borderId="0" applyNumberFormat="0" applyBorder="0" applyAlignment="0" applyProtection="0"/>
    <xf numFmtId="175" fontId="11" fillId="0" borderId="0"/>
    <xf numFmtId="175" fontId="25" fillId="40" borderId="0" applyNumberFormat="0" applyBorder="0" applyAlignment="0" applyProtection="0"/>
    <xf numFmtId="175" fontId="22" fillId="0" borderId="0" applyNumberFormat="0" applyFill="0" applyBorder="0" applyAlignment="0" applyProtection="0"/>
    <xf numFmtId="175" fontId="1" fillId="38" borderId="0" applyNumberFormat="0" applyBorder="0" applyAlignment="0" applyProtection="0"/>
    <xf numFmtId="175" fontId="1" fillId="26" borderId="0" applyNumberFormat="0" applyBorder="0" applyAlignment="0" applyProtection="0"/>
    <xf numFmtId="175" fontId="23" fillId="0" borderId="0" applyNumberFormat="0" applyFill="0" applyBorder="0" applyAlignment="0" applyProtection="0"/>
    <xf numFmtId="175" fontId="1" fillId="25" borderId="0" applyNumberFormat="0" applyBorder="0" applyAlignment="0" applyProtection="0"/>
    <xf numFmtId="175" fontId="16" fillId="14" borderId="0" applyNumberFormat="0" applyBorder="0" applyAlignment="0" applyProtection="0"/>
    <xf numFmtId="175" fontId="1" fillId="33" borderId="0" applyNumberFormat="0" applyBorder="0" applyAlignment="0" applyProtection="0"/>
    <xf numFmtId="175" fontId="1" fillId="30" borderId="0" applyNumberFormat="0" applyBorder="0" applyAlignment="0" applyProtection="0"/>
    <xf numFmtId="175" fontId="1" fillId="0" borderId="0"/>
    <xf numFmtId="175" fontId="1" fillId="0" borderId="0"/>
    <xf numFmtId="175" fontId="25" fillId="36" borderId="0" applyNumberFormat="0" applyBorder="0" applyAlignment="0" applyProtection="0"/>
    <xf numFmtId="175" fontId="13" fillId="0" borderId="32" applyNumberFormat="0" applyFill="0" applyAlignment="0" applyProtection="0"/>
    <xf numFmtId="175" fontId="28" fillId="0" borderId="0"/>
    <xf numFmtId="0" fontId="8"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177" fontId="8" fillId="0" borderId="0" applyFont="0" applyFill="0" applyBorder="0" applyAlignment="0" applyProtection="0"/>
    <xf numFmtId="0" fontId="8" fillId="0" borderId="0"/>
    <xf numFmtId="44" fontId="1" fillId="0" borderId="0" applyFont="0" applyFill="0" applyBorder="0" applyAlignment="0" applyProtection="0"/>
    <xf numFmtId="43" fontId="1" fillId="0" borderId="0" applyFont="0" applyFill="0" applyBorder="0" applyAlignment="0" applyProtection="0"/>
    <xf numFmtId="175" fontId="5" fillId="0" borderId="0"/>
    <xf numFmtId="0" fontId="8" fillId="0" borderId="0"/>
    <xf numFmtId="168" fontId="1" fillId="0" borderId="0"/>
    <xf numFmtId="0" fontId="8" fillId="0" borderId="0"/>
    <xf numFmtId="0" fontId="8" fillId="0" borderId="0"/>
    <xf numFmtId="0" fontId="8" fillId="0" borderId="0"/>
    <xf numFmtId="168"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168" fontId="1" fillId="0" borderId="0"/>
    <xf numFmtId="168" fontId="1" fillId="0" borderId="0"/>
    <xf numFmtId="43"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168" fontId="1" fillId="0" borderId="0"/>
    <xf numFmtId="43" fontId="1" fillId="0" borderId="0" applyFont="0" applyFill="0" applyBorder="0" applyAlignment="0" applyProtection="0"/>
    <xf numFmtId="43"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8" fontId="1" fillId="0" borderId="0"/>
    <xf numFmtId="168" fontId="1" fillId="0" borderId="0"/>
    <xf numFmtId="168" fontId="1" fillId="0" borderId="0"/>
    <xf numFmtId="43" fontId="1" fillId="0" borderId="0" applyFont="0" applyFill="0" applyBorder="0" applyAlignment="0" applyProtection="0"/>
    <xf numFmtId="168" fontId="1" fillId="0" borderId="0"/>
    <xf numFmtId="168" fontId="1" fillId="0" borderId="0"/>
    <xf numFmtId="168" fontId="1" fillId="0" borderId="0"/>
    <xf numFmtId="44" fontId="1" fillId="0" borderId="0" applyFont="0" applyFill="0" applyBorder="0" applyAlignment="0" applyProtection="0"/>
    <xf numFmtId="168" fontId="1" fillId="0" borderId="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44"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xf numFmtId="44" fontId="1" fillId="0" borderId="0" applyFont="0" applyFill="0" applyBorder="0" applyAlignment="0" applyProtection="0"/>
    <xf numFmtId="168" fontId="1" fillId="0" borderId="0"/>
    <xf numFmtId="168" fontId="1" fillId="0" borderId="0"/>
    <xf numFmtId="0" fontId="59" fillId="0" borderId="0"/>
    <xf numFmtId="41" fontId="60"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1" fontId="60" fillId="0" borderId="0" applyFont="0" applyFill="0" applyBorder="0" applyAlignment="0" applyProtection="0"/>
    <xf numFmtId="168" fontId="1"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5" fillId="0" borderId="0" applyFont="0" applyFill="0" applyBorder="0" applyAlignment="0" applyProtection="0"/>
    <xf numFmtId="165" fontId="1" fillId="0" borderId="0" applyFont="0" applyFill="0" applyBorder="0" applyAlignment="0" applyProtection="0"/>
    <xf numFmtId="0" fontId="17" fillId="15" borderId="0" applyNumberFormat="0" applyBorder="0" applyAlignment="0" applyProtection="0"/>
    <xf numFmtId="0" fontId="1" fillId="19" borderId="39" applyNumberFormat="0" applyFont="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0" fontId="25" fillId="39" borderId="0" applyNumberFormat="0" applyBorder="0" applyAlignment="0" applyProtection="0"/>
    <xf numFmtId="0" fontId="25" fillId="43" borderId="0" applyNumberFormat="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15">
    <xf numFmtId="168" fontId="0" fillId="0" borderId="0" xfId="0"/>
    <xf numFmtId="168" fontId="2" fillId="0" borderId="0" xfId="0" applyFont="1"/>
    <xf numFmtId="168" fontId="2" fillId="2" borderId="0" xfId="0" applyFont="1" applyFill="1"/>
    <xf numFmtId="168" fontId="4" fillId="2" borderId="0" xfId="0" applyFont="1" applyFill="1" applyAlignment="1">
      <alignment horizontal="center" vertical="center"/>
    </xf>
    <xf numFmtId="168" fontId="4" fillId="0" borderId="0" xfId="0" applyFont="1" applyAlignment="1">
      <alignment horizontal="center" vertical="center"/>
    </xf>
    <xf numFmtId="168" fontId="3" fillId="2" borderId="0" xfId="0" applyFont="1" applyFill="1" applyAlignment="1">
      <alignment vertical="center"/>
    </xf>
    <xf numFmtId="168" fontId="3" fillId="0" borderId="0" xfId="0" applyFont="1" applyAlignment="1">
      <alignment vertical="center"/>
    </xf>
    <xf numFmtId="168" fontId="6" fillId="0" borderId="0" xfId="0" applyFont="1"/>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6" fillId="2" borderId="0" xfId="0" applyFont="1" applyFill="1"/>
    <xf numFmtId="171" fontId="2" fillId="0" borderId="0" xfId="8" applyNumberFormat="1" applyFont="1" applyAlignment="1">
      <alignment horizontal="center"/>
    </xf>
    <xf numFmtId="168" fontId="2" fillId="2" borderId="0" xfId="0" applyFont="1" applyFill="1" applyAlignment="1">
      <alignment vertical="center"/>
    </xf>
    <xf numFmtId="173" fontId="2" fillId="2" borderId="0" xfId="4" applyNumberFormat="1" applyFont="1" applyFill="1" applyBorder="1"/>
    <xf numFmtId="173" fontId="2" fillId="0" borderId="0" xfId="4" applyNumberFormat="1" applyFont="1" applyFill="1" applyBorder="1"/>
    <xf numFmtId="168" fontId="3" fillId="2" borderId="0" xfId="0" applyFont="1" applyFill="1"/>
    <xf numFmtId="168" fontId="3" fillId="0" borderId="0" xfId="0" applyFont="1"/>
    <xf numFmtId="168" fontId="3" fillId="0" borderId="5" xfId="0" applyFont="1" applyBorder="1" applyAlignment="1">
      <alignment horizontal="center" vertical="center" wrapText="1"/>
    </xf>
    <xf numFmtId="168" fontId="3" fillId="0" borderId="6" xfId="0" applyFont="1" applyBorder="1" applyAlignment="1">
      <alignment horizontal="center" vertical="center" wrapText="1"/>
    </xf>
    <xf numFmtId="0" fontId="3" fillId="0" borderId="0" xfId="0" applyNumberFormat="1" applyFont="1" applyFill="1" applyAlignment="1">
      <alignment horizontal="center" vertical="center"/>
    </xf>
    <xf numFmtId="168" fontId="3" fillId="0" borderId="0" xfId="0" applyFont="1" applyFill="1" applyAlignment="1">
      <alignment horizontal="center"/>
    </xf>
    <xf numFmtId="168" fontId="3" fillId="0" borderId="0" xfId="0" applyFont="1" applyFill="1"/>
    <xf numFmtId="168" fontId="2" fillId="0" borderId="0" xfId="0" applyFont="1" applyFill="1"/>
    <xf numFmtId="168" fontId="6" fillId="0" borderId="0" xfId="0" applyFont="1" applyFill="1"/>
    <xf numFmtId="168" fontId="12" fillId="0" borderId="0" xfId="0" applyFont="1"/>
    <xf numFmtId="168" fontId="2" fillId="2" borderId="0" xfId="0" applyFont="1" applyFill="1" applyBorder="1"/>
    <xf numFmtId="168" fontId="2" fillId="0" borderId="0" xfId="0" applyFont="1" applyBorder="1"/>
    <xf numFmtId="168" fontId="2" fillId="2" borderId="0" xfId="0" applyFont="1" applyFill="1" applyAlignment="1">
      <alignment horizontal="center"/>
    </xf>
    <xf numFmtId="0" fontId="3" fillId="11" borderId="13" xfId="0" applyNumberFormat="1" applyFont="1" applyFill="1" applyBorder="1" applyAlignment="1">
      <alignment horizontal="left" vertical="center"/>
    </xf>
    <xf numFmtId="0" fontId="3" fillId="11" borderId="13"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3" xfId="7" applyFont="1" applyFill="1" applyBorder="1" applyAlignment="1">
      <alignment horizontal="justify" vertical="center" wrapText="1"/>
    </xf>
    <xf numFmtId="0" fontId="3" fillId="7" borderId="13" xfId="0" applyNumberFormat="1" applyFont="1" applyFill="1" applyBorder="1" applyAlignment="1">
      <alignment horizontal="left" vertical="center"/>
    </xf>
    <xf numFmtId="168" fontId="3" fillId="7" borderId="13" xfId="0" applyFont="1" applyFill="1" applyBorder="1" applyAlignment="1">
      <alignment horizontal="justify" vertical="center" wrapText="1"/>
    </xf>
    <xf numFmtId="0" fontId="3" fillId="0" borderId="13"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xf>
    <xf numFmtId="168" fontId="2" fillId="0" borderId="0" xfId="0" applyFont="1" applyFill="1" applyAlignment="1">
      <alignment horizontal="left" vertical="center" wrapText="1"/>
    </xf>
    <xf numFmtId="168" fontId="2" fillId="8" borderId="3" xfId="0" applyFont="1" applyFill="1" applyBorder="1" applyAlignment="1">
      <alignment horizontal="justify" vertical="center" wrapText="1"/>
    </xf>
    <xf numFmtId="0" fontId="3" fillId="13" borderId="29" xfId="0" applyNumberFormat="1" applyFont="1" applyFill="1" applyBorder="1" applyAlignment="1">
      <alignment horizontal="left" vertical="center"/>
    </xf>
    <xf numFmtId="0" fontId="3" fillId="13" borderId="30" xfId="0" applyNumberFormat="1" applyFont="1" applyFill="1" applyBorder="1" applyAlignment="1">
      <alignment horizontal="center" vertical="center"/>
    </xf>
    <xf numFmtId="0" fontId="3" fillId="11" borderId="16" xfId="0" applyNumberFormat="1" applyFont="1" applyFill="1" applyBorder="1" applyAlignment="1">
      <alignment horizontal="left" vertical="center"/>
    </xf>
    <xf numFmtId="0" fontId="2" fillId="44" borderId="13" xfId="0" applyNumberFormat="1" applyFont="1" applyFill="1" applyBorder="1" applyAlignment="1">
      <alignment horizontal="center" vertical="center" wrapText="1"/>
    </xf>
    <xf numFmtId="0" fontId="2" fillId="44" borderId="13" xfId="0" applyNumberFormat="1" applyFont="1" applyFill="1" applyBorder="1" applyAlignment="1">
      <alignment vertical="center"/>
    </xf>
    <xf numFmtId="0" fontId="2" fillId="44" borderId="13" xfId="0" applyNumberFormat="1" applyFont="1" applyFill="1" applyBorder="1" applyAlignment="1">
      <alignment horizontal="justify" vertical="center" wrapText="1"/>
    </xf>
    <xf numFmtId="0" fontId="2" fillId="44" borderId="13" xfId="0" applyNumberFormat="1" applyFont="1" applyFill="1" applyBorder="1" applyAlignment="1">
      <alignment horizontal="justify" vertical="center"/>
    </xf>
    <xf numFmtId="0" fontId="2" fillId="0" borderId="16" xfId="0" applyNumberFormat="1" applyFont="1" applyFill="1" applyBorder="1" applyAlignment="1">
      <alignment horizontal="center" vertical="center" wrapText="1"/>
    </xf>
    <xf numFmtId="0" fontId="2" fillId="0" borderId="3" xfId="9"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3" xfId="7" applyFont="1" applyFill="1" applyBorder="1" applyAlignment="1">
      <alignment horizontal="center" vertical="center" wrapText="1"/>
    </xf>
    <xf numFmtId="168" fontId="4" fillId="0" borderId="0" xfId="0" applyFont="1" applyFill="1" applyAlignment="1">
      <alignment horizontal="center" vertical="center"/>
    </xf>
    <xf numFmtId="168" fontId="51" fillId="9" borderId="54" xfId="0" applyFont="1" applyFill="1" applyBorder="1" applyAlignment="1">
      <alignment horizontal="center" vertical="center" wrapText="1"/>
    </xf>
    <xf numFmtId="168" fontId="51" fillId="0" borderId="54" xfId="0" applyFont="1" applyBorder="1" applyAlignment="1">
      <alignment horizontal="center" vertical="center" wrapText="1"/>
    </xf>
    <xf numFmtId="168" fontId="6" fillId="0" borderId="54" xfId="0" applyFont="1" applyBorder="1" applyAlignment="1">
      <alignment horizontal="center" vertical="center" wrapText="1"/>
    </xf>
    <xf numFmtId="168" fontId="51" fillId="9" borderId="54" xfId="0" applyFont="1" applyFill="1" applyBorder="1" applyAlignment="1">
      <alignment horizontal="center" vertical="center"/>
    </xf>
    <xf numFmtId="168" fontId="51" fillId="0" borderId="54" xfId="0" applyFont="1" applyBorder="1" applyAlignment="1">
      <alignment horizontal="center" vertical="center"/>
    </xf>
    <xf numFmtId="168" fontId="6" fillId="0" borderId="54" xfId="0" applyFont="1" applyBorder="1" applyAlignment="1">
      <alignment horizontal="center" vertical="center"/>
    </xf>
    <xf numFmtId="1" fontId="51" fillId="9" borderId="54" xfId="0" applyNumberFormat="1" applyFont="1" applyFill="1" applyBorder="1" applyAlignment="1">
      <alignment horizontal="center" vertical="center"/>
    </xf>
    <xf numFmtId="168" fontId="51" fillId="0" borderId="53" xfId="0" applyFont="1" applyBorder="1" applyAlignment="1">
      <alignment horizontal="justify" vertical="center" wrapText="1"/>
    </xf>
    <xf numFmtId="168" fontId="6" fillId="0" borderId="53" xfId="0" applyFont="1" applyBorder="1" applyAlignment="1">
      <alignment horizontal="justify" vertical="center" wrapText="1"/>
    </xf>
    <xf numFmtId="168" fontId="51" fillId="9" borderId="53" xfId="0" applyFont="1" applyFill="1" applyBorder="1" applyAlignment="1">
      <alignment horizontal="justify" vertical="center" wrapText="1"/>
    </xf>
    <xf numFmtId="0" fontId="6" fillId="0" borderId="53" xfId="0" applyNumberFormat="1" applyFont="1" applyBorder="1" applyAlignment="1">
      <alignment horizontal="justify" vertical="center" wrapText="1"/>
    </xf>
    <xf numFmtId="168" fontId="51" fillId="9" borderId="59" xfId="0" applyFont="1" applyFill="1" applyBorder="1" applyAlignment="1">
      <alignment horizontal="center" vertical="center"/>
    </xf>
    <xf numFmtId="168" fontId="51" fillId="0" borderId="0" xfId="0" applyFont="1" applyBorder="1" applyAlignment="1">
      <alignment horizontal="justify" vertical="center" wrapText="1"/>
    </xf>
    <xf numFmtId="168" fontId="6" fillId="0" borderId="0" xfId="0" applyFont="1" applyAlignment="1">
      <alignment vertical="center"/>
    </xf>
    <xf numFmtId="0" fontId="3" fillId="11" borderId="13" xfId="0" applyNumberFormat="1" applyFont="1" applyFill="1" applyBorder="1" applyAlignment="1">
      <alignment vertical="center"/>
    </xf>
    <xf numFmtId="0" fontId="2" fillId="0" borderId="0" xfId="0" applyNumberFormat="1" applyFont="1" applyBorder="1" applyAlignment="1">
      <alignment horizontal="center" vertical="center"/>
    </xf>
    <xf numFmtId="168" fontId="2" fillId="0" borderId="0" xfId="0" applyFont="1" applyBorder="1" applyAlignment="1">
      <alignment horizontal="center"/>
    </xf>
    <xf numFmtId="43" fontId="3" fillId="11" borderId="13" xfId="1" applyFont="1" applyFill="1" applyBorder="1" applyAlignment="1">
      <alignment vertical="center"/>
    </xf>
    <xf numFmtId="168" fontId="3" fillId="7" borderId="13" xfId="0" applyFont="1" applyFill="1" applyBorder="1" applyAlignment="1">
      <alignment horizontal="center" vertical="center"/>
    </xf>
    <xf numFmtId="43" fontId="3" fillId="7" borderId="13" xfId="0" applyNumberFormat="1" applyFont="1" applyFill="1" applyBorder="1" applyAlignment="1">
      <alignment vertical="center"/>
    </xf>
    <xf numFmtId="43" fontId="3" fillId="7" borderId="13" xfId="0" applyNumberFormat="1" applyFont="1" applyFill="1" applyBorder="1" applyAlignment="1">
      <alignment horizontal="center" vertical="center"/>
    </xf>
    <xf numFmtId="168" fontId="3" fillId="7" borderId="0" xfId="0" applyFont="1" applyFill="1" applyAlignment="1">
      <alignment vertical="center"/>
    </xf>
    <xf numFmtId="43" fontId="3" fillId="8" borderId="9" xfId="0" applyNumberFormat="1" applyFont="1" applyFill="1" applyBorder="1" applyAlignment="1">
      <alignment vertical="center"/>
    </xf>
    <xf numFmtId="43" fontId="3" fillId="8" borderId="3" xfId="0" applyNumberFormat="1" applyFont="1" applyFill="1" applyBorder="1" applyAlignment="1">
      <alignment horizontal="center" vertical="center"/>
    </xf>
    <xf numFmtId="168" fontId="2" fillId="8" borderId="0" xfId="0" applyFont="1" applyFill="1" applyAlignment="1">
      <alignment vertical="center"/>
    </xf>
    <xf numFmtId="168" fontId="51" fillId="0" borderId="54" xfId="0" applyFont="1" applyFill="1" applyBorder="1" applyAlignment="1">
      <alignment horizontal="center" vertical="center" wrapText="1"/>
    </xf>
    <xf numFmtId="168" fontId="6" fillId="0" borderId="54" xfId="0" applyFont="1" applyFill="1" applyBorder="1" applyAlignment="1">
      <alignment horizontal="center" vertical="center" wrapText="1"/>
    </xf>
    <xf numFmtId="0" fontId="3" fillId="7" borderId="15" xfId="0" applyNumberFormat="1" applyFont="1" applyFill="1" applyBorder="1" applyAlignment="1">
      <alignment horizontal="left" vertical="center"/>
    </xf>
    <xf numFmtId="0" fontId="3" fillId="7" borderId="18" xfId="0" applyNumberFormat="1" applyFont="1" applyFill="1" applyBorder="1" applyAlignment="1">
      <alignment horizontal="center" vertical="center"/>
    </xf>
    <xf numFmtId="168" fontId="3" fillId="7" borderId="18" xfId="0" applyFont="1" applyFill="1" applyBorder="1" applyAlignment="1">
      <alignment horizontal="center" vertical="center"/>
    </xf>
    <xf numFmtId="0" fontId="3" fillId="7" borderId="18" xfId="0" applyNumberFormat="1" applyFont="1" applyFill="1" applyBorder="1" applyAlignment="1">
      <alignment horizontal="justify" vertical="center" wrapText="1"/>
    </xf>
    <xf numFmtId="168" fontId="3" fillId="7" borderId="18" xfId="0" applyFont="1" applyFill="1" applyBorder="1" applyAlignment="1">
      <alignment horizontal="justify" vertical="center" wrapText="1"/>
    </xf>
    <xf numFmtId="0" fontId="3" fillId="7" borderId="18" xfId="0" applyNumberFormat="1" applyFont="1" applyFill="1" applyBorder="1" applyAlignment="1">
      <alignment horizontal="center" vertical="center" wrapText="1"/>
    </xf>
    <xf numFmtId="0" fontId="3" fillId="7" borderId="16" xfId="0" applyNumberFormat="1" applyFont="1" applyFill="1" applyBorder="1" applyAlignment="1">
      <alignment horizontal="center" vertical="center" wrapText="1"/>
    </xf>
    <xf numFmtId="168" fontId="2" fillId="8" borderId="9" xfId="0" applyFont="1" applyFill="1" applyBorder="1" applyAlignment="1">
      <alignment horizontal="center" vertical="center"/>
    </xf>
    <xf numFmtId="0" fontId="2" fillId="8" borderId="18" xfId="0" applyNumberFormat="1" applyFont="1" applyFill="1" applyBorder="1" applyAlignment="1">
      <alignment horizontal="left" vertical="center"/>
    </xf>
    <xf numFmtId="0" fontId="2" fillId="8" borderId="18" xfId="0" applyNumberFormat="1" applyFont="1" applyFill="1" applyBorder="1" applyAlignment="1">
      <alignment horizontal="center" vertical="center"/>
    </xf>
    <xf numFmtId="168" fontId="2" fillId="8" borderId="18" xfId="0" applyFont="1" applyFill="1" applyBorder="1" applyAlignment="1">
      <alignment horizontal="center" vertical="center"/>
    </xf>
    <xf numFmtId="0" fontId="2" fillId="8" borderId="18" xfId="0" applyNumberFormat="1" applyFont="1" applyFill="1" applyBorder="1" applyAlignment="1">
      <alignment horizontal="justify" vertical="center" wrapText="1"/>
    </xf>
    <xf numFmtId="168" fontId="2" fillId="8" borderId="18" xfId="0" applyFont="1" applyFill="1" applyBorder="1" applyAlignment="1">
      <alignment horizontal="justify" vertical="center" wrapText="1"/>
    </xf>
    <xf numFmtId="0" fontId="2" fillId="8" borderId="18" xfId="0" applyNumberFormat="1" applyFont="1" applyFill="1" applyBorder="1" applyAlignment="1">
      <alignment horizontal="center" vertical="center" wrapText="1"/>
    </xf>
    <xf numFmtId="0" fontId="2" fillId="8" borderId="16" xfId="0" applyNumberFormat="1" applyFont="1" applyFill="1" applyBorder="1" applyAlignment="1">
      <alignment horizontal="center" vertical="center" wrapText="1"/>
    </xf>
    <xf numFmtId="43" fontId="2" fillId="0" borderId="13" xfId="1" applyFont="1" applyFill="1" applyBorder="1" applyAlignment="1">
      <alignment vertical="center"/>
    </xf>
    <xf numFmtId="168" fontId="52" fillId="0" borderId="0" xfId="0" applyFont="1"/>
    <xf numFmtId="0" fontId="28" fillId="0" borderId="0" xfId="94" applyFont="1"/>
    <xf numFmtId="0" fontId="28" fillId="0" borderId="0" xfId="94" applyFont="1" applyFill="1"/>
    <xf numFmtId="0" fontId="6" fillId="0" borderId="3" xfId="94" applyFont="1" applyBorder="1" applyAlignment="1">
      <alignment horizontal="center" vertical="center"/>
    </xf>
    <xf numFmtId="0" fontId="6" fillId="0" borderId="3" xfId="94" applyFont="1" applyBorder="1" applyAlignment="1">
      <alignment horizontal="left" vertical="center"/>
    </xf>
    <xf numFmtId="167" fontId="2" fillId="0" borderId="3" xfId="103" applyNumberFormat="1" applyFont="1" applyBorder="1" applyAlignment="1">
      <alignment horizontal="right" vertical="center"/>
    </xf>
    <xf numFmtId="9" fontId="2" fillId="0" borderId="3" xfId="96" applyFont="1" applyBorder="1" applyAlignment="1">
      <alignment horizontal="center" vertical="center"/>
    </xf>
    <xf numFmtId="167" fontId="2" fillId="0" borderId="3" xfId="96" applyNumberFormat="1" applyFont="1" applyBorder="1" applyAlignment="1">
      <alignment horizontal="center" vertical="center"/>
    </xf>
    <xf numFmtId="167" fontId="2" fillId="0" borderId="3" xfId="103" applyNumberFormat="1" applyFont="1" applyFill="1" applyBorder="1" applyAlignment="1">
      <alignment horizontal="right" vertical="center"/>
    </xf>
    <xf numFmtId="167" fontId="2" fillId="0" borderId="3" xfId="282" applyNumberFormat="1" applyFont="1" applyFill="1" applyBorder="1" applyAlignment="1">
      <alignment horizontal="right" vertical="center"/>
    </xf>
    <xf numFmtId="167" fontId="2" fillId="0" borderId="3" xfId="282" applyNumberFormat="1" applyFont="1" applyBorder="1" applyAlignment="1">
      <alignment horizontal="center" vertical="center"/>
    </xf>
    <xf numFmtId="167" fontId="6" fillId="0" borderId="3" xfId="103" applyNumberFormat="1" applyFont="1" applyBorder="1" applyAlignment="1">
      <alignment vertical="center"/>
    </xf>
    <xf numFmtId="0" fontId="28" fillId="0" borderId="0" xfId="94" applyFont="1" applyAlignment="1">
      <alignment vertical="center"/>
    </xf>
    <xf numFmtId="167" fontId="6" fillId="0" borderId="3" xfId="103" applyNumberFormat="1" applyFont="1" applyFill="1" applyBorder="1" applyAlignment="1">
      <alignment vertical="center"/>
    </xf>
    <xf numFmtId="0" fontId="6" fillId="0" borderId="3" xfId="94" applyFont="1" applyBorder="1" applyAlignment="1">
      <alignment horizontal="left" vertical="center" wrapText="1"/>
    </xf>
    <xf numFmtId="0" fontId="2" fillId="0" borderId="3" xfId="94" applyFont="1" applyBorder="1" applyAlignment="1">
      <alignment horizontal="center" vertical="center"/>
    </xf>
    <xf numFmtId="167" fontId="2" fillId="0" borderId="3" xfId="94" applyNumberFormat="1" applyFont="1" applyBorder="1" applyAlignment="1">
      <alignment horizontal="right" vertical="center"/>
    </xf>
    <xf numFmtId="0" fontId="8" fillId="0" borderId="0" xfId="94" applyFont="1" applyAlignment="1">
      <alignment vertical="center"/>
    </xf>
    <xf numFmtId="167" fontId="2" fillId="0" borderId="3" xfId="103" applyNumberFormat="1" applyFont="1" applyBorder="1" applyAlignment="1">
      <alignment vertical="center"/>
    </xf>
    <xf numFmtId="0" fontId="54" fillId="0" borderId="0" xfId="94" applyFont="1" applyFill="1" applyAlignment="1">
      <alignment vertical="center"/>
    </xf>
    <xf numFmtId="170" fontId="28" fillId="0" borderId="0" xfId="103" applyNumberFormat="1" applyFont="1"/>
    <xf numFmtId="0" fontId="28" fillId="0" borderId="0" xfId="94" applyFont="1" applyAlignment="1">
      <alignment horizontal="left"/>
    </xf>
    <xf numFmtId="170" fontId="8" fillId="0" borderId="0" xfId="103" applyNumberFormat="1" applyFont="1" applyFill="1" applyBorder="1" applyAlignment="1">
      <alignment horizontal="center" vertical="center" wrapText="1"/>
    </xf>
    <xf numFmtId="170" fontId="8" fillId="0" borderId="0" xfId="103" applyNumberFormat="1" applyFont="1" applyFill="1" applyBorder="1"/>
    <xf numFmtId="0" fontId="10" fillId="2" borderId="0" xfId="94" applyFont="1" applyFill="1" applyBorder="1"/>
    <xf numFmtId="0" fontId="10" fillId="2" borderId="0" xfId="94" applyFont="1" applyFill="1" applyBorder="1" applyAlignment="1">
      <alignment horizontal="center"/>
    </xf>
    <xf numFmtId="9" fontId="25" fillId="2" borderId="0" xfId="282" applyFont="1" applyFill="1" applyBorder="1" applyAlignment="1">
      <alignment horizontal="center"/>
    </xf>
    <xf numFmtId="170" fontId="8" fillId="0" borderId="0" xfId="103" applyNumberFormat="1" applyFont="1"/>
    <xf numFmtId="9" fontId="29" fillId="0" borderId="0" xfId="282" applyFont="1" applyFill="1" applyBorder="1" applyAlignment="1">
      <alignment horizontal="center" vertical="center"/>
    </xf>
    <xf numFmtId="9" fontId="29" fillId="2" borderId="0" xfId="282" applyFont="1" applyFill="1" applyBorder="1" applyAlignment="1">
      <alignment horizontal="center" vertical="center"/>
    </xf>
    <xf numFmtId="0" fontId="25" fillId="2" borderId="0" xfId="94" applyFont="1" applyFill="1" applyBorder="1"/>
    <xf numFmtId="170" fontId="29" fillId="2" borderId="0" xfId="103" applyNumberFormat="1" applyFont="1" applyFill="1" applyBorder="1"/>
    <xf numFmtId="10" fontId="29" fillId="2" borderId="0" xfId="282" applyNumberFormat="1" applyFont="1" applyFill="1" applyBorder="1" applyAlignment="1">
      <alignment horizontal="center" vertical="center"/>
    </xf>
    <xf numFmtId="10" fontId="29" fillId="2" borderId="0" xfId="282" applyNumberFormat="1" applyFont="1" applyFill="1" applyBorder="1" applyAlignment="1">
      <alignment horizontal="center"/>
    </xf>
    <xf numFmtId="167" fontId="25" fillId="2" borderId="0" xfId="94" applyNumberFormat="1" applyFont="1" applyFill="1" applyBorder="1" applyAlignment="1">
      <alignment horizontal="left"/>
    </xf>
    <xf numFmtId="0" fontId="8" fillId="0" borderId="0" xfId="94" applyFont="1"/>
    <xf numFmtId="10" fontId="8" fillId="0" borderId="0" xfId="282" applyNumberFormat="1" applyFont="1" applyFill="1" applyBorder="1"/>
    <xf numFmtId="168" fontId="0" fillId="0" borderId="0" xfId="0" applyFill="1" applyBorder="1"/>
    <xf numFmtId="43" fontId="2" fillId="0" borderId="0" xfId="1" applyFont="1" applyBorder="1" applyAlignment="1">
      <alignment horizontal="center"/>
    </xf>
    <xf numFmtId="43" fontId="2" fillId="0" borderId="0" xfId="1" applyFont="1" applyAlignment="1">
      <alignment horizontal="center"/>
    </xf>
    <xf numFmtId="43" fontId="3" fillId="0" borderId="0" xfId="1" applyFont="1" applyFill="1" applyAlignment="1">
      <alignment horizontal="center"/>
    </xf>
    <xf numFmtId="0" fontId="3" fillId="0" borderId="0" xfId="0" applyNumberFormat="1" applyFont="1" applyBorder="1" applyAlignment="1">
      <alignment horizontal="center" vertical="center" wrapText="1"/>
    </xf>
    <xf numFmtId="0" fontId="3" fillId="0" borderId="50" xfId="0" applyNumberFormat="1" applyFont="1" applyFill="1" applyBorder="1" applyAlignment="1">
      <alignment horizontal="center" vertical="center" wrapText="1"/>
    </xf>
    <xf numFmtId="0" fontId="3" fillId="0" borderId="51" xfId="0" applyNumberFormat="1" applyFont="1" applyFill="1" applyBorder="1" applyAlignment="1">
      <alignment horizontal="center" vertical="center" wrapText="1"/>
    </xf>
    <xf numFmtId="0" fontId="3" fillId="0" borderId="62" xfId="0" applyNumberFormat="1" applyFont="1" applyFill="1" applyBorder="1" applyAlignment="1">
      <alignment horizontal="center" vertical="center" wrapText="1"/>
    </xf>
    <xf numFmtId="0" fontId="3" fillId="0" borderId="61" xfId="0" applyNumberFormat="1" applyFont="1" applyFill="1" applyBorder="1" applyAlignment="1">
      <alignment horizontal="center" vertical="center" wrapText="1"/>
    </xf>
    <xf numFmtId="0" fontId="3" fillId="11" borderId="20" xfId="0" applyNumberFormat="1" applyFont="1" applyFill="1" applyBorder="1" applyAlignment="1">
      <alignment horizontal="center" vertical="center" wrapText="1"/>
    </xf>
    <xf numFmtId="168" fontId="2" fillId="0" borderId="0" xfId="0" applyFont="1" applyBorder="1" applyAlignment="1">
      <alignment horizontal="justify" vertical="center" wrapText="1"/>
    </xf>
    <xf numFmtId="0" fontId="2" fillId="0" borderId="12" xfId="0" applyNumberFormat="1" applyFont="1" applyFill="1" applyBorder="1" applyAlignment="1">
      <alignment horizontal="center" vertical="center" wrapText="1"/>
    </xf>
    <xf numFmtId="168" fontId="3" fillId="0" borderId="0" xfId="0" applyFont="1" applyBorder="1" applyAlignment="1">
      <alignment vertical="center" wrapText="1"/>
    </xf>
    <xf numFmtId="0" fontId="2" fillId="0" borderId="13" xfId="0" applyNumberFormat="1" applyFont="1" applyBorder="1" applyAlignment="1">
      <alignment horizontal="center" vertical="center" wrapText="1"/>
    </xf>
    <xf numFmtId="0" fontId="2" fillId="0" borderId="13" xfId="0" applyNumberFormat="1" applyFont="1" applyFill="1" applyBorder="1" applyAlignment="1">
      <alignment horizontal="justify" vertical="center" wrapText="1"/>
    </xf>
    <xf numFmtId="168" fontId="2" fillId="0" borderId="13" xfId="0" applyFont="1" applyFill="1" applyBorder="1" applyAlignment="1">
      <alignment horizontal="justify" vertical="center" wrapText="1"/>
    </xf>
    <xf numFmtId="0" fontId="2" fillId="0" borderId="4" xfId="0" applyNumberFormat="1" applyFont="1" applyBorder="1" applyAlignment="1">
      <alignment horizontal="center" vertical="center" wrapText="1"/>
    </xf>
    <xf numFmtId="0" fontId="2" fillId="0" borderId="50" xfId="0" applyNumberFormat="1" applyFont="1" applyBorder="1" applyAlignment="1">
      <alignment horizontal="center" vertical="center" wrapText="1"/>
    </xf>
    <xf numFmtId="0" fontId="2" fillId="0" borderId="16" xfId="0" applyNumberFormat="1" applyFont="1" applyFill="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7" xfId="0" applyNumberFormat="1" applyFont="1" applyFill="1" applyBorder="1" applyAlignment="1">
      <alignment horizontal="center" vertical="center"/>
    </xf>
    <xf numFmtId="168" fontId="2" fillId="0" borderId="28" xfId="0" applyFont="1" applyFill="1" applyBorder="1" applyAlignment="1">
      <alignment horizontal="justify" vertical="center" wrapText="1"/>
    </xf>
    <xf numFmtId="43" fontId="2" fillId="0" borderId="28" xfId="1" applyFont="1" applyFill="1" applyBorder="1" applyAlignment="1">
      <alignment vertical="center"/>
    </xf>
    <xf numFmtId="0" fontId="2" fillId="0" borderId="51" xfId="0" applyNumberFormat="1" applyFont="1" applyFill="1" applyBorder="1" applyAlignment="1">
      <alignment horizontal="center" vertical="center" wrapText="1"/>
    </xf>
    <xf numFmtId="0" fontId="2" fillId="0" borderId="62"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6" xfId="0" applyNumberFormat="1" applyFont="1" applyBorder="1" applyAlignment="1">
      <alignment horizontal="center" vertical="center" wrapText="1"/>
    </xf>
    <xf numFmtId="0" fontId="2" fillId="0" borderId="51"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61" xfId="0" applyNumberFormat="1" applyFont="1" applyBorder="1" applyAlignment="1">
      <alignment horizontal="center" vertical="center" wrapText="1"/>
    </xf>
    <xf numFmtId="0" fontId="2" fillId="0" borderId="61" xfId="0" applyNumberFormat="1" applyFont="1" applyFill="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0"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2" xfId="0" applyNumberFormat="1" applyFont="1" applyBorder="1" applyAlignment="1">
      <alignment horizontal="center" vertical="center" wrapText="1"/>
    </xf>
    <xf numFmtId="168" fontId="2" fillId="0" borderId="0" xfId="0" applyFont="1" applyFill="1" applyAlignment="1">
      <alignment vertical="center"/>
    </xf>
    <xf numFmtId="0" fontId="2" fillId="2" borderId="9"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68" fontId="2" fillId="0" borderId="3" xfId="0" applyFont="1" applyFill="1" applyBorder="1" applyAlignment="1">
      <alignment horizontal="justify" vertical="center" wrapText="1"/>
    </xf>
    <xf numFmtId="43" fontId="2" fillId="0" borderId="3" xfId="1" applyFont="1" applyFill="1" applyBorder="1" applyAlignment="1">
      <alignment horizontal="left" vertical="center"/>
    </xf>
    <xf numFmtId="0" fontId="2" fillId="0" borderId="3" xfId="0" applyNumberFormat="1" applyFont="1" applyFill="1" applyBorder="1" applyAlignment="1">
      <alignment horizontal="justify" vertical="center" wrapText="1"/>
    </xf>
    <xf numFmtId="0" fontId="2" fillId="0" borderId="3" xfId="0" applyNumberFormat="1" applyFont="1" applyFill="1" applyBorder="1" applyAlignment="1">
      <alignment horizontal="center" vertical="center"/>
    </xf>
    <xf numFmtId="168" fontId="2" fillId="0" borderId="16" xfId="0" applyFont="1" applyFill="1" applyBorder="1" applyAlignment="1">
      <alignment horizontal="justify" vertical="center" wrapText="1"/>
    </xf>
    <xf numFmtId="168" fontId="2" fillId="0" borderId="13" xfId="0" applyFont="1" applyFill="1" applyBorder="1" applyAlignment="1">
      <alignment horizontal="justify" vertical="center"/>
    </xf>
    <xf numFmtId="0" fontId="2" fillId="0" borderId="5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51" xfId="0" applyNumberFormat="1" applyFont="1" applyBorder="1" applyAlignment="1">
      <alignment horizontal="center" vertical="center"/>
    </xf>
    <xf numFmtId="0" fontId="2" fillId="0" borderId="16" xfId="0" applyNumberFormat="1" applyFont="1" applyBorder="1" applyAlignment="1">
      <alignment horizontal="center" vertical="center"/>
    </xf>
    <xf numFmtId="43" fontId="2" fillId="0" borderId="13" xfId="1" applyFont="1" applyBorder="1" applyAlignment="1">
      <alignment horizontal="left" vertical="center"/>
    </xf>
    <xf numFmtId="0" fontId="2" fillId="0" borderId="12" xfId="0" applyNumberFormat="1" applyFont="1" applyBorder="1" applyAlignment="1">
      <alignment horizontal="center" vertical="center"/>
    </xf>
    <xf numFmtId="0" fontId="2" fillId="0" borderId="13" xfId="0" applyNumberFormat="1" applyFont="1" applyFill="1" applyBorder="1" applyAlignment="1">
      <alignment horizontal="justify" vertical="center"/>
    </xf>
    <xf numFmtId="168" fontId="3" fillId="0" borderId="0" xfId="0" applyFont="1" applyFill="1" applyAlignment="1">
      <alignment vertical="center"/>
    </xf>
    <xf numFmtId="43" fontId="2" fillId="0" borderId="3" xfId="1" applyFont="1" applyFill="1" applyBorder="1" applyAlignment="1">
      <alignment horizontal="right" vertical="center" wrapText="1"/>
    </xf>
    <xf numFmtId="43" fontId="2" fillId="0" borderId="3" xfId="1" applyFont="1" applyFill="1" applyBorder="1" applyAlignment="1">
      <alignment horizontal="center" vertical="center" wrapText="1"/>
    </xf>
    <xf numFmtId="168" fontId="2" fillId="0" borderId="3" xfId="0" applyFont="1" applyFill="1" applyBorder="1" applyAlignment="1">
      <alignment horizontal="center" vertical="center" wrapText="1"/>
    </xf>
    <xf numFmtId="0" fontId="3" fillId="8" borderId="7" xfId="0" applyNumberFormat="1" applyFont="1" applyFill="1" applyBorder="1" applyAlignment="1">
      <alignment horizontal="left" vertical="center"/>
    </xf>
    <xf numFmtId="0" fontId="3" fillId="8" borderId="8" xfId="0" applyNumberFormat="1" applyFont="1" applyFill="1" applyBorder="1" applyAlignment="1">
      <alignment horizontal="left" vertical="center"/>
    </xf>
    <xf numFmtId="43" fontId="2" fillId="0" borderId="3" xfId="1" applyFont="1" applyFill="1" applyBorder="1" applyAlignment="1">
      <alignment vertical="center"/>
    </xf>
    <xf numFmtId="170" fontId="4" fillId="7" borderId="1" xfId="5" applyNumberFormat="1" applyFont="1" applyFill="1" applyBorder="1" applyAlignment="1">
      <alignment vertical="center" wrapText="1"/>
    </xf>
    <xf numFmtId="170" fontId="4" fillId="7" borderId="62" xfId="5" applyNumberFormat="1" applyFont="1" applyFill="1" applyBorder="1" applyAlignment="1">
      <alignment vertical="center" wrapText="1"/>
    </xf>
    <xf numFmtId="168" fontId="4" fillId="0" borderId="3" xfId="0" applyFont="1" applyBorder="1" applyAlignment="1">
      <alignment vertical="center"/>
    </xf>
    <xf numFmtId="168" fontId="4" fillId="0" borderId="3" xfId="0" applyFont="1" applyBorder="1" applyAlignment="1">
      <alignment horizontal="left" vertical="center"/>
    </xf>
    <xf numFmtId="4" fontId="2" fillId="0" borderId="3" xfId="0" applyNumberFormat="1" applyFont="1" applyFill="1" applyBorder="1" applyAlignment="1">
      <alignment horizontal="center" vertical="center" wrapText="1"/>
    </xf>
    <xf numFmtId="167" fontId="2" fillId="0" borderId="3" xfId="0" applyNumberFormat="1" applyFont="1" applyFill="1" applyBorder="1" applyAlignment="1">
      <alignment horizontal="center" vertical="center" wrapText="1"/>
    </xf>
    <xf numFmtId="173" fontId="2" fillId="0" borderId="3" xfId="4" applyNumberFormat="1" applyFont="1" applyFill="1" applyBorder="1" applyAlignment="1">
      <alignment horizontal="center" vertical="center" wrapText="1"/>
    </xf>
    <xf numFmtId="0" fontId="2" fillId="0" borderId="13" xfId="0" applyNumberFormat="1" applyFont="1" applyFill="1" applyBorder="1" applyAlignment="1">
      <alignment horizontal="justify" vertical="center" wrapText="1"/>
    </xf>
    <xf numFmtId="168" fontId="2" fillId="0" borderId="13" xfId="0" applyFont="1" applyFill="1" applyBorder="1" applyAlignment="1">
      <alignment horizontal="justify" vertical="center" wrapText="1"/>
    </xf>
    <xf numFmtId="43" fontId="3" fillId="11" borderId="13" xfId="1" applyFont="1" applyFill="1" applyBorder="1" applyAlignment="1">
      <alignment horizontal="left" vertical="center"/>
    </xf>
    <xf numFmtId="43" fontId="2" fillId="44" borderId="13" xfId="1" applyFont="1" applyFill="1" applyBorder="1" applyAlignment="1">
      <alignment vertical="center"/>
    </xf>
    <xf numFmtId="43" fontId="0" fillId="0" borderId="0" xfId="1" applyFont="1"/>
    <xf numFmtId="0" fontId="2" fillId="0" borderId="13" xfId="0" applyNumberFormat="1" applyFont="1" applyFill="1" applyBorder="1" applyAlignment="1">
      <alignment vertical="center"/>
    </xf>
    <xf numFmtId="0" fontId="58" fillId="44" borderId="13" xfId="0" applyNumberFormat="1" applyFont="1" applyFill="1" applyBorder="1" applyAlignment="1">
      <alignment vertical="center"/>
    </xf>
    <xf numFmtId="0" fontId="2" fillId="0" borderId="13" xfId="0" applyNumberFormat="1" applyFont="1" applyFill="1" applyBorder="1" applyAlignment="1">
      <alignment vertical="center" wrapText="1"/>
    </xf>
    <xf numFmtId="0" fontId="4" fillId="71" borderId="3" xfId="0" applyNumberFormat="1" applyFont="1" applyFill="1" applyBorder="1" applyAlignment="1">
      <alignment horizontal="center" vertical="center" wrapText="1"/>
    </xf>
    <xf numFmtId="43" fontId="56" fillId="0" borderId="3" xfId="1" applyFont="1" applyFill="1" applyBorder="1" applyAlignment="1">
      <alignment vertical="center"/>
    </xf>
    <xf numFmtId="168" fontId="58" fillId="0" borderId="3" xfId="0" applyFont="1" applyFill="1" applyBorder="1" applyAlignment="1">
      <alignment vertical="center" wrapText="1"/>
    </xf>
    <xf numFmtId="167" fontId="28" fillId="0" borderId="0" xfId="103" applyNumberFormat="1" applyFont="1"/>
    <xf numFmtId="0" fontId="3" fillId="7" borderId="18" xfId="0" applyNumberFormat="1" applyFont="1" applyFill="1" applyBorder="1" applyAlignment="1">
      <alignment horizontal="left" vertical="center"/>
    </xf>
    <xf numFmtId="0" fontId="2" fillId="0" borderId="3" xfId="0" applyNumberFormat="1" applyFont="1" applyFill="1" applyBorder="1" applyAlignment="1" applyProtection="1">
      <alignment horizontal="center" vertical="center"/>
      <protection locked="0"/>
    </xf>
    <xf numFmtId="43" fontId="56" fillId="0" borderId="3" xfId="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167" fontId="2" fillId="0" borderId="3" xfId="0" applyNumberFormat="1" applyFont="1" applyFill="1" applyBorder="1" applyAlignment="1">
      <alignment vertical="center"/>
    </xf>
    <xf numFmtId="0" fontId="3" fillId="7" borderId="19" xfId="0" applyNumberFormat="1" applyFont="1" applyFill="1" applyBorder="1" applyAlignment="1">
      <alignment horizontal="left" vertical="center"/>
    </xf>
    <xf numFmtId="0" fontId="3" fillId="7" borderId="23" xfId="0" applyNumberFormat="1" applyFont="1" applyFill="1" applyBorder="1" applyAlignment="1">
      <alignment horizontal="left" vertical="center"/>
    </xf>
    <xf numFmtId="0" fontId="3" fillId="7" borderId="24" xfId="0" applyNumberFormat="1" applyFont="1" applyFill="1" applyBorder="1" applyAlignment="1">
      <alignment horizontal="left" vertical="center"/>
    </xf>
    <xf numFmtId="0" fontId="3" fillId="7" borderId="24" xfId="0" applyNumberFormat="1" applyFont="1" applyFill="1" applyBorder="1" applyAlignment="1">
      <alignment horizontal="center" vertical="center"/>
    </xf>
    <xf numFmtId="168" fontId="3" fillId="7" borderId="24" xfId="0" applyFont="1" applyFill="1" applyBorder="1" applyAlignment="1">
      <alignment horizontal="center" vertical="center"/>
    </xf>
    <xf numFmtId="0" fontId="3" fillId="7" borderId="24" xfId="0" applyNumberFormat="1" applyFont="1" applyFill="1" applyBorder="1" applyAlignment="1">
      <alignment horizontal="justify" vertical="center" wrapText="1"/>
    </xf>
    <xf numFmtId="168" fontId="3" fillId="7" borderId="24" xfId="0" applyFont="1" applyFill="1" applyBorder="1" applyAlignment="1">
      <alignment horizontal="justify" vertical="center" wrapText="1"/>
    </xf>
    <xf numFmtId="0" fontId="3" fillId="7" borderId="25" xfId="0" applyNumberFormat="1" applyFont="1" applyFill="1" applyBorder="1" applyAlignment="1">
      <alignment horizontal="center" vertical="center" wrapText="1"/>
    </xf>
    <xf numFmtId="0" fontId="3" fillId="7" borderId="24" xfId="0" applyNumberFormat="1" applyFont="1" applyFill="1" applyBorder="1" applyAlignment="1">
      <alignment horizontal="center" vertical="center" wrapText="1"/>
    </xf>
    <xf numFmtId="168" fontId="3" fillId="7" borderId="19" xfId="0" applyFont="1" applyFill="1" applyBorder="1" applyAlignment="1">
      <alignment horizontal="center" vertical="center"/>
    </xf>
    <xf numFmtId="168" fontId="3" fillId="7" borderId="19" xfId="0" applyFont="1" applyFill="1" applyBorder="1" applyAlignment="1">
      <alignment horizontal="justify" vertical="center" wrapText="1"/>
    </xf>
    <xf numFmtId="43" fontId="3" fillId="7" borderId="19" xfId="0" applyNumberFormat="1" applyFont="1" applyFill="1" applyBorder="1" applyAlignment="1">
      <alignment vertical="center"/>
    </xf>
    <xf numFmtId="43" fontId="3" fillId="7" borderId="19" xfId="0" applyNumberFormat="1" applyFont="1" applyFill="1" applyBorder="1" applyAlignment="1">
      <alignment horizontal="center" vertical="center"/>
    </xf>
    <xf numFmtId="0" fontId="2" fillId="0" borderId="3" xfId="0" applyNumberFormat="1" applyFont="1" applyFill="1" applyBorder="1" applyAlignment="1">
      <alignment horizontal="left" vertical="center" wrapText="1"/>
    </xf>
    <xf numFmtId="0" fontId="2" fillId="0" borderId="3" xfId="6" applyNumberFormat="1" applyFont="1" applyFill="1" applyBorder="1">
      <alignment horizontal="center" vertical="center" wrapText="1"/>
    </xf>
    <xf numFmtId="167" fontId="2" fillId="0" borderId="3" xfId="5" applyFont="1" applyFill="1" applyBorder="1" applyAlignment="1">
      <alignment horizontal="justify" vertical="center"/>
    </xf>
    <xf numFmtId="43" fontId="2" fillId="0" borderId="3" xfId="1" applyFont="1" applyFill="1" applyBorder="1" applyAlignment="1">
      <alignment horizontal="center" vertical="center"/>
    </xf>
    <xf numFmtId="0" fontId="2" fillId="0" borderId="3" xfId="7" applyFont="1" applyFill="1" applyBorder="1" applyAlignment="1">
      <alignment horizontal="justify" vertical="center"/>
    </xf>
    <xf numFmtId="0" fontId="2" fillId="0" borderId="3" xfId="7" applyNumberFormat="1" applyFont="1" applyFill="1" applyBorder="1" applyAlignment="1">
      <alignment horizontal="center" vertical="center" wrapText="1"/>
    </xf>
    <xf numFmtId="43" fontId="2" fillId="0" borderId="3" xfId="1" applyFont="1" applyFill="1" applyBorder="1" applyAlignment="1">
      <alignment horizontal="right" vertical="center"/>
    </xf>
    <xf numFmtId="167" fontId="2" fillId="0" borderId="3" xfId="8" applyFont="1" applyFill="1" applyBorder="1" applyAlignment="1">
      <alignment horizontal="right" vertical="center" wrapText="1"/>
    </xf>
    <xf numFmtId="0" fontId="2" fillId="0" borderId="3" xfId="7" applyNumberFormat="1" applyFont="1" applyFill="1" applyBorder="1" applyAlignment="1">
      <alignment horizontal="justify" vertical="center"/>
    </xf>
    <xf numFmtId="168" fontId="2" fillId="0" borderId="3" xfId="0" applyFont="1" applyFill="1" applyBorder="1" applyAlignment="1">
      <alignment vertical="center" wrapText="1"/>
    </xf>
    <xf numFmtId="168" fontId="2" fillId="0" borderId="3" xfId="0" applyFont="1" applyFill="1" applyBorder="1"/>
    <xf numFmtId="0" fontId="2" fillId="0" borderId="3" xfId="0" applyNumberFormat="1" applyFont="1" applyFill="1" applyBorder="1" applyAlignment="1" applyProtection="1">
      <alignment horizontal="justify" vertical="center" wrapText="1"/>
      <protection locked="0"/>
    </xf>
    <xf numFmtId="0" fontId="2" fillId="0" borderId="3" xfId="0" applyNumberFormat="1" applyFont="1" applyFill="1" applyBorder="1" applyAlignment="1" applyProtection="1">
      <alignment horizontal="center" vertical="center" wrapText="1"/>
      <protection locked="0"/>
    </xf>
    <xf numFmtId="167" fontId="3" fillId="0" borderId="3" xfId="0" applyNumberFormat="1" applyFont="1" applyFill="1" applyBorder="1" applyAlignment="1">
      <alignment horizontal="left" vertical="center"/>
    </xf>
    <xf numFmtId="167" fontId="2" fillId="0" borderId="3" xfId="0" applyNumberFormat="1" applyFont="1" applyFill="1" applyBorder="1" applyAlignment="1">
      <alignment horizontal="left" vertical="center"/>
    </xf>
    <xf numFmtId="4" fontId="2" fillId="0" borderId="3" xfId="0" applyNumberFormat="1" applyFont="1" applyFill="1" applyBorder="1" applyAlignment="1">
      <alignment horizontal="right" vertical="center" wrapText="1"/>
    </xf>
    <xf numFmtId="0" fontId="2" fillId="0" borderId="3" xfId="6" applyNumberFormat="1" applyFont="1" applyFill="1" applyBorder="1" applyAlignment="1">
      <alignment horizontal="justify" vertical="center" wrapText="1"/>
    </xf>
    <xf numFmtId="0" fontId="2" fillId="0" borderId="3" xfId="6" applyNumberFormat="1" applyFont="1" applyFill="1" applyBorder="1" applyAlignment="1">
      <alignment horizontal="center" vertical="center" wrapText="1"/>
    </xf>
    <xf numFmtId="172" fontId="2" fillId="0" borderId="3" xfId="2" applyNumberFormat="1" applyFont="1" applyFill="1" applyBorder="1" applyAlignment="1">
      <alignment horizontal="right" vertical="center"/>
    </xf>
    <xf numFmtId="167" fontId="2" fillId="0" borderId="3" xfId="5" applyFont="1" applyFill="1" applyBorder="1"/>
    <xf numFmtId="0" fontId="3" fillId="0" borderId="3" xfId="0" applyNumberFormat="1" applyFont="1" applyFill="1" applyBorder="1" applyAlignment="1">
      <alignment horizontal="center" vertical="center" wrapText="1"/>
    </xf>
    <xf numFmtId="167" fontId="3" fillId="0" borderId="3" xfId="0" applyNumberFormat="1" applyFont="1" applyFill="1" applyBorder="1" applyAlignment="1">
      <alignment vertical="center"/>
    </xf>
    <xf numFmtId="0" fontId="2" fillId="0" borderId="3" xfId="9" applyFont="1" applyFill="1" applyBorder="1" applyAlignment="1">
      <alignment horizontal="justify" vertical="center" wrapText="1"/>
    </xf>
    <xf numFmtId="0" fontId="2" fillId="0" borderId="3" xfId="0" applyNumberFormat="1" applyFont="1" applyFill="1" applyBorder="1" applyAlignment="1">
      <alignment horizontal="left" vertical="center"/>
    </xf>
    <xf numFmtId="0" fontId="2" fillId="0" borderId="3" xfId="7" applyFont="1" applyFill="1" applyBorder="1" applyAlignment="1">
      <alignment horizontal="justify" vertical="center" wrapText="1"/>
    </xf>
    <xf numFmtId="43" fontId="2" fillId="0" borderId="3" xfId="0" applyNumberFormat="1" applyFont="1" applyFill="1" applyBorder="1" applyAlignment="1">
      <alignment vertical="center"/>
    </xf>
    <xf numFmtId="0" fontId="2" fillId="0" borderId="3" xfId="9" applyFont="1" applyFill="1" applyBorder="1">
      <alignment horizontal="center" vertical="center" wrapText="1"/>
    </xf>
    <xf numFmtId="167" fontId="2" fillId="0" borderId="3" xfId="8" applyFont="1" applyFill="1" applyBorder="1" applyAlignment="1">
      <alignment horizontal="center" vertical="center" wrapText="1"/>
    </xf>
    <xf numFmtId="172" fontId="2" fillId="0" borderId="3" xfId="2" applyNumberFormat="1" applyFont="1" applyFill="1" applyBorder="1" applyAlignment="1">
      <alignment horizontal="right" vertical="center" wrapText="1"/>
    </xf>
    <xf numFmtId="0" fontId="2" fillId="0" borderId="3" xfId="8" applyNumberFormat="1" applyFont="1" applyFill="1" applyBorder="1" applyAlignment="1">
      <alignment horizontal="center" vertical="center" wrapText="1"/>
    </xf>
    <xf numFmtId="43" fontId="2" fillId="0" borderId="3" xfId="1" applyFont="1" applyFill="1" applyBorder="1" applyAlignment="1">
      <alignment horizontal="justify" vertical="center"/>
    </xf>
    <xf numFmtId="0" fontId="2" fillId="0" borderId="3" xfId="9" applyFont="1" applyFill="1" applyBorder="1" applyAlignment="1">
      <alignment horizontal="center" vertical="center" wrapText="1"/>
    </xf>
    <xf numFmtId="49" fontId="2" fillId="0" borderId="3" xfId="0" applyNumberFormat="1" applyFont="1" applyFill="1" applyBorder="1" applyAlignment="1">
      <alignment horizontal="justify" vertical="center" wrapText="1"/>
    </xf>
    <xf numFmtId="41" fontId="2" fillId="0" borderId="3" xfId="2" applyFont="1" applyFill="1" applyBorder="1" applyAlignment="1">
      <alignment vertical="center"/>
    </xf>
    <xf numFmtId="167" fontId="2" fillId="0" borderId="3" xfId="8" applyFont="1" applyFill="1" applyBorder="1" applyAlignment="1">
      <alignment horizontal="center" vertical="center"/>
    </xf>
    <xf numFmtId="167" fontId="2" fillId="0" borderId="3" xfId="5" applyFont="1" applyFill="1" applyBorder="1" applyAlignment="1">
      <alignment vertical="center"/>
    </xf>
    <xf numFmtId="168" fontId="2" fillId="0" borderId="3" xfId="0" applyFont="1" applyFill="1" applyBorder="1" applyAlignment="1">
      <alignment horizontal="center" vertical="center"/>
    </xf>
    <xf numFmtId="168" fontId="2" fillId="0" borderId="3" xfId="0" applyFont="1" applyFill="1" applyBorder="1" applyAlignment="1">
      <alignment horizontal="justify" vertical="center"/>
    </xf>
    <xf numFmtId="167" fontId="2" fillId="0" borderId="3" xfId="8" applyFont="1" applyFill="1" applyBorder="1" applyAlignment="1">
      <alignment vertical="center"/>
    </xf>
    <xf numFmtId="0" fontId="2" fillId="0" borderId="3" xfId="0" applyNumberFormat="1" applyFont="1" applyFill="1" applyBorder="1" applyAlignment="1">
      <alignment horizontal="justify" vertical="center"/>
    </xf>
    <xf numFmtId="43" fontId="2" fillId="0" borderId="3" xfId="1" applyFont="1" applyFill="1" applyBorder="1" applyAlignment="1">
      <alignment horizontal="justify" vertical="center" wrapText="1"/>
    </xf>
    <xf numFmtId="167" fontId="2" fillId="0" borderId="3" xfId="8" applyFont="1" applyFill="1" applyBorder="1" applyAlignment="1">
      <alignment horizontal="left" vertical="center" wrapText="1"/>
    </xf>
    <xf numFmtId="1" fontId="2" fillId="0" borderId="3" xfId="13" applyNumberFormat="1" applyFont="1" applyFill="1" applyBorder="1" applyAlignment="1">
      <alignment horizontal="center" vertical="center"/>
    </xf>
    <xf numFmtId="43" fontId="2" fillId="0" borderId="3" xfId="1" applyFont="1" applyFill="1" applyBorder="1"/>
    <xf numFmtId="43" fontId="2" fillId="0" borderId="3" xfId="1" applyFont="1" applyFill="1" applyBorder="1" applyAlignment="1">
      <alignment vertical="center" wrapText="1"/>
    </xf>
    <xf numFmtId="0" fontId="2" fillId="0" borderId="3" xfId="1" applyNumberFormat="1" applyFont="1" applyFill="1" applyBorder="1" applyAlignment="1">
      <alignment horizontal="center" vertical="center" wrapText="1"/>
    </xf>
    <xf numFmtId="43" fontId="2" fillId="0" borderId="3" xfId="1" applyFont="1" applyFill="1" applyBorder="1" applyAlignment="1">
      <alignment horizontal="left" vertical="center" wrapText="1"/>
    </xf>
    <xf numFmtId="173" fontId="2" fillId="0" borderId="3" xfId="4" applyNumberFormat="1" applyFont="1" applyFill="1" applyBorder="1" applyAlignment="1">
      <alignment horizontal="center" vertical="center"/>
    </xf>
    <xf numFmtId="167" fontId="2" fillId="0" borderId="3" xfId="0" applyNumberFormat="1" applyFont="1" applyFill="1" applyBorder="1" applyAlignment="1">
      <alignment horizontal="justify" vertical="center"/>
    </xf>
    <xf numFmtId="0" fontId="2" fillId="0" borderId="3" xfId="6" applyNumberFormat="1" applyFont="1" applyFill="1" applyBorder="1" applyAlignment="1">
      <alignment horizontal="center" vertical="center"/>
    </xf>
    <xf numFmtId="0" fontId="2" fillId="0" borderId="3" xfId="7" applyFont="1" applyFill="1" applyBorder="1" applyAlignment="1">
      <alignment horizontal="center" vertical="center"/>
    </xf>
    <xf numFmtId="43" fontId="2" fillId="0" borderId="3" xfId="8" applyNumberFormat="1" applyFont="1" applyFill="1" applyBorder="1" applyAlignment="1">
      <alignment vertical="center"/>
    </xf>
    <xf numFmtId="167" fontId="3" fillId="0" borderId="3" xfId="5" applyFont="1" applyFill="1" applyBorder="1" applyAlignment="1">
      <alignment horizontal="justify" vertical="center"/>
    </xf>
    <xf numFmtId="167" fontId="2" fillId="0" borderId="3" xfId="5" applyFont="1" applyFill="1" applyBorder="1" applyAlignment="1">
      <alignment horizontal="justify" vertical="center" wrapText="1"/>
    </xf>
    <xf numFmtId="0" fontId="2" fillId="0" borderId="3" xfId="8" applyNumberFormat="1" applyFont="1" applyFill="1" applyBorder="1" applyAlignment="1">
      <alignment horizontal="justify" vertical="center" wrapText="1"/>
    </xf>
    <xf numFmtId="167" fontId="2" fillId="0" borderId="3" xfId="0" applyNumberFormat="1" applyFont="1" applyFill="1" applyBorder="1" applyAlignment="1">
      <alignment horizontal="justify" vertical="center" wrapText="1"/>
    </xf>
    <xf numFmtId="167" fontId="2" fillId="0" borderId="3" xfId="0" applyNumberFormat="1" applyFont="1" applyFill="1" applyBorder="1" applyAlignment="1">
      <alignment horizontal="right" vertical="center"/>
    </xf>
    <xf numFmtId="1" fontId="2" fillId="0" borderId="3" xfId="0" applyNumberFormat="1" applyFont="1" applyFill="1" applyBorder="1" applyAlignment="1">
      <alignment horizontal="center" vertical="center" wrapText="1"/>
    </xf>
    <xf numFmtId="168" fontId="2" fillId="0" borderId="3" xfId="0" applyFont="1" applyFill="1" applyBorder="1" applyAlignment="1" applyProtection="1">
      <alignment horizontal="justify" vertical="center" wrapText="1"/>
      <protection locked="0"/>
    </xf>
    <xf numFmtId="49" fontId="2" fillId="0" borderId="3" xfId="7" applyNumberFormat="1" applyFont="1" applyFill="1" applyBorder="1" applyAlignment="1">
      <alignment horizontal="justify" vertical="center" wrapText="1"/>
    </xf>
    <xf numFmtId="4" fontId="2" fillId="0" borderId="3" xfId="0" applyNumberFormat="1" applyFont="1" applyFill="1" applyBorder="1" applyAlignment="1">
      <alignment vertical="center" wrapText="1"/>
    </xf>
    <xf numFmtId="49" fontId="2" fillId="0" borderId="3" xfId="0" applyNumberFormat="1" applyFont="1" applyFill="1" applyBorder="1" applyAlignment="1">
      <alignment horizontal="center" vertical="center"/>
    </xf>
    <xf numFmtId="4" fontId="2" fillId="0" borderId="3" xfId="0" applyNumberFormat="1" applyFont="1" applyFill="1" applyBorder="1" applyAlignment="1">
      <alignment horizontal="center" vertical="center"/>
    </xf>
    <xf numFmtId="44" fontId="2" fillId="0" borderId="3" xfId="3" applyFont="1" applyFill="1" applyBorder="1" applyAlignment="1">
      <alignment horizontal="center" vertical="center"/>
    </xf>
    <xf numFmtId="0" fontId="2" fillId="0" borderId="3" xfId="7" applyNumberFormat="1" applyFont="1" applyFill="1" applyBorder="1" applyAlignment="1">
      <alignment horizontal="justify" vertical="center" wrapText="1"/>
    </xf>
    <xf numFmtId="4" fontId="2" fillId="0" borderId="3" xfId="0" applyNumberFormat="1" applyFont="1" applyFill="1" applyBorder="1" applyAlignment="1">
      <alignment vertical="center"/>
    </xf>
    <xf numFmtId="3" fontId="2" fillId="0" borderId="3" xfId="0" applyNumberFormat="1" applyFont="1" applyFill="1" applyBorder="1" applyAlignment="1">
      <alignment horizontal="right" vertical="center" wrapText="1"/>
    </xf>
    <xf numFmtId="167" fontId="2" fillId="0" borderId="3" xfId="5" applyFont="1" applyFill="1" applyBorder="1" applyAlignment="1">
      <alignment horizontal="right" vertical="center"/>
    </xf>
    <xf numFmtId="167" fontId="2" fillId="0" borderId="3" xfId="0" applyNumberFormat="1" applyFont="1" applyFill="1" applyBorder="1" applyAlignment="1">
      <alignment horizontal="right" vertical="center" wrapText="1"/>
    </xf>
    <xf numFmtId="0" fontId="2" fillId="0" borderId="3" xfId="0" applyNumberFormat="1" applyFont="1" applyFill="1" applyBorder="1" applyAlignment="1">
      <alignment vertical="center" wrapText="1"/>
    </xf>
    <xf numFmtId="167" fontId="2" fillId="0" borderId="3" xfId="8" applyFont="1" applyFill="1" applyBorder="1" applyAlignment="1">
      <alignment horizontal="right" vertical="center"/>
    </xf>
    <xf numFmtId="167" fontId="2" fillId="0" borderId="3" xfId="5" applyFont="1" applyFill="1" applyBorder="1" applyAlignment="1">
      <alignment horizontal="center" vertical="center" wrapText="1"/>
    </xf>
    <xf numFmtId="167" fontId="2" fillId="0" borderId="3" xfId="0" applyNumberFormat="1" applyFont="1" applyFill="1" applyBorder="1" applyAlignment="1">
      <alignment horizontal="center" vertical="center"/>
    </xf>
    <xf numFmtId="0" fontId="2" fillId="0" borderId="3" xfId="12"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xf>
    <xf numFmtId="3" fontId="2" fillId="0" borderId="3" xfId="0" applyNumberFormat="1" applyFont="1" applyFill="1" applyBorder="1" applyAlignment="1">
      <alignment horizontal="justify" vertical="center" wrapText="1"/>
    </xf>
    <xf numFmtId="170" fontId="2" fillId="0" borderId="3" xfId="0" applyNumberFormat="1" applyFont="1" applyFill="1" applyBorder="1" applyAlignment="1">
      <alignment horizontal="justify" vertical="center" wrapText="1"/>
    </xf>
    <xf numFmtId="167" fontId="58" fillId="0" borderId="13" xfId="8" applyFont="1" applyFill="1" applyBorder="1" applyAlignment="1">
      <alignment horizontal="right" vertical="center" wrapText="1"/>
    </xf>
    <xf numFmtId="170" fontId="58" fillId="0" borderId="13" xfId="8" applyNumberFormat="1" applyFont="1" applyFill="1" applyBorder="1" applyAlignment="1">
      <alignment horizontal="right" vertical="center" wrapText="1"/>
    </xf>
    <xf numFmtId="167" fontId="58" fillId="0" borderId="13" xfId="0" applyNumberFormat="1" applyFont="1" applyFill="1" applyBorder="1" applyAlignment="1">
      <alignment horizontal="justify" vertical="center" wrapText="1"/>
    </xf>
    <xf numFmtId="167" fontId="61" fillId="0" borderId="13" xfId="8" applyFont="1" applyFill="1" applyBorder="1" applyAlignment="1">
      <alignment vertical="center" wrapText="1"/>
    </xf>
    <xf numFmtId="167" fontId="58" fillId="0" borderId="13" xfId="8" applyFont="1" applyFill="1" applyBorder="1" applyAlignment="1">
      <alignment vertical="center" wrapText="1"/>
    </xf>
    <xf numFmtId="167" fontId="61" fillId="0" borderId="13" xfId="8" applyFont="1" applyFill="1" applyBorder="1" applyAlignment="1">
      <alignment horizontal="right" vertical="center" wrapText="1"/>
    </xf>
    <xf numFmtId="167" fontId="58" fillId="0" borderId="13" xfId="8" applyFont="1" applyFill="1" applyBorder="1" applyAlignment="1">
      <alignment horizontal="center" vertical="center" wrapText="1"/>
    </xf>
    <xf numFmtId="167" fontId="58" fillId="0" borderId="13" xfId="5" applyFont="1" applyFill="1" applyBorder="1" applyAlignment="1">
      <alignment horizontal="justify" vertical="center" wrapText="1"/>
    </xf>
    <xf numFmtId="43" fontId="6" fillId="0" borderId="52" xfId="1" applyFont="1" applyBorder="1" applyAlignment="1">
      <alignment vertical="center"/>
    </xf>
    <xf numFmtId="43" fontId="6" fillId="0" borderId="60" xfId="1" applyFont="1" applyBorder="1" applyAlignment="1">
      <alignment vertical="center"/>
    </xf>
    <xf numFmtId="43" fontId="58" fillId="0" borderId="13" xfId="1" applyFont="1" applyFill="1" applyBorder="1" applyAlignment="1">
      <alignment horizontal="center" vertical="center" wrapText="1"/>
    </xf>
    <xf numFmtId="9" fontId="3" fillId="0" borderId="3" xfId="94" applyNumberFormat="1" applyFont="1" applyFill="1" applyBorder="1" applyAlignment="1" applyProtection="1">
      <alignment horizontal="center" vertical="center"/>
      <protection locked="0"/>
    </xf>
    <xf numFmtId="9" fontId="28" fillId="0" borderId="0" xfId="103" applyNumberFormat="1" applyFont="1"/>
    <xf numFmtId="9" fontId="2" fillId="0" borderId="3" xfId="96" applyNumberFormat="1" applyFont="1" applyBorder="1" applyAlignment="1">
      <alignment horizontal="center" vertical="center"/>
    </xf>
    <xf numFmtId="9" fontId="8" fillId="0" borderId="0" xfId="103" applyNumberFormat="1" applyFont="1" applyFill="1" applyBorder="1"/>
    <xf numFmtId="9" fontId="2" fillId="0" borderId="3" xfId="282" applyNumberFormat="1" applyFont="1" applyBorder="1" applyAlignment="1">
      <alignment horizontal="center" vertical="center"/>
    </xf>
    <xf numFmtId="9" fontId="6" fillId="0" borderId="3" xfId="96" applyNumberFormat="1" applyFont="1" applyBorder="1" applyAlignment="1">
      <alignment horizontal="center" vertical="center"/>
    </xf>
    <xf numFmtId="9" fontId="28" fillId="0" borderId="0" xfId="94" applyNumberFormat="1" applyFont="1"/>
    <xf numFmtId="168" fontId="2" fillId="0" borderId="0" xfId="0" applyFont="1" applyAlignment="1">
      <alignment horizontal="center" vertical="center"/>
    </xf>
    <xf numFmtId="41" fontId="2" fillId="0" borderId="3" xfId="2" applyFont="1" applyFill="1" applyBorder="1" applyAlignment="1">
      <alignment horizontal="justify" vertical="center"/>
    </xf>
    <xf numFmtId="178" fontId="62" fillId="0" borderId="0" xfId="680" applyNumberFormat="1" applyFont="1" applyFill="1" applyAlignment="1">
      <alignment horizontal="right" vertical="center"/>
    </xf>
    <xf numFmtId="0" fontId="25" fillId="0" borderId="0" xfId="94" applyFont="1" applyFill="1" applyBorder="1"/>
    <xf numFmtId="170" fontId="29" fillId="0" borderId="0" xfId="103" applyNumberFormat="1" applyFont="1" applyFill="1" applyBorder="1"/>
    <xf numFmtId="10" fontId="29" fillId="0" borderId="0" xfId="282" applyNumberFormat="1" applyFont="1" applyFill="1" applyBorder="1" applyAlignment="1">
      <alignment horizontal="center" vertical="center"/>
    </xf>
    <xf numFmtId="10" fontId="29" fillId="0" borderId="0" xfId="282" applyNumberFormat="1" applyFont="1" applyFill="1" applyBorder="1" applyAlignment="1">
      <alignment horizontal="center"/>
    </xf>
    <xf numFmtId="167" fontId="25" fillId="0" borderId="0" xfId="94" applyNumberFormat="1" applyFont="1" applyFill="1" applyBorder="1" applyAlignment="1">
      <alignment horizontal="left"/>
    </xf>
    <xf numFmtId="0" fontId="63" fillId="0" borderId="0" xfId="94" applyFont="1" applyAlignment="1">
      <alignment horizontal="left"/>
    </xf>
    <xf numFmtId="170" fontId="63" fillId="0" borderId="0" xfId="103" applyNumberFormat="1" applyFont="1"/>
    <xf numFmtId="0" fontId="63" fillId="0" borderId="0" xfId="94" applyFont="1" applyFill="1" applyBorder="1" applyAlignment="1">
      <alignment horizontal="left"/>
    </xf>
    <xf numFmtId="170" fontId="63" fillId="0" borderId="0" xfId="103" applyNumberFormat="1" applyFont="1" applyFill="1" applyBorder="1"/>
    <xf numFmtId="10" fontId="63" fillId="0" borderId="0" xfId="282" applyNumberFormat="1" applyFont="1" applyFill="1" applyBorder="1"/>
    <xf numFmtId="0" fontId="3" fillId="11" borderId="13" xfId="0" applyNumberFormat="1" applyFont="1" applyFill="1" applyBorder="1" applyAlignment="1">
      <alignment horizontal="center" vertical="center"/>
    </xf>
    <xf numFmtId="43" fontId="3" fillId="11" borderId="13" xfId="1" applyFont="1" applyFill="1" applyBorder="1" applyAlignment="1">
      <alignment horizontal="center" vertical="center"/>
    </xf>
    <xf numFmtId="0" fontId="3" fillId="11" borderId="15" xfId="0" applyNumberFormat="1" applyFont="1" applyFill="1" applyBorder="1" applyAlignment="1">
      <alignment horizontal="center" vertical="center"/>
    </xf>
    <xf numFmtId="168" fontId="3" fillId="11" borderId="16" xfId="0" applyFont="1" applyFill="1" applyBorder="1" applyAlignment="1">
      <alignment horizontal="center" vertical="center"/>
    </xf>
    <xf numFmtId="0" fontId="3" fillId="7" borderId="21" xfId="0" applyNumberFormat="1" applyFont="1" applyFill="1" applyBorder="1" applyAlignment="1">
      <alignment horizontal="center" vertical="center" wrapText="1"/>
    </xf>
    <xf numFmtId="0" fontId="3" fillId="7" borderId="13" xfId="0" applyNumberFormat="1" applyFont="1" applyFill="1" applyBorder="1" applyAlignment="1">
      <alignment vertical="center"/>
    </xf>
    <xf numFmtId="43" fontId="3" fillId="7" borderId="13" xfId="1" applyFont="1" applyFill="1" applyBorder="1" applyAlignment="1">
      <alignment vertical="center"/>
    </xf>
    <xf numFmtId="0" fontId="3" fillId="71" borderId="20" xfId="0" applyNumberFormat="1" applyFont="1" applyFill="1" applyBorder="1" applyAlignment="1">
      <alignment horizontal="center" vertical="center" wrapText="1"/>
    </xf>
    <xf numFmtId="0" fontId="3" fillId="71" borderId="13" xfId="0" applyNumberFormat="1" applyFont="1" applyFill="1" applyBorder="1" applyAlignment="1">
      <alignment horizontal="left" vertical="center"/>
    </xf>
    <xf numFmtId="0" fontId="3" fillId="71" borderId="13" xfId="0" applyNumberFormat="1" applyFont="1" applyFill="1" applyBorder="1" applyAlignment="1">
      <alignment vertical="center"/>
    </xf>
    <xf numFmtId="43" fontId="3" fillId="71" borderId="13" xfId="1" applyFont="1" applyFill="1" applyBorder="1" applyAlignment="1">
      <alignment vertical="center"/>
    </xf>
    <xf numFmtId="43" fontId="3" fillId="71" borderId="13" xfId="0" applyNumberFormat="1" applyFont="1" applyFill="1" applyBorder="1" applyAlignment="1">
      <alignment vertical="center"/>
    </xf>
    <xf numFmtId="0" fontId="3" fillId="71" borderId="16" xfId="0" applyNumberFormat="1" applyFont="1" applyFill="1" applyBorder="1" applyAlignment="1">
      <alignment horizontal="center" vertical="center" wrapText="1"/>
    </xf>
    <xf numFmtId="0" fontId="3" fillId="71" borderId="15" xfId="0" applyNumberFormat="1" applyFont="1" applyFill="1" applyBorder="1" applyAlignment="1">
      <alignment horizontal="center" vertical="center" wrapText="1"/>
    </xf>
    <xf numFmtId="0" fontId="3" fillId="71" borderId="16" xfId="0" applyNumberFormat="1" applyFont="1" applyFill="1" applyBorder="1" applyAlignment="1">
      <alignment vertical="center"/>
    </xf>
    <xf numFmtId="0" fontId="3" fillId="71" borderId="22" xfId="0" applyNumberFormat="1" applyFont="1" applyFill="1" applyBorder="1" applyAlignment="1">
      <alignment horizontal="center" vertical="center" wrapText="1"/>
    </xf>
    <xf numFmtId="0" fontId="3" fillId="71" borderId="26" xfId="0" applyNumberFormat="1" applyFont="1" applyFill="1" applyBorder="1" applyAlignment="1">
      <alignment horizontal="center" vertical="center" wrapText="1"/>
    </xf>
    <xf numFmtId="0" fontId="3" fillId="71" borderId="13" xfId="0" applyNumberFormat="1" applyFont="1" applyFill="1" applyBorder="1" applyAlignment="1">
      <alignment horizontal="center" vertical="center" wrapText="1"/>
    </xf>
    <xf numFmtId="0" fontId="3" fillId="71" borderId="25" xfId="0" applyNumberFormat="1" applyFont="1" applyFill="1" applyBorder="1" applyAlignment="1">
      <alignment horizontal="center" vertical="center" wrapText="1"/>
    </xf>
    <xf numFmtId="0" fontId="2" fillId="71" borderId="13" xfId="0" applyNumberFormat="1" applyFont="1" applyFill="1" applyBorder="1" applyAlignment="1">
      <alignment vertical="center"/>
    </xf>
    <xf numFmtId="43" fontId="2" fillId="71" borderId="13" xfId="1" applyFont="1" applyFill="1" applyBorder="1" applyAlignment="1">
      <alignment vertical="center"/>
    </xf>
    <xf numFmtId="0" fontId="3" fillId="71" borderId="13" xfId="0" applyNumberFormat="1" applyFont="1" applyFill="1" applyBorder="1" applyAlignment="1">
      <alignment horizontal="justify" vertical="center"/>
    </xf>
    <xf numFmtId="0" fontId="3" fillId="71" borderId="17" xfId="0" applyNumberFormat="1" applyFont="1" applyFill="1" applyBorder="1" applyAlignment="1">
      <alignment horizontal="left" vertical="center"/>
    </xf>
    <xf numFmtId="0" fontId="3" fillId="71" borderId="17" xfId="0" applyNumberFormat="1" applyFont="1" applyFill="1" applyBorder="1" applyAlignment="1">
      <alignment vertical="center"/>
    </xf>
    <xf numFmtId="43" fontId="3" fillId="71" borderId="17" xfId="1" applyFont="1" applyFill="1" applyBorder="1" applyAlignment="1">
      <alignment vertical="center"/>
    </xf>
    <xf numFmtId="0" fontId="3" fillId="71" borderId="68" xfId="0" applyNumberFormat="1" applyFont="1" applyFill="1" applyBorder="1" applyAlignment="1">
      <alignment horizontal="center" vertical="center" wrapText="1"/>
    </xf>
    <xf numFmtId="0" fontId="3" fillId="71" borderId="16" xfId="0" applyNumberFormat="1" applyFont="1" applyFill="1" applyBorder="1" applyAlignment="1">
      <alignment horizontal="left" vertical="center"/>
    </xf>
    <xf numFmtId="0" fontId="3" fillId="71" borderId="15" xfId="0" applyNumberFormat="1" applyFont="1" applyFill="1" applyBorder="1" applyAlignment="1">
      <alignment vertical="center"/>
    </xf>
    <xf numFmtId="0" fontId="3" fillId="11" borderId="15" xfId="0" applyNumberFormat="1" applyFont="1" applyFill="1" applyBorder="1" applyAlignment="1">
      <alignment horizontal="left" vertical="center"/>
    </xf>
    <xf numFmtId="168" fontId="3" fillId="13" borderId="30" xfId="0" applyFont="1" applyFill="1" applyBorder="1" applyAlignment="1">
      <alignment horizontal="center"/>
    </xf>
    <xf numFmtId="43" fontId="3" fillId="13" borderId="52" xfId="1" applyFont="1" applyFill="1" applyBorder="1" applyAlignment="1">
      <alignment horizontal="center" vertical="center"/>
    </xf>
    <xf numFmtId="0" fontId="3" fillId="7" borderId="13" xfId="0" applyNumberFormat="1" applyFont="1" applyFill="1" applyBorder="1" applyAlignment="1">
      <alignment horizontal="center" vertical="center"/>
    </xf>
    <xf numFmtId="0" fontId="3" fillId="7" borderId="15" xfId="0" applyNumberFormat="1" applyFont="1" applyFill="1" applyBorder="1" applyAlignment="1">
      <alignment horizontal="center" vertical="center"/>
    </xf>
    <xf numFmtId="168" fontId="3" fillId="7" borderId="16" xfId="0" applyFont="1" applyFill="1" applyBorder="1" applyAlignment="1">
      <alignment horizontal="center" vertical="center"/>
    </xf>
    <xf numFmtId="43" fontId="3" fillId="7" borderId="13" xfId="1" applyFont="1" applyFill="1" applyBorder="1" applyAlignment="1">
      <alignment horizontal="center" vertical="center"/>
    </xf>
    <xf numFmtId="0" fontId="3" fillId="7" borderId="17" xfId="0" applyNumberFormat="1" applyFont="1" applyFill="1" applyBorder="1" applyAlignment="1">
      <alignment horizontal="center" vertical="center" wrapText="1"/>
    </xf>
    <xf numFmtId="0" fontId="3" fillId="7" borderId="19" xfId="0" applyNumberFormat="1" applyFont="1" applyFill="1" applyBorder="1" applyAlignment="1">
      <alignment vertical="center"/>
    </xf>
    <xf numFmtId="0" fontId="3" fillId="7" borderId="17" xfId="0" applyNumberFormat="1" applyFont="1" applyFill="1" applyBorder="1" applyAlignment="1">
      <alignment horizontal="center" vertical="center"/>
    </xf>
    <xf numFmtId="0" fontId="3" fillId="7" borderId="13" xfId="0" applyNumberFormat="1" applyFont="1" applyFill="1" applyBorder="1" applyAlignment="1">
      <alignment horizontal="justify" vertical="center"/>
    </xf>
    <xf numFmtId="0" fontId="3" fillId="7" borderId="20" xfId="0" applyNumberFormat="1" applyFont="1" applyFill="1" applyBorder="1" applyAlignment="1">
      <alignment horizontal="center" vertical="center" wrapText="1"/>
    </xf>
    <xf numFmtId="0" fontId="3" fillId="7" borderId="13" xfId="0" applyNumberFormat="1" applyFont="1" applyFill="1" applyBorder="1" applyAlignment="1">
      <alignment horizontal="center" vertical="center" wrapText="1"/>
    </xf>
    <xf numFmtId="0" fontId="3" fillId="7" borderId="19" xfId="0" applyNumberFormat="1" applyFont="1" applyFill="1" applyBorder="1" applyAlignment="1">
      <alignment horizontal="center" vertical="center" wrapText="1"/>
    </xf>
    <xf numFmtId="0" fontId="3" fillId="72" borderId="13" xfId="0" applyNumberFormat="1" applyFont="1" applyFill="1" applyBorder="1" applyAlignment="1">
      <alignment horizontal="center" vertical="center" wrapText="1"/>
    </xf>
    <xf numFmtId="0" fontId="3" fillId="72" borderId="13" xfId="0" applyNumberFormat="1" applyFont="1" applyFill="1" applyBorder="1" applyAlignment="1">
      <alignment vertical="center"/>
    </xf>
    <xf numFmtId="43" fontId="3" fillId="72" borderId="13" xfId="1" applyFont="1" applyFill="1" applyBorder="1" applyAlignment="1">
      <alignment vertical="center"/>
    </xf>
    <xf numFmtId="43" fontId="3" fillId="72" borderId="19" xfId="1" applyFont="1" applyFill="1" applyBorder="1" applyAlignment="1">
      <alignment vertical="center"/>
    </xf>
    <xf numFmtId="0" fontId="3" fillId="72" borderId="19" xfId="0" applyNumberFormat="1" applyFont="1" applyFill="1" applyBorder="1" applyAlignment="1">
      <alignment horizontal="center" vertical="center" wrapText="1"/>
    </xf>
    <xf numFmtId="0" fontId="3" fillId="71" borderId="19" xfId="0" applyNumberFormat="1" applyFont="1" applyFill="1" applyBorder="1" applyAlignment="1">
      <alignment horizontal="center" vertical="center" wrapText="1"/>
    </xf>
    <xf numFmtId="0" fontId="3" fillId="71" borderId="19" xfId="0" applyNumberFormat="1" applyFont="1" applyFill="1" applyBorder="1" applyAlignment="1">
      <alignment vertical="center"/>
    </xf>
    <xf numFmtId="43" fontId="3" fillId="71" borderId="19" xfId="1" applyFont="1" applyFill="1" applyBorder="1" applyAlignment="1">
      <alignment vertical="center"/>
    </xf>
    <xf numFmtId="168" fontId="3" fillId="7" borderId="3" xfId="0" applyFont="1" applyFill="1" applyBorder="1" applyAlignment="1">
      <alignment horizontal="center" vertical="center"/>
    </xf>
    <xf numFmtId="168" fontId="3" fillId="7" borderId="3" xfId="0" applyFont="1" applyFill="1" applyBorder="1" applyAlignment="1">
      <alignment vertical="center"/>
    </xf>
    <xf numFmtId="43" fontId="3" fillId="7" borderId="3" xfId="1" applyFont="1" applyFill="1" applyBorder="1" applyAlignment="1">
      <alignment horizontal="center" vertical="center"/>
    </xf>
    <xf numFmtId="168" fontId="0" fillId="0" borderId="0" xfId="0" applyBorder="1"/>
    <xf numFmtId="0" fontId="3" fillId="72" borderId="19" xfId="0" applyNumberFormat="1" applyFont="1" applyFill="1" applyBorder="1" applyAlignment="1">
      <alignment vertical="center"/>
    </xf>
    <xf numFmtId="168" fontId="3" fillId="11" borderId="0" xfId="0" applyFont="1" applyFill="1" applyAlignment="1">
      <alignment horizontal="center"/>
    </xf>
    <xf numFmtId="168" fontId="3" fillId="11" borderId="0" xfId="0" applyFont="1" applyFill="1"/>
    <xf numFmtId="43" fontId="3" fillId="11" borderId="0" xfId="1" applyFont="1" applyFill="1" applyAlignment="1">
      <alignment horizontal="center"/>
    </xf>
    <xf numFmtId="0" fontId="2" fillId="44" borderId="19" xfId="0" applyNumberFormat="1" applyFont="1" applyFill="1" applyBorder="1" applyAlignment="1">
      <alignment horizontal="center" vertical="center" wrapText="1"/>
    </xf>
    <xf numFmtId="0" fontId="58" fillId="44" borderId="19" xfId="0" applyNumberFormat="1" applyFont="1" applyFill="1" applyBorder="1" applyAlignment="1">
      <alignment vertical="center"/>
    </xf>
    <xf numFmtId="43" fontId="2" fillId="44" borderId="19" xfId="1" applyFont="1" applyFill="1" applyBorder="1" applyAlignment="1">
      <alignment vertical="center"/>
    </xf>
    <xf numFmtId="43" fontId="3" fillId="11" borderId="52" xfId="1" applyFont="1" applyFill="1" applyBorder="1" applyAlignment="1">
      <alignment vertical="center"/>
    </xf>
    <xf numFmtId="43" fontId="3" fillId="11" borderId="31" xfId="1" applyFont="1" applyFill="1" applyBorder="1" applyAlignment="1">
      <alignment vertical="center"/>
    </xf>
    <xf numFmtId="43" fontId="3" fillId="7" borderId="52" xfId="1" applyFont="1" applyFill="1" applyBorder="1" applyAlignment="1">
      <alignment vertical="center"/>
    </xf>
    <xf numFmtId="43" fontId="3" fillId="72" borderId="52" xfId="1" applyFont="1" applyFill="1" applyBorder="1" applyAlignment="1">
      <alignment vertical="center"/>
    </xf>
    <xf numFmtId="43" fontId="3" fillId="71" borderId="52" xfId="1" applyFont="1" applyFill="1" applyBorder="1" applyAlignment="1">
      <alignment vertical="center"/>
    </xf>
    <xf numFmtId="0" fontId="3" fillId="71" borderId="0" xfId="94" applyFont="1" applyFill="1" applyAlignment="1">
      <alignment horizontal="left" vertical="center"/>
    </xf>
    <xf numFmtId="167" fontId="3" fillId="71" borderId="3" xfId="103" applyNumberFormat="1" applyFont="1" applyFill="1" applyBorder="1" applyAlignment="1">
      <alignment vertical="center"/>
    </xf>
    <xf numFmtId="9" fontId="3" fillId="71" borderId="3" xfId="96" applyFont="1" applyFill="1" applyBorder="1" applyAlignment="1">
      <alignment horizontal="center" vertical="center"/>
    </xf>
    <xf numFmtId="9" fontId="3" fillId="71" borderId="3" xfId="96" applyNumberFormat="1" applyFont="1" applyFill="1" applyBorder="1" applyAlignment="1">
      <alignment horizontal="center" vertical="center"/>
    </xf>
    <xf numFmtId="9" fontId="3" fillId="71" borderId="3" xfId="94" applyNumberFormat="1" applyFont="1" applyFill="1" applyBorder="1" applyAlignment="1" applyProtection="1">
      <alignment horizontal="center" vertical="center"/>
      <protection locked="0"/>
    </xf>
    <xf numFmtId="9" fontId="3" fillId="71" borderId="3" xfId="282" applyNumberFormat="1" applyFont="1" applyFill="1" applyBorder="1" applyAlignment="1">
      <alignment horizontal="center" vertical="center"/>
    </xf>
    <xf numFmtId="0" fontId="3" fillId="71" borderId="7" xfId="94" applyFont="1" applyFill="1" applyBorder="1" applyAlignment="1">
      <alignment horizontal="left" vertical="center"/>
    </xf>
    <xf numFmtId="0" fontId="3" fillId="71" borderId="9" xfId="94" applyFont="1" applyFill="1" applyBorder="1" applyAlignment="1">
      <alignment horizontal="left" vertical="center"/>
    </xf>
    <xf numFmtId="170" fontId="4" fillId="7" borderId="7" xfId="103" applyNumberFormat="1" applyFont="1" applyFill="1" applyBorder="1" applyAlignment="1">
      <alignment vertical="center" wrapText="1"/>
    </xf>
    <xf numFmtId="170" fontId="4" fillId="7" borderId="9" xfId="103" applyNumberFormat="1" applyFont="1" applyFill="1" applyBorder="1" applyAlignment="1">
      <alignment vertical="center" wrapText="1"/>
    </xf>
    <xf numFmtId="170" fontId="4" fillId="7" borderId="3" xfId="103" applyNumberFormat="1" applyFont="1" applyFill="1" applyBorder="1" applyAlignment="1">
      <alignment horizontal="center" vertical="center" wrapText="1"/>
    </xf>
    <xf numFmtId="170" fontId="55" fillId="7" borderId="3" xfId="103" applyNumberFormat="1" applyFont="1" applyFill="1" applyBorder="1" applyAlignment="1">
      <alignment horizontal="center" vertical="center" wrapText="1"/>
    </xf>
    <xf numFmtId="167" fontId="4" fillId="7" borderId="3" xfId="103" applyNumberFormat="1" applyFont="1" applyFill="1" applyBorder="1" applyAlignment="1">
      <alignment horizontal="center" vertical="center" wrapText="1"/>
    </xf>
    <xf numFmtId="0" fontId="3" fillId="13" borderId="7" xfId="94" applyFont="1" applyFill="1" applyBorder="1" applyAlignment="1">
      <alignment horizontal="left" vertical="center"/>
    </xf>
    <xf numFmtId="0" fontId="3" fillId="13" borderId="9" xfId="94" applyFont="1" applyFill="1" applyBorder="1" applyAlignment="1">
      <alignment horizontal="left" vertical="center"/>
    </xf>
    <xf numFmtId="167" fontId="3" fillId="13" borderId="3" xfId="103" applyNumberFormat="1" applyFont="1" applyFill="1" applyBorder="1" applyAlignment="1">
      <alignment vertical="center"/>
    </xf>
    <xf numFmtId="9" fontId="3" fillId="13" borderId="3" xfId="96" applyFont="1" applyFill="1" applyBorder="1" applyAlignment="1">
      <alignment horizontal="center" vertical="center"/>
    </xf>
    <xf numFmtId="9" fontId="3" fillId="13" borderId="3" xfId="96" applyNumberFormat="1" applyFont="1" applyFill="1" applyBorder="1" applyAlignment="1">
      <alignment horizontal="center" vertical="center"/>
    </xf>
    <xf numFmtId="9" fontId="3" fillId="13" borderId="3" xfId="94" applyNumberFormat="1" applyFont="1" applyFill="1" applyBorder="1" applyAlignment="1" applyProtection="1">
      <alignment horizontal="center" vertical="center"/>
      <protection locked="0"/>
    </xf>
    <xf numFmtId="9" fontId="3" fillId="13" borderId="3" xfId="282" applyNumberFormat="1" applyFont="1" applyFill="1" applyBorder="1" applyAlignment="1">
      <alignment horizontal="center" vertical="center"/>
    </xf>
    <xf numFmtId="179" fontId="2" fillId="0" borderId="3" xfId="282" applyNumberFormat="1" applyFont="1" applyBorder="1" applyAlignment="1">
      <alignment horizontal="center" vertical="center"/>
    </xf>
    <xf numFmtId="172" fontId="64" fillId="0" borderId="0" xfId="2" applyNumberFormat="1" applyFont="1" applyFill="1" applyAlignment="1">
      <alignment horizontal="center" vertical="center"/>
    </xf>
    <xf numFmtId="168" fontId="0" fillId="0" borderId="0" xfId="0" applyFill="1" applyAlignment="1">
      <alignment vertical="center" wrapText="1"/>
    </xf>
    <xf numFmtId="0" fontId="2" fillId="72" borderId="3" xfId="7" applyFont="1" applyFill="1" applyBorder="1" applyAlignment="1">
      <alignment horizontal="center" vertical="center" wrapText="1"/>
    </xf>
    <xf numFmtId="0" fontId="4" fillId="12" borderId="7" xfId="0" applyNumberFormat="1" applyFont="1" applyFill="1" applyBorder="1" applyAlignment="1">
      <alignment horizontal="center" vertical="center" wrapText="1"/>
    </xf>
    <xf numFmtId="170" fontId="4" fillId="7" borderId="3" xfId="5" applyNumberFormat="1" applyFont="1" applyFill="1" applyBorder="1" applyAlignment="1">
      <alignment horizontal="center" vertical="center" wrapText="1"/>
    </xf>
    <xf numFmtId="169" fontId="28" fillId="0" borderId="3" xfId="0" applyNumberFormat="1" applyFont="1" applyBorder="1" applyAlignment="1">
      <alignment horizontal="left" vertical="center"/>
    </xf>
    <xf numFmtId="14" fontId="28" fillId="0" borderId="3" xfId="0" applyNumberFormat="1" applyFont="1" applyFill="1" applyBorder="1" applyAlignment="1">
      <alignment horizontal="left" vertical="center"/>
    </xf>
    <xf numFmtId="168" fontId="54" fillId="0" borderId="3" xfId="0" applyFont="1" applyBorder="1" applyAlignment="1">
      <alignment horizontal="center" vertical="center"/>
    </xf>
    <xf numFmtId="3" fontId="65" fillId="3" borderId="3" xfId="0" applyNumberFormat="1" applyFont="1" applyFill="1" applyBorder="1" applyAlignment="1">
      <alignment horizontal="center" vertical="center" wrapText="1"/>
    </xf>
    <xf numFmtId="0" fontId="4" fillId="12" borderId="7" xfId="0" applyNumberFormat="1" applyFont="1" applyFill="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168" fontId="57" fillId="0" borderId="1" xfId="0" applyFont="1" applyBorder="1" applyAlignment="1">
      <alignment horizontal="center" vertical="center" wrapText="1"/>
    </xf>
    <xf numFmtId="168" fontId="57" fillId="0" borderId="2" xfId="0" applyFont="1" applyBorder="1" applyAlignment="1">
      <alignment horizontal="center" vertical="center" wrapText="1"/>
    </xf>
    <xf numFmtId="168" fontId="57" fillId="0" borderId="4" xfId="0" applyFont="1" applyBorder="1" applyAlignment="1">
      <alignment horizontal="center" vertical="center" wrapText="1"/>
    </xf>
    <xf numFmtId="168" fontId="57" fillId="0" borderId="0" xfId="0" applyFont="1" applyBorder="1" applyAlignment="1">
      <alignment horizontal="center" vertical="center" wrapText="1"/>
    </xf>
    <xf numFmtId="168" fontId="57" fillId="0" borderId="5" xfId="0" applyFont="1" applyBorder="1" applyAlignment="1">
      <alignment horizontal="center" vertical="center" wrapText="1"/>
    </xf>
    <xf numFmtId="168" fontId="57" fillId="0" borderId="6" xfId="0" applyFont="1" applyBorder="1" applyAlignment="1">
      <alignment horizontal="center" vertical="center" wrapText="1"/>
    </xf>
    <xf numFmtId="168" fontId="4" fillId="71" borderId="3" xfId="0" applyFont="1" applyFill="1" applyBorder="1" applyAlignment="1">
      <alignment horizontal="center" vertical="center" wrapText="1"/>
    </xf>
    <xf numFmtId="168" fontId="3" fillId="7" borderId="3" xfId="0" applyFont="1" applyFill="1" applyBorder="1" applyAlignment="1">
      <alignment horizontal="center" vertical="center" wrapText="1"/>
    </xf>
    <xf numFmtId="168" fontId="3" fillId="7" borderId="7" xfId="0" applyFont="1" applyFill="1" applyBorder="1" applyAlignment="1">
      <alignment horizontal="center" vertical="center" wrapText="1"/>
    </xf>
    <xf numFmtId="0" fontId="3" fillId="7" borderId="7" xfId="0" applyNumberFormat="1" applyFont="1" applyFill="1" applyBorder="1" applyAlignment="1">
      <alignment horizontal="center" vertical="center" wrapText="1"/>
    </xf>
    <xf numFmtId="0" fontId="3" fillId="7" borderId="9" xfId="0" applyNumberFormat="1" applyFont="1" applyFill="1" applyBorder="1" applyAlignment="1">
      <alignment horizontal="center" vertical="center" wrapText="1"/>
    </xf>
    <xf numFmtId="0" fontId="4" fillId="71" borderId="3" xfId="0" applyNumberFormat="1" applyFont="1" applyFill="1" applyBorder="1" applyAlignment="1">
      <alignment horizontal="center" vertical="center" wrapText="1"/>
    </xf>
    <xf numFmtId="0" fontId="4" fillId="12" borderId="50" xfId="0" applyNumberFormat="1" applyFont="1" applyFill="1" applyBorder="1" applyAlignment="1">
      <alignment horizontal="center" vertical="center" wrapText="1"/>
    </xf>
    <xf numFmtId="0" fontId="4" fillId="12" borderId="12" xfId="0" applyNumberFormat="1" applyFont="1" applyFill="1" applyBorder="1" applyAlignment="1">
      <alignment horizontal="center" vertical="center" wrapText="1"/>
    </xf>
    <xf numFmtId="0" fontId="4" fillId="71" borderId="50" xfId="0" applyNumberFormat="1" applyFont="1" applyFill="1" applyBorder="1" applyAlignment="1">
      <alignment horizontal="center" vertical="center" wrapText="1"/>
    </xf>
    <xf numFmtId="0" fontId="4" fillId="71" borderId="12" xfId="0" applyNumberFormat="1" applyFont="1" applyFill="1" applyBorder="1" applyAlignment="1">
      <alignment horizontal="center" vertical="center" wrapText="1"/>
    </xf>
    <xf numFmtId="170" fontId="4" fillId="12" borderId="51" xfId="5" applyNumberFormat="1" applyFont="1" applyFill="1" applyBorder="1" applyAlignment="1">
      <alignment horizontal="center" vertical="center" wrapText="1"/>
    </xf>
    <xf numFmtId="170" fontId="4" fillId="12" borderId="12" xfId="5" applyNumberFormat="1" applyFont="1" applyFill="1" applyBorder="1" applyAlignment="1">
      <alignment horizontal="center" vertical="center" wrapText="1"/>
    </xf>
    <xf numFmtId="168" fontId="3" fillId="7" borderId="8" xfId="0" applyFont="1" applyFill="1" applyBorder="1" applyAlignment="1">
      <alignment horizontal="center" vertical="center" wrapText="1"/>
    </xf>
    <xf numFmtId="168" fontId="3" fillId="7" borderId="9" xfId="0" applyFont="1" applyFill="1" applyBorder="1" applyAlignment="1">
      <alignment horizontal="center" vertical="center" wrapText="1"/>
    </xf>
    <xf numFmtId="168" fontId="4" fillId="71" borderId="50" xfId="0" applyFont="1" applyFill="1" applyBorder="1" applyAlignment="1">
      <alignment horizontal="center" vertical="center" wrapText="1"/>
    </xf>
    <xf numFmtId="168" fontId="4" fillId="71" borderId="12" xfId="0" applyFont="1" applyFill="1" applyBorder="1" applyAlignment="1">
      <alignment horizontal="center" vertical="center" wrapText="1"/>
    </xf>
    <xf numFmtId="168" fontId="3" fillId="7" borderId="1" xfId="0" applyFont="1" applyFill="1" applyBorder="1" applyAlignment="1">
      <alignment horizontal="center" vertical="center" wrapText="1"/>
    </xf>
    <xf numFmtId="168" fontId="3" fillId="7" borderId="2" xfId="0" applyFont="1" applyFill="1" applyBorder="1" applyAlignment="1">
      <alignment horizontal="center" vertical="center" wrapText="1"/>
    </xf>
    <xf numFmtId="168" fontId="3" fillId="0" borderId="1" xfId="0" applyFont="1" applyBorder="1" applyAlignment="1">
      <alignment horizontal="center" vertical="center" wrapText="1"/>
    </xf>
    <xf numFmtId="168" fontId="3" fillId="0" borderId="2" xfId="0" applyFont="1" applyBorder="1" applyAlignment="1">
      <alignment horizontal="center" vertical="center" wrapText="1"/>
    </xf>
    <xf numFmtId="168" fontId="3" fillId="0" borderId="62" xfId="0" applyFont="1" applyBorder="1" applyAlignment="1">
      <alignment horizontal="center" vertical="center" wrapText="1"/>
    </xf>
    <xf numFmtId="168" fontId="3" fillId="0" borderId="4" xfId="0" applyFont="1" applyBorder="1" applyAlignment="1">
      <alignment horizontal="center" vertical="center" wrapText="1"/>
    </xf>
    <xf numFmtId="168" fontId="3" fillId="0" borderId="0" xfId="0" applyFont="1" applyBorder="1" applyAlignment="1">
      <alignment horizontal="center" vertical="center" wrapText="1"/>
    </xf>
    <xf numFmtId="168" fontId="3" fillId="0" borderId="61" xfId="0" applyFont="1" applyBorder="1" applyAlignment="1">
      <alignment horizontal="center" vertical="center" wrapText="1"/>
    </xf>
    <xf numFmtId="168" fontId="3" fillId="0" borderId="5" xfId="0" applyFont="1" applyBorder="1" applyAlignment="1">
      <alignment horizontal="center" vertical="center" wrapText="1"/>
    </xf>
    <xf numFmtId="168" fontId="3" fillId="0" borderId="6" xfId="0" applyFont="1" applyBorder="1" applyAlignment="1">
      <alignment horizontal="center" vertical="center" wrapText="1"/>
    </xf>
    <xf numFmtId="168" fontId="3" fillId="0" borderId="11" xfId="0" applyFont="1" applyBorder="1" applyAlignment="1">
      <alignment horizontal="center" vertical="center" wrapText="1"/>
    </xf>
    <xf numFmtId="0" fontId="4" fillId="7" borderId="2"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168" fontId="4" fillId="7" borderId="2" xfId="0" applyFont="1" applyFill="1" applyBorder="1" applyAlignment="1">
      <alignment horizontal="center" vertical="center" wrapText="1"/>
    </xf>
    <xf numFmtId="168" fontId="4" fillId="7" borderId="24" xfId="0" applyFont="1" applyFill="1" applyBorder="1" applyAlignment="1">
      <alignment horizontal="center" vertical="center" wrapText="1"/>
    </xf>
    <xf numFmtId="168" fontId="24" fillId="0" borderId="3" xfId="0" applyFont="1" applyFill="1" applyBorder="1" applyAlignment="1">
      <alignment horizontal="center" vertical="center" wrapText="1"/>
    </xf>
    <xf numFmtId="168" fontId="24" fillId="0" borderId="7" xfId="0" applyFont="1" applyFill="1" applyBorder="1" applyAlignment="1">
      <alignment horizontal="center" vertical="center" wrapText="1"/>
    </xf>
    <xf numFmtId="168" fontId="24" fillId="0" borderId="8" xfId="0" applyFont="1" applyFill="1" applyBorder="1" applyAlignment="1">
      <alignment horizontal="center" vertical="center" wrapText="1"/>
    </xf>
    <xf numFmtId="0" fontId="3" fillId="7" borderId="15" xfId="0" applyNumberFormat="1" applyFont="1" applyFill="1" applyBorder="1" applyAlignment="1">
      <alignment horizontal="center" vertical="center"/>
    </xf>
    <xf numFmtId="0" fontId="3" fillId="7" borderId="16" xfId="0" applyNumberFormat="1" applyFont="1" applyFill="1" applyBorder="1" applyAlignment="1">
      <alignment horizontal="center" vertical="center"/>
    </xf>
    <xf numFmtId="168" fontId="52" fillId="7" borderId="0" xfId="0" applyFont="1" applyFill="1" applyBorder="1" applyAlignment="1">
      <alignment horizontal="center" vertical="center" wrapText="1"/>
    </xf>
    <xf numFmtId="168" fontId="52" fillId="7" borderId="63" xfId="0" applyFont="1" applyFill="1" applyBorder="1" applyAlignment="1">
      <alignment horizontal="center" vertical="center" wrapText="1"/>
    </xf>
    <xf numFmtId="168" fontId="53" fillId="7" borderId="0" xfId="0" applyFont="1" applyFill="1" applyBorder="1" applyAlignment="1">
      <alignment horizontal="center" vertical="center" wrapText="1"/>
    </xf>
    <xf numFmtId="168" fontId="53" fillId="7" borderId="63" xfId="0" applyFont="1" applyFill="1" applyBorder="1" applyAlignment="1">
      <alignment horizontal="center" vertical="center" wrapText="1"/>
    </xf>
    <xf numFmtId="168" fontId="3" fillId="71" borderId="57" xfId="0" applyFont="1" applyFill="1" applyBorder="1" applyAlignment="1">
      <alignment horizontal="left" vertical="center"/>
    </xf>
    <xf numFmtId="168" fontId="3" fillId="71" borderId="58" xfId="0" applyFont="1" applyFill="1" applyBorder="1" applyAlignment="1">
      <alignment horizontal="left" vertical="center"/>
    </xf>
    <xf numFmtId="168" fontId="52" fillId="0" borderId="29" xfId="0" applyFont="1" applyBorder="1" applyAlignment="1">
      <alignment horizontal="center" vertical="center" wrapText="1"/>
    </xf>
    <xf numFmtId="168" fontId="52" fillId="0" borderId="30" xfId="0" applyFont="1" applyBorder="1" applyAlignment="1">
      <alignment horizontal="center" vertical="center" wrapText="1"/>
    </xf>
    <xf numFmtId="168" fontId="3" fillId="7" borderId="29" xfId="0" applyFont="1" applyFill="1" applyBorder="1" applyAlignment="1">
      <alignment horizontal="left" vertical="center"/>
    </xf>
    <xf numFmtId="168" fontId="3" fillId="7" borderId="30" xfId="0" applyFont="1" applyFill="1" applyBorder="1" applyAlignment="1">
      <alignment horizontal="left" vertical="center"/>
    </xf>
    <xf numFmtId="168" fontId="3" fillId="11" borderId="29" xfId="0" applyFont="1" applyFill="1" applyBorder="1" applyAlignment="1">
      <alignment horizontal="left" vertical="center"/>
    </xf>
    <xf numFmtId="168" fontId="3" fillId="11" borderId="30" xfId="0" applyFont="1" applyFill="1" applyBorder="1" applyAlignment="1">
      <alignment horizontal="left" vertical="center"/>
    </xf>
    <xf numFmtId="168" fontId="3" fillId="71" borderId="57" xfId="0" applyFont="1" applyFill="1" applyBorder="1" applyAlignment="1">
      <alignment horizontal="justify" vertical="center"/>
    </xf>
    <xf numFmtId="168" fontId="3" fillId="71" borderId="58" xfId="0" applyFont="1" applyFill="1" applyBorder="1" applyAlignment="1">
      <alignment horizontal="justify" vertical="center"/>
    </xf>
    <xf numFmtId="168" fontId="3" fillId="71" borderId="55" xfId="0" applyFont="1" applyFill="1" applyBorder="1" applyAlignment="1">
      <alignment horizontal="left" vertical="center"/>
    </xf>
    <xf numFmtId="168" fontId="3" fillId="71" borderId="56" xfId="0" applyFont="1" applyFill="1" applyBorder="1" applyAlignment="1">
      <alignment horizontal="left" vertical="center"/>
    </xf>
    <xf numFmtId="168" fontId="3" fillId="72" borderId="57" xfId="0" applyFont="1" applyFill="1" applyBorder="1" applyAlignment="1">
      <alignment horizontal="left" vertical="center"/>
    </xf>
    <xf numFmtId="168" fontId="3" fillId="72" borderId="58" xfId="0" applyFont="1" applyFill="1" applyBorder="1" applyAlignment="1">
      <alignment horizontal="left" vertical="center"/>
    </xf>
    <xf numFmtId="168" fontId="53" fillId="7" borderId="60" xfId="0" applyFont="1" applyFill="1" applyBorder="1" applyAlignment="1">
      <alignment horizontal="center" vertical="center" wrapText="1"/>
    </xf>
    <xf numFmtId="168" fontId="53" fillId="7" borderId="64" xfId="0" applyFont="1" applyFill="1" applyBorder="1" applyAlignment="1">
      <alignment horizontal="center" vertical="center" wrapText="1"/>
    </xf>
    <xf numFmtId="0" fontId="2" fillId="70" borderId="67" xfId="393" applyNumberFormat="1" applyFont="1" applyFill="1" applyBorder="1" applyAlignment="1">
      <alignment horizontal="left" vertical="center" wrapText="1"/>
    </xf>
    <xf numFmtId="0" fontId="2" fillId="70" borderId="3" xfId="393" applyNumberFormat="1" applyFont="1" applyFill="1" applyBorder="1" applyAlignment="1">
      <alignment horizontal="left" vertical="center" wrapText="1"/>
    </xf>
    <xf numFmtId="0" fontId="54" fillId="0" borderId="5" xfId="94" applyFont="1" applyBorder="1" applyAlignment="1">
      <alignment horizontal="center" vertical="center" wrapText="1"/>
    </xf>
    <xf numFmtId="0" fontId="54" fillId="0" borderId="6" xfId="94" applyFont="1" applyBorder="1" applyAlignment="1">
      <alignment horizontal="center" vertical="center" wrapText="1"/>
    </xf>
    <xf numFmtId="0" fontId="3" fillId="0" borderId="65" xfId="393" applyNumberFormat="1" applyFont="1" applyBorder="1" applyAlignment="1">
      <alignment horizontal="center" vertical="center" wrapText="1"/>
    </xf>
    <xf numFmtId="0" fontId="3" fillId="0" borderId="66" xfId="393" applyNumberFormat="1" applyFont="1" applyBorder="1" applyAlignment="1">
      <alignment horizontal="center" vertical="center" wrapText="1"/>
    </xf>
    <xf numFmtId="0" fontId="2" fillId="69" borderId="67" xfId="393" applyNumberFormat="1" applyFont="1" applyFill="1" applyBorder="1" applyAlignment="1">
      <alignment horizontal="left" vertical="center" wrapText="1"/>
    </xf>
    <xf numFmtId="0" fontId="2" fillId="69" borderId="3" xfId="393" applyNumberFormat="1" applyFont="1" applyFill="1" applyBorder="1" applyAlignment="1">
      <alignment horizontal="left" vertical="center" wrapText="1"/>
    </xf>
    <xf numFmtId="0" fontId="2" fillId="4" borderId="67" xfId="393" applyNumberFormat="1" applyFont="1" applyFill="1" applyBorder="1" applyAlignment="1">
      <alignment horizontal="left" vertical="center" wrapText="1"/>
    </xf>
    <xf numFmtId="0" fontId="2" fillId="4" borderId="3" xfId="393" applyNumberFormat="1" applyFont="1" applyFill="1" applyBorder="1" applyAlignment="1">
      <alignment horizontal="left" vertical="center" wrapText="1"/>
    </xf>
    <xf numFmtId="0" fontId="2" fillId="68" borderId="67" xfId="393" applyNumberFormat="1" applyFont="1" applyFill="1" applyBorder="1" applyAlignment="1">
      <alignment horizontal="left" vertical="center" wrapText="1"/>
    </xf>
    <xf numFmtId="0" fontId="2" fillId="68" borderId="3" xfId="393" applyNumberFormat="1" applyFont="1" applyFill="1" applyBorder="1" applyAlignment="1">
      <alignment horizontal="left" vertical="center" wrapText="1"/>
    </xf>
    <xf numFmtId="0" fontId="2" fillId="5" borderId="67" xfId="393" applyNumberFormat="1" applyFont="1" applyFill="1" applyBorder="1" applyAlignment="1">
      <alignment horizontal="left" vertical="center" wrapText="1"/>
    </xf>
    <xf numFmtId="0" fontId="2" fillId="5" borderId="3" xfId="393" applyNumberFormat="1" applyFont="1" applyFill="1" applyBorder="1" applyAlignment="1">
      <alignment horizontal="left" vertical="center" wrapText="1"/>
    </xf>
  </cellXfs>
  <cellStyles count="1038">
    <cellStyle name="20% - Énfasis1" xfId="36" builtinId="30" customBuiltin="1"/>
    <cellStyle name="20% - Énfasis1 2" xfId="233"/>
    <cellStyle name="20% - Énfasis1 2 2" xfId="286"/>
    <cellStyle name="20% - Énfasis1 2 3" xfId="287"/>
    <cellStyle name="20% - Énfasis1 2 4" xfId="285"/>
    <cellStyle name="20% - Énfasis1 2 5" xfId="561"/>
    <cellStyle name="20% - Énfasis2" xfId="40" builtinId="34" customBuiltin="1"/>
    <cellStyle name="20% - Énfasis2 2" xfId="253"/>
    <cellStyle name="20% - Énfasis2 2 2" xfId="289"/>
    <cellStyle name="20% - Énfasis2 2 3" xfId="290"/>
    <cellStyle name="20% - Énfasis2 2 4" xfId="288"/>
    <cellStyle name="20% - Énfasis2 2 5" xfId="572"/>
    <cellStyle name="20% - Énfasis3" xfId="44" builtinId="38" customBuiltin="1"/>
    <cellStyle name="20% - Énfasis3 2" xfId="61"/>
    <cellStyle name="20% - Énfasis3 2 2" xfId="292"/>
    <cellStyle name="20% - Énfasis3 2 3" xfId="293"/>
    <cellStyle name="20% - Énfasis3 2 4" xfId="291"/>
    <cellStyle name="20% - Énfasis3 2 5" xfId="487"/>
    <cellStyle name="20% - Énfasis4" xfId="48" builtinId="42" customBuiltin="1"/>
    <cellStyle name="20% - Énfasis4 2" xfId="257"/>
    <cellStyle name="20% - Énfasis4 2 2" xfId="295"/>
    <cellStyle name="20% - Énfasis4 2 3" xfId="296"/>
    <cellStyle name="20% - Énfasis4 2 4" xfId="294"/>
    <cellStyle name="20% - Énfasis4 2 5" xfId="574"/>
    <cellStyle name="20% - Énfasis5" xfId="52" builtinId="46" customBuiltin="1"/>
    <cellStyle name="20% - Énfasis5 2" xfId="223"/>
    <cellStyle name="20% - Énfasis5 2 2" xfId="298"/>
    <cellStyle name="20% - Énfasis5 2 3" xfId="299"/>
    <cellStyle name="20% - Énfasis5 2 4" xfId="297"/>
    <cellStyle name="20% - Énfasis5 2 5" xfId="557"/>
    <cellStyle name="20% - Énfasis6" xfId="56" builtinId="50" customBuiltin="1"/>
    <cellStyle name="20% - Énfasis6 2" xfId="215"/>
    <cellStyle name="20% - Énfasis6 2 2" xfId="301"/>
    <cellStyle name="20% - Énfasis6 2 3" xfId="302"/>
    <cellStyle name="20% - Énfasis6 2 4" xfId="300"/>
    <cellStyle name="20% - Énfasis6 2 5" xfId="553"/>
    <cellStyle name="40% - Énfasis1" xfId="37" builtinId="31" customBuiltin="1"/>
    <cellStyle name="40% - Énfasis1 2" xfId="196"/>
    <cellStyle name="40% - Énfasis1 2 2" xfId="304"/>
    <cellStyle name="40% - Énfasis1 2 3" xfId="305"/>
    <cellStyle name="40% - Énfasis1 2 4" xfId="303"/>
    <cellStyle name="40% - Énfasis1 2 5" xfId="545"/>
    <cellStyle name="40% - Énfasis2" xfId="41" builtinId="35" customBuiltin="1"/>
    <cellStyle name="40% - Énfasis2 2" xfId="251"/>
    <cellStyle name="40% - Énfasis2 2 2" xfId="307"/>
    <cellStyle name="40% - Énfasis2 2 3" xfId="308"/>
    <cellStyle name="40% - Énfasis2 2 4" xfId="306"/>
    <cellStyle name="40% - Énfasis2 2 5" xfId="570"/>
    <cellStyle name="40% - Énfasis3" xfId="45" builtinId="39" customBuiltin="1"/>
    <cellStyle name="40% - Énfasis3 2" xfId="260"/>
    <cellStyle name="40% - Énfasis3 2 2" xfId="310"/>
    <cellStyle name="40% - Énfasis3 2 3" xfId="311"/>
    <cellStyle name="40% - Énfasis3 2 4" xfId="309"/>
    <cellStyle name="40% - Énfasis3 2 5" xfId="575"/>
    <cellStyle name="40% - Énfasis4" xfId="49" builtinId="43" customBuiltin="1"/>
    <cellStyle name="40% - Énfasis4 2" xfId="218"/>
    <cellStyle name="40% - Énfasis4 2 2" xfId="313"/>
    <cellStyle name="40% - Énfasis4 2 3" xfId="314"/>
    <cellStyle name="40% - Énfasis4 2 4" xfId="312"/>
    <cellStyle name="40% - Énfasis4 2 5" xfId="554"/>
    <cellStyle name="40% - Énfasis5" xfId="53" builtinId="47" customBuiltin="1"/>
    <cellStyle name="40% - Énfasis5 2" xfId="250"/>
    <cellStyle name="40% - Énfasis5 2 2" xfId="316"/>
    <cellStyle name="40% - Énfasis5 2 3" xfId="317"/>
    <cellStyle name="40% - Énfasis5 2 4" xfId="315"/>
    <cellStyle name="40% - Énfasis5 2 5" xfId="569"/>
    <cellStyle name="40% - Énfasis6" xfId="57" builtinId="51" customBuiltin="1"/>
    <cellStyle name="40% - Énfasis6 2" xfId="67"/>
    <cellStyle name="40% - Énfasis6 2 2" xfId="319"/>
    <cellStyle name="40% - Énfasis6 2 3" xfId="320"/>
    <cellStyle name="40% - Énfasis6 2 4" xfId="318"/>
    <cellStyle name="40% - Énfasis6 2 5" xfId="491"/>
    <cellStyle name="60% - Énfasis1" xfId="38" builtinId="32" customBuiltin="1"/>
    <cellStyle name="60% - Énfasis1 2" xfId="213"/>
    <cellStyle name="60% - Énfasis1 2 2" xfId="321"/>
    <cellStyle name="60% - Énfasis1 2 3" xfId="552"/>
    <cellStyle name="60% - Énfasis1 3" xfId="427"/>
    <cellStyle name="60% - Énfasis1 4" xfId="719"/>
    <cellStyle name="60% - Énfasis2" xfId="42" builtinId="36" customBuiltin="1"/>
    <cellStyle name="60% - Énfasis2 2" xfId="242"/>
    <cellStyle name="60% - Énfasis2 2 2" xfId="322"/>
    <cellStyle name="60% - Énfasis2 2 3" xfId="565"/>
    <cellStyle name="60% - Énfasis2 3" xfId="428"/>
    <cellStyle name="60% - Énfasis2 4" xfId="720"/>
    <cellStyle name="60% - Énfasis3" xfId="46" builtinId="40" customBuiltin="1"/>
    <cellStyle name="60% - Énfasis3 2" xfId="72"/>
    <cellStyle name="60% - Énfasis3 2 2" xfId="323"/>
    <cellStyle name="60% - Énfasis3 2 3" xfId="495"/>
    <cellStyle name="60% - Énfasis3 3" xfId="429"/>
    <cellStyle name="60% - Énfasis3 4" xfId="721"/>
    <cellStyle name="60% - Énfasis4" xfId="50" builtinId="44" customBuiltin="1"/>
    <cellStyle name="60% - Énfasis4 2" xfId="237"/>
    <cellStyle name="60% - Énfasis4 2 2" xfId="324"/>
    <cellStyle name="60% - Énfasis4 2 3" xfId="563"/>
    <cellStyle name="60% - Énfasis4 3" xfId="430"/>
    <cellStyle name="60% - Énfasis4 4" xfId="722"/>
    <cellStyle name="60% - Énfasis5" xfId="54" builtinId="48" customBuiltin="1"/>
    <cellStyle name="60% - Énfasis5 2" xfId="235"/>
    <cellStyle name="60% - Énfasis5 2 2" xfId="325"/>
    <cellStyle name="60% - Énfasis5 2 3" xfId="562"/>
    <cellStyle name="60% - Énfasis5 3" xfId="431"/>
    <cellStyle name="60% - Énfasis5 4" xfId="723"/>
    <cellStyle name="60% - Énfasis6" xfId="58" builtinId="52" customBuiltin="1"/>
    <cellStyle name="60% - Énfasis6 2" xfId="80"/>
    <cellStyle name="60% - Énfasis6 2 2" xfId="326"/>
    <cellStyle name="60% - Énfasis6 2 3" xfId="497"/>
    <cellStyle name="60% - Énfasis6 3" xfId="432"/>
    <cellStyle name="60% - Énfasis6 4" xfId="724"/>
    <cellStyle name="Buena 2" xfId="327"/>
    <cellStyle name="Cálculo" xfId="28" builtinId="22" customBuiltin="1"/>
    <cellStyle name="Cálculo 2" xfId="69"/>
    <cellStyle name="Cálculo 2 2" xfId="328"/>
    <cellStyle name="Cálculo 2 3" xfId="493"/>
    <cellStyle name="Celda de comprobación" xfId="30" builtinId="23" customBuiltin="1"/>
    <cellStyle name="Celda de comprobación 2" xfId="68"/>
    <cellStyle name="Celda de comprobación 2 2" xfId="329"/>
    <cellStyle name="Celda de comprobación 2 3" xfId="492"/>
    <cellStyle name="Celda vinculada" xfId="29" builtinId="24" customBuiltin="1"/>
    <cellStyle name="Celda vinculada 2" xfId="171"/>
    <cellStyle name="Celda vinculada 2 2" xfId="330"/>
    <cellStyle name="Celda vinculada 2 3" xfId="537"/>
    <cellStyle name="Encabezado 1" xfId="20" builtinId="16" customBuiltin="1"/>
    <cellStyle name="Encabezado 4" xfId="23" builtinId="19" customBuiltin="1"/>
    <cellStyle name="Encabezado 4 2" xfId="201"/>
    <cellStyle name="Encabezado 4 2 2" xfId="331"/>
    <cellStyle name="Encabezado 4 2 3" xfId="547"/>
    <cellStyle name="Énfasis1" xfId="35" builtinId="29" customBuiltin="1"/>
    <cellStyle name="Énfasis1 2" xfId="224"/>
    <cellStyle name="Énfasis1 2 2" xfId="332"/>
    <cellStyle name="Énfasis1 2 3" xfId="558"/>
    <cellStyle name="Énfasis2" xfId="39" builtinId="33" customBuiltin="1"/>
    <cellStyle name="Énfasis2 2" xfId="184"/>
    <cellStyle name="Énfasis2 2 2" xfId="333"/>
    <cellStyle name="Énfasis2 2 3" xfId="540"/>
    <cellStyle name="Énfasis3" xfId="43" builtinId="37" customBuiltin="1"/>
    <cellStyle name="Énfasis3 2" xfId="173"/>
    <cellStyle name="Énfasis3 2 2" xfId="334"/>
    <cellStyle name="Énfasis3 2 3" xfId="538"/>
    <cellStyle name="Énfasis4" xfId="47" builtinId="41" customBuiltin="1"/>
    <cellStyle name="Énfasis4 2" xfId="188"/>
    <cellStyle name="Énfasis4 2 2" xfId="335"/>
    <cellStyle name="Énfasis4 2 3" xfId="542"/>
    <cellStyle name="Énfasis5" xfId="51" builtinId="45" customBuiltin="1"/>
    <cellStyle name="Énfasis5 2" xfId="265"/>
    <cellStyle name="Énfasis5 2 2" xfId="336"/>
    <cellStyle name="Énfasis5 2 3" xfId="578"/>
    <cellStyle name="Énfasis6" xfId="55" builtinId="49" customBuiltin="1"/>
    <cellStyle name="Énfasis6 2" xfId="248"/>
    <cellStyle name="Énfasis6 2 2" xfId="337"/>
    <cellStyle name="Énfasis6 2 3" xfId="567"/>
    <cellStyle name="Entrada" xfId="26" builtinId="20" customBuiltin="1"/>
    <cellStyle name="Entrada 2" xfId="181"/>
    <cellStyle name="Entrada 2 2" xfId="338"/>
    <cellStyle name="Entrada 2 3" xfId="539"/>
    <cellStyle name="Euro" xfId="339"/>
    <cellStyle name="Euro 2" xfId="340"/>
    <cellStyle name="Euro 2 2" xfId="397"/>
    <cellStyle name="Euro 3" xfId="396"/>
    <cellStyle name="Excel Built-in Normal 2" xfId="119"/>
    <cellStyle name="Excel Built-in Normal 2 2" xfId="244"/>
    <cellStyle name="F2" xfId="341"/>
    <cellStyle name="F3" xfId="342"/>
    <cellStyle name="F4" xfId="343"/>
    <cellStyle name="F5" xfId="344"/>
    <cellStyle name="F6" xfId="345"/>
    <cellStyle name="F7" xfId="346"/>
    <cellStyle name="F8" xfId="347"/>
    <cellStyle name="Hipervínculo 2" xfId="192"/>
    <cellStyle name="Incorrecto" xfId="24" builtinId="27" customBuiltin="1"/>
    <cellStyle name="Incorrecto 2" xfId="254"/>
    <cellStyle name="Incorrecto 2 2" xfId="348"/>
    <cellStyle name="Incorrecto 2 3" xfId="573"/>
    <cellStyle name="KPT04" xfId="6"/>
    <cellStyle name="KPT04 2" xfId="9"/>
    <cellStyle name="KPT04 2 2" xfId="261"/>
    <cellStyle name="KPT04 3" xfId="263"/>
    <cellStyle name="KPT04_Main" xfId="14"/>
    <cellStyle name="Millares" xfId="1" builtinId="3"/>
    <cellStyle name="Millares [0]" xfId="2" builtinId="6"/>
    <cellStyle name="Millares [0] 10" xfId="709"/>
    <cellStyle name="Millares [0] 10 2" xfId="935"/>
    <cellStyle name="Millares [0] 11" xfId="821"/>
    <cellStyle name="Millares [0] 2" xfId="97"/>
    <cellStyle name="Millares [0] 2 2" xfId="160"/>
    <cellStyle name="Millares [0] 2 2 2" xfId="532"/>
    <cellStyle name="Millares [0] 2 2 2 2" xfId="786"/>
    <cellStyle name="Millares [0] 2 2 2 2 2" xfId="1000"/>
    <cellStyle name="Millares [0] 2 2 2 3" xfId="885"/>
    <cellStyle name="Millares [0] 2 2 3" xfId="457"/>
    <cellStyle name="Millares [0] 2 2 3 2" xfId="757"/>
    <cellStyle name="Millares [0] 2 2 3 2 2" xfId="971"/>
    <cellStyle name="Millares [0] 2 2 3 3" xfId="856"/>
    <cellStyle name="Millares [0] 2 2 4" xfId="735"/>
    <cellStyle name="Millares [0] 2 2 4 2" xfId="950"/>
    <cellStyle name="Millares [0] 2 2 5" xfId="835"/>
    <cellStyle name="Millares [0] 2 3" xfId="502"/>
    <cellStyle name="Millares [0] 2 3 2" xfId="771"/>
    <cellStyle name="Millares [0] 2 3 2 2" xfId="985"/>
    <cellStyle name="Millares [0] 2 3 3" xfId="870"/>
    <cellStyle name="Millares [0] 2 4" xfId="440"/>
    <cellStyle name="Millares [0] 2 4 2" xfId="749"/>
    <cellStyle name="Millares [0] 2 4 2 2" xfId="963"/>
    <cellStyle name="Millares [0] 2 4 3" xfId="848"/>
    <cellStyle name="Millares [0] 2 5" xfId="725"/>
    <cellStyle name="Millares [0] 2 5 2" xfId="940"/>
    <cellStyle name="Millares [0] 2 6" xfId="825"/>
    <cellStyle name="Millares [0] 3" xfId="123"/>
    <cellStyle name="Millares [0] 3 2" xfId="519"/>
    <cellStyle name="Millares [0] 3 2 2" xfId="779"/>
    <cellStyle name="Millares [0] 3 2 2 2" xfId="993"/>
    <cellStyle name="Millares [0] 3 2 3" xfId="878"/>
    <cellStyle name="Millares [0] 3 3" xfId="451"/>
    <cellStyle name="Millares [0] 3 3 2" xfId="755"/>
    <cellStyle name="Millares [0] 3 3 2 2" xfId="969"/>
    <cellStyle name="Millares [0] 3 3 3" xfId="854"/>
    <cellStyle name="Millares [0] 3 4" xfId="732"/>
    <cellStyle name="Millares [0] 3 4 2" xfId="947"/>
    <cellStyle name="Millares [0] 3 5" xfId="832"/>
    <cellStyle name="Millares [0] 4" xfId="164"/>
    <cellStyle name="Millares [0] 4 2" xfId="535"/>
    <cellStyle name="Millares [0] 4 2 2" xfId="787"/>
    <cellStyle name="Millares [0] 4 2 2 2" xfId="1001"/>
    <cellStyle name="Millares [0] 4 2 3" xfId="886"/>
    <cellStyle name="Millares [0] 4 3" xfId="460"/>
    <cellStyle name="Millares [0] 4 3 2" xfId="758"/>
    <cellStyle name="Millares [0] 4 3 2 2" xfId="972"/>
    <cellStyle name="Millares [0] 4 3 3" xfId="857"/>
    <cellStyle name="Millares [0] 4 4" xfId="736"/>
    <cellStyle name="Millares [0] 4 4 2" xfId="951"/>
    <cellStyle name="Millares [0] 4 5" xfId="836"/>
    <cellStyle name="Millares [0] 5" xfId="416"/>
    <cellStyle name="Millares [0] 5 2" xfId="742"/>
    <cellStyle name="Millares [0] 5 2 2" xfId="956"/>
    <cellStyle name="Millares [0] 5 3" xfId="841"/>
    <cellStyle name="Millares [0] 6" xfId="465"/>
    <cellStyle name="Millares [0] 6 2" xfId="761"/>
    <cellStyle name="Millares [0] 6 2 2" xfId="975"/>
    <cellStyle name="Millares [0] 6 3" xfId="860"/>
    <cellStyle name="Millares [0] 7" xfId="681"/>
    <cellStyle name="Millares [0] 7 2" xfId="819"/>
    <cellStyle name="Millares [0] 7 2 2" xfId="1033"/>
    <cellStyle name="Millares [0] 7 3" xfId="919"/>
    <cellStyle name="Millares [0] 8" xfId="694"/>
    <cellStyle name="Millares [0] 8 2" xfId="928"/>
    <cellStyle name="Millares [0] 9" xfId="712"/>
    <cellStyle name="Millares [0] 9 2" xfId="937"/>
    <cellStyle name="Millares 10" xfId="475"/>
    <cellStyle name="Millares 10 2" xfId="765"/>
    <cellStyle name="Millares 10 2 2" xfId="979"/>
    <cellStyle name="Millares 10 3" xfId="864"/>
    <cellStyle name="Millares 11" xfId="619"/>
    <cellStyle name="Millares 11 2" xfId="802"/>
    <cellStyle name="Millares 11 2 2" xfId="1016"/>
    <cellStyle name="Millares 11 3" xfId="902"/>
    <cellStyle name="Millares 12" xfId="515"/>
    <cellStyle name="Millares 12 2" xfId="775"/>
    <cellStyle name="Millares 12 2 2" xfId="989"/>
    <cellStyle name="Millares 12 3" xfId="874"/>
    <cellStyle name="Millares 13" xfId="591"/>
    <cellStyle name="Millares 13 2" xfId="792"/>
    <cellStyle name="Millares 13 2 2" xfId="1006"/>
    <cellStyle name="Millares 13 3" xfId="891"/>
    <cellStyle name="Millares 14" xfId="473"/>
    <cellStyle name="Millares 14 2" xfId="764"/>
    <cellStyle name="Millares 14 2 2" xfId="978"/>
    <cellStyle name="Millares 14 3" xfId="863"/>
    <cellStyle name="Millares 15" xfId="629"/>
    <cellStyle name="Millares 15 2" xfId="805"/>
    <cellStyle name="Millares 15 2 2" xfId="1019"/>
    <cellStyle name="Millares 15 3" xfId="905"/>
    <cellStyle name="Millares 16" xfId="614"/>
    <cellStyle name="Millares 16 2" xfId="799"/>
    <cellStyle name="Millares 16 2 2" xfId="1013"/>
    <cellStyle name="Millares 16 3" xfId="899"/>
    <cellStyle name="Millares 17" xfId="610"/>
    <cellStyle name="Millares 17 2" xfId="797"/>
    <cellStyle name="Millares 17 2 2" xfId="1011"/>
    <cellStyle name="Millares 17 3" xfId="896"/>
    <cellStyle name="Millares 18" xfId="666"/>
    <cellStyle name="Millares 18 2" xfId="817"/>
    <cellStyle name="Millares 18 2 2" xfId="1031"/>
    <cellStyle name="Millares 18 3" xfId="917"/>
    <cellStyle name="Millares 19" xfId="598"/>
    <cellStyle name="Millares 19 2" xfId="794"/>
    <cellStyle name="Millares 19 2 2" xfId="1008"/>
    <cellStyle name="Millares 19 3" xfId="893"/>
    <cellStyle name="Millares 2" xfId="5"/>
    <cellStyle name="Millares 2 2" xfId="8"/>
    <cellStyle name="Millares 2 2 2" xfId="12"/>
    <cellStyle name="Millares 2 2 2 2" xfId="95"/>
    <cellStyle name="Millares 2 2 2 2 2" xfId="159"/>
    <cellStyle name="Millares 2 2 2 2 2 2" xfId="531"/>
    <cellStyle name="Millares 2 2 2 2 2 2 2" xfId="785"/>
    <cellStyle name="Millares 2 2 2 2 2 2 2 2" xfId="999"/>
    <cellStyle name="Millares 2 2 2 2 2 2 3" xfId="884"/>
    <cellStyle name="Millares 2 2 2 2 2 3" xfId="456"/>
    <cellStyle name="Millares 2 2 2 2 2 3 2" xfId="756"/>
    <cellStyle name="Millares 2 2 2 2 2 3 2 2" xfId="970"/>
    <cellStyle name="Millares 2 2 2 2 2 3 3" xfId="855"/>
    <cellStyle name="Millares 2 2 2 2 2 4" xfId="734"/>
    <cellStyle name="Millares 2 2 2 2 2 4 2" xfId="949"/>
    <cellStyle name="Millares 2 2 2 2 2 5" xfId="834"/>
    <cellStyle name="Millares 2 2 2 2 3" xfId="501"/>
    <cellStyle name="Millares 2 2 2 2 3 2" xfId="770"/>
    <cellStyle name="Millares 2 2 2 2 3 2 2" xfId="984"/>
    <cellStyle name="Millares 2 2 2 2 3 3" xfId="869"/>
    <cellStyle name="Millares 2 2 2 2 4" xfId="438"/>
    <cellStyle name="Millares 2 2 2 2 4 2" xfId="748"/>
    <cellStyle name="Millares 2 2 2 2 4 2 2" xfId="962"/>
    <cellStyle name="Millares 2 2 2 2 4 3" xfId="847"/>
    <cellStyle name="Millares 2 2 2 2 5" xfId="689"/>
    <cellStyle name="Millares 2 2 2 2 5 2" xfId="923"/>
    <cellStyle name="Millares 2 2 2 2 6" xfId="824"/>
    <cellStyle name="Millares 2 2 2 3" xfId="471"/>
    <cellStyle name="Millares 2 2 2 3 2" xfId="762"/>
    <cellStyle name="Millares 2 2 2 3 2 2" xfId="976"/>
    <cellStyle name="Millares 2 2 2 3 3" xfId="861"/>
    <cellStyle name="Millares 2 2 2 4" xfId="421"/>
    <cellStyle name="Millares 2 2 2 4 2" xfId="745"/>
    <cellStyle name="Millares 2 2 2 4 2 2" xfId="959"/>
    <cellStyle name="Millares 2 2 2 4 3" xfId="844"/>
    <cellStyle name="Millares 2 2 2 5" xfId="823"/>
    <cellStyle name="Millares 2 2 2 6" xfId="1037"/>
    <cellStyle name="Millares 2 2 3" xfId="419"/>
    <cellStyle name="Millares 2 2 3 2" xfId="744"/>
    <cellStyle name="Millares 2 2 3 2 2" xfId="958"/>
    <cellStyle name="Millares 2 2 3 3" xfId="843"/>
    <cellStyle name="Millares 2 2 4" xfId="398"/>
    <cellStyle name="Millares 2 3" xfId="349"/>
    <cellStyle name="Millares 2 3 2" xfId="595"/>
    <cellStyle name="Millares 2 3 3" xfId="418"/>
    <cellStyle name="Millares 2 3 3 2" xfId="743"/>
    <cellStyle name="Millares 2 3 3 2 2" xfId="957"/>
    <cellStyle name="Millares 2 3 3 3" xfId="842"/>
    <cellStyle name="Millares 2 4" xfId="103"/>
    <cellStyle name="Millares 2 4 2" xfId="166"/>
    <cellStyle name="Millares 2 4 2 2" xfId="536"/>
    <cellStyle name="Millares 2 4 2 2 2" xfId="788"/>
    <cellStyle name="Millares 2 4 2 2 2 2" xfId="1002"/>
    <cellStyle name="Millares 2 4 2 2 3" xfId="887"/>
    <cellStyle name="Millares 2 4 2 3" xfId="461"/>
    <cellStyle name="Millares 2 4 2 3 2" xfId="759"/>
    <cellStyle name="Millares 2 4 2 3 2 2" xfId="973"/>
    <cellStyle name="Millares 2 4 2 3 3" xfId="858"/>
    <cellStyle name="Millares 2 4 2 4" xfId="737"/>
    <cellStyle name="Millares 2 4 2 4 2" xfId="952"/>
    <cellStyle name="Millares 2 4 2 5" xfId="837"/>
    <cellStyle name="Millares 2 4 3" xfId="506"/>
    <cellStyle name="Millares 2 4 3 2" xfId="772"/>
    <cellStyle name="Millares 2 4 3 2 2" xfId="986"/>
    <cellStyle name="Millares 2 4 3 3" xfId="871"/>
    <cellStyle name="Millares 2 4 4" xfId="444"/>
    <cellStyle name="Millares 2 4 4 2" xfId="750"/>
    <cellStyle name="Millares 2 4 4 2 2" xfId="964"/>
    <cellStyle name="Millares 2 4 4 3" xfId="849"/>
    <cellStyle name="Millares 2 4 5" xfId="727"/>
    <cellStyle name="Millares 2 4 5 2" xfId="942"/>
    <cellStyle name="Millares 2 4 6" xfId="827"/>
    <cellStyle name="Millares 2 5" xfId="715"/>
    <cellStyle name="Millares 2 5 2" xfId="938"/>
    <cellStyle name="Millares 20" xfId="632"/>
    <cellStyle name="Millares 20 2" xfId="806"/>
    <cellStyle name="Millares 20 2 2" xfId="1020"/>
    <cellStyle name="Millares 20 3" xfId="906"/>
    <cellStyle name="Millares 21" xfId="615"/>
    <cellStyle name="Millares 21 2" xfId="800"/>
    <cellStyle name="Millares 21 2 2" xfId="1014"/>
    <cellStyle name="Millares 21 3" xfId="900"/>
    <cellStyle name="Millares 22" xfId="583"/>
    <cellStyle name="Millares 22 2" xfId="789"/>
    <cellStyle name="Millares 22 2 2" xfId="1003"/>
    <cellStyle name="Millares 22 3" xfId="888"/>
    <cellStyle name="Millares 23" xfId="646"/>
    <cellStyle name="Millares 23 2" xfId="809"/>
    <cellStyle name="Millares 23 2 2" xfId="1023"/>
    <cellStyle name="Millares 23 3" xfId="909"/>
    <cellStyle name="Millares 24" xfId="594"/>
    <cellStyle name="Millares 24 2" xfId="793"/>
    <cellStyle name="Millares 24 2 2" xfId="1007"/>
    <cellStyle name="Millares 24 3" xfId="892"/>
    <cellStyle name="Millares 25" xfId="613"/>
    <cellStyle name="Millares 25 2" xfId="798"/>
    <cellStyle name="Millares 25 2 2" xfId="1012"/>
    <cellStyle name="Millares 25 3" xfId="898"/>
    <cellStyle name="Millares 26" xfId="526"/>
    <cellStyle name="Millares 26 2" xfId="781"/>
    <cellStyle name="Millares 26 2 2" xfId="995"/>
    <cellStyle name="Millares 26 3" xfId="880"/>
    <cellStyle name="Millares 27" xfId="616"/>
    <cellStyle name="Millares 27 2" xfId="801"/>
    <cellStyle name="Millares 27 2 2" xfId="1015"/>
    <cellStyle name="Millares 27 3" xfId="901"/>
    <cellStyle name="Millares 28" xfId="654"/>
    <cellStyle name="Millares 28 2" xfId="812"/>
    <cellStyle name="Millares 28 2 2" xfId="1026"/>
    <cellStyle name="Millares 28 3" xfId="912"/>
    <cellStyle name="Millares 29" xfId="607"/>
    <cellStyle name="Millares 29 2" xfId="796"/>
    <cellStyle name="Millares 29 2 2" xfId="1010"/>
    <cellStyle name="Millares 29 3" xfId="895"/>
    <cellStyle name="Millares 3" xfId="115"/>
    <cellStyle name="Millares 3 2" xfId="124"/>
    <cellStyle name="Millares 3 3" xfId="121"/>
    <cellStyle name="Millares 3 3 2" xfId="517"/>
    <cellStyle name="Millares 3 3 2 2" xfId="777"/>
    <cellStyle name="Millares 3 3 2 2 2" xfId="991"/>
    <cellStyle name="Millares 3 3 2 3" xfId="876"/>
    <cellStyle name="Millares 3 3 3" xfId="449"/>
    <cellStyle name="Millares 3 3 3 2" xfId="753"/>
    <cellStyle name="Millares 3 3 3 2 2" xfId="967"/>
    <cellStyle name="Millares 3 3 3 3" xfId="852"/>
    <cellStyle name="Millares 3 3 4" xfId="730"/>
    <cellStyle name="Millares 3 3 4 2" xfId="945"/>
    <cellStyle name="Millares 3 3 5" xfId="830"/>
    <cellStyle name="Millares 3 4" xfId="390"/>
    <cellStyle name="Millares 3 4 2" xfId="606"/>
    <cellStyle name="Millares 3 4 2 2" xfId="795"/>
    <cellStyle name="Millares 3 4 2 2 2" xfId="1009"/>
    <cellStyle name="Millares 3 4 2 3" xfId="894"/>
    <cellStyle name="Millares 3 4 3" xfId="740"/>
    <cellStyle name="Millares 3 4 3 2" xfId="954"/>
    <cellStyle name="Millares 3 5" xfId="513"/>
    <cellStyle name="Millares 3 5 2" xfId="774"/>
    <cellStyle name="Millares 3 5 2 2" xfId="988"/>
    <cellStyle name="Millares 3 5 3" xfId="873"/>
    <cellStyle name="Millares 3 6" xfId="445"/>
    <cellStyle name="Millares 3 6 2" xfId="751"/>
    <cellStyle name="Millares 3 6 2 2" xfId="965"/>
    <cellStyle name="Millares 3 6 3" xfId="850"/>
    <cellStyle name="Millares 3 7" xfId="728"/>
    <cellStyle name="Millares 3 7 2" xfId="943"/>
    <cellStyle name="Millares 3 8" xfId="828"/>
    <cellStyle name="Millares 30" xfId="650"/>
    <cellStyle name="Millares 30 2" xfId="810"/>
    <cellStyle name="Millares 30 2 2" xfId="1024"/>
    <cellStyle name="Millares 30 3" xfId="910"/>
    <cellStyle name="Millares 31" xfId="659"/>
    <cellStyle name="Millares 31 2" xfId="815"/>
    <cellStyle name="Millares 31 2 2" xfId="1029"/>
    <cellStyle name="Millares 31 3" xfId="915"/>
    <cellStyle name="Millares 32" xfId="672"/>
    <cellStyle name="Millares 32 2" xfId="818"/>
    <cellStyle name="Millares 32 2 2" xfId="1032"/>
    <cellStyle name="Millares 32 3" xfId="918"/>
    <cellStyle name="Millares 33" xfId="479"/>
    <cellStyle name="Millares 33 2" xfId="767"/>
    <cellStyle name="Millares 33 2 2" xfId="981"/>
    <cellStyle name="Millares 33 3" xfId="866"/>
    <cellStyle name="Millares 34" xfId="657"/>
    <cellStyle name="Millares 34 2" xfId="814"/>
    <cellStyle name="Millares 34 2 2" xfId="1028"/>
    <cellStyle name="Millares 34 3" xfId="914"/>
    <cellStyle name="Millares 35" xfId="637"/>
    <cellStyle name="Millares 35 2" xfId="807"/>
    <cellStyle name="Millares 35 2 2" xfId="1021"/>
    <cellStyle name="Millares 35 3" xfId="907"/>
    <cellStyle name="Millares 36" xfId="484"/>
    <cellStyle name="Millares 36 2" xfId="769"/>
    <cellStyle name="Millares 36 2 2" xfId="983"/>
    <cellStyle name="Millares 36 3" xfId="868"/>
    <cellStyle name="Millares 37" xfId="664"/>
    <cellStyle name="Millares 37 2" xfId="816"/>
    <cellStyle name="Millares 37 2 2" xfId="1030"/>
    <cellStyle name="Millares 37 3" xfId="916"/>
    <cellStyle name="Millares 38" xfId="652"/>
    <cellStyle name="Millares 38 2" xfId="811"/>
    <cellStyle name="Millares 38 2 2" xfId="1025"/>
    <cellStyle name="Millares 38 3" xfId="911"/>
    <cellStyle name="Millares 39" xfId="644"/>
    <cellStyle name="Millares 39 2" xfId="808"/>
    <cellStyle name="Millares 39 2 2" xfId="1022"/>
    <cellStyle name="Millares 39 3" xfId="908"/>
    <cellStyle name="Millares 4" xfId="120"/>
    <cellStyle name="Millares 4 2" xfId="516"/>
    <cellStyle name="Millares 4 2 2" xfId="776"/>
    <cellStyle name="Millares 4 2 2 2" xfId="990"/>
    <cellStyle name="Millares 4 2 3" xfId="875"/>
    <cellStyle name="Millares 4 3" xfId="448"/>
    <cellStyle name="Millares 4 3 2" xfId="752"/>
    <cellStyle name="Millares 4 3 2 2" xfId="966"/>
    <cellStyle name="Millares 4 3 3" xfId="851"/>
    <cellStyle name="Millares 4 4" xfId="729"/>
    <cellStyle name="Millares 4 4 2" xfId="944"/>
    <cellStyle name="Millares 4 5" xfId="829"/>
    <cellStyle name="Millares 40" xfId="628"/>
    <cellStyle name="Millares 40 2" xfId="804"/>
    <cellStyle name="Millares 40 2 2" xfId="1018"/>
    <cellStyle name="Millares 40 3" xfId="904"/>
    <cellStyle name="Millares 41" xfId="510"/>
    <cellStyle name="Millares 41 2" xfId="773"/>
    <cellStyle name="Millares 41 2 2" xfId="987"/>
    <cellStyle name="Millares 41 3" xfId="872"/>
    <cellStyle name="Millares 42" xfId="623"/>
    <cellStyle name="Millares 42 2" xfId="803"/>
    <cellStyle name="Millares 42 2 2" xfId="1017"/>
    <cellStyle name="Millares 42 3" xfId="903"/>
    <cellStyle name="Millares 43" xfId="584"/>
    <cellStyle name="Millares 43 2" xfId="790"/>
    <cellStyle name="Millares 43 2 2" xfId="1004"/>
    <cellStyle name="Millares 43 3" xfId="889"/>
    <cellStyle name="Millares 44" xfId="585"/>
    <cellStyle name="Millares 44 2" xfId="791"/>
    <cellStyle name="Millares 44 2 2" xfId="1005"/>
    <cellStyle name="Millares 44 3" xfId="890"/>
    <cellStyle name="Millares 45" xfId="522"/>
    <cellStyle name="Millares 45 2" xfId="780"/>
    <cellStyle name="Millares 45 2 2" xfId="994"/>
    <cellStyle name="Millares 45 3" xfId="879"/>
    <cellStyle name="Millares 46" xfId="528"/>
    <cellStyle name="Millares 46 2" xfId="783"/>
    <cellStyle name="Millares 46 2 2" xfId="997"/>
    <cellStyle name="Millares 46 3" xfId="882"/>
    <cellStyle name="Millares 47" xfId="530"/>
    <cellStyle name="Millares 47 2" xfId="784"/>
    <cellStyle name="Millares 47 2 2" xfId="998"/>
    <cellStyle name="Millares 47 3" xfId="883"/>
    <cellStyle name="Millares 48" xfId="482"/>
    <cellStyle name="Millares 48 2" xfId="768"/>
    <cellStyle name="Millares 48 2 2" xfId="982"/>
    <cellStyle name="Millares 48 3" xfId="867"/>
    <cellStyle name="Millares 49" xfId="527"/>
    <cellStyle name="Millares 49 2" xfId="782"/>
    <cellStyle name="Millares 49 2 2" xfId="996"/>
    <cellStyle name="Millares 49 3" xfId="881"/>
    <cellStyle name="Millares 5" xfId="415"/>
    <cellStyle name="Millares 5 2" xfId="741"/>
    <cellStyle name="Millares 5 2 2" xfId="955"/>
    <cellStyle name="Millares 5 3" xfId="840"/>
    <cellStyle name="Millares 50" xfId="472"/>
    <cellStyle name="Millares 50 2" xfId="763"/>
    <cellStyle name="Millares 50 2 2" xfId="977"/>
    <cellStyle name="Millares 50 3" xfId="862"/>
    <cellStyle name="Millares 51" xfId="476"/>
    <cellStyle name="Millares 51 2" xfId="766"/>
    <cellStyle name="Millares 51 2 2" xfId="980"/>
    <cellStyle name="Millares 51 3" xfId="865"/>
    <cellStyle name="Millares 52" xfId="656"/>
    <cellStyle name="Millares 52 2" xfId="813"/>
    <cellStyle name="Millares 52 2 2" xfId="1027"/>
    <cellStyle name="Millares 52 3" xfId="913"/>
    <cellStyle name="Millares 53" xfId="683"/>
    <cellStyle name="Millares 53 2" xfId="920"/>
    <cellStyle name="Millares 54" xfId="686"/>
    <cellStyle name="Millares 54 2" xfId="922"/>
    <cellStyle name="Millares 55" xfId="696"/>
    <cellStyle name="Millares 55 2" xfId="929"/>
    <cellStyle name="Millares 56" xfId="690"/>
    <cellStyle name="Millares 56 2" xfId="924"/>
    <cellStyle name="Millares 57" xfId="699"/>
    <cellStyle name="Millares 57 2" xfId="930"/>
    <cellStyle name="Millares 58" xfId="692"/>
    <cellStyle name="Millares 58 2" xfId="926"/>
    <cellStyle name="Millares 59" xfId="684"/>
    <cellStyle name="Millares 59 2" xfId="921"/>
    <cellStyle name="Millares 6" xfId="122"/>
    <cellStyle name="Millares 6 2" xfId="518"/>
    <cellStyle name="Millares 6 2 2" xfId="778"/>
    <cellStyle name="Millares 6 2 2 2" xfId="992"/>
    <cellStyle name="Millares 6 2 3" xfId="877"/>
    <cellStyle name="Millares 6 3" xfId="450"/>
    <cellStyle name="Millares 6 3 2" xfId="754"/>
    <cellStyle name="Millares 6 3 2 2" xfId="968"/>
    <cellStyle name="Millares 6 3 3" xfId="853"/>
    <cellStyle name="Millares 6 4" xfId="731"/>
    <cellStyle name="Millares 6 4 2" xfId="946"/>
    <cellStyle name="Millares 6 5" xfId="831"/>
    <cellStyle name="Millares 60" xfId="701"/>
    <cellStyle name="Millares 60 2" xfId="931"/>
    <cellStyle name="Millares 61" xfId="703"/>
    <cellStyle name="Millares 61 2" xfId="932"/>
    <cellStyle name="Millares 62" xfId="691"/>
    <cellStyle name="Millares 62 2" xfId="925"/>
    <cellStyle name="Millares 63" xfId="707"/>
    <cellStyle name="Millares 63 2" xfId="934"/>
    <cellStyle name="Millares 64" xfId="706"/>
    <cellStyle name="Millares 64 2" xfId="933"/>
    <cellStyle name="Millares 65" xfId="711"/>
    <cellStyle name="Millares 65 2" xfId="936"/>
    <cellStyle name="Millares 66" xfId="820"/>
    <cellStyle name="Millares 67" xfId="839"/>
    <cellStyle name="Millares 68" xfId="897"/>
    <cellStyle name="Millares 69" xfId="1034"/>
    <cellStyle name="Millares 7" xfId="424"/>
    <cellStyle name="Millares 7 2" xfId="746"/>
    <cellStyle name="Millares 7 2 2" xfId="960"/>
    <cellStyle name="Millares 7 3" xfId="845"/>
    <cellStyle name="Millares 70" xfId="1035"/>
    <cellStyle name="Millares 71" xfId="1036"/>
    <cellStyle name="Millares 8" xfId="426"/>
    <cellStyle name="Millares 8 2" xfId="747"/>
    <cellStyle name="Millares 8 2 2" xfId="961"/>
    <cellStyle name="Millares 8 3" xfId="846"/>
    <cellStyle name="Millares 9" xfId="464"/>
    <cellStyle name="Millares 9 2" xfId="760"/>
    <cellStyle name="Millares 9 2 2" xfId="974"/>
    <cellStyle name="Millares 9 3" xfId="859"/>
    <cellStyle name="Moneda" xfId="3" builtinId="4"/>
    <cellStyle name="Moneda [0]" xfId="4" builtinId="7"/>
    <cellStyle name="Moneda [0] 2" xfId="101"/>
    <cellStyle name="Moneda [0] 2 2" xfId="125"/>
    <cellStyle name="Moneda [0] 2 2 2" xfId="168"/>
    <cellStyle name="Moneda [0] 2 2 2 2" xfId="738"/>
    <cellStyle name="Moneda [0] 2 2 2 2 2" xfId="953"/>
    <cellStyle name="Moneda [0] 2 2 2 3" xfId="838"/>
    <cellStyle name="Moneda [0] 2 2 3" xfId="520"/>
    <cellStyle name="Moneda [0] 2 2 4" xfId="452"/>
    <cellStyle name="Moneda [0] 2 3" xfId="163"/>
    <cellStyle name="Moneda [0] 2 3 2" xfId="534"/>
    <cellStyle name="Moneda [0] 2 3 3" xfId="459"/>
    <cellStyle name="Moneda [0] 2 4" xfId="504"/>
    <cellStyle name="Moneda [0] 2 5" xfId="443"/>
    <cellStyle name="Moneda [0] 3" xfId="417"/>
    <cellStyle name="Moneda [0] 4" xfId="467"/>
    <cellStyle name="Moneda [0] 5" xfId="693"/>
    <cellStyle name="Moneda [0] 5 2" xfId="927"/>
    <cellStyle name="Moneda [0] 6" xfId="714"/>
    <cellStyle name="Moneda 10" xfId="139"/>
    <cellStyle name="Moneda 11" xfId="144"/>
    <cellStyle name="Moneda 12" xfId="145"/>
    <cellStyle name="Moneda 13" xfId="146"/>
    <cellStyle name="Moneda 14" xfId="147"/>
    <cellStyle name="Moneda 15" xfId="148"/>
    <cellStyle name="Moneda 16" xfId="149"/>
    <cellStyle name="Moneda 17" xfId="466"/>
    <cellStyle name="Moneda 18" xfId="480"/>
    <cellStyle name="Moneda 19" xfId="625"/>
    <cellStyle name="Moneda 2" xfId="11"/>
    <cellStyle name="Moneda 2 2" xfId="102"/>
    <cellStyle name="Moneda 2 2 2" xfId="726"/>
    <cellStyle name="Moneda 2 2 2 2" xfId="941"/>
    <cellStyle name="Moneda 2 2 3" xfId="826"/>
    <cellStyle name="Moneda 2 3" xfId="100"/>
    <cellStyle name="Moneda 2 3 2" xfId="503"/>
    <cellStyle name="Moneda 2 3 3" xfId="442"/>
    <cellStyle name="Moneda 2 4" xfId="131"/>
    <cellStyle name="Moneda 2 4 2" xfId="733"/>
    <cellStyle name="Moneda 2 4 2 2" xfId="948"/>
    <cellStyle name="Moneda 2 4 3" xfId="833"/>
    <cellStyle name="Moneda 2 5" xfId="162"/>
    <cellStyle name="Moneda 2 5 2" xfId="533"/>
    <cellStyle name="Moneda 2 5 3" xfId="458"/>
    <cellStyle name="Moneda 2 6" xfId="716"/>
    <cellStyle name="Moneda 2 6 2" xfId="939"/>
    <cellStyle name="Moneda 2 7" xfId="822"/>
    <cellStyle name="Moneda 20" xfId="485"/>
    <cellStyle name="Moneda 21" xfId="477"/>
    <cellStyle name="Moneda 22" xfId="587"/>
    <cellStyle name="Moneda 23" xfId="474"/>
    <cellStyle name="Moneda 24" xfId="511"/>
    <cellStyle name="Moneda 25" xfId="633"/>
    <cellStyle name="Moneda 26" xfId="612"/>
    <cellStyle name="Moneda 27" xfId="649"/>
    <cellStyle name="Moneda 28" xfId="507"/>
    <cellStyle name="Moneda 29" xfId="525"/>
    <cellStyle name="Moneda 3" xfId="13"/>
    <cellStyle name="Moneda 3 2" xfId="118"/>
    <cellStyle name="Moneda 3 2 2" xfId="414"/>
    <cellStyle name="Moneda 3 2 3" xfId="447"/>
    <cellStyle name="Moneda 3 2 4" xfId="514"/>
    <cellStyle name="Moneda 3 2 5" xfId="412"/>
    <cellStyle name="Moneda 3 3" xfId="413"/>
    <cellStyle name="Moneda 30" xfId="617"/>
    <cellStyle name="Moneda 31" xfId="653"/>
    <cellStyle name="Moneda 32" xfId="667"/>
    <cellStyle name="Moneda 33" xfId="523"/>
    <cellStyle name="Moneda 34" xfId="500"/>
    <cellStyle name="Moneda 35" xfId="589"/>
    <cellStyle name="Moneda 36" xfId="647"/>
    <cellStyle name="Moneda 37" xfId="671"/>
    <cellStyle name="Moneda 38" xfId="674"/>
    <cellStyle name="Moneda 39" xfId="588"/>
    <cellStyle name="Moneda 4" xfId="130"/>
    <cellStyle name="Moneda 4 2" xfId="392"/>
    <cellStyle name="Moneda 40" xfId="499"/>
    <cellStyle name="Moneda 41" xfId="582"/>
    <cellStyle name="Moneda 42" xfId="529"/>
    <cellStyle name="Moneda 43" xfId="675"/>
    <cellStyle name="Moneda 44" xfId="662"/>
    <cellStyle name="Moneda 45" xfId="524"/>
    <cellStyle name="Moneda 46" xfId="469"/>
    <cellStyle name="Moneda 47" xfId="512"/>
    <cellStyle name="Moneda 48" xfId="648"/>
    <cellStyle name="Moneda 49" xfId="608"/>
    <cellStyle name="Moneda 5" xfId="134"/>
    <cellStyle name="Moneda 50" xfId="631"/>
    <cellStyle name="Moneda 51" xfId="677"/>
    <cellStyle name="Moneda 52" xfId="593"/>
    <cellStyle name="Moneda 53" xfId="494"/>
    <cellStyle name="Moneda 54" xfId="669"/>
    <cellStyle name="Moneda 55" xfId="660"/>
    <cellStyle name="Moneda 56" xfId="508"/>
    <cellStyle name="Moneda 57" xfId="673"/>
    <cellStyle name="Moneda 58" xfId="641"/>
    <cellStyle name="Moneda 59" xfId="597"/>
    <cellStyle name="Moneda 6" xfId="135"/>
    <cellStyle name="Moneda 60" xfId="468"/>
    <cellStyle name="Moneda 61" xfId="713"/>
    <cellStyle name="Moneda 7" xfId="136"/>
    <cellStyle name="Moneda 8" xfId="138"/>
    <cellStyle name="Moneda 9" xfId="137"/>
    <cellStyle name="Neutral" xfId="25" builtinId="28" customBuiltin="1"/>
    <cellStyle name="Neutral 2" xfId="77"/>
    <cellStyle name="Neutral 2 2" xfId="350"/>
    <cellStyle name="Neutral 2 3" xfId="496"/>
    <cellStyle name="Neutral 3" xfId="425"/>
    <cellStyle name="Neutral 4" xfId="717"/>
    <cellStyle name="Normal" xfId="0" builtinId="0"/>
    <cellStyle name="Normal 10" xfId="94"/>
    <cellStyle name="Normal 10 2" xfId="194"/>
    <cellStyle name="Normal 10 2 2" xfId="544"/>
    <cellStyle name="Normal 10 2 3" xfId="437"/>
    <cellStyle name="Normal 10 3" xfId="388"/>
    <cellStyle name="Normal 100" xfId="634"/>
    <cellStyle name="Normal 101" xfId="605"/>
    <cellStyle name="Normal 102" xfId="592"/>
    <cellStyle name="Normal 103" xfId="620"/>
    <cellStyle name="Normal 104" xfId="640"/>
    <cellStyle name="Normal 105" xfId="618"/>
    <cellStyle name="Normal 106" xfId="626"/>
    <cellStyle name="Normal 107" xfId="635"/>
    <cellStyle name="Normal 108" xfId="609"/>
    <cellStyle name="Normal 109" xfId="590"/>
    <cellStyle name="Normal 11" xfId="107"/>
    <cellStyle name="Normal 11 2" xfId="247"/>
    <cellStyle name="Normal 110" xfId="636"/>
    <cellStyle name="Normal 111" xfId="505"/>
    <cellStyle name="Normal 112" xfId="651"/>
    <cellStyle name="Normal 113" xfId="521"/>
    <cellStyle name="Normal 114" xfId="621"/>
    <cellStyle name="Normal 115" xfId="586"/>
    <cellStyle name="Normal 116" xfId="678"/>
    <cellStyle name="Normal 117" xfId="478"/>
    <cellStyle name="Normal 118" xfId="663"/>
    <cellStyle name="Normal 119" xfId="611"/>
    <cellStyle name="Normal 12" xfId="104"/>
    <cellStyle name="Normal 12 2" xfId="208"/>
    <cellStyle name="Normal 120" xfId="627"/>
    <cellStyle name="Normal 121" xfId="624"/>
    <cellStyle name="Normal 122" xfId="642"/>
    <cellStyle name="Normal 123" xfId="470"/>
    <cellStyle name="Normal 124" xfId="665"/>
    <cellStyle name="Normal 125" xfId="509"/>
    <cellStyle name="Normal 126" xfId="679"/>
    <cellStyle name="Normal 127" xfId="643"/>
    <cellStyle name="Normal 128" xfId="483"/>
    <cellStyle name="Normal 129" xfId="676"/>
    <cellStyle name="Normal 13" xfId="90"/>
    <cellStyle name="Normal 13 2" xfId="227"/>
    <cellStyle name="Normal 130" xfId="655"/>
    <cellStyle name="Normal 131" xfId="486"/>
    <cellStyle name="Normal 132" xfId="630"/>
    <cellStyle name="Normal 133" xfId="395"/>
    <cellStyle name="Normal 134" xfId="680"/>
    <cellStyle name="Normal 135" xfId="682"/>
    <cellStyle name="Normal 136" xfId="687"/>
    <cellStyle name="Normal 137" xfId="685"/>
    <cellStyle name="Normal 138" xfId="698"/>
    <cellStyle name="Normal 139" xfId="697"/>
    <cellStyle name="Normal 14" xfId="92"/>
    <cellStyle name="Normal 14 2" xfId="238"/>
    <cellStyle name="Normal 14 2 2" xfId="564"/>
    <cellStyle name="Normal 14 2 3" xfId="399"/>
    <cellStyle name="Normal 14 3" xfId="351"/>
    <cellStyle name="Normal 14 3 2" xfId="596"/>
    <cellStyle name="Normal 14 3 3" xfId="435"/>
    <cellStyle name="Normal 140" xfId="700"/>
    <cellStyle name="Normal 141" xfId="702"/>
    <cellStyle name="Normal 142" xfId="704"/>
    <cellStyle name="Normal 143" xfId="705"/>
    <cellStyle name="Normal 144" xfId="695"/>
    <cellStyle name="Normal 145" xfId="688"/>
    <cellStyle name="Normal 146" xfId="708"/>
    <cellStyle name="Normal 147" xfId="710"/>
    <cellStyle name="Normal 15" xfId="105"/>
    <cellStyle name="Normal 15 2" xfId="216"/>
    <cellStyle name="Normal 16" xfId="88"/>
    <cellStyle name="Normal 16 2" xfId="74"/>
    <cellStyle name="Normal 17" xfId="106"/>
    <cellStyle name="Normal 17 2" xfId="178"/>
    <cellStyle name="Normal 18" xfId="87"/>
    <cellStyle name="Normal 18 2" xfId="187"/>
    <cellStyle name="Normal 19" xfId="108"/>
    <cellStyle name="Normal 19 2" xfId="204"/>
    <cellStyle name="Normal 2" xfId="7"/>
    <cellStyle name="Normal 2 2" xfId="10"/>
    <cellStyle name="Normal 2 2 10" xfId="353"/>
    <cellStyle name="Normal 2 2 10 2" xfId="401"/>
    <cellStyle name="Normal 2 2 2" xfId="15"/>
    <cellStyle name="Normal 2 2 2 2" xfId="132"/>
    <cellStyle name="Normal 2 2 2 2 2" xfId="230"/>
    <cellStyle name="Normal 2 2 2 2 2 2" xfId="357"/>
    <cellStyle name="Normal 2 2 2 2 2 2 2" xfId="402"/>
    <cellStyle name="Normal 2 2 2 2 2 3" xfId="356"/>
    <cellStyle name="Normal 2 2 2 2 2 4" xfId="560"/>
    <cellStyle name="Normal 2 2 2 2 3" xfId="355"/>
    <cellStyle name="Normal 2 2 2 2 4" xfId="455"/>
    <cellStyle name="Normal 2 2 2 3" xfId="212"/>
    <cellStyle name="Normal 2 2 2 3 2" xfId="358"/>
    <cellStyle name="Normal 2 2 2 3 3" xfId="551"/>
    <cellStyle name="Normal 2 2 2 4" xfId="359"/>
    <cellStyle name="Normal 2 2 2 5" xfId="354"/>
    <cellStyle name="Normal 2 2 3" xfId="221"/>
    <cellStyle name="Normal 2 2 3 2" xfId="360"/>
    <cellStyle name="Normal 2 2 3 3" xfId="556"/>
    <cellStyle name="Normal 2 2 4" xfId="400"/>
    <cellStyle name="Normal 2 2 5" xfId="420"/>
    <cellStyle name="Normal 2 2 7" xfId="361"/>
    <cellStyle name="Normal 2 2 7 2" xfId="403"/>
    <cellStyle name="Normal 2 2 8" xfId="362"/>
    <cellStyle name="Normal 2 2 8 2" xfId="404"/>
    <cellStyle name="Normal 2 2 9" xfId="363"/>
    <cellStyle name="Normal 2 2 9 2" xfId="405"/>
    <cellStyle name="Normal 2 3" xfId="16"/>
    <cellStyle name="Normal 2 3 2" xfId="126"/>
    <cellStyle name="Normal 2 3 2 2" xfId="365"/>
    <cellStyle name="Normal 2 3 2 2 2" xfId="599"/>
    <cellStyle name="Normal 2 3 2 2 3" xfId="453"/>
    <cellStyle name="Normal 2 3 3" xfId="167"/>
    <cellStyle name="Normal 2 3 3 2" xfId="270"/>
    <cellStyle name="Normal 2 3 3 2 2" xfId="580"/>
    <cellStyle name="Normal 2 3 3 2 3" xfId="462"/>
    <cellStyle name="Normal 2 3 3 3" xfId="366"/>
    <cellStyle name="Normal 2 3 3 4" xfId="393"/>
    <cellStyle name="Normal 2 3 4" xfId="246"/>
    <cellStyle name="Normal 2 3 4 2" xfId="566"/>
    <cellStyle name="Normal 2 3 4 3" xfId="422"/>
    <cellStyle name="Normal 2 3 5" xfId="364"/>
    <cellStyle name="Normal 2 4" xfId="117"/>
    <cellStyle name="Normal 2 4 2" xfId="197"/>
    <cellStyle name="Normal 2 4 2 2" xfId="546"/>
    <cellStyle name="Normal 2 4 2 3" xfId="406"/>
    <cellStyle name="Normal 2 4 3" xfId="367"/>
    <cellStyle name="Normal 2 4 3 2" xfId="600"/>
    <cellStyle name="Normal 2 4 3 3" xfId="446"/>
    <cellStyle name="Normal 2 5" xfId="368"/>
    <cellStyle name="Normal 2 6" xfId="369"/>
    <cellStyle name="Normal 2 7" xfId="352"/>
    <cellStyle name="Normal 2_FUT INGRESOS 2010 Y FLS Y TESORERIA FLS AGOSTO 26" xfId="370"/>
    <cellStyle name="Normal 20" xfId="86"/>
    <cellStyle name="Normal 20 2" xfId="234"/>
    <cellStyle name="Normal 21" xfId="91"/>
    <cellStyle name="Normal 21 2" xfId="209"/>
    <cellStyle name="Normal 22" xfId="89"/>
    <cellStyle name="Normal 22 2" xfId="193"/>
    <cellStyle name="Normal 23" xfId="109"/>
    <cellStyle name="Normal 23 2" xfId="239"/>
    <cellStyle name="Normal 24" xfId="110"/>
    <cellStyle name="Normal 24 2" xfId="268"/>
    <cellStyle name="Normal 25" xfId="111"/>
    <cellStyle name="Normal 25 2" xfId="240"/>
    <cellStyle name="Normal 26" xfId="112"/>
    <cellStyle name="Normal 26 2" xfId="258"/>
    <cellStyle name="Normal 27" xfId="113"/>
    <cellStyle name="Normal 27 2" xfId="241"/>
    <cellStyle name="Normal 28" xfId="114"/>
    <cellStyle name="Normal 28 2" xfId="78"/>
    <cellStyle name="Normal 29" xfId="116"/>
    <cellStyle name="Normal 29 2" xfId="75"/>
    <cellStyle name="Normal 3" xfId="17"/>
    <cellStyle name="Normal 3 2" xfId="127"/>
    <cellStyle name="Normal 3 2 2" xfId="210"/>
    <cellStyle name="Normal 3 2 2 2" xfId="550"/>
    <cellStyle name="Normal 3 2 2 3" xfId="408"/>
    <cellStyle name="Normal 3 2 3" xfId="371"/>
    <cellStyle name="Normal 3 2 3 2" xfId="602"/>
    <cellStyle name="Normal 3 2 3 3" xfId="454"/>
    <cellStyle name="Normal 3 3" xfId="264"/>
    <cellStyle name="Normal 3 3 2" xfId="577"/>
    <cellStyle name="Normal 3 3 3" xfId="407"/>
    <cellStyle name="Normal 3 4" xfId="277"/>
    <cellStyle name="Normal 3 4 2" xfId="581"/>
    <cellStyle name="Normal 3 4 3" xfId="423"/>
    <cellStyle name="Normal 3 5" xfId="63"/>
    <cellStyle name="Normal 30" xfId="128"/>
    <cellStyle name="Normal 30 2" xfId="176"/>
    <cellStyle name="Normal 31" xfId="142"/>
    <cellStyle name="Normal 31 2" xfId="82"/>
    <cellStyle name="Normal 32" xfId="140"/>
    <cellStyle name="Normal 32 2" xfId="73"/>
    <cellStyle name="Normal 33" xfId="141"/>
    <cellStyle name="Normal 33 2" xfId="200"/>
    <cellStyle name="Normal 34" xfId="133"/>
    <cellStyle name="Normal 34 2" xfId="180"/>
    <cellStyle name="Normal 35" xfId="143"/>
    <cellStyle name="Normal 35 2" xfId="174"/>
    <cellStyle name="Normal 36" xfId="150"/>
    <cellStyle name="Normal 36 2" xfId="198"/>
    <cellStyle name="Normal 37" xfId="158"/>
    <cellStyle name="Normal 37 2" xfId="217"/>
    <cellStyle name="Normal 38" xfId="153"/>
    <cellStyle name="Normal 38 2" xfId="243"/>
    <cellStyle name="Normal 39" xfId="161"/>
    <cellStyle name="Normal 39 2" xfId="189"/>
    <cellStyle name="Normal 4" xfId="84"/>
    <cellStyle name="Normal 4 2" xfId="262"/>
    <cellStyle name="Normal 4 2 2" xfId="373"/>
    <cellStyle name="Normal 4 2 3" xfId="576"/>
    <cellStyle name="Normal 4 3" xfId="372"/>
    <cellStyle name="Normal 4 4" xfId="433"/>
    <cellStyle name="Normal 40" xfId="151"/>
    <cellStyle name="Normal 40 2" xfId="179"/>
    <cellStyle name="Normal 41" xfId="165"/>
    <cellStyle name="Normal 41 2" xfId="222"/>
    <cellStyle name="Normal 42" xfId="169"/>
    <cellStyle name="Normal 42 2" xfId="272"/>
    <cellStyle name="Normal 43" xfId="157"/>
    <cellStyle name="Normal 43 2" xfId="183"/>
    <cellStyle name="Normal 44" xfId="154"/>
    <cellStyle name="Normal 44 2" xfId="185"/>
    <cellStyle name="Normal 45" xfId="155"/>
    <cellStyle name="Normal 45 2" xfId="259"/>
    <cellStyle name="Normal 46" xfId="152"/>
    <cellStyle name="Normal 46 2" xfId="236"/>
    <cellStyle name="Normal 47" xfId="156"/>
    <cellStyle name="Normal 47 2" xfId="232"/>
    <cellStyle name="Normal 48" xfId="60"/>
    <cellStyle name="Normal 49" xfId="71"/>
    <cellStyle name="Normal 5" xfId="93"/>
    <cellStyle name="Normal 5 2" xfId="186"/>
    <cellStyle name="Normal 5 2 2" xfId="541"/>
    <cellStyle name="Normal 5 2 3" xfId="436"/>
    <cellStyle name="Normal 5 3" xfId="374"/>
    <cellStyle name="Normal 50" xfId="79"/>
    <cellStyle name="Normal 51" xfId="211"/>
    <cellStyle name="Normal 52" xfId="219"/>
    <cellStyle name="Normal 53" xfId="175"/>
    <cellStyle name="Normal 54" xfId="191"/>
    <cellStyle name="Normal 55" xfId="214"/>
    <cellStyle name="Normal 56" xfId="170"/>
    <cellStyle name="Normal 57" xfId="226"/>
    <cellStyle name="Normal 58" xfId="76"/>
    <cellStyle name="Normal 59" xfId="207"/>
    <cellStyle name="Normal 6" xfId="19"/>
    <cellStyle name="Normal 6 2" xfId="70"/>
    <cellStyle name="Normal 60" xfId="228"/>
    <cellStyle name="Normal 61" xfId="195"/>
    <cellStyle name="Normal 62" xfId="182"/>
    <cellStyle name="Normal 63" xfId="81"/>
    <cellStyle name="Normal 64" xfId="172"/>
    <cellStyle name="Normal 65" xfId="199"/>
    <cellStyle name="Normal 66" xfId="206"/>
    <cellStyle name="Normal 67" xfId="229"/>
    <cellStyle name="Normal 68" xfId="256"/>
    <cellStyle name="Normal 69" xfId="266"/>
    <cellStyle name="Normal 7" xfId="18"/>
    <cellStyle name="Normal 7 2" xfId="225"/>
    <cellStyle name="Normal 7 2 2" xfId="559"/>
    <cellStyle name="Normal 7 2 3" xfId="409"/>
    <cellStyle name="Normal 7 3" xfId="375"/>
    <cellStyle name="Normal 7 3 2" xfId="603"/>
    <cellStyle name="Normal 7 3 3" xfId="439"/>
    <cellStyle name="Normal 70" xfId="267"/>
    <cellStyle name="Normal 71" xfId="245"/>
    <cellStyle name="Normal 72" xfId="202"/>
    <cellStyle name="Normal 73" xfId="278"/>
    <cellStyle name="Normal 74" xfId="271"/>
    <cellStyle name="Normal 75" xfId="280"/>
    <cellStyle name="Normal 76" xfId="66"/>
    <cellStyle name="Normal 77" xfId="275"/>
    <cellStyle name="Normal 78" xfId="276"/>
    <cellStyle name="Normal 79" xfId="273"/>
    <cellStyle name="Normal 8" xfId="85"/>
    <cellStyle name="Normal 8 2" xfId="83"/>
    <cellStyle name="Normal 8 2 2" xfId="498"/>
    <cellStyle name="Normal 8 2 3" xfId="410"/>
    <cellStyle name="Normal 8 3" xfId="376"/>
    <cellStyle name="Normal 8 3 2" xfId="604"/>
    <cellStyle name="Normal 8 3 3" xfId="434"/>
    <cellStyle name="Normal 80" xfId="279"/>
    <cellStyle name="Normal 81" xfId="177"/>
    <cellStyle name="Normal 82" xfId="274"/>
    <cellStyle name="Normal 83" xfId="255"/>
    <cellStyle name="Normal 84" xfId="281"/>
    <cellStyle name="Normal 85" xfId="59"/>
    <cellStyle name="Normal 86" xfId="283"/>
    <cellStyle name="Normal 87" xfId="391"/>
    <cellStyle name="Normal 88" xfId="389"/>
    <cellStyle name="Normal 89" xfId="463"/>
    <cellStyle name="Normal 9" xfId="99"/>
    <cellStyle name="Normal 9 2" xfId="62"/>
    <cellStyle name="Normal 9 2 2" xfId="488"/>
    <cellStyle name="Normal 9 2 3" xfId="441"/>
    <cellStyle name="Normal 9 3" xfId="284"/>
    <cellStyle name="Normal 90" xfId="481"/>
    <cellStyle name="Normal 91" xfId="670"/>
    <cellStyle name="Normal 92" xfId="645"/>
    <cellStyle name="Normal 93" xfId="658"/>
    <cellStyle name="Normal 94" xfId="601"/>
    <cellStyle name="Normal 95" xfId="668"/>
    <cellStyle name="Normal 96" xfId="638"/>
    <cellStyle name="Normal 97" xfId="639"/>
    <cellStyle name="Normal 98" xfId="661"/>
    <cellStyle name="Normal 99" xfId="622"/>
    <cellStyle name="Notas" xfId="32" builtinId="10" customBuiltin="1"/>
    <cellStyle name="Notas 2" xfId="203"/>
    <cellStyle name="Notas 2 2" xfId="377"/>
    <cellStyle name="Notas 2 3" xfId="548"/>
    <cellStyle name="Notas 3" xfId="378"/>
    <cellStyle name="Notas 3 2" xfId="411"/>
    <cellStyle name="Notas 4" xfId="718"/>
    <cellStyle name="Porcentaje" xfId="282" builtinId="5"/>
    <cellStyle name="Porcentaje 2" xfId="739"/>
    <cellStyle name="Porcentaje 2 2" xfId="96"/>
    <cellStyle name="Porcentaje 2 2 2" xfId="98"/>
    <cellStyle name="Porcentaje 2 3" xfId="129"/>
    <cellStyle name="Salida" xfId="27" builtinId="21" customBuiltin="1"/>
    <cellStyle name="Salida 2" xfId="205"/>
    <cellStyle name="Salida 2 2" xfId="379"/>
    <cellStyle name="Salida 2 3" xfId="549"/>
    <cellStyle name="TableStyleLight1" xfId="380"/>
    <cellStyle name="Texto de advertencia" xfId="31" builtinId="11" customBuiltin="1"/>
    <cellStyle name="Texto de advertencia 2" xfId="249"/>
    <cellStyle name="Texto de advertencia 2 2" xfId="381"/>
    <cellStyle name="Texto de advertencia 2 3" xfId="568"/>
    <cellStyle name="Texto explicativo" xfId="33" builtinId="53" customBuiltin="1"/>
    <cellStyle name="Texto explicativo 2" xfId="252"/>
    <cellStyle name="Texto explicativo 2 2" xfId="382"/>
    <cellStyle name="Texto explicativo 2 3" xfId="571"/>
    <cellStyle name="Título" xfId="394" builtinId="15" customBuiltin="1"/>
    <cellStyle name="Título 1 2" xfId="269"/>
    <cellStyle name="Título 1 2 2" xfId="383"/>
    <cellStyle name="Título 1 2 3" xfId="579"/>
    <cellStyle name="Título 2" xfId="21" builtinId="17" customBuiltin="1"/>
    <cellStyle name="Título 2 2" xfId="65"/>
    <cellStyle name="Título 2 2 2" xfId="384"/>
    <cellStyle name="Título 2 2 3" xfId="490"/>
    <cellStyle name="Título 3" xfId="22" builtinId="18" customBuiltin="1"/>
    <cellStyle name="Título 3 2" xfId="190"/>
    <cellStyle name="Título 3 2 2" xfId="385"/>
    <cellStyle name="Título 3 2 3" xfId="543"/>
    <cellStyle name="Título 4" xfId="64"/>
    <cellStyle name="Título 4 2" xfId="386"/>
    <cellStyle name="Título 4 3" xfId="489"/>
    <cellStyle name="Título 5" xfId="231"/>
    <cellStyle name="Total" xfId="34" builtinId="25" customBuiltin="1"/>
    <cellStyle name="Total 2" xfId="220"/>
    <cellStyle name="Total 2 2" xfId="387"/>
    <cellStyle name="Total 2 3" xfId="555"/>
  </cellStyles>
  <dxfs count="92">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24-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baseline="0">
                <a:latin typeface="Arial" panose="020B0604020202020204" pitchFamily="34" charset="0"/>
                <a:cs typeface="Arial" panose="020B0604020202020204" pitchFamily="34" charset="0"/>
              </a:rPr>
              <a:t>Estado de Ejecución  Sector Central</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31 de diciembre de 2021</a:t>
            </a:r>
            <a:endParaRPr lang="es-CO" sz="1200" b="1">
              <a:latin typeface="Arial" panose="020B0604020202020204" pitchFamily="34" charset="0"/>
              <a:cs typeface="Arial" panose="020B0604020202020204" pitchFamily="34" charset="0"/>
            </a:endParaRPr>
          </a:p>
        </c:rich>
      </c:tx>
      <c:layout>
        <c:manualLayout>
          <c:xMode val="edge"/>
          <c:yMode val="edge"/>
          <c:x val="0.30090106814323747"/>
          <c:y val="8.664423424037955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3410779548565621"/>
          <c:y val="0.15784037952389388"/>
          <c:w val="0.85302418680714087"/>
          <c:h val="0.71588350508700771"/>
        </c:manualLayout>
      </c:layout>
      <c:barChart>
        <c:barDir val="col"/>
        <c:grouping val="clustered"/>
        <c:varyColors val="0"/>
        <c:ser>
          <c:idx val="0"/>
          <c:order val="0"/>
          <c:tx>
            <c:strRef>
              <c:f>'CONSOLIDADO UNIDADES'!$C$23</c:f>
              <c:strCache>
                <c:ptCount val="1"/>
                <c:pt idx="0">
                  <c:v>Valor</c:v>
                </c:pt>
              </c:strCache>
            </c:strRef>
          </c:tx>
          <c:spPr>
            <a:solidFill>
              <a:srgbClr val="002060"/>
            </a:solidFill>
            <a:ln>
              <a:noFill/>
            </a:ln>
            <a:effectLst/>
          </c:spPr>
          <c:invertIfNegative val="0"/>
          <c:dPt>
            <c:idx val="1"/>
            <c:invertIfNegative val="0"/>
            <c:bubble3D val="0"/>
            <c:spPr>
              <a:solidFill>
                <a:srgbClr val="C00000"/>
              </a:solidFill>
              <a:ln>
                <a:noFill/>
              </a:ln>
              <a:effectLst/>
            </c:spPr>
            <c:extLst>
              <c:ext xmlns:c16="http://schemas.microsoft.com/office/drawing/2014/chart" uri="{C3380CC4-5D6E-409C-BE32-E72D297353CC}">
                <c16:uniqueId val="{00000003-3960-46AD-8AEB-A9264092E8AD}"/>
              </c:ext>
            </c:extLst>
          </c:dPt>
          <c:dPt>
            <c:idx val="2"/>
            <c:invertIfNegative val="0"/>
            <c:bubble3D val="0"/>
            <c:spPr>
              <a:solidFill>
                <a:srgbClr val="00B0F0"/>
              </a:solidFill>
              <a:ln>
                <a:noFill/>
              </a:ln>
              <a:effectLst/>
            </c:spPr>
            <c:extLst>
              <c:ext xmlns:c16="http://schemas.microsoft.com/office/drawing/2014/chart" uri="{C3380CC4-5D6E-409C-BE32-E72D297353CC}">
                <c16:uniqueId val="{00000006-3960-46AD-8AEB-A9264092E8AD}"/>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9-3960-46AD-8AEB-A9264092E8AD}"/>
              </c:ext>
            </c:extLst>
          </c:dPt>
          <c:dPt>
            <c:idx val="4"/>
            <c:invertIfNegative val="0"/>
            <c:bubble3D val="0"/>
            <c:spPr>
              <a:solidFill>
                <a:srgbClr val="92D050"/>
              </a:solidFill>
              <a:ln>
                <a:noFill/>
              </a:ln>
              <a:effectLst/>
            </c:spPr>
            <c:extLst>
              <c:ext xmlns:c16="http://schemas.microsoft.com/office/drawing/2014/chart" uri="{C3380CC4-5D6E-409C-BE32-E72D297353CC}">
                <c16:uniqueId val="{0000000E-3960-46AD-8AEB-A9264092E8AD}"/>
              </c:ext>
            </c:extLst>
          </c:dPt>
          <c:dPt>
            <c:idx val="5"/>
            <c:invertIfNegative val="0"/>
            <c:bubble3D val="0"/>
            <c:spPr>
              <a:solidFill>
                <a:srgbClr val="FFFF00"/>
              </a:solidFill>
              <a:ln>
                <a:noFill/>
              </a:ln>
              <a:effectLst/>
            </c:spPr>
            <c:extLst>
              <c:ext xmlns:c16="http://schemas.microsoft.com/office/drawing/2014/chart" uri="{C3380CC4-5D6E-409C-BE32-E72D297353CC}">
                <c16:uniqueId val="{00000012-3960-46AD-8AEB-A9264092E8AD}"/>
              </c:ext>
            </c:extLst>
          </c:dPt>
          <c:cat>
            <c:strRef>
              <c:f>'CONSOLIDADO UNIDADES'!$B$24:$B$29</c:f>
              <c:strCache>
                <c:ptCount val="6"/>
                <c:pt idx="0">
                  <c:v>Sector Central</c:v>
                </c:pt>
                <c:pt idx="1">
                  <c:v>Disponibilidades </c:v>
                </c:pt>
                <c:pt idx="2">
                  <c:v>Compromisos</c:v>
                </c:pt>
                <c:pt idx="3">
                  <c:v>Obligaciones</c:v>
                </c:pt>
                <c:pt idx="4">
                  <c:v>Pagos </c:v>
                </c:pt>
                <c:pt idx="5">
                  <c:v>Disponible</c:v>
                </c:pt>
              </c:strCache>
            </c:strRef>
          </c:cat>
          <c:val>
            <c:numRef>
              <c:f>'CONSOLIDADO UNIDADES'!$C$24:$C$29</c:f>
              <c:numCache>
                <c:formatCode>_(* #,##0_);_(* \(#,##0\);_(* "-"??_);_(@_)</c:formatCode>
                <c:ptCount val="6"/>
                <c:pt idx="0">
                  <c:v>319490464131.91003</c:v>
                </c:pt>
                <c:pt idx="1">
                  <c:v>286065239361.54999</c:v>
                </c:pt>
                <c:pt idx="2">
                  <c:v>0</c:v>
                </c:pt>
                <c:pt idx="3">
                  <c:v>0</c:v>
                </c:pt>
                <c:pt idx="4">
                  <c:v>285435942243.58002</c:v>
                </c:pt>
                <c:pt idx="5">
                  <c:v>33425224770.360085</c:v>
                </c:pt>
              </c:numCache>
            </c:numRef>
          </c:val>
          <c:extLst>
            <c:ext xmlns:c16="http://schemas.microsoft.com/office/drawing/2014/chart" uri="{C3380CC4-5D6E-409C-BE32-E72D297353CC}">
              <c16:uniqueId val="{00000000-3960-46AD-8AEB-A9264092E8AD}"/>
            </c:ext>
          </c:extLst>
        </c:ser>
        <c:ser>
          <c:idx val="1"/>
          <c:order val="1"/>
          <c:tx>
            <c:strRef>
              <c:f>'CONSOLIDADO UNIDADES'!$D$23</c:f>
              <c:strCache>
                <c:ptCount val="1"/>
                <c:pt idx="0">
                  <c:v>%</c:v>
                </c:pt>
              </c:strCache>
            </c:strRef>
          </c:tx>
          <c:spPr>
            <a:solidFill>
              <a:schemeClr val="accent2"/>
            </a:solidFill>
            <a:ln>
              <a:noFill/>
            </a:ln>
            <a:effectLst/>
          </c:spPr>
          <c:invertIfNegative val="0"/>
          <c:cat>
            <c:strRef>
              <c:f>'CONSOLIDADO UNIDADES'!$B$24:$B$29</c:f>
              <c:strCache>
                <c:ptCount val="6"/>
                <c:pt idx="0">
                  <c:v>Sector Central</c:v>
                </c:pt>
                <c:pt idx="1">
                  <c:v>Disponibilidades </c:v>
                </c:pt>
                <c:pt idx="2">
                  <c:v>Compromisos</c:v>
                </c:pt>
                <c:pt idx="3">
                  <c:v>Obligaciones</c:v>
                </c:pt>
                <c:pt idx="4">
                  <c:v>Pagos </c:v>
                </c:pt>
                <c:pt idx="5">
                  <c:v>Disponible</c:v>
                </c:pt>
              </c:strCache>
            </c:strRef>
          </c:cat>
          <c:val>
            <c:numRef>
              <c:f>'CONSOLIDADO UNIDADES'!$D$24:$D$29</c:f>
              <c:numCache>
                <c:formatCode>0.00%</c:formatCode>
                <c:ptCount val="6"/>
                <c:pt idx="0" formatCode="0%">
                  <c:v>1</c:v>
                </c:pt>
                <c:pt idx="1">
                  <c:v>0.89537958554982233</c:v>
                </c:pt>
                <c:pt idx="2">
                  <c:v>0</c:v>
                </c:pt>
                <c:pt idx="3">
                  <c:v>0</c:v>
                </c:pt>
                <c:pt idx="4">
                  <c:v>0</c:v>
                </c:pt>
                <c:pt idx="5">
                  <c:v>0.10462041445017778</c:v>
                </c:pt>
              </c:numCache>
            </c:numRef>
          </c:val>
          <c:extLst>
            <c:ext xmlns:c16="http://schemas.microsoft.com/office/drawing/2014/chart" uri="{C3380CC4-5D6E-409C-BE32-E72D297353CC}">
              <c16:uniqueId val="{00000001-3960-46AD-8AEB-A9264092E8AD}"/>
            </c:ext>
          </c:extLst>
        </c:ser>
        <c:dLbls>
          <c:showLegendKey val="0"/>
          <c:showVal val="0"/>
          <c:showCatName val="0"/>
          <c:showSerName val="0"/>
          <c:showPercent val="0"/>
          <c:showBubbleSize val="0"/>
        </c:dLbls>
        <c:gapWidth val="219"/>
        <c:overlap val="-27"/>
        <c:axId val="181518960"/>
        <c:axId val="181519520"/>
      </c:barChart>
      <c:catAx>
        <c:axId val="18151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19520"/>
        <c:crosses val="autoZero"/>
        <c:auto val="1"/>
        <c:lblAlgn val="ctr"/>
        <c:lblOffset val="100"/>
        <c:noMultiLvlLbl val="0"/>
      </c:catAx>
      <c:valAx>
        <c:axId val="181519520"/>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189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Estado de Ejecución Entes</a:t>
            </a:r>
            <a:r>
              <a:rPr lang="es-CO" sz="1200" b="1" baseline="0">
                <a:latin typeface="Arial" panose="020B0604020202020204" pitchFamily="34" charset="0"/>
                <a:cs typeface="Arial" panose="020B0604020202020204" pitchFamily="34" charset="0"/>
              </a:rPr>
              <a:t> Descentralizados</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31 de diciembre de 2021</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4880-4938-84D7-1118D55666C7}"/>
              </c:ext>
            </c:extLst>
          </c:dPt>
          <c:dPt>
            <c:idx val="5"/>
            <c:invertIfNegative val="0"/>
            <c:bubble3D val="0"/>
            <c:spPr>
              <a:solidFill>
                <a:srgbClr val="FFFF00"/>
              </a:solidFill>
              <a:ln>
                <a:noFill/>
              </a:ln>
              <a:effectLst/>
            </c:spPr>
            <c:extLst>
              <c:ext xmlns:c16="http://schemas.microsoft.com/office/drawing/2014/chart" uri="{C3380CC4-5D6E-409C-BE32-E72D297353CC}">
                <c16:uniqueId val="{00000003-4880-4938-84D7-1118D55666C7}"/>
              </c:ext>
            </c:extLst>
          </c:dPt>
          <c:cat>
            <c:strRef>
              <c:f>'CONSOLIDADO UNIDADES'!$B$33:$B$38</c:f>
              <c:strCache>
                <c:ptCount val="6"/>
                <c:pt idx="0">
                  <c:v>Descentralizados</c:v>
                </c:pt>
                <c:pt idx="1">
                  <c:v>Disponibilidades </c:v>
                </c:pt>
                <c:pt idx="2">
                  <c:v>Compromisos</c:v>
                </c:pt>
                <c:pt idx="3">
                  <c:v>Obligaciones</c:v>
                </c:pt>
                <c:pt idx="4">
                  <c:v>Pagos </c:v>
                </c:pt>
                <c:pt idx="5">
                  <c:v>Disponible</c:v>
                </c:pt>
              </c:strCache>
            </c:strRef>
          </c:cat>
          <c:val>
            <c:numRef>
              <c:f>'CONSOLIDADO UNIDADES'!$C$33:$C$38</c:f>
              <c:numCache>
                <c:formatCode>_(* #,##0_);_(* \(#,##0\);_(* "-"??_);_(@_)</c:formatCode>
                <c:ptCount val="6"/>
                <c:pt idx="0">
                  <c:v>9907914024.9700012</c:v>
                </c:pt>
                <c:pt idx="1">
                  <c:v>7164500614.1940126</c:v>
                </c:pt>
                <c:pt idx="2">
                  <c:v>0</c:v>
                </c:pt>
                <c:pt idx="3">
                  <c:v>0</c:v>
                </c:pt>
                <c:pt idx="4">
                  <c:v>6976675351.2625237</c:v>
                </c:pt>
                <c:pt idx="5">
                  <c:v>2743413410.7759881</c:v>
                </c:pt>
              </c:numCache>
            </c:numRef>
          </c:val>
          <c:extLst>
            <c:ext xmlns:c16="http://schemas.microsoft.com/office/drawing/2014/chart" uri="{C3380CC4-5D6E-409C-BE32-E72D297353CC}">
              <c16:uniqueId val="{00000004-4880-4938-84D7-1118D55666C7}"/>
            </c:ext>
          </c:extLst>
        </c:ser>
        <c:ser>
          <c:idx val="1"/>
          <c:order val="1"/>
          <c:spPr>
            <a:solidFill>
              <a:schemeClr val="accent2"/>
            </a:solidFill>
            <a:ln>
              <a:noFill/>
            </a:ln>
            <a:effectLst/>
          </c:spPr>
          <c:invertIfNegative val="0"/>
          <c:cat>
            <c:strRef>
              <c:f>'CONSOLIDADO UNIDADES'!$B$33:$B$38</c:f>
              <c:strCache>
                <c:ptCount val="6"/>
                <c:pt idx="0">
                  <c:v>Descentralizados</c:v>
                </c:pt>
                <c:pt idx="1">
                  <c:v>Disponibilidades </c:v>
                </c:pt>
                <c:pt idx="2">
                  <c:v>Compromisos</c:v>
                </c:pt>
                <c:pt idx="3">
                  <c:v>Obligaciones</c:v>
                </c:pt>
                <c:pt idx="4">
                  <c:v>Pagos </c:v>
                </c:pt>
                <c:pt idx="5">
                  <c:v>Disponible</c:v>
                </c:pt>
              </c:strCache>
            </c:strRef>
          </c:cat>
          <c:val>
            <c:numRef>
              <c:f>'CONSOLIDADO UNIDADES'!$D$33:$D$38</c:f>
              <c:numCache>
                <c:formatCode>0.00%</c:formatCode>
                <c:ptCount val="6"/>
                <c:pt idx="0" formatCode="0%">
                  <c:v>1</c:v>
                </c:pt>
                <c:pt idx="1">
                  <c:v>0.72310888004659535</c:v>
                </c:pt>
                <c:pt idx="2">
                  <c:v>0</c:v>
                </c:pt>
                <c:pt idx="3">
                  <c:v>0</c:v>
                </c:pt>
                <c:pt idx="4">
                  <c:v>0</c:v>
                </c:pt>
                <c:pt idx="5">
                  <c:v>0.2768911199534046</c:v>
                </c:pt>
              </c:numCache>
            </c:numRef>
          </c:val>
          <c:extLst>
            <c:ext xmlns:c16="http://schemas.microsoft.com/office/drawing/2014/chart" uri="{C3380CC4-5D6E-409C-BE32-E72D297353CC}">
              <c16:uniqueId val="{00000005-4880-4938-84D7-1118D55666C7}"/>
            </c:ext>
          </c:extLst>
        </c:ser>
        <c:dLbls>
          <c:showLegendKey val="0"/>
          <c:showVal val="0"/>
          <c:showCatName val="0"/>
          <c:showSerName val="0"/>
          <c:showPercent val="0"/>
          <c:showBubbleSize val="0"/>
        </c:dLbls>
        <c:gapWidth val="219"/>
        <c:overlap val="-27"/>
        <c:axId val="181523440"/>
        <c:axId val="181524000"/>
      </c:barChart>
      <c:catAx>
        <c:axId val="18152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24000"/>
        <c:crosses val="autoZero"/>
        <c:auto val="1"/>
        <c:lblAlgn val="ctr"/>
        <c:lblOffset val="100"/>
        <c:noMultiLvlLbl val="0"/>
      </c:catAx>
      <c:valAx>
        <c:axId val="181524000"/>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234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i="0" baseline="0">
                <a:effectLst/>
                <a:latin typeface="Arial" panose="020B0604020202020204" pitchFamily="34" charset="0"/>
                <a:cs typeface="Arial" panose="020B0604020202020204" pitchFamily="34" charset="0"/>
              </a:rPr>
              <a:t>Estado de Ejecución Departamento Quindiío</a:t>
            </a:r>
            <a:endParaRPr lang="es-CO" sz="1200" b="1">
              <a:effectLst/>
              <a:latin typeface="Arial" panose="020B0604020202020204" pitchFamily="34" charset="0"/>
              <a:cs typeface="Arial" panose="020B0604020202020204" pitchFamily="34" charset="0"/>
            </a:endParaRPr>
          </a:p>
          <a:p>
            <a:pPr>
              <a:defRPr sz="1200" b="1">
                <a:latin typeface="Arial" panose="020B0604020202020204" pitchFamily="34" charset="0"/>
                <a:cs typeface="Arial" panose="020B0604020202020204" pitchFamily="34" charset="0"/>
              </a:defRPr>
            </a:pPr>
            <a:r>
              <a:rPr lang="es-CO" sz="1200" b="1" i="0" baseline="0">
                <a:effectLst/>
                <a:latin typeface="Arial" panose="020B0604020202020204" pitchFamily="34" charset="0"/>
                <a:cs typeface="Arial" panose="020B0604020202020204" pitchFamily="34" charset="0"/>
              </a:rPr>
              <a:t>Gastos de Inversión con corte al 31 de diciembre de 2021</a:t>
            </a:r>
            <a:endParaRPr lang="es-CO" sz="1200" b="1">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206E-4B7B-8B49-00214891761A}"/>
              </c:ext>
            </c:extLst>
          </c:dPt>
          <c:dPt>
            <c:idx val="1"/>
            <c:invertIfNegative val="0"/>
            <c:bubble3D val="0"/>
            <c:spPr>
              <a:solidFill>
                <a:srgbClr val="C00000"/>
              </a:solidFill>
              <a:ln>
                <a:noFill/>
              </a:ln>
              <a:effectLst/>
            </c:spPr>
            <c:extLst>
              <c:ext xmlns:c16="http://schemas.microsoft.com/office/drawing/2014/chart" uri="{C3380CC4-5D6E-409C-BE32-E72D297353CC}">
                <c16:uniqueId val="{00000003-206E-4B7B-8B49-00214891761A}"/>
              </c:ext>
            </c:extLst>
          </c:dPt>
          <c:dPt>
            <c:idx val="2"/>
            <c:invertIfNegative val="0"/>
            <c:bubble3D val="0"/>
            <c:spPr>
              <a:solidFill>
                <a:srgbClr val="00B0F0"/>
              </a:solidFill>
              <a:ln>
                <a:noFill/>
              </a:ln>
              <a:effectLst/>
            </c:spPr>
            <c:extLst>
              <c:ext xmlns:c16="http://schemas.microsoft.com/office/drawing/2014/chart" uri="{C3380CC4-5D6E-409C-BE32-E72D297353CC}">
                <c16:uniqueId val="{00000005-206E-4B7B-8B49-00214891761A}"/>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206E-4B7B-8B49-00214891761A}"/>
              </c:ext>
            </c:extLst>
          </c:dPt>
          <c:dPt>
            <c:idx val="4"/>
            <c:invertIfNegative val="0"/>
            <c:bubble3D val="0"/>
            <c:spPr>
              <a:solidFill>
                <a:srgbClr val="92D050"/>
              </a:solidFill>
              <a:ln>
                <a:noFill/>
              </a:ln>
              <a:effectLst/>
            </c:spPr>
            <c:extLst>
              <c:ext xmlns:c16="http://schemas.microsoft.com/office/drawing/2014/chart" uri="{C3380CC4-5D6E-409C-BE32-E72D297353CC}">
                <c16:uniqueId val="{00000009-206E-4B7B-8B49-00214891761A}"/>
              </c:ext>
            </c:extLst>
          </c:dPt>
          <c:dPt>
            <c:idx val="5"/>
            <c:invertIfNegative val="0"/>
            <c:bubble3D val="0"/>
            <c:spPr>
              <a:solidFill>
                <a:srgbClr val="FFFF00"/>
              </a:solidFill>
              <a:ln>
                <a:noFill/>
              </a:ln>
              <a:effectLst/>
            </c:spPr>
            <c:extLst>
              <c:ext xmlns:c16="http://schemas.microsoft.com/office/drawing/2014/chart" uri="{C3380CC4-5D6E-409C-BE32-E72D297353CC}">
                <c16:uniqueId val="{0000000B-206E-4B7B-8B49-00214891761A}"/>
              </c:ext>
            </c:extLst>
          </c:dPt>
          <c:cat>
            <c:strRef>
              <c:f>'CONSOLIDADO UNIDADES'!$B$47:$B$52</c:f>
              <c:strCache>
                <c:ptCount val="6"/>
                <c:pt idx="0">
                  <c:v>Departamento Quindío</c:v>
                </c:pt>
                <c:pt idx="1">
                  <c:v>Disponibilidades </c:v>
                </c:pt>
                <c:pt idx="2">
                  <c:v>Compromisos</c:v>
                </c:pt>
                <c:pt idx="3">
                  <c:v>Obligaciones</c:v>
                </c:pt>
                <c:pt idx="4">
                  <c:v>Pagos </c:v>
                </c:pt>
                <c:pt idx="5">
                  <c:v>Disponible</c:v>
                </c:pt>
              </c:strCache>
            </c:strRef>
          </c:cat>
          <c:val>
            <c:numRef>
              <c:f>'CONSOLIDADO UNIDADES'!$C$47:$C$52</c:f>
              <c:numCache>
                <c:formatCode>_(* #,##0_);_(* \(#,##0\);_(* "-"??_);_(@_)</c:formatCode>
                <c:ptCount val="6"/>
                <c:pt idx="0">
                  <c:v>329398378156.88</c:v>
                </c:pt>
                <c:pt idx="1">
                  <c:v>293229739975.74402</c:v>
                </c:pt>
                <c:pt idx="2">
                  <c:v>0</c:v>
                </c:pt>
                <c:pt idx="3">
                  <c:v>0</c:v>
                </c:pt>
                <c:pt idx="4">
                  <c:v>292412617594.84253</c:v>
                </c:pt>
                <c:pt idx="5">
                  <c:v>36168638181.13607</c:v>
                </c:pt>
              </c:numCache>
            </c:numRef>
          </c:val>
          <c:extLst>
            <c:ext xmlns:c16="http://schemas.microsoft.com/office/drawing/2014/chart" uri="{C3380CC4-5D6E-409C-BE32-E72D297353CC}">
              <c16:uniqueId val="{0000000C-206E-4B7B-8B49-00214891761A}"/>
            </c:ext>
          </c:extLst>
        </c:ser>
        <c:ser>
          <c:idx val="1"/>
          <c:order val="1"/>
          <c:spPr>
            <a:solidFill>
              <a:schemeClr val="accent2"/>
            </a:solidFill>
            <a:ln>
              <a:noFill/>
            </a:ln>
            <a:effectLst/>
          </c:spPr>
          <c:invertIfNegative val="0"/>
          <c:cat>
            <c:strRef>
              <c:f>'CONSOLIDADO UNIDADES'!$B$47:$B$52</c:f>
              <c:strCache>
                <c:ptCount val="6"/>
                <c:pt idx="0">
                  <c:v>Departamento Quindío</c:v>
                </c:pt>
                <c:pt idx="1">
                  <c:v>Disponibilidades </c:v>
                </c:pt>
                <c:pt idx="2">
                  <c:v>Compromisos</c:v>
                </c:pt>
                <c:pt idx="3">
                  <c:v>Obligaciones</c:v>
                </c:pt>
                <c:pt idx="4">
                  <c:v>Pagos </c:v>
                </c:pt>
                <c:pt idx="5">
                  <c:v>Disponible</c:v>
                </c:pt>
              </c:strCache>
            </c:strRef>
          </c:cat>
          <c:val>
            <c:numRef>
              <c:f>'CONSOLIDADO UNIDADES'!$D$47:$D$52</c:f>
              <c:numCache>
                <c:formatCode>0.00%</c:formatCode>
                <c:ptCount val="6"/>
                <c:pt idx="0" formatCode="0%">
                  <c:v>1</c:v>
                </c:pt>
                <c:pt idx="1">
                  <c:v>0.89019788626915997</c:v>
                </c:pt>
                <c:pt idx="2">
                  <c:v>0</c:v>
                </c:pt>
                <c:pt idx="3">
                  <c:v>0</c:v>
                </c:pt>
                <c:pt idx="4">
                  <c:v>0</c:v>
                </c:pt>
                <c:pt idx="5">
                  <c:v>0.10980211373084027</c:v>
                </c:pt>
              </c:numCache>
            </c:numRef>
          </c:val>
          <c:extLst>
            <c:ext xmlns:c16="http://schemas.microsoft.com/office/drawing/2014/chart" uri="{C3380CC4-5D6E-409C-BE32-E72D297353CC}">
              <c16:uniqueId val="{0000000D-206E-4B7B-8B49-00214891761A}"/>
            </c:ext>
          </c:extLst>
        </c:ser>
        <c:dLbls>
          <c:showLegendKey val="0"/>
          <c:showVal val="0"/>
          <c:showCatName val="0"/>
          <c:showSerName val="0"/>
          <c:showPercent val="0"/>
          <c:showBubbleSize val="0"/>
        </c:dLbls>
        <c:gapWidth val="219"/>
        <c:overlap val="-27"/>
        <c:axId val="182053808"/>
        <c:axId val="182054368"/>
      </c:barChart>
      <c:catAx>
        <c:axId val="182053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4368"/>
        <c:crosses val="autoZero"/>
        <c:auto val="1"/>
        <c:lblAlgn val="ctr"/>
        <c:lblOffset val="100"/>
        <c:noMultiLvlLbl val="0"/>
      </c:catAx>
      <c:valAx>
        <c:axId val="18205436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effectLst/>
              </a:rPr>
              <a:t>COMPARATIVO  DISPONIBILIDADES  Vs. REGISTROS PRESUPUESTALES </a:t>
            </a:r>
            <a:endParaRPr lang="es-CO">
              <a:effectLst/>
            </a:endParaRPr>
          </a:p>
          <a:p>
            <a:pPr>
              <a:defRPr/>
            </a:pPr>
            <a:r>
              <a:rPr lang="es-CO" sz="1800" b="1">
                <a:effectLst/>
              </a:rPr>
              <a:t>PLAN OPERATIVO ANUAL DE INVERSIONES POAI   CON CORTE AL 30 DE NOVIMBRE DE 2021 </a:t>
            </a:r>
          </a:p>
          <a:p>
            <a:pPr>
              <a:defRPr/>
            </a:pPr>
            <a:r>
              <a:rPr lang="es-CO" sz="1800" b="1">
                <a:effectLst/>
              </a:rPr>
              <a:t>POR UNIDADES EJECUTORAS</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'CONSOLIDADO UNIDADES'!$D$2</c:f>
              <c:strCache>
                <c:ptCount val="1"/>
                <c:pt idx="0">
                  <c:v>% PD</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Instituto Departamental de Transito</c:v>
                </c:pt>
                <c:pt idx="16">
                  <c:v>TOTAL DEPARTAMENTO</c:v>
                </c:pt>
              </c:strCache>
            </c:strRef>
          </c:cat>
          <c:val>
            <c:numRef>
              <c:extLst>
                <c:ext xmlns:c15="http://schemas.microsoft.com/office/drawing/2012/chart" uri="{02D57815-91ED-43cb-92C2-25804820EDAC}">
                  <c15:fullRef>
                    <c15:sqref>'CONSOLIDADO UNIDADES'!$D$3:$D$22</c15:sqref>
                  </c15:fullRef>
                </c:ext>
              </c:extLst>
              <c:f>('CONSOLIDADO UNIDADES'!$D$3:$D$15,'CONSOLIDADO UNIDADES'!$D$17:$D$19,'CONSOLIDADO UNIDADES'!$D$22)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c:ext xmlns:c16="http://schemas.microsoft.com/office/drawing/2014/chart" uri="{C3380CC4-5D6E-409C-BE32-E72D297353CC}">
              <c16:uniqueId val="{00000000-FCAC-40E9-A580-28F5882046CC}"/>
            </c:ext>
          </c:extLst>
        </c:ser>
        <c:ser>
          <c:idx val="1"/>
          <c:order val="1"/>
          <c:tx>
            <c:strRef>
              <c:f>'CONSOLIDADO UNIDADES'!$F$2</c:f>
              <c:strCache>
                <c:ptCount val="1"/>
                <c:pt idx="0">
                  <c:v>% CD</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Instituto Departamental de Transito</c:v>
                </c:pt>
                <c:pt idx="16">
                  <c:v>TOTAL DEPARTAMENTO</c:v>
                </c:pt>
              </c:strCache>
            </c:strRef>
          </c:cat>
          <c:val>
            <c:numRef>
              <c:extLst>
                <c:ext xmlns:c15="http://schemas.microsoft.com/office/drawing/2012/chart" uri="{02D57815-91ED-43cb-92C2-25804820EDAC}">
                  <c15:fullRef>
                    <c15:sqref>'CONSOLIDADO UNIDADES'!$F$3:$F$22</c15:sqref>
                  </c15:fullRef>
                </c:ext>
              </c:extLst>
              <c:f>('CONSOLIDADO UNIDADES'!$F$3:$F$15,'CONSOLIDADO UNIDADES'!$F$17:$F$19,'CONSOLIDADO UNIDADES'!$F$22)</c:f>
              <c:numCache>
                <c:formatCode>0%</c:formatCode>
                <c:ptCount val="17"/>
                <c:pt idx="0">
                  <c:v>0.92147290326949161</c:v>
                </c:pt>
                <c:pt idx="1">
                  <c:v>0.96366562191361571</c:v>
                </c:pt>
                <c:pt idx="2">
                  <c:v>0.78143375747048593</c:v>
                </c:pt>
                <c:pt idx="3">
                  <c:v>0.25074521533160732</c:v>
                </c:pt>
                <c:pt idx="4">
                  <c:v>0.4009010438114019</c:v>
                </c:pt>
                <c:pt idx="5">
                  <c:v>0.85215344146474281</c:v>
                </c:pt>
                <c:pt idx="6">
                  <c:v>0.82352954141855728</c:v>
                </c:pt>
                <c:pt idx="7">
                  <c:v>0.60155701603807477</c:v>
                </c:pt>
                <c:pt idx="8">
                  <c:v>0.99852052330501262</c:v>
                </c:pt>
                <c:pt idx="9">
                  <c:v>0.97745793548076387</c:v>
                </c:pt>
                <c:pt idx="10">
                  <c:v>0.78909873842127687</c:v>
                </c:pt>
                <c:pt idx="11">
                  <c:v>0.92930984606065081</c:v>
                </c:pt>
                <c:pt idx="12">
                  <c:v>0.88386868471571911</c:v>
                </c:pt>
                <c:pt idx="13">
                  <c:v>0.6526147299307089</c:v>
                </c:pt>
                <c:pt idx="14">
                  <c:v>0.90388007007143811</c:v>
                </c:pt>
                <c:pt idx="15">
                  <c:v>0.97737047454858905</c:v>
                </c:pt>
                <c:pt idx="16">
                  <c:v>0.89019788626915997</c:v>
                </c:pt>
              </c:numCache>
            </c:numRef>
          </c:val>
          <c:extLst>
            <c:ext xmlns:c16="http://schemas.microsoft.com/office/drawing/2014/chart" uri="{C3380CC4-5D6E-409C-BE32-E72D297353CC}">
              <c16:uniqueId val="{00000001-FCAC-40E9-A580-28F5882046CC}"/>
            </c:ext>
          </c:extLst>
        </c:ser>
        <c:ser>
          <c:idx val="2"/>
          <c:order val="2"/>
          <c:tx>
            <c:strRef>
              <c:f>'CONSOLIDADO UNIDADES'!$H$2</c:f>
              <c:strCache>
                <c:ptCount val="1"/>
                <c:pt idx="0">
                  <c:v>% RP</c:v>
                </c:pt>
              </c:strCache>
            </c:strRef>
          </c:tx>
          <c:spPr>
            <a:solidFill>
              <a:srgbClr val="FFC000"/>
            </a:solidFill>
            <a:ln>
              <a:noFill/>
            </a:ln>
            <a:effectLst/>
          </c:spPr>
          <c:invertIfNegative val="0"/>
          <c:dLbls>
            <c:dLbl>
              <c:idx val="0"/>
              <c:layout>
                <c:manualLayout>
                  <c:x val="3.3096929178304886E-3"/>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AC-40E9-A580-28F5882046CC}"/>
                </c:ext>
              </c:extLst>
            </c:dLbl>
            <c:dLbl>
              <c:idx val="9"/>
              <c:layout>
                <c:manualLayout>
                  <c:x val="3.3096929178304886E-3"/>
                  <c:y val="-3.5711597833485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AC-40E9-A580-28F5882046CC}"/>
                </c:ext>
              </c:extLst>
            </c:dLbl>
            <c:dLbl>
              <c:idx val="13"/>
              <c:layout>
                <c:manualLayout>
                  <c:x val="6.6193858356610579E-3"/>
                  <c:y val="-3.78122800589845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AC-40E9-A580-28F5882046CC}"/>
                </c:ext>
              </c:extLst>
            </c:dLbl>
            <c:dLbl>
              <c:idx val="14"/>
              <c:layout>
                <c:manualLayout>
                  <c:x val="1.1032309726101627E-3"/>
                  <c:y val="-3.3610915607986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AC-40E9-A580-28F5882046CC}"/>
                </c:ext>
              </c:extLst>
            </c:dLbl>
            <c:dLbl>
              <c:idx val="15"/>
              <c:layout>
                <c:manualLayout>
                  <c:x val="1.1032309726101629E-2"/>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AC-40E9-A580-28F5882046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Instituto Departamental de Transito</c:v>
                </c:pt>
                <c:pt idx="16">
                  <c:v>TOTAL DEPARTAMENTO</c:v>
                </c:pt>
              </c:strCache>
            </c:strRef>
          </c:cat>
          <c:val>
            <c:numRef>
              <c:extLst>
                <c:ext xmlns:c15="http://schemas.microsoft.com/office/drawing/2012/chart" uri="{02D57815-91ED-43cb-92C2-25804820EDAC}">
                  <c15:fullRef>
                    <c15:sqref>'CONSOLIDADO UNIDADES'!$H$3:$H$22</c15:sqref>
                  </c15:fullRef>
                </c:ext>
              </c:extLst>
              <c:f>('CONSOLIDADO UNIDADES'!$H$3:$H$15,'CONSOLIDADO UNIDADES'!$H$17:$H$19,'CONSOLIDADO UNIDADES'!$H$22)</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5="http://schemas.microsoft.com/office/drawing/2012/chart" uri="{02D57815-91ED-43cb-92C2-25804820EDAC}">
              <c15:categoryFilterExceptions>
                <c15:categoryFilterException>
                  <c15:sqref>'CONSOLIDADO UNIDADES'!$H$20</c15:sqref>
                  <c15:dLbl>
                    <c:idx val="15"/>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0-3A7A-4B69-A30B-535C9E5B3A4F}"/>
                      </c:ext>
                    </c:extLst>
                  </c15:dLbl>
                </c15:categoryFilterException>
              </c15:categoryFilterExceptions>
            </c:ext>
            <c:ext xmlns:c16="http://schemas.microsoft.com/office/drawing/2014/chart" uri="{C3380CC4-5D6E-409C-BE32-E72D297353CC}">
              <c16:uniqueId val="{00000007-FCAC-40E9-A580-28F5882046CC}"/>
            </c:ext>
          </c:extLst>
        </c:ser>
        <c:dLbls>
          <c:dLblPos val="outEnd"/>
          <c:showLegendKey val="0"/>
          <c:showVal val="1"/>
          <c:showCatName val="0"/>
          <c:showSerName val="0"/>
          <c:showPercent val="0"/>
          <c:showBubbleSize val="0"/>
        </c:dLbls>
        <c:gapWidth val="219"/>
        <c:overlap val="-27"/>
        <c:axId val="182058288"/>
        <c:axId val="182058848"/>
      </c:barChart>
      <c:catAx>
        <c:axId val="18205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8848"/>
        <c:crosses val="autoZero"/>
        <c:auto val="1"/>
        <c:lblAlgn val="ctr"/>
        <c:lblOffset val="100"/>
        <c:noMultiLvlLbl val="0"/>
      </c:catAx>
      <c:valAx>
        <c:axId val="1820588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8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182336</xdr:colOff>
          <xdr:row>305</xdr:row>
          <xdr:rowOff>332014</xdr:rowOff>
        </xdr:from>
        <xdr:to>
          <xdr:col>37</xdr:col>
          <xdr:colOff>449036</xdr:colOff>
          <xdr:row>306</xdr:row>
          <xdr:rowOff>234043</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oneCellAnchor>
    <xdr:from>
      <xdr:col>0</xdr:col>
      <xdr:colOff>421822</xdr:colOff>
      <xdr:row>0</xdr:row>
      <xdr:rowOff>0</xdr:rowOff>
    </xdr:from>
    <xdr:ext cx="984249" cy="825500"/>
    <xdr:pic>
      <xdr:nvPicPr>
        <xdr:cNvPr id="3" name="Imagen 2" descr="C:\Users\AUXPLANEACION03\Desktop\Gobernacion_del_quindi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22" y="0"/>
          <a:ext cx="984249" cy="825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276225</xdr:colOff>
      <xdr:row>23</xdr:row>
      <xdr:rowOff>4158</xdr:rowOff>
    </xdr:from>
    <xdr:to>
      <xdr:col>13</xdr:col>
      <xdr:colOff>1224642</xdr:colOff>
      <xdr:row>39</xdr:row>
      <xdr:rowOff>95252</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326571</xdr:colOff>
      <xdr:row>41</xdr:row>
      <xdr:rowOff>159202</xdr:rowOff>
    </xdr:from>
    <xdr:to>
      <xdr:col>13</xdr:col>
      <xdr:colOff>1455964</xdr:colOff>
      <xdr:row>57</xdr:row>
      <xdr:rowOff>27214</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340179</xdr:colOff>
      <xdr:row>59</xdr:row>
      <xdr:rowOff>145596</xdr:rowOff>
    </xdr:from>
    <xdr:to>
      <xdr:col>14</xdr:col>
      <xdr:colOff>40821</xdr:colOff>
      <xdr:row>79</xdr:row>
      <xdr:rowOff>40822</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54429</xdr:colOff>
      <xdr:row>0</xdr:row>
      <xdr:rowOff>853166</xdr:rowOff>
    </xdr:from>
    <xdr:to>
      <xdr:col>32</xdr:col>
      <xdr:colOff>353785</xdr:colOff>
      <xdr:row>29</xdr:row>
      <xdr:rowOff>81643</xdr:rowOff>
    </xdr:to>
    <xdr:graphicFrame macro="">
      <xdr:nvGraphicFramePr>
        <xdr:cNvPr id="6" name="Gráfico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CA314"/>
  <sheetViews>
    <sheetView showGridLines="0" tabSelected="1" topLeftCell="L1" zoomScale="70" zoomScaleNormal="70" workbookViewId="0">
      <selection activeCell="W6" sqref="W6:W7"/>
    </sheetView>
  </sheetViews>
  <sheetFormatPr baseColWidth="10" defaultColWidth="11.42578125" defaultRowHeight="15" x14ac:dyDescent="0.2"/>
  <cols>
    <col min="1" max="1" width="11.42578125" style="10" customWidth="1"/>
    <col min="2" max="2" width="24.5703125" style="1" customWidth="1"/>
    <col min="3" max="3" width="10.7109375" style="8" customWidth="1"/>
    <col min="4" max="4" width="20.28515625" style="8" customWidth="1"/>
    <col min="5" max="5" width="10.85546875" style="8" customWidth="1"/>
    <col min="6" max="6" width="17.85546875" style="8" customWidth="1"/>
    <col min="7" max="7" width="11.5703125" style="9" customWidth="1"/>
    <col min="8" max="8" width="39" style="10" customWidth="1"/>
    <col min="9" max="9" width="16.85546875" style="10" customWidth="1"/>
    <col min="10" max="10" width="37.140625" style="10" customWidth="1"/>
    <col min="11" max="11" width="44" style="11" customWidth="1"/>
    <col min="12" max="12" width="15.7109375" style="11" customWidth="1"/>
    <col min="13" max="13" width="33.85546875" style="11" customWidth="1"/>
    <col min="14" max="14" width="13.28515625" style="9" customWidth="1"/>
    <col min="15" max="15" width="33.28515625" style="11" customWidth="1"/>
    <col min="16" max="16" width="16.28515625" style="11" customWidth="1"/>
    <col min="17" max="17" width="26" style="13" customWidth="1"/>
    <col min="18" max="18" width="13.42578125" style="12" customWidth="1"/>
    <col min="19" max="19" width="27.140625" style="13" customWidth="1"/>
    <col min="20" max="20" width="27.7109375" style="10" customWidth="1"/>
    <col min="21" max="21" width="12.42578125" style="12" customWidth="1"/>
    <col min="22" max="22" width="24.140625" style="327" customWidth="1"/>
    <col min="23" max="23" width="37.7109375" style="13" customWidth="1"/>
    <col min="24" max="24" width="64.140625" style="13" customWidth="1"/>
    <col min="25" max="25" width="31.7109375" style="1" customWidth="1"/>
    <col min="26" max="26" width="27.7109375" style="1" customWidth="1"/>
    <col min="27" max="27" width="24.42578125" style="1" customWidth="1"/>
    <col min="28" max="28" width="28.28515625" style="1" customWidth="1"/>
    <col min="29" max="29" width="29.140625" style="1" customWidth="1"/>
    <col min="30" max="30" width="30.7109375" style="1" customWidth="1"/>
    <col min="31" max="32" width="24.85546875" style="2" customWidth="1"/>
    <col min="33" max="34" width="24.85546875" style="1" customWidth="1"/>
    <col min="35" max="35" width="24.85546875" style="15" customWidth="1"/>
    <col min="36" max="36" width="28.7109375" style="1" customWidth="1"/>
    <col min="37" max="38" width="28.42578125" style="1" customWidth="1"/>
    <col min="39" max="39" width="24.7109375" style="2" customWidth="1"/>
    <col min="40" max="40" width="43.42578125" style="31" customWidth="1"/>
    <col min="41" max="41" width="23.42578125" style="2" customWidth="1"/>
    <col min="42" max="42" width="25.140625" style="2" customWidth="1"/>
    <col min="43" max="79" width="11.42578125" style="2"/>
    <col min="80" max="16384" width="11.42578125" style="1"/>
  </cols>
  <sheetData>
    <row r="1" spans="1:79" ht="24" customHeight="1" x14ac:dyDescent="0.2">
      <c r="C1" s="437" t="s">
        <v>1608</v>
      </c>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197" t="s">
        <v>0</v>
      </c>
      <c r="AN1" s="434" t="s">
        <v>1666</v>
      </c>
    </row>
    <row r="2" spans="1:79" ht="17.25" customHeight="1" x14ac:dyDescent="0.2">
      <c r="C2" s="439" t="s">
        <v>1665</v>
      </c>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198" t="s">
        <v>1</v>
      </c>
      <c r="AN2" s="432">
        <v>5</v>
      </c>
    </row>
    <row r="3" spans="1:79" ht="17.25" customHeight="1" x14ac:dyDescent="0.2">
      <c r="C3" s="441" t="s">
        <v>1609</v>
      </c>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197" t="s">
        <v>2</v>
      </c>
      <c r="AN3" s="433">
        <v>44440</v>
      </c>
    </row>
    <row r="4" spans="1:79" ht="17.25" customHeight="1" x14ac:dyDescent="0.2">
      <c r="C4" s="443" t="s">
        <v>1649</v>
      </c>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197" t="s">
        <v>3</v>
      </c>
      <c r="AN4" s="435" t="s">
        <v>1477</v>
      </c>
    </row>
    <row r="5" spans="1:79" s="4" customFormat="1" ht="24.75" customHeight="1" x14ac:dyDescent="0.25">
      <c r="A5" s="448" t="s">
        <v>4</v>
      </c>
      <c r="B5" s="449"/>
      <c r="C5" s="446" t="s">
        <v>5</v>
      </c>
      <c r="D5" s="446"/>
      <c r="E5" s="446" t="s">
        <v>6</v>
      </c>
      <c r="F5" s="446"/>
      <c r="G5" s="447" t="s">
        <v>7</v>
      </c>
      <c r="H5" s="457"/>
      <c r="I5" s="457"/>
      <c r="J5" s="457"/>
      <c r="K5" s="458"/>
      <c r="L5" s="446" t="s">
        <v>9</v>
      </c>
      <c r="M5" s="446"/>
      <c r="N5" s="446"/>
      <c r="O5" s="447"/>
      <c r="P5" s="446" t="s">
        <v>10</v>
      </c>
      <c r="Q5" s="446"/>
      <c r="R5" s="446"/>
      <c r="S5" s="447"/>
      <c r="T5" s="447" t="s">
        <v>1603</v>
      </c>
      <c r="U5" s="457"/>
      <c r="V5" s="446" t="s">
        <v>11</v>
      </c>
      <c r="W5" s="446"/>
      <c r="X5" s="446"/>
      <c r="Y5" s="461" t="s">
        <v>1605</v>
      </c>
      <c r="Z5" s="462"/>
      <c r="AA5" s="462"/>
      <c r="AB5" s="462"/>
      <c r="AC5" s="462"/>
      <c r="AD5" s="462"/>
      <c r="AE5" s="462"/>
      <c r="AF5" s="462"/>
      <c r="AG5" s="462"/>
      <c r="AH5" s="462"/>
      <c r="AI5" s="462"/>
      <c r="AJ5" s="462"/>
      <c r="AK5" s="462"/>
      <c r="AL5" s="462"/>
      <c r="AM5" s="195"/>
      <c r="AN5" s="196"/>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row>
    <row r="6" spans="1:79" s="4" customFormat="1" ht="58.5" customHeight="1" x14ac:dyDescent="0.25">
      <c r="A6" s="450" t="s">
        <v>14</v>
      </c>
      <c r="B6" s="450" t="s">
        <v>15</v>
      </c>
      <c r="C6" s="451" t="s">
        <v>14</v>
      </c>
      <c r="D6" s="451" t="s">
        <v>15</v>
      </c>
      <c r="E6" s="453" t="s">
        <v>14</v>
      </c>
      <c r="F6" s="453" t="s">
        <v>15</v>
      </c>
      <c r="G6" s="451" t="s">
        <v>1599</v>
      </c>
      <c r="H6" s="451" t="s">
        <v>1600</v>
      </c>
      <c r="I6" s="451" t="s">
        <v>1601</v>
      </c>
      <c r="J6" s="451" t="s">
        <v>1602</v>
      </c>
      <c r="K6" s="459" t="s">
        <v>8</v>
      </c>
      <c r="L6" s="451" t="s">
        <v>16</v>
      </c>
      <c r="M6" s="451" t="s">
        <v>17</v>
      </c>
      <c r="N6" s="451" t="s">
        <v>18</v>
      </c>
      <c r="O6" s="451" t="s">
        <v>19</v>
      </c>
      <c r="P6" s="459" t="s">
        <v>16</v>
      </c>
      <c r="Q6" s="459" t="s">
        <v>20</v>
      </c>
      <c r="R6" s="459" t="s">
        <v>21</v>
      </c>
      <c r="S6" s="459" t="s">
        <v>22</v>
      </c>
      <c r="T6" s="451" t="s">
        <v>1636</v>
      </c>
      <c r="U6" s="451" t="s">
        <v>1604</v>
      </c>
      <c r="V6" s="450" t="s">
        <v>23</v>
      </c>
      <c r="W6" s="445" t="s">
        <v>24</v>
      </c>
      <c r="X6" s="445" t="s">
        <v>25</v>
      </c>
      <c r="Y6" s="436" t="s">
        <v>1630</v>
      </c>
      <c r="Z6" s="436" t="s">
        <v>26</v>
      </c>
      <c r="AA6" s="436" t="s">
        <v>27</v>
      </c>
      <c r="AB6" s="436" t="s">
        <v>28</v>
      </c>
      <c r="AC6" s="436" t="s">
        <v>29</v>
      </c>
      <c r="AD6" s="436" t="s">
        <v>1631</v>
      </c>
      <c r="AE6" s="436" t="s">
        <v>1633</v>
      </c>
      <c r="AF6" s="436" t="s">
        <v>30</v>
      </c>
      <c r="AG6" s="436" t="s">
        <v>31</v>
      </c>
      <c r="AH6" s="436" t="s">
        <v>32</v>
      </c>
      <c r="AI6" s="436" t="s">
        <v>33</v>
      </c>
      <c r="AJ6" s="436" t="s">
        <v>34</v>
      </c>
      <c r="AK6" s="436" t="s">
        <v>35</v>
      </c>
      <c r="AL6" s="436" t="s">
        <v>1522</v>
      </c>
      <c r="AM6" s="430" t="s">
        <v>1606</v>
      </c>
      <c r="AN6" s="455" t="s">
        <v>13</v>
      </c>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row>
    <row r="7" spans="1:79" s="53" customFormat="1" ht="24" customHeight="1" x14ac:dyDescent="0.25">
      <c r="A7" s="450"/>
      <c r="B7" s="450"/>
      <c r="C7" s="452"/>
      <c r="D7" s="452"/>
      <c r="E7" s="454"/>
      <c r="F7" s="454"/>
      <c r="G7" s="452"/>
      <c r="H7" s="452"/>
      <c r="I7" s="452"/>
      <c r="J7" s="452"/>
      <c r="K7" s="460"/>
      <c r="L7" s="452"/>
      <c r="M7" s="452"/>
      <c r="N7" s="452"/>
      <c r="O7" s="452"/>
      <c r="P7" s="460"/>
      <c r="Q7" s="460"/>
      <c r="R7" s="460"/>
      <c r="S7" s="460"/>
      <c r="T7" s="452"/>
      <c r="U7" s="452"/>
      <c r="V7" s="450"/>
      <c r="W7" s="445"/>
      <c r="X7" s="445"/>
      <c r="Y7" s="210" t="s">
        <v>1607</v>
      </c>
      <c r="Z7" s="210" t="s">
        <v>1607</v>
      </c>
      <c r="AA7" s="210" t="s">
        <v>1607</v>
      </c>
      <c r="AB7" s="210" t="s">
        <v>1607</v>
      </c>
      <c r="AC7" s="210" t="s">
        <v>1607</v>
      </c>
      <c r="AD7" s="210" t="s">
        <v>1607</v>
      </c>
      <c r="AE7" s="210" t="s">
        <v>1607</v>
      </c>
      <c r="AF7" s="210" t="s">
        <v>1607</v>
      </c>
      <c r="AG7" s="210" t="s">
        <v>1607</v>
      </c>
      <c r="AH7" s="210" t="s">
        <v>1607</v>
      </c>
      <c r="AI7" s="210" t="s">
        <v>1607</v>
      </c>
      <c r="AJ7" s="210" t="s">
        <v>1607</v>
      </c>
      <c r="AK7" s="210" t="s">
        <v>1607</v>
      </c>
      <c r="AL7" s="210" t="s">
        <v>1607</v>
      </c>
      <c r="AM7" s="210" t="s">
        <v>1607</v>
      </c>
      <c r="AN7" s="456"/>
    </row>
    <row r="8" spans="1:79" s="26" customFormat="1" ht="165.75" customHeight="1" x14ac:dyDescent="0.2">
      <c r="A8" s="178">
        <v>304</v>
      </c>
      <c r="B8" s="232" t="s">
        <v>1577</v>
      </c>
      <c r="C8" s="174">
        <v>4</v>
      </c>
      <c r="D8" s="232" t="s">
        <v>1578</v>
      </c>
      <c r="E8" s="174">
        <v>45</v>
      </c>
      <c r="F8" s="177" t="s">
        <v>38</v>
      </c>
      <c r="G8" s="174" t="s">
        <v>41</v>
      </c>
      <c r="H8" s="177" t="s">
        <v>1536</v>
      </c>
      <c r="I8" s="174">
        <v>4599</v>
      </c>
      <c r="J8" s="177" t="s">
        <v>1537</v>
      </c>
      <c r="K8" s="177" t="s">
        <v>40</v>
      </c>
      <c r="L8" s="174" t="s">
        <v>41</v>
      </c>
      <c r="M8" s="177" t="s">
        <v>42</v>
      </c>
      <c r="N8" s="174">
        <v>4599023</v>
      </c>
      <c r="O8" s="177" t="s">
        <v>43</v>
      </c>
      <c r="P8" s="174" t="s">
        <v>41</v>
      </c>
      <c r="Q8" s="177" t="s">
        <v>44</v>
      </c>
      <c r="R8" s="174">
        <v>459902300</v>
      </c>
      <c r="S8" s="177" t="s">
        <v>45</v>
      </c>
      <c r="T8" s="191" t="s">
        <v>1635</v>
      </c>
      <c r="U8" s="233">
        <v>5</v>
      </c>
      <c r="V8" s="191" t="s">
        <v>46</v>
      </c>
      <c r="W8" s="177" t="s">
        <v>47</v>
      </c>
      <c r="X8" s="177" t="s">
        <v>48</v>
      </c>
      <c r="Y8" s="234"/>
      <c r="Z8" s="234"/>
      <c r="AA8" s="234"/>
      <c r="AB8" s="234"/>
      <c r="AC8" s="234"/>
      <c r="AD8" s="234"/>
      <c r="AE8" s="234"/>
      <c r="AF8" s="234"/>
      <c r="AG8" s="234"/>
      <c r="AH8" s="234"/>
      <c r="AI8" s="211">
        <f>36000000+5000000+138885000</f>
        <v>179885000</v>
      </c>
      <c r="AJ8" s="234"/>
      <c r="AK8" s="234"/>
      <c r="AL8" s="234"/>
      <c r="AM8" s="218">
        <f>+Y8+Z8+AA8+AB8+AC8+AD8+AE8+AF8+AG8+AH8+AI8+AJ8+AK8</f>
        <v>179885000</v>
      </c>
      <c r="AN8" s="199" t="s">
        <v>1610</v>
      </c>
      <c r="AO8" s="188"/>
    </row>
    <row r="9" spans="1:79" s="26" customFormat="1" ht="158.25" customHeight="1" x14ac:dyDescent="0.2">
      <c r="A9" s="178">
        <v>304</v>
      </c>
      <c r="B9" s="232" t="s">
        <v>1577</v>
      </c>
      <c r="C9" s="174">
        <v>4</v>
      </c>
      <c r="D9" s="177" t="s">
        <v>1578</v>
      </c>
      <c r="E9" s="174">
        <v>45</v>
      </c>
      <c r="F9" s="177" t="s">
        <v>38</v>
      </c>
      <c r="G9" s="174" t="s">
        <v>41</v>
      </c>
      <c r="H9" s="177" t="s">
        <v>1536</v>
      </c>
      <c r="I9" s="174">
        <v>4599</v>
      </c>
      <c r="J9" s="177" t="s">
        <v>1537</v>
      </c>
      <c r="K9" s="177" t="s">
        <v>40</v>
      </c>
      <c r="L9" s="174" t="s">
        <v>41</v>
      </c>
      <c r="M9" s="177" t="s">
        <v>49</v>
      </c>
      <c r="N9" s="174">
        <v>4599002</v>
      </c>
      <c r="O9" s="177" t="s">
        <v>50</v>
      </c>
      <c r="P9" s="174" t="s">
        <v>41</v>
      </c>
      <c r="Q9" s="177" t="s">
        <v>51</v>
      </c>
      <c r="R9" s="174">
        <v>459900200</v>
      </c>
      <c r="S9" s="177" t="s">
        <v>1455</v>
      </c>
      <c r="T9" s="191" t="s">
        <v>1635</v>
      </c>
      <c r="U9" s="233">
        <v>4</v>
      </c>
      <c r="V9" s="191" t="s">
        <v>52</v>
      </c>
      <c r="W9" s="177" t="s">
        <v>53</v>
      </c>
      <c r="X9" s="177" t="s">
        <v>54</v>
      </c>
      <c r="Y9" s="234"/>
      <c r="Z9" s="234"/>
      <c r="AA9" s="234"/>
      <c r="AB9" s="234"/>
      <c r="AC9" s="234"/>
      <c r="AD9" s="234"/>
      <c r="AE9" s="234"/>
      <c r="AF9" s="234"/>
      <c r="AG9" s="234"/>
      <c r="AH9" s="234"/>
      <c r="AI9" s="211">
        <v>154285400</v>
      </c>
      <c r="AJ9" s="234"/>
      <c r="AK9" s="234"/>
      <c r="AL9" s="234"/>
      <c r="AM9" s="218">
        <f>+Y9+Z9+AA9+AB9+AC9+AD9+AE9+AF9+AG9+AH9+AI9+AJ9+AK9</f>
        <v>154285400</v>
      </c>
      <c r="AN9" s="199" t="s">
        <v>1610</v>
      </c>
      <c r="AO9" s="188"/>
    </row>
    <row r="10" spans="1:79" s="26" customFormat="1" ht="196.5" customHeight="1" x14ac:dyDescent="0.2">
      <c r="A10" s="178">
        <v>304</v>
      </c>
      <c r="B10" s="232" t="s">
        <v>1577</v>
      </c>
      <c r="C10" s="174">
        <v>4</v>
      </c>
      <c r="D10" s="177" t="s">
        <v>1578</v>
      </c>
      <c r="E10" s="174">
        <v>45</v>
      </c>
      <c r="F10" s="177" t="s">
        <v>38</v>
      </c>
      <c r="G10" s="174" t="s">
        <v>41</v>
      </c>
      <c r="H10" s="177" t="s">
        <v>1536</v>
      </c>
      <c r="I10" s="174">
        <v>4599</v>
      </c>
      <c r="J10" s="177" t="s">
        <v>1537</v>
      </c>
      <c r="K10" s="177" t="s">
        <v>40</v>
      </c>
      <c r="L10" s="174" t="s">
        <v>41</v>
      </c>
      <c r="M10" s="177" t="s">
        <v>55</v>
      </c>
      <c r="N10" s="174">
        <v>4599023</v>
      </c>
      <c r="O10" s="177" t="s">
        <v>43</v>
      </c>
      <c r="P10" s="174" t="s">
        <v>41</v>
      </c>
      <c r="Q10" s="177" t="s">
        <v>56</v>
      </c>
      <c r="R10" s="174">
        <v>459902301</v>
      </c>
      <c r="S10" s="177" t="s">
        <v>57</v>
      </c>
      <c r="T10" s="191" t="s">
        <v>1635</v>
      </c>
      <c r="U10" s="233">
        <v>1</v>
      </c>
      <c r="V10" s="191" t="s">
        <v>58</v>
      </c>
      <c r="W10" s="175" t="s">
        <v>59</v>
      </c>
      <c r="X10" s="177" t="s">
        <v>1481</v>
      </c>
      <c r="Y10" s="234"/>
      <c r="Z10" s="234"/>
      <c r="AA10" s="234"/>
      <c r="AB10" s="234"/>
      <c r="AC10" s="234"/>
      <c r="AD10" s="234"/>
      <c r="AE10" s="234"/>
      <c r="AF10" s="234"/>
      <c r="AG10" s="234"/>
      <c r="AH10" s="234"/>
      <c r="AI10" s="194">
        <f>50000000-7188826</f>
        <v>42811174</v>
      </c>
      <c r="AJ10" s="234"/>
      <c r="AK10" s="234"/>
      <c r="AL10" s="234"/>
      <c r="AM10" s="218">
        <f>+Y10+Z10+AA10+AB10+AC10+AD10+AE10+AF10+AG10+AH10+AI10+AJ10+AK10</f>
        <v>42811174</v>
      </c>
      <c r="AN10" s="199" t="s">
        <v>1610</v>
      </c>
      <c r="AO10" s="188"/>
    </row>
    <row r="11" spans="1:79" s="26" customFormat="1" ht="121.5" customHeight="1" x14ac:dyDescent="0.2">
      <c r="A11" s="178">
        <v>304</v>
      </c>
      <c r="B11" s="232" t="s">
        <v>1577</v>
      </c>
      <c r="C11" s="174">
        <v>4</v>
      </c>
      <c r="D11" s="177" t="s">
        <v>1578</v>
      </c>
      <c r="E11" s="174">
        <v>45</v>
      </c>
      <c r="F11" s="177" t="s">
        <v>38</v>
      </c>
      <c r="G11" s="174" t="s">
        <v>41</v>
      </c>
      <c r="H11" s="177" t="s">
        <v>1532</v>
      </c>
      <c r="I11" s="174">
        <v>4502</v>
      </c>
      <c r="J11" s="177" t="s">
        <v>1533</v>
      </c>
      <c r="K11" s="177" t="s">
        <v>61</v>
      </c>
      <c r="L11" s="174" t="s">
        <v>41</v>
      </c>
      <c r="M11" s="177" t="s">
        <v>62</v>
      </c>
      <c r="N11" s="174">
        <v>4502033</v>
      </c>
      <c r="O11" s="177" t="s">
        <v>63</v>
      </c>
      <c r="P11" s="174" t="s">
        <v>41</v>
      </c>
      <c r="Q11" s="236" t="s">
        <v>64</v>
      </c>
      <c r="R11" s="237">
        <v>450203300</v>
      </c>
      <c r="S11" s="236" t="s">
        <v>65</v>
      </c>
      <c r="T11" s="191" t="s">
        <v>1635</v>
      </c>
      <c r="U11" s="233">
        <v>1</v>
      </c>
      <c r="V11" s="191" t="s">
        <v>66</v>
      </c>
      <c r="W11" s="175" t="s">
        <v>67</v>
      </c>
      <c r="X11" s="177" t="s">
        <v>68</v>
      </c>
      <c r="Y11" s="234"/>
      <c r="Z11" s="234"/>
      <c r="AA11" s="234"/>
      <c r="AB11" s="234"/>
      <c r="AC11" s="234"/>
      <c r="AD11" s="234"/>
      <c r="AE11" s="234"/>
      <c r="AF11" s="234"/>
      <c r="AG11" s="234"/>
      <c r="AH11" s="234"/>
      <c r="AI11" s="211">
        <v>80543366</v>
      </c>
      <c r="AJ11" s="234"/>
      <c r="AK11" s="234"/>
      <c r="AL11" s="234"/>
      <c r="AM11" s="218">
        <f>+Y11+Z11+AA11+AB11+AC11+AD11+AE11+AF11+AG11+AH11+AI11+AJ11+AK11</f>
        <v>80543366</v>
      </c>
      <c r="AN11" s="199" t="s">
        <v>1610</v>
      </c>
      <c r="AO11" s="188"/>
    </row>
    <row r="12" spans="1:79" s="26" customFormat="1" ht="165" customHeight="1" x14ac:dyDescent="0.2">
      <c r="A12" s="178">
        <v>305</v>
      </c>
      <c r="B12" s="232" t="s">
        <v>1579</v>
      </c>
      <c r="C12" s="174">
        <v>4</v>
      </c>
      <c r="D12" s="177" t="s">
        <v>1578</v>
      </c>
      <c r="E12" s="174">
        <v>45</v>
      </c>
      <c r="F12" s="177" t="s">
        <v>38</v>
      </c>
      <c r="G12" s="174">
        <v>4502</v>
      </c>
      <c r="H12" s="177" t="s">
        <v>1532</v>
      </c>
      <c r="I12" s="174">
        <v>4502</v>
      </c>
      <c r="J12" s="177" t="s">
        <v>1533</v>
      </c>
      <c r="K12" s="177" t="s">
        <v>70</v>
      </c>
      <c r="L12" s="174" t="s">
        <v>41</v>
      </c>
      <c r="M12" s="177" t="s">
        <v>71</v>
      </c>
      <c r="N12" s="174">
        <v>4502001</v>
      </c>
      <c r="O12" s="177" t="s">
        <v>72</v>
      </c>
      <c r="P12" s="174" t="s">
        <v>41</v>
      </c>
      <c r="Q12" s="236" t="s">
        <v>73</v>
      </c>
      <c r="R12" s="237">
        <v>450200100</v>
      </c>
      <c r="S12" s="236" t="s">
        <v>74</v>
      </c>
      <c r="T12" s="191" t="s">
        <v>1635</v>
      </c>
      <c r="U12" s="233">
        <v>1</v>
      </c>
      <c r="V12" s="191" t="s">
        <v>75</v>
      </c>
      <c r="W12" s="177" t="s">
        <v>76</v>
      </c>
      <c r="X12" s="177" t="s">
        <v>77</v>
      </c>
      <c r="Y12" s="234"/>
      <c r="Z12" s="234"/>
      <c r="AA12" s="234"/>
      <c r="AB12" s="234"/>
      <c r="AC12" s="234"/>
      <c r="AD12" s="234"/>
      <c r="AE12" s="234"/>
      <c r="AF12" s="234"/>
      <c r="AG12" s="234"/>
      <c r="AH12" s="234"/>
      <c r="AI12" s="189">
        <v>110600000</v>
      </c>
      <c r="AJ12" s="234"/>
      <c r="AK12" s="234"/>
      <c r="AL12" s="234"/>
      <c r="AM12" s="218">
        <f>+Y12+Z12+AA12+AB12+AC12+AD12+AE12+AF12+AG12+AH12+AI12+AJ12+AK12</f>
        <v>110600000</v>
      </c>
      <c r="AN12" s="200" t="s">
        <v>1611</v>
      </c>
      <c r="AO12" s="188"/>
    </row>
    <row r="13" spans="1:79" s="26" customFormat="1" ht="107.25" customHeight="1" x14ac:dyDescent="0.2">
      <c r="A13" s="178">
        <v>305</v>
      </c>
      <c r="B13" s="232" t="s">
        <v>1579</v>
      </c>
      <c r="C13" s="174">
        <v>4</v>
      </c>
      <c r="D13" s="177" t="s">
        <v>1578</v>
      </c>
      <c r="E13" s="174">
        <v>45</v>
      </c>
      <c r="F13" s="177" t="s">
        <v>38</v>
      </c>
      <c r="G13" s="174">
        <v>4502</v>
      </c>
      <c r="H13" s="177" t="s">
        <v>1532</v>
      </c>
      <c r="I13" s="174">
        <v>4502</v>
      </c>
      <c r="J13" s="177" t="s">
        <v>1533</v>
      </c>
      <c r="K13" s="177" t="s">
        <v>61</v>
      </c>
      <c r="L13" s="174" t="s">
        <v>41</v>
      </c>
      <c r="M13" s="240" t="s">
        <v>78</v>
      </c>
      <c r="N13" s="237">
        <v>4502001</v>
      </c>
      <c r="O13" s="240" t="s">
        <v>72</v>
      </c>
      <c r="P13" s="174" t="s">
        <v>41</v>
      </c>
      <c r="Q13" s="236" t="s">
        <v>79</v>
      </c>
      <c r="R13" s="237">
        <v>450200101</v>
      </c>
      <c r="S13" s="236" t="s">
        <v>1456</v>
      </c>
      <c r="T13" s="191" t="s">
        <v>1635</v>
      </c>
      <c r="U13" s="233">
        <v>12</v>
      </c>
      <c r="V13" s="191" t="s">
        <v>80</v>
      </c>
      <c r="W13" s="177" t="s">
        <v>81</v>
      </c>
      <c r="X13" s="177" t="s">
        <v>82</v>
      </c>
      <c r="Y13" s="234"/>
      <c r="Z13" s="234"/>
      <c r="AA13" s="234"/>
      <c r="AB13" s="234"/>
      <c r="AC13" s="234"/>
      <c r="AD13" s="234"/>
      <c r="AE13" s="234"/>
      <c r="AF13" s="234"/>
      <c r="AG13" s="234"/>
      <c r="AH13" s="234"/>
      <c r="AI13" s="189">
        <v>14925000</v>
      </c>
      <c r="AJ13" s="234"/>
      <c r="AK13" s="234"/>
      <c r="AL13" s="234"/>
      <c r="AM13" s="218">
        <f>+Y13+Z13+AA13+AB13+AC13+AD13+AE13+AF13+AG13+AH13+AI13+AJ13+AK13</f>
        <v>14925000</v>
      </c>
      <c r="AN13" s="200" t="s">
        <v>1611</v>
      </c>
      <c r="AO13" s="188"/>
    </row>
    <row r="14" spans="1:79" s="26" customFormat="1" ht="198.75" customHeight="1" x14ac:dyDescent="0.2">
      <c r="A14" s="178">
        <v>305</v>
      </c>
      <c r="B14" s="232" t="s">
        <v>1579</v>
      </c>
      <c r="C14" s="174">
        <v>4</v>
      </c>
      <c r="D14" s="177" t="s">
        <v>1578</v>
      </c>
      <c r="E14" s="174">
        <v>45</v>
      </c>
      <c r="F14" s="177" t="s">
        <v>38</v>
      </c>
      <c r="G14" s="174" t="s">
        <v>41</v>
      </c>
      <c r="H14" s="177" t="s">
        <v>1536</v>
      </c>
      <c r="I14" s="174">
        <v>4599</v>
      </c>
      <c r="J14" s="177" t="s">
        <v>1537</v>
      </c>
      <c r="K14" s="177" t="s">
        <v>40</v>
      </c>
      <c r="L14" s="174" t="s">
        <v>41</v>
      </c>
      <c r="M14" s="177" t="s">
        <v>83</v>
      </c>
      <c r="N14" s="174">
        <v>4599018</v>
      </c>
      <c r="O14" s="177" t="s">
        <v>84</v>
      </c>
      <c r="P14" s="174" t="s">
        <v>41</v>
      </c>
      <c r="Q14" s="177" t="s">
        <v>85</v>
      </c>
      <c r="R14" s="174">
        <v>459901800</v>
      </c>
      <c r="S14" s="177" t="s">
        <v>86</v>
      </c>
      <c r="T14" s="191" t="s">
        <v>1635</v>
      </c>
      <c r="U14" s="174">
        <v>5</v>
      </c>
      <c r="V14" s="191" t="s">
        <v>87</v>
      </c>
      <c r="W14" s="177" t="s">
        <v>88</v>
      </c>
      <c r="X14" s="177" t="s">
        <v>89</v>
      </c>
      <c r="Y14" s="234"/>
      <c r="Z14" s="234"/>
      <c r="AA14" s="234"/>
      <c r="AB14" s="234"/>
      <c r="AC14" s="234"/>
      <c r="AD14" s="234"/>
      <c r="AE14" s="234"/>
      <c r="AF14" s="234"/>
      <c r="AG14" s="234"/>
      <c r="AH14" s="234"/>
      <c r="AI14" s="211">
        <v>220682500</v>
      </c>
      <c r="AJ14" s="234"/>
      <c r="AK14" s="234"/>
      <c r="AL14" s="234"/>
      <c r="AM14" s="218">
        <f>+Y14+Z14+AA14+AB14+AC14+AD14+AE14+AF14+AG14+AH14+AI14+AJ14+AK14</f>
        <v>220682500</v>
      </c>
      <c r="AN14" s="200" t="s">
        <v>1611</v>
      </c>
      <c r="AO14" s="188"/>
    </row>
    <row r="15" spans="1:79" s="26" customFormat="1" ht="143.25" customHeight="1" x14ac:dyDescent="0.2">
      <c r="A15" s="178">
        <v>305</v>
      </c>
      <c r="B15" s="232" t="s">
        <v>1579</v>
      </c>
      <c r="C15" s="174">
        <v>4</v>
      </c>
      <c r="D15" s="177" t="s">
        <v>1578</v>
      </c>
      <c r="E15" s="174">
        <v>45</v>
      </c>
      <c r="F15" s="177" t="s">
        <v>38</v>
      </c>
      <c r="G15" s="174" t="s">
        <v>41</v>
      </c>
      <c r="H15" s="177" t="s">
        <v>1536</v>
      </c>
      <c r="I15" s="174">
        <v>4599</v>
      </c>
      <c r="J15" s="177" t="s">
        <v>1537</v>
      </c>
      <c r="K15" s="177" t="s">
        <v>40</v>
      </c>
      <c r="L15" s="174" t="s">
        <v>41</v>
      </c>
      <c r="M15" s="177" t="s">
        <v>90</v>
      </c>
      <c r="N15" s="174">
        <v>4599025</v>
      </c>
      <c r="O15" s="177" t="s">
        <v>91</v>
      </c>
      <c r="P15" s="174" t="s">
        <v>41</v>
      </c>
      <c r="Q15" s="177" t="s">
        <v>92</v>
      </c>
      <c r="R15" s="174">
        <v>459902500</v>
      </c>
      <c r="S15" s="177" t="s">
        <v>93</v>
      </c>
      <c r="T15" s="191" t="s">
        <v>1635</v>
      </c>
      <c r="U15" s="174">
        <v>1</v>
      </c>
      <c r="V15" s="191" t="s">
        <v>94</v>
      </c>
      <c r="W15" s="177" t="s">
        <v>95</v>
      </c>
      <c r="X15" s="177" t="s">
        <v>96</v>
      </c>
      <c r="Y15" s="234"/>
      <c r="Z15" s="234"/>
      <c r="AA15" s="234"/>
      <c r="AB15" s="234"/>
      <c r="AC15" s="234"/>
      <c r="AD15" s="234"/>
      <c r="AE15" s="234"/>
      <c r="AF15" s="234"/>
      <c r="AG15" s="234"/>
      <c r="AH15" s="234"/>
      <c r="AI15" s="211">
        <v>50776000</v>
      </c>
      <c r="AJ15" s="234"/>
      <c r="AK15" s="234"/>
      <c r="AL15" s="234"/>
      <c r="AM15" s="218">
        <f>+Y15+Z15+AA15+AB15+AC15+AD15+AE15+AF15+AG15+AH15+AI15+AJ15+AK15</f>
        <v>50776000</v>
      </c>
      <c r="AN15" s="200" t="s">
        <v>1611</v>
      </c>
      <c r="AO15" s="188"/>
    </row>
    <row r="16" spans="1:79" s="26" customFormat="1" ht="178.5" customHeight="1" x14ac:dyDescent="0.2">
      <c r="A16" s="178">
        <v>305</v>
      </c>
      <c r="B16" s="232" t="s">
        <v>1579</v>
      </c>
      <c r="C16" s="174">
        <v>4</v>
      </c>
      <c r="D16" s="177" t="s">
        <v>1578</v>
      </c>
      <c r="E16" s="174">
        <v>45</v>
      </c>
      <c r="F16" s="177" t="s">
        <v>38</v>
      </c>
      <c r="G16" s="174" t="s">
        <v>41</v>
      </c>
      <c r="H16" s="177" t="s">
        <v>1536</v>
      </c>
      <c r="I16" s="174">
        <v>4599</v>
      </c>
      <c r="J16" s="177" t="s">
        <v>1537</v>
      </c>
      <c r="K16" s="177" t="s">
        <v>40</v>
      </c>
      <c r="L16" s="174" t="s">
        <v>41</v>
      </c>
      <c r="M16" s="177" t="s">
        <v>1478</v>
      </c>
      <c r="N16" s="174">
        <v>4599025</v>
      </c>
      <c r="O16" s="177" t="s">
        <v>91</v>
      </c>
      <c r="P16" s="174" t="s">
        <v>41</v>
      </c>
      <c r="Q16" s="177" t="s">
        <v>97</v>
      </c>
      <c r="R16" s="174">
        <v>459902500</v>
      </c>
      <c r="S16" s="177" t="s">
        <v>93</v>
      </c>
      <c r="T16" s="191" t="s">
        <v>1635</v>
      </c>
      <c r="U16" s="174">
        <v>1</v>
      </c>
      <c r="V16" s="191" t="s">
        <v>98</v>
      </c>
      <c r="W16" s="177" t="s">
        <v>99</v>
      </c>
      <c r="X16" s="177" t="s">
        <v>100</v>
      </c>
      <c r="Y16" s="234"/>
      <c r="Z16" s="234"/>
      <c r="AA16" s="234"/>
      <c r="AB16" s="234"/>
      <c r="AC16" s="234"/>
      <c r="AD16" s="234"/>
      <c r="AE16" s="234"/>
      <c r="AF16" s="234"/>
      <c r="AG16" s="234"/>
      <c r="AH16" s="234"/>
      <c r="AI16" s="211">
        <v>298084000</v>
      </c>
      <c r="AJ16" s="234"/>
      <c r="AK16" s="234"/>
      <c r="AL16" s="234"/>
      <c r="AM16" s="218">
        <f>+Y16+Z16+AA16+AB16+AC16+AD16+AE16+AF16+AG16+AH16+AI16+AJ16+AK16</f>
        <v>298084000</v>
      </c>
      <c r="AN16" s="200" t="s">
        <v>1611</v>
      </c>
      <c r="AO16" s="188"/>
    </row>
    <row r="17" spans="1:41" s="26" customFormat="1" ht="153.75" customHeight="1" x14ac:dyDescent="0.2">
      <c r="A17" s="178">
        <v>305</v>
      </c>
      <c r="B17" s="232" t="s">
        <v>1579</v>
      </c>
      <c r="C17" s="174">
        <v>4</v>
      </c>
      <c r="D17" s="177" t="s">
        <v>1578</v>
      </c>
      <c r="E17" s="174">
        <v>45</v>
      </c>
      <c r="F17" s="177" t="s">
        <v>38</v>
      </c>
      <c r="G17" s="174" t="s">
        <v>41</v>
      </c>
      <c r="H17" s="177" t="s">
        <v>1536</v>
      </c>
      <c r="I17" s="174">
        <v>4599</v>
      </c>
      <c r="J17" s="177" t="s">
        <v>1537</v>
      </c>
      <c r="K17" s="177" t="s">
        <v>101</v>
      </c>
      <c r="L17" s="174" t="s">
        <v>41</v>
      </c>
      <c r="M17" s="177" t="s">
        <v>102</v>
      </c>
      <c r="N17" s="174">
        <v>4599031</v>
      </c>
      <c r="O17" s="177" t="s">
        <v>103</v>
      </c>
      <c r="P17" s="174" t="s">
        <v>41</v>
      </c>
      <c r="Q17" s="177" t="s">
        <v>104</v>
      </c>
      <c r="R17" s="174">
        <v>459903101</v>
      </c>
      <c r="S17" s="177" t="s">
        <v>105</v>
      </c>
      <c r="T17" s="191" t="s">
        <v>1635</v>
      </c>
      <c r="U17" s="174">
        <v>12</v>
      </c>
      <c r="V17" s="191" t="s">
        <v>106</v>
      </c>
      <c r="W17" s="177" t="s">
        <v>107</v>
      </c>
      <c r="X17" s="177" t="s">
        <v>108</v>
      </c>
      <c r="Y17" s="234"/>
      <c r="Z17" s="234"/>
      <c r="AA17" s="234"/>
      <c r="AB17" s="234"/>
      <c r="AC17" s="234"/>
      <c r="AD17" s="234"/>
      <c r="AE17" s="234"/>
      <c r="AF17" s="234"/>
      <c r="AG17" s="234"/>
      <c r="AH17" s="234"/>
      <c r="AI17" s="189">
        <f>10*3600000*1-12460000</f>
        <v>23540000</v>
      </c>
      <c r="AJ17" s="234"/>
      <c r="AK17" s="234"/>
      <c r="AL17" s="234"/>
      <c r="AM17" s="218">
        <f>+Y17+Z17+AA17+AB17+AC17+AD17+AE17+AF17+AG17+AH17+AI17+AJ17+AK17</f>
        <v>23540000</v>
      </c>
      <c r="AN17" s="200" t="s">
        <v>1611</v>
      </c>
      <c r="AO17" s="188"/>
    </row>
    <row r="18" spans="1:41" s="26" customFormat="1" ht="106.5" customHeight="1" x14ac:dyDescent="0.2">
      <c r="A18" s="178">
        <v>305</v>
      </c>
      <c r="B18" s="232" t="s">
        <v>1579</v>
      </c>
      <c r="C18" s="174">
        <v>4</v>
      </c>
      <c r="D18" s="177" t="s">
        <v>1578</v>
      </c>
      <c r="E18" s="174">
        <v>45</v>
      </c>
      <c r="F18" s="177" t="s">
        <v>38</v>
      </c>
      <c r="G18" s="174" t="s">
        <v>41</v>
      </c>
      <c r="H18" s="177" t="s">
        <v>1536</v>
      </c>
      <c r="I18" s="174">
        <v>4599</v>
      </c>
      <c r="J18" s="177" t="s">
        <v>1537</v>
      </c>
      <c r="K18" s="177" t="s">
        <v>101</v>
      </c>
      <c r="L18" s="174" t="s">
        <v>41</v>
      </c>
      <c r="M18" s="177" t="s">
        <v>109</v>
      </c>
      <c r="N18" s="174">
        <v>4599031</v>
      </c>
      <c r="O18" s="177" t="s">
        <v>103</v>
      </c>
      <c r="P18" s="174" t="s">
        <v>41</v>
      </c>
      <c r="Q18" s="177" t="s">
        <v>110</v>
      </c>
      <c r="R18" s="174">
        <v>459903101</v>
      </c>
      <c r="S18" s="177" t="s">
        <v>105</v>
      </c>
      <c r="T18" s="191" t="s">
        <v>1635</v>
      </c>
      <c r="U18" s="174">
        <v>12</v>
      </c>
      <c r="V18" s="191" t="s">
        <v>106</v>
      </c>
      <c r="W18" s="177" t="s">
        <v>107</v>
      </c>
      <c r="X18" s="177" t="s">
        <v>108</v>
      </c>
      <c r="Y18" s="234"/>
      <c r="Z18" s="234"/>
      <c r="AA18" s="234"/>
      <c r="AB18" s="234"/>
      <c r="AC18" s="234"/>
      <c r="AD18" s="234"/>
      <c r="AE18" s="234"/>
      <c r="AF18" s="234"/>
      <c r="AG18" s="234"/>
      <c r="AH18" s="234"/>
      <c r="AI18" s="211">
        <f>10*3600000*1-10035000</f>
        <v>25965000</v>
      </c>
      <c r="AJ18" s="234"/>
      <c r="AK18" s="234"/>
      <c r="AL18" s="234"/>
      <c r="AM18" s="218">
        <f>+Y18+Z18+AA18+AB18+AC18+AD18+AE18+AF18+AG18+AH18+AI18+AJ18+AK18</f>
        <v>25965000</v>
      </c>
      <c r="AN18" s="200" t="s">
        <v>1611</v>
      </c>
      <c r="AO18" s="188"/>
    </row>
    <row r="19" spans="1:41" s="26" customFormat="1" ht="111" customHeight="1" x14ac:dyDescent="0.2">
      <c r="A19" s="178">
        <v>305</v>
      </c>
      <c r="B19" s="232" t="s">
        <v>1579</v>
      </c>
      <c r="C19" s="174">
        <v>4</v>
      </c>
      <c r="D19" s="177" t="s">
        <v>1578</v>
      </c>
      <c r="E19" s="174">
        <v>45</v>
      </c>
      <c r="F19" s="177" t="s">
        <v>38</v>
      </c>
      <c r="G19" s="174" t="s">
        <v>41</v>
      </c>
      <c r="H19" s="177" t="s">
        <v>1536</v>
      </c>
      <c r="I19" s="174">
        <v>4599</v>
      </c>
      <c r="J19" s="177" t="s">
        <v>1537</v>
      </c>
      <c r="K19" s="177" t="s">
        <v>101</v>
      </c>
      <c r="L19" s="174" t="s">
        <v>41</v>
      </c>
      <c r="M19" s="177" t="s">
        <v>111</v>
      </c>
      <c r="N19" s="174">
        <v>4599031</v>
      </c>
      <c r="O19" s="177" t="s">
        <v>103</v>
      </c>
      <c r="P19" s="174" t="s">
        <v>41</v>
      </c>
      <c r="Q19" s="175" t="s">
        <v>112</v>
      </c>
      <c r="R19" s="174">
        <v>459903101</v>
      </c>
      <c r="S19" s="175" t="s">
        <v>105</v>
      </c>
      <c r="T19" s="191" t="s">
        <v>1635</v>
      </c>
      <c r="U19" s="174">
        <v>12</v>
      </c>
      <c r="V19" s="191" t="s">
        <v>106</v>
      </c>
      <c r="W19" s="177" t="s">
        <v>107</v>
      </c>
      <c r="X19" s="177" t="s">
        <v>108</v>
      </c>
      <c r="Y19" s="234"/>
      <c r="Z19" s="234"/>
      <c r="AA19" s="234"/>
      <c r="AB19" s="234"/>
      <c r="AC19" s="234"/>
      <c r="AD19" s="234"/>
      <c r="AE19" s="234"/>
      <c r="AF19" s="234"/>
      <c r="AG19" s="234"/>
      <c r="AH19" s="234"/>
      <c r="AI19" s="211">
        <v>24465000</v>
      </c>
      <c r="AJ19" s="234"/>
      <c r="AK19" s="234"/>
      <c r="AL19" s="234"/>
      <c r="AM19" s="218">
        <f>+Y19+Z19+AA19+AB19+AC19+AD19+AE19+AF19+AG19+AH19+AI19+AJ19+AK19</f>
        <v>24465000</v>
      </c>
      <c r="AN19" s="200" t="s">
        <v>1611</v>
      </c>
      <c r="AO19" s="188"/>
    </row>
    <row r="20" spans="1:41" s="26" customFormat="1" ht="136.5" customHeight="1" x14ac:dyDescent="0.2">
      <c r="A20" s="178">
        <v>305</v>
      </c>
      <c r="B20" s="232" t="s">
        <v>1579</v>
      </c>
      <c r="C20" s="174">
        <v>4</v>
      </c>
      <c r="D20" s="177" t="s">
        <v>1578</v>
      </c>
      <c r="E20" s="174">
        <v>45</v>
      </c>
      <c r="F20" s="177" t="s">
        <v>38</v>
      </c>
      <c r="G20" s="174" t="s">
        <v>41</v>
      </c>
      <c r="H20" s="177" t="s">
        <v>1536</v>
      </c>
      <c r="I20" s="174">
        <v>4599</v>
      </c>
      <c r="J20" s="177" t="s">
        <v>1537</v>
      </c>
      <c r="K20" s="177" t="s">
        <v>101</v>
      </c>
      <c r="L20" s="174" t="s">
        <v>41</v>
      </c>
      <c r="M20" s="177" t="s">
        <v>113</v>
      </c>
      <c r="N20" s="174">
        <v>4599031</v>
      </c>
      <c r="O20" s="177" t="s">
        <v>103</v>
      </c>
      <c r="P20" s="174" t="s">
        <v>41</v>
      </c>
      <c r="Q20" s="236" t="s">
        <v>112</v>
      </c>
      <c r="R20" s="174">
        <v>459903101</v>
      </c>
      <c r="S20" s="175" t="s">
        <v>105</v>
      </c>
      <c r="T20" s="191" t="s">
        <v>1635</v>
      </c>
      <c r="U20" s="174">
        <v>12</v>
      </c>
      <c r="V20" s="191" t="s">
        <v>106</v>
      </c>
      <c r="W20" s="177" t="s">
        <v>107</v>
      </c>
      <c r="X20" s="177" t="s">
        <v>108</v>
      </c>
      <c r="Y20" s="234"/>
      <c r="Z20" s="234"/>
      <c r="AA20" s="234"/>
      <c r="AB20" s="234"/>
      <c r="AC20" s="234"/>
      <c r="AD20" s="234"/>
      <c r="AE20" s="234"/>
      <c r="AF20" s="234"/>
      <c r="AG20" s="234"/>
      <c r="AH20" s="234"/>
      <c r="AI20" s="211">
        <f>10*3600000*1+24000000-24000000-11477500</f>
        <v>24522500</v>
      </c>
      <c r="AJ20" s="234"/>
      <c r="AK20" s="234"/>
      <c r="AL20" s="234"/>
      <c r="AM20" s="218">
        <f>+Y20+Z20+AA20+AB20+AC20+AD20+AE20+AF20+AG20+AH20+AI20+AJ20+AK20</f>
        <v>24522500</v>
      </c>
      <c r="AN20" s="200" t="s">
        <v>1611</v>
      </c>
      <c r="AO20" s="188"/>
    </row>
    <row r="21" spans="1:41" s="26" customFormat="1" ht="144" customHeight="1" x14ac:dyDescent="0.2">
      <c r="A21" s="178">
        <v>305</v>
      </c>
      <c r="B21" s="232" t="s">
        <v>1579</v>
      </c>
      <c r="C21" s="174">
        <v>4</v>
      </c>
      <c r="D21" s="177" t="s">
        <v>1578</v>
      </c>
      <c r="E21" s="174">
        <v>45</v>
      </c>
      <c r="F21" s="177" t="s">
        <v>38</v>
      </c>
      <c r="G21" s="174" t="s">
        <v>41</v>
      </c>
      <c r="H21" s="177" t="s">
        <v>1536</v>
      </c>
      <c r="I21" s="174">
        <v>4599</v>
      </c>
      <c r="J21" s="177" t="s">
        <v>1537</v>
      </c>
      <c r="K21" s="177" t="s">
        <v>101</v>
      </c>
      <c r="L21" s="174" t="s">
        <v>41</v>
      </c>
      <c r="M21" s="177" t="s">
        <v>114</v>
      </c>
      <c r="N21" s="174">
        <v>4599031</v>
      </c>
      <c r="O21" s="177" t="s">
        <v>103</v>
      </c>
      <c r="P21" s="174" t="s">
        <v>41</v>
      </c>
      <c r="Q21" s="177" t="s">
        <v>112</v>
      </c>
      <c r="R21" s="174">
        <v>459903101</v>
      </c>
      <c r="S21" s="177" t="s">
        <v>105</v>
      </c>
      <c r="T21" s="191" t="s">
        <v>1635</v>
      </c>
      <c r="U21" s="174">
        <v>12</v>
      </c>
      <c r="V21" s="191" t="s">
        <v>106</v>
      </c>
      <c r="W21" s="177" t="s">
        <v>107</v>
      </c>
      <c r="X21" s="177" t="s">
        <v>108</v>
      </c>
      <c r="Y21" s="234"/>
      <c r="Z21" s="234"/>
      <c r="AA21" s="234"/>
      <c r="AB21" s="234"/>
      <c r="AC21" s="234"/>
      <c r="AD21" s="234"/>
      <c r="AE21" s="234"/>
      <c r="AF21" s="234"/>
      <c r="AG21" s="234"/>
      <c r="AH21" s="234"/>
      <c r="AI21" s="211">
        <f>10*3600000*1+24000000-33000000</f>
        <v>27000000</v>
      </c>
      <c r="AJ21" s="234"/>
      <c r="AK21" s="234"/>
      <c r="AL21" s="234"/>
      <c r="AM21" s="218">
        <f>+Y21+Z21+AA21+AB21+AC21+AD21+AE21+AF21+AG21+AH21+AI21+AJ21+AK21</f>
        <v>27000000</v>
      </c>
      <c r="AN21" s="200" t="s">
        <v>1611</v>
      </c>
      <c r="AO21" s="188"/>
    </row>
    <row r="22" spans="1:41" s="26" customFormat="1" ht="135" customHeight="1" x14ac:dyDescent="0.2">
      <c r="A22" s="178">
        <v>305</v>
      </c>
      <c r="B22" s="232" t="s">
        <v>1579</v>
      </c>
      <c r="C22" s="174">
        <v>4</v>
      </c>
      <c r="D22" s="177" t="s">
        <v>1578</v>
      </c>
      <c r="E22" s="174">
        <v>45</v>
      </c>
      <c r="F22" s="177" t="s">
        <v>38</v>
      </c>
      <c r="G22" s="174" t="s">
        <v>41</v>
      </c>
      <c r="H22" s="177" t="s">
        <v>1536</v>
      </c>
      <c r="I22" s="174">
        <v>4599</v>
      </c>
      <c r="J22" s="177" t="s">
        <v>1537</v>
      </c>
      <c r="K22" s="177" t="s">
        <v>101</v>
      </c>
      <c r="L22" s="174" t="s">
        <v>41</v>
      </c>
      <c r="M22" s="177" t="s">
        <v>115</v>
      </c>
      <c r="N22" s="174">
        <v>4599031</v>
      </c>
      <c r="O22" s="177" t="s">
        <v>103</v>
      </c>
      <c r="P22" s="174" t="s">
        <v>41</v>
      </c>
      <c r="Q22" s="177" t="s">
        <v>112</v>
      </c>
      <c r="R22" s="174">
        <v>459903101</v>
      </c>
      <c r="S22" s="177" t="s">
        <v>105</v>
      </c>
      <c r="T22" s="191" t="s">
        <v>1635</v>
      </c>
      <c r="U22" s="174">
        <v>12</v>
      </c>
      <c r="V22" s="191" t="s">
        <v>106</v>
      </c>
      <c r="W22" s="177" t="s">
        <v>107</v>
      </c>
      <c r="X22" s="177" t="s">
        <v>108</v>
      </c>
      <c r="Y22" s="234"/>
      <c r="Z22" s="234"/>
      <c r="AA22" s="234"/>
      <c r="AB22" s="234"/>
      <c r="AC22" s="234"/>
      <c r="AD22" s="234"/>
      <c r="AE22" s="234"/>
      <c r="AF22" s="234"/>
      <c r="AG22" s="234"/>
      <c r="AH22" s="234"/>
      <c r="AI22" s="189">
        <v>19675833</v>
      </c>
      <c r="AJ22" s="234"/>
      <c r="AK22" s="234"/>
      <c r="AL22" s="234"/>
      <c r="AM22" s="218">
        <f>+Y22+Z22+AA22+AB22+AC22+AD22+AE22+AF22+AG22+AH22+AI22+AJ22+AK22</f>
        <v>19675833</v>
      </c>
      <c r="AN22" s="200" t="s">
        <v>1611</v>
      </c>
      <c r="AO22" s="188"/>
    </row>
    <row r="23" spans="1:41" s="26" customFormat="1" ht="138" customHeight="1" x14ac:dyDescent="0.2">
      <c r="A23" s="178">
        <v>305</v>
      </c>
      <c r="B23" s="232" t="s">
        <v>1579</v>
      </c>
      <c r="C23" s="174">
        <v>4</v>
      </c>
      <c r="D23" s="177" t="s">
        <v>1578</v>
      </c>
      <c r="E23" s="174">
        <v>45</v>
      </c>
      <c r="F23" s="177" t="s">
        <v>38</v>
      </c>
      <c r="G23" s="174" t="s">
        <v>41</v>
      </c>
      <c r="H23" s="177" t="s">
        <v>1536</v>
      </c>
      <c r="I23" s="174">
        <v>4599</v>
      </c>
      <c r="J23" s="177" t="s">
        <v>1537</v>
      </c>
      <c r="K23" s="177" t="s">
        <v>40</v>
      </c>
      <c r="L23" s="174" t="s">
        <v>41</v>
      </c>
      <c r="M23" s="177" t="s">
        <v>42</v>
      </c>
      <c r="N23" s="174">
        <v>4599023</v>
      </c>
      <c r="O23" s="177" t="s">
        <v>116</v>
      </c>
      <c r="P23" s="174" t="s">
        <v>41</v>
      </c>
      <c r="Q23" s="175" t="s">
        <v>117</v>
      </c>
      <c r="R23" s="174">
        <v>459902300</v>
      </c>
      <c r="S23" s="175" t="s">
        <v>45</v>
      </c>
      <c r="T23" s="191" t="s">
        <v>1635</v>
      </c>
      <c r="U23" s="174">
        <v>18</v>
      </c>
      <c r="V23" s="191" t="s">
        <v>118</v>
      </c>
      <c r="W23" s="175" t="s">
        <v>119</v>
      </c>
      <c r="X23" s="175" t="s">
        <v>120</v>
      </c>
      <c r="Y23" s="242"/>
      <c r="Z23" s="242"/>
      <c r="AA23" s="242"/>
      <c r="AB23" s="242"/>
      <c r="AC23" s="242"/>
      <c r="AD23" s="242"/>
      <c r="AE23" s="242"/>
      <c r="AF23" s="242"/>
      <c r="AG23" s="242"/>
      <c r="AH23" s="242"/>
      <c r="AI23" s="189">
        <v>70730000</v>
      </c>
      <c r="AJ23" s="242"/>
      <c r="AK23" s="242"/>
      <c r="AL23" s="242"/>
      <c r="AM23" s="218">
        <f>+Y23+Z23+AA23+AB23+AC23+AD23+AE23+AF23+AG23+AH23+AI23+AJ23+AK23</f>
        <v>70730000</v>
      </c>
      <c r="AN23" s="200" t="s">
        <v>1611</v>
      </c>
      <c r="AO23" s="188"/>
    </row>
    <row r="24" spans="1:41" s="26" customFormat="1" ht="171" customHeight="1" x14ac:dyDescent="0.2">
      <c r="A24" s="178">
        <v>307</v>
      </c>
      <c r="B24" s="232" t="s">
        <v>1581</v>
      </c>
      <c r="C24" s="174">
        <v>4</v>
      </c>
      <c r="D24" s="232" t="s">
        <v>1578</v>
      </c>
      <c r="E24" s="174">
        <v>45</v>
      </c>
      <c r="F24" s="177" t="s">
        <v>38</v>
      </c>
      <c r="G24" s="174" t="s">
        <v>41</v>
      </c>
      <c r="H24" s="177" t="s">
        <v>1536</v>
      </c>
      <c r="I24" s="174">
        <v>4599</v>
      </c>
      <c r="J24" s="177" t="s">
        <v>1537</v>
      </c>
      <c r="K24" s="177" t="s">
        <v>122</v>
      </c>
      <c r="L24" s="174" t="s">
        <v>41</v>
      </c>
      <c r="M24" s="243" t="s">
        <v>123</v>
      </c>
      <c r="N24" s="174">
        <v>4599002</v>
      </c>
      <c r="O24" s="243" t="s">
        <v>50</v>
      </c>
      <c r="P24" s="174" t="s">
        <v>41</v>
      </c>
      <c r="Q24" s="236" t="s">
        <v>124</v>
      </c>
      <c r="R24" s="174">
        <v>459900201</v>
      </c>
      <c r="S24" s="236" t="s">
        <v>125</v>
      </c>
      <c r="T24" s="191" t="s">
        <v>1635</v>
      </c>
      <c r="U24" s="244">
        <v>1</v>
      </c>
      <c r="V24" s="191" t="s">
        <v>126</v>
      </c>
      <c r="W24" s="175" t="s">
        <v>127</v>
      </c>
      <c r="X24" s="177" t="s">
        <v>128</v>
      </c>
      <c r="Y24" s="245"/>
      <c r="Z24" s="245"/>
      <c r="AA24" s="234"/>
      <c r="AB24" s="245"/>
      <c r="AC24" s="245"/>
      <c r="AD24" s="245"/>
      <c r="AE24" s="245"/>
      <c r="AF24" s="245"/>
      <c r="AG24" s="245"/>
      <c r="AH24" s="245"/>
      <c r="AI24" s="189">
        <v>1981395879</v>
      </c>
      <c r="AJ24" s="245"/>
      <c r="AK24" s="246">
        <v>504229463.83999997</v>
      </c>
      <c r="AL24" s="246"/>
      <c r="AM24" s="218">
        <f>+Y24+Z24+AA24+AB24+AC24+AD24+AE24+AF24+AG24+AH24+AI24+AJ24+AK24</f>
        <v>2485625342.8400002</v>
      </c>
      <c r="AN24" s="191" t="s">
        <v>1612</v>
      </c>
      <c r="AO24" s="188"/>
    </row>
    <row r="25" spans="1:41" s="26" customFormat="1" ht="145.5" customHeight="1" x14ac:dyDescent="0.2">
      <c r="A25" s="178">
        <v>307</v>
      </c>
      <c r="B25" s="232" t="s">
        <v>1581</v>
      </c>
      <c r="C25" s="174">
        <v>4</v>
      </c>
      <c r="D25" s="232" t="s">
        <v>1578</v>
      </c>
      <c r="E25" s="174">
        <v>45</v>
      </c>
      <c r="F25" s="177" t="s">
        <v>38</v>
      </c>
      <c r="G25" s="174" t="s">
        <v>41</v>
      </c>
      <c r="H25" s="177" t="s">
        <v>1536</v>
      </c>
      <c r="I25" s="174">
        <v>4599</v>
      </c>
      <c r="J25" s="177" t="s">
        <v>1537</v>
      </c>
      <c r="K25" s="177" t="s">
        <v>122</v>
      </c>
      <c r="L25" s="174" t="s">
        <v>41</v>
      </c>
      <c r="M25" s="243" t="s">
        <v>129</v>
      </c>
      <c r="N25" s="174">
        <v>4599002</v>
      </c>
      <c r="O25" s="243" t="s">
        <v>130</v>
      </c>
      <c r="P25" s="174" t="s">
        <v>41</v>
      </c>
      <c r="Q25" s="236" t="s">
        <v>131</v>
      </c>
      <c r="R25" s="174">
        <v>459900200</v>
      </c>
      <c r="S25" s="236" t="s">
        <v>1457</v>
      </c>
      <c r="T25" s="191" t="s">
        <v>1635</v>
      </c>
      <c r="U25" s="244">
        <v>1</v>
      </c>
      <c r="V25" s="191" t="s">
        <v>132</v>
      </c>
      <c r="W25" s="175" t="s">
        <v>133</v>
      </c>
      <c r="X25" s="177" t="s">
        <v>134</v>
      </c>
      <c r="Y25" s="234"/>
      <c r="Z25" s="234"/>
      <c r="AA25" s="234"/>
      <c r="AB25" s="234"/>
      <c r="AC25" s="234"/>
      <c r="AD25" s="234"/>
      <c r="AE25" s="234"/>
      <c r="AF25" s="234"/>
      <c r="AG25" s="234"/>
      <c r="AH25" s="234"/>
      <c r="AI25" s="189">
        <v>316000000</v>
      </c>
      <c r="AJ25" s="234"/>
      <c r="AK25" s="246"/>
      <c r="AL25" s="234"/>
      <c r="AM25" s="218">
        <f>+Y25+Z25+AA25+AB25+AC25+AD25+AE25+AF25+AG25+AH25+AI25+AJ25+AK25</f>
        <v>316000000</v>
      </c>
      <c r="AN25" s="191" t="s">
        <v>1612</v>
      </c>
      <c r="AO25" s="188"/>
    </row>
    <row r="26" spans="1:41" s="26" customFormat="1" ht="217.5" customHeight="1" x14ac:dyDescent="0.2">
      <c r="A26" s="178">
        <v>308</v>
      </c>
      <c r="B26" s="177" t="s">
        <v>1584</v>
      </c>
      <c r="C26" s="174">
        <v>1</v>
      </c>
      <c r="D26" s="177" t="s">
        <v>1580</v>
      </c>
      <c r="E26" s="174">
        <v>12</v>
      </c>
      <c r="F26" s="177" t="s">
        <v>137</v>
      </c>
      <c r="G26" s="174">
        <v>1202</v>
      </c>
      <c r="H26" s="177" t="s">
        <v>1539</v>
      </c>
      <c r="I26" s="174">
        <v>1202</v>
      </c>
      <c r="J26" s="177" t="s">
        <v>1538</v>
      </c>
      <c r="K26" s="177" t="s">
        <v>139</v>
      </c>
      <c r="L26" s="174" t="s">
        <v>41</v>
      </c>
      <c r="M26" s="248" t="s">
        <v>140</v>
      </c>
      <c r="N26" s="174">
        <v>1202019</v>
      </c>
      <c r="O26" s="248" t="s">
        <v>141</v>
      </c>
      <c r="P26" s="174" t="s">
        <v>41</v>
      </c>
      <c r="Q26" s="248" t="s">
        <v>142</v>
      </c>
      <c r="R26" s="249">
        <v>120201900</v>
      </c>
      <c r="S26" s="248" t="s">
        <v>143</v>
      </c>
      <c r="T26" s="191" t="s">
        <v>1637</v>
      </c>
      <c r="U26" s="52">
        <v>3</v>
      </c>
      <c r="V26" s="191" t="s">
        <v>144</v>
      </c>
      <c r="W26" s="175" t="s">
        <v>145</v>
      </c>
      <c r="X26" s="175" t="s">
        <v>146</v>
      </c>
      <c r="Y26" s="250"/>
      <c r="Z26" s="234"/>
      <c r="AA26" s="234"/>
      <c r="AB26" s="234"/>
      <c r="AC26" s="234"/>
      <c r="AD26" s="234"/>
      <c r="AE26" s="234"/>
      <c r="AF26" s="234"/>
      <c r="AG26" s="234"/>
      <c r="AH26" s="234"/>
      <c r="AI26" s="239">
        <v>24750000</v>
      </c>
      <c r="AJ26" s="234"/>
      <c r="AK26" s="234"/>
      <c r="AL26" s="251"/>
      <c r="AM26" s="218">
        <f>+Y26+Z26+AA26+AB26+AC26+AD26+AE26+AF26+AG26+AH26+AI26+AJ26+AK26</f>
        <v>24750000</v>
      </c>
      <c r="AN26" s="191" t="s">
        <v>1613</v>
      </c>
      <c r="AO26" s="188"/>
    </row>
    <row r="27" spans="1:41" s="26" customFormat="1" ht="156.75" customHeight="1" x14ac:dyDescent="0.2">
      <c r="A27" s="178">
        <v>308</v>
      </c>
      <c r="B27" s="177" t="s">
        <v>1584</v>
      </c>
      <c r="C27" s="174">
        <v>1</v>
      </c>
      <c r="D27" s="177" t="s">
        <v>1580</v>
      </c>
      <c r="E27" s="174">
        <v>19</v>
      </c>
      <c r="F27" s="177" t="s">
        <v>147</v>
      </c>
      <c r="G27" s="174">
        <v>1906</v>
      </c>
      <c r="H27" s="177" t="s">
        <v>1523</v>
      </c>
      <c r="I27" s="174">
        <v>1906</v>
      </c>
      <c r="J27" s="191" t="s">
        <v>1524</v>
      </c>
      <c r="K27" s="177" t="s">
        <v>149</v>
      </c>
      <c r="L27" s="174" t="s">
        <v>41</v>
      </c>
      <c r="M27" s="248" t="s">
        <v>150</v>
      </c>
      <c r="N27" s="174">
        <v>1906015</v>
      </c>
      <c r="O27" s="248" t="s">
        <v>151</v>
      </c>
      <c r="P27" s="174" t="s">
        <v>41</v>
      </c>
      <c r="Q27" s="254" t="s">
        <v>152</v>
      </c>
      <c r="R27" s="50">
        <v>190601500</v>
      </c>
      <c r="S27" s="254" t="s">
        <v>151</v>
      </c>
      <c r="T27" s="191" t="s">
        <v>1637</v>
      </c>
      <c r="U27" s="233">
        <v>1</v>
      </c>
      <c r="V27" s="191" t="s">
        <v>153</v>
      </c>
      <c r="W27" s="175" t="s">
        <v>154</v>
      </c>
      <c r="X27" s="175" t="s">
        <v>155</v>
      </c>
      <c r="Y27" s="250"/>
      <c r="Z27" s="234"/>
      <c r="AA27" s="234"/>
      <c r="AB27" s="234"/>
      <c r="AC27" s="234"/>
      <c r="AD27" s="234"/>
      <c r="AE27" s="234"/>
      <c r="AF27" s="234"/>
      <c r="AG27" s="234"/>
      <c r="AH27" s="234"/>
      <c r="AI27" s="239">
        <v>459746979</v>
      </c>
      <c r="AJ27" s="234"/>
      <c r="AK27" s="251"/>
      <c r="AL27" s="251"/>
      <c r="AM27" s="218">
        <f>+Y27+Z27+AA27+AB27+AC27+AD27+AE27+AF27+AG27+AH27+AI27+AJ27+AK27</f>
        <v>459746979</v>
      </c>
      <c r="AN27" s="191" t="s">
        <v>1613</v>
      </c>
      <c r="AO27" s="188"/>
    </row>
    <row r="28" spans="1:41" s="26" customFormat="1" ht="173.25" customHeight="1" x14ac:dyDescent="0.2">
      <c r="A28" s="178">
        <v>308</v>
      </c>
      <c r="B28" s="177" t="s">
        <v>1584</v>
      </c>
      <c r="C28" s="174">
        <v>1</v>
      </c>
      <c r="D28" s="177" t="s">
        <v>1580</v>
      </c>
      <c r="E28" s="174">
        <v>22</v>
      </c>
      <c r="F28" s="255" t="s">
        <v>156</v>
      </c>
      <c r="G28" s="174">
        <v>2201</v>
      </c>
      <c r="H28" s="177" t="s">
        <v>277</v>
      </c>
      <c r="I28" s="174">
        <v>2201</v>
      </c>
      <c r="J28" s="177" t="s">
        <v>1553</v>
      </c>
      <c r="K28" s="177" t="s">
        <v>158</v>
      </c>
      <c r="L28" s="174" t="s">
        <v>41</v>
      </c>
      <c r="M28" s="177" t="s">
        <v>159</v>
      </c>
      <c r="N28" s="174">
        <v>2201062</v>
      </c>
      <c r="O28" s="177" t="s">
        <v>160</v>
      </c>
      <c r="P28" s="174" t="s">
        <v>41</v>
      </c>
      <c r="Q28" s="177" t="s">
        <v>161</v>
      </c>
      <c r="R28" s="174">
        <v>220106200</v>
      </c>
      <c r="S28" s="175" t="s">
        <v>162</v>
      </c>
      <c r="T28" s="191" t="s">
        <v>1637</v>
      </c>
      <c r="U28" s="52">
        <v>15</v>
      </c>
      <c r="V28" s="191" t="s">
        <v>163</v>
      </c>
      <c r="W28" s="175" t="s">
        <v>164</v>
      </c>
      <c r="X28" s="175" t="s">
        <v>165</v>
      </c>
      <c r="Y28" s="250">
        <v>1765974462.4000001</v>
      </c>
      <c r="Z28" s="234"/>
      <c r="AA28" s="234"/>
      <c r="AB28" s="234"/>
      <c r="AC28" s="234"/>
      <c r="AD28" s="234"/>
      <c r="AE28" s="234"/>
      <c r="AF28" s="234"/>
      <c r="AG28" s="234"/>
      <c r="AH28" s="234"/>
      <c r="AI28" s="239"/>
      <c r="AJ28" s="234"/>
      <c r="AK28" s="251"/>
      <c r="AL28" s="251"/>
      <c r="AM28" s="218">
        <f>+Y28+Z28+AA28+AB28+AC28+AD28+AE28+AF28+AG28+AH28+AI28+AJ28+AK28</f>
        <v>1765974462.4000001</v>
      </c>
      <c r="AN28" s="191" t="s">
        <v>1613</v>
      </c>
      <c r="AO28" s="188"/>
    </row>
    <row r="29" spans="1:41" s="26" customFormat="1" ht="96" customHeight="1" x14ac:dyDescent="0.2">
      <c r="A29" s="178">
        <v>308</v>
      </c>
      <c r="B29" s="177" t="s">
        <v>1584</v>
      </c>
      <c r="C29" s="174">
        <v>1</v>
      </c>
      <c r="D29" s="177" t="s">
        <v>1580</v>
      </c>
      <c r="E29" s="174">
        <v>33</v>
      </c>
      <c r="F29" s="255" t="s">
        <v>166</v>
      </c>
      <c r="G29" s="174">
        <v>3301</v>
      </c>
      <c r="H29" s="177" t="s">
        <v>167</v>
      </c>
      <c r="I29" s="174">
        <v>3301</v>
      </c>
      <c r="J29" s="177" t="s">
        <v>1564</v>
      </c>
      <c r="K29" s="177" t="s">
        <v>168</v>
      </c>
      <c r="L29" s="174" t="s">
        <v>169</v>
      </c>
      <c r="M29" s="177" t="s">
        <v>170</v>
      </c>
      <c r="N29" s="174" t="s">
        <v>169</v>
      </c>
      <c r="O29" s="177" t="s">
        <v>170</v>
      </c>
      <c r="P29" s="249" t="s">
        <v>171</v>
      </c>
      <c r="Q29" s="248" t="s">
        <v>172</v>
      </c>
      <c r="R29" s="249" t="s">
        <v>171</v>
      </c>
      <c r="S29" s="248" t="s">
        <v>172</v>
      </c>
      <c r="T29" s="191" t="s">
        <v>1637</v>
      </c>
      <c r="U29" s="52">
        <v>2</v>
      </c>
      <c r="V29" s="191" t="s">
        <v>173</v>
      </c>
      <c r="W29" s="175" t="s">
        <v>174</v>
      </c>
      <c r="X29" s="175" t="s">
        <v>175</v>
      </c>
      <c r="Y29" s="234"/>
      <c r="Z29" s="234"/>
      <c r="AA29" s="234"/>
      <c r="AB29" s="234"/>
      <c r="AC29" s="234"/>
      <c r="AD29" s="234"/>
      <c r="AE29" s="234"/>
      <c r="AF29" s="234"/>
      <c r="AG29" s="234"/>
      <c r="AH29" s="234"/>
      <c r="AI29" s="190">
        <v>110104790</v>
      </c>
      <c r="AJ29" s="234"/>
      <c r="AK29" s="234"/>
      <c r="AL29" s="234"/>
      <c r="AM29" s="218">
        <f>+Y29+Z29+AA29+AB29+AC29+AD29+AE29+AF29+AG29+AH29+AI29+AJ29+AK29</f>
        <v>110104790</v>
      </c>
      <c r="AN29" s="191" t="s">
        <v>1613</v>
      </c>
      <c r="AO29" s="188"/>
    </row>
    <row r="30" spans="1:41" s="26" customFormat="1" ht="161.25" customHeight="1" x14ac:dyDescent="0.2">
      <c r="A30" s="178">
        <v>308</v>
      </c>
      <c r="B30" s="177" t="s">
        <v>1584</v>
      </c>
      <c r="C30" s="174">
        <v>1</v>
      </c>
      <c r="D30" s="177" t="s">
        <v>1580</v>
      </c>
      <c r="E30" s="174">
        <v>43</v>
      </c>
      <c r="F30" s="256" t="s">
        <v>176</v>
      </c>
      <c r="G30" s="174">
        <v>4301</v>
      </c>
      <c r="H30" s="256" t="s">
        <v>1530</v>
      </c>
      <c r="I30" s="174">
        <v>4301</v>
      </c>
      <c r="J30" s="256" t="s">
        <v>1531</v>
      </c>
      <c r="K30" s="177" t="s">
        <v>178</v>
      </c>
      <c r="L30" s="174" t="s">
        <v>41</v>
      </c>
      <c r="M30" s="248" t="s">
        <v>179</v>
      </c>
      <c r="N30" s="174">
        <v>4301004</v>
      </c>
      <c r="O30" s="248" t="s">
        <v>180</v>
      </c>
      <c r="P30" s="174" t="s">
        <v>41</v>
      </c>
      <c r="Q30" s="248" t="s">
        <v>181</v>
      </c>
      <c r="R30" s="174">
        <v>430100401</v>
      </c>
      <c r="S30" s="248" t="s">
        <v>182</v>
      </c>
      <c r="T30" s="191" t="s">
        <v>1637</v>
      </c>
      <c r="U30" s="52">
        <v>3</v>
      </c>
      <c r="V30" s="191" t="s">
        <v>183</v>
      </c>
      <c r="W30" s="175" t="s">
        <v>184</v>
      </c>
      <c r="X30" s="175" t="s">
        <v>185</v>
      </c>
      <c r="Y30" s="194">
        <v>2760904177.1000004</v>
      </c>
      <c r="Z30" s="234"/>
      <c r="AA30" s="234"/>
      <c r="AB30" s="234"/>
      <c r="AC30" s="234"/>
      <c r="AD30" s="234"/>
      <c r="AE30" s="234"/>
      <c r="AF30" s="234"/>
      <c r="AG30" s="234"/>
      <c r="AH30" s="234"/>
      <c r="AI30" s="239"/>
      <c r="AJ30" s="234"/>
      <c r="AK30" s="234"/>
      <c r="AL30" s="234"/>
      <c r="AM30" s="218">
        <f>+Y30+Z30+AA30+AB30+AC30+AD30+AE30+AF30+AG30+AH30+AI30+AJ30+AK30</f>
        <v>2760904177.1000004</v>
      </c>
      <c r="AN30" s="191" t="s">
        <v>1613</v>
      </c>
      <c r="AO30" s="188"/>
    </row>
    <row r="31" spans="1:41" s="26" customFormat="1" ht="161.25" customHeight="1" x14ac:dyDescent="0.2">
      <c r="A31" s="178">
        <v>308</v>
      </c>
      <c r="B31" s="177" t="s">
        <v>1584</v>
      </c>
      <c r="C31" s="174">
        <v>2</v>
      </c>
      <c r="D31" s="248" t="s">
        <v>1642</v>
      </c>
      <c r="E31" s="174">
        <v>35</v>
      </c>
      <c r="F31" s="232" t="s">
        <v>401</v>
      </c>
      <c r="G31" s="174">
        <v>3502</v>
      </c>
      <c r="H31" s="248" t="s">
        <v>1643</v>
      </c>
      <c r="I31" s="174">
        <v>3502</v>
      </c>
      <c r="J31" s="248" t="s">
        <v>1644</v>
      </c>
      <c r="K31" s="248" t="s">
        <v>1646</v>
      </c>
      <c r="L31" s="174">
        <v>3502039</v>
      </c>
      <c r="M31" s="248" t="s">
        <v>421</v>
      </c>
      <c r="N31" s="174">
        <v>3502039</v>
      </c>
      <c r="O31" s="248" t="s">
        <v>421</v>
      </c>
      <c r="P31" s="249">
        <v>350203910</v>
      </c>
      <c r="Q31" s="248" t="s">
        <v>426</v>
      </c>
      <c r="R31" s="249">
        <v>350203910</v>
      </c>
      <c r="S31" s="248" t="s">
        <v>426</v>
      </c>
      <c r="T31" s="249" t="s">
        <v>1637</v>
      </c>
      <c r="U31" s="52">
        <v>1</v>
      </c>
      <c r="V31" s="191" t="s">
        <v>1647</v>
      </c>
      <c r="W31" s="175" t="s">
        <v>1645</v>
      </c>
      <c r="X31" s="175" t="s">
        <v>1648</v>
      </c>
      <c r="Y31" s="194"/>
      <c r="Z31" s="234"/>
      <c r="AA31" s="234"/>
      <c r="AB31" s="234"/>
      <c r="AC31" s="234"/>
      <c r="AD31" s="234"/>
      <c r="AE31" s="234"/>
      <c r="AF31" s="234"/>
      <c r="AG31" s="234"/>
      <c r="AH31" s="234"/>
      <c r="AI31" s="239">
        <f>58370567-58370566</f>
        <v>1</v>
      </c>
      <c r="AJ31" s="234"/>
      <c r="AK31" s="234"/>
      <c r="AL31" s="234"/>
      <c r="AM31" s="218">
        <f>+Y31+Z31+AA31+AB31+AC31+AD31+AE31+AF31+AG31+AH31+AI31+AJ31+AK31</f>
        <v>1</v>
      </c>
      <c r="AN31" s="191"/>
      <c r="AO31" s="188"/>
    </row>
    <row r="32" spans="1:41" s="26" customFormat="1" ht="162" customHeight="1" x14ac:dyDescent="0.2">
      <c r="A32" s="178">
        <v>308</v>
      </c>
      <c r="B32" s="177" t="s">
        <v>1584</v>
      </c>
      <c r="C32" s="174">
        <v>3</v>
      </c>
      <c r="D32" s="248" t="s">
        <v>1582</v>
      </c>
      <c r="E32" s="174">
        <v>24</v>
      </c>
      <c r="F32" s="232" t="s">
        <v>187</v>
      </c>
      <c r="G32" s="174">
        <v>2402</v>
      </c>
      <c r="H32" s="248" t="s">
        <v>188</v>
      </c>
      <c r="I32" s="174">
        <v>2402</v>
      </c>
      <c r="J32" s="248" t="s">
        <v>1556</v>
      </c>
      <c r="K32" s="248" t="s">
        <v>1308</v>
      </c>
      <c r="L32" s="174" t="s">
        <v>41</v>
      </c>
      <c r="M32" s="248" t="s">
        <v>189</v>
      </c>
      <c r="N32" s="174">
        <v>2402022</v>
      </c>
      <c r="O32" s="248" t="s">
        <v>190</v>
      </c>
      <c r="P32" s="174" t="s">
        <v>41</v>
      </c>
      <c r="Q32" s="248" t="s">
        <v>191</v>
      </c>
      <c r="R32" s="174">
        <v>240202200</v>
      </c>
      <c r="S32" s="248" t="s">
        <v>192</v>
      </c>
      <c r="T32" s="191" t="s">
        <v>1635</v>
      </c>
      <c r="U32" s="258">
        <v>1</v>
      </c>
      <c r="V32" s="191" t="s">
        <v>193</v>
      </c>
      <c r="W32" s="177" t="s">
        <v>194</v>
      </c>
      <c r="X32" s="177" t="s">
        <v>195</v>
      </c>
      <c r="Y32" s="234"/>
      <c r="Z32" s="234"/>
      <c r="AA32" s="259"/>
      <c r="AB32" s="234"/>
      <c r="AC32" s="234"/>
      <c r="AD32" s="234"/>
      <c r="AE32" s="234"/>
      <c r="AF32" s="234"/>
      <c r="AG32" s="234"/>
      <c r="AH32" s="234"/>
      <c r="AI32" s="260">
        <v>77479710</v>
      </c>
      <c r="AJ32" s="234"/>
      <c r="AK32" s="234"/>
      <c r="AL32" s="234"/>
      <c r="AM32" s="218">
        <f>+Y32+Z32+AA32+AB32+AC32+AD32+AE32+AF32+AG32+AH32+AI32+AJ32+AK32</f>
        <v>77479710</v>
      </c>
      <c r="AN32" s="191" t="s">
        <v>1613</v>
      </c>
      <c r="AO32" s="188"/>
    </row>
    <row r="33" spans="1:41" s="26" customFormat="1" ht="144.75" customHeight="1" x14ac:dyDescent="0.2">
      <c r="A33" s="178">
        <v>308</v>
      </c>
      <c r="B33" s="177" t="s">
        <v>1584</v>
      </c>
      <c r="C33" s="174">
        <v>3</v>
      </c>
      <c r="D33" s="248" t="s">
        <v>1582</v>
      </c>
      <c r="E33" s="174">
        <v>24</v>
      </c>
      <c r="F33" s="232" t="s">
        <v>187</v>
      </c>
      <c r="G33" s="174">
        <v>2402</v>
      </c>
      <c r="H33" s="248" t="s">
        <v>188</v>
      </c>
      <c r="I33" s="174">
        <v>2402</v>
      </c>
      <c r="J33" s="248" t="s">
        <v>1556</v>
      </c>
      <c r="K33" s="248" t="s">
        <v>1308</v>
      </c>
      <c r="L33" s="174" t="s">
        <v>41</v>
      </c>
      <c r="M33" s="248" t="s">
        <v>196</v>
      </c>
      <c r="N33" s="261">
        <v>2402041</v>
      </c>
      <c r="O33" s="248" t="s">
        <v>197</v>
      </c>
      <c r="P33" s="174" t="s">
        <v>41</v>
      </c>
      <c r="Q33" s="248" t="s">
        <v>198</v>
      </c>
      <c r="R33" s="249">
        <v>240204100</v>
      </c>
      <c r="S33" s="248" t="s">
        <v>199</v>
      </c>
      <c r="T33" s="191" t="s">
        <v>1635</v>
      </c>
      <c r="U33" s="258">
        <v>130</v>
      </c>
      <c r="V33" s="191" t="s">
        <v>193</v>
      </c>
      <c r="W33" s="177" t="s">
        <v>194</v>
      </c>
      <c r="X33" s="177" t="s">
        <v>195</v>
      </c>
      <c r="Y33" s="234"/>
      <c r="Z33" s="234"/>
      <c r="AA33" s="250"/>
      <c r="AB33" s="234"/>
      <c r="AC33" s="234"/>
      <c r="AD33" s="234"/>
      <c r="AE33" s="234"/>
      <c r="AF33" s="234"/>
      <c r="AG33" s="234"/>
      <c r="AH33" s="234"/>
      <c r="AI33" s="260">
        <v>674804361</v>
      </c>
      <c r="AJ33" s="234"/>
      <c r="AK33" s="262">
        <v>7798323517</v>
      </c>
      <c r="AL33" s="234"/>
      <c r="AM33" s="218">
        <f>+Y33+Z33+AA33+AB33+AC33+AD33+AE33+AF33+AG33+AH33+AI33+AJ33+AK33</f>
        <v>8473127878</v>
      </c>
      <c r="AN33" s="191" t="s">
        <v>1613</v>
      </c>
      <c r="AO33" s="188"/>
    </row>
    <row r="34" spans="1:41" s="26" customFormat="1" ht="121.5" customHeight="1" x14ac:dyDescent="0.2">
      <c r="A34" s="178">
        <v>308</v>
      </c>
      <c r="B34" s="177" t="s">
        <v>1584</v>
      </c>
      <c r="C34" s="174">
        <v>3</v>
      </c>
      <c r="D34" s="248" t="s">
        <v>1582</v>
      </c>
      <c r="E34" s="174">
        <v>24</v>
      </c>
      <c r="F34" s="232" t="s">
        <v>187</v>
      </c>
      <c r="G34" s="174">
        <v>2402</v>
      </c>
      <c r="H34" s="248" t="s">
        <v>188</v>
      </c>
      <c r="I34" s="174">
        <v>2402</v>
      </c>
      <c r="J34" s="248" t="s">
        <v>1556</v>
      </c>
      <c r="K34" s="248" t="s">
        <v>1308</v>
      </c>
      <c r="L34" s="174" t="s">
        <v>41</v>
      </c>
      <c r="M34" s="177" t="s">
        <v>200</v>
      </c>
      <c r="N34" s="174">
        <v>2402118</v>
      </c>
      <c r="O34" s="177" t="s">
        <v>201</v>
      </c>
      <c r="P34" s="174" t="s">
        <v>41</v>
      </c>
      <c r="Q34" s="175" t="s">
        <v>202</v>
      </c>
      <c r="R34" s="174">
        <v>240211800</v>
      </c>
      <c r="S34" s="248" t="s">
        <v>203</v>
      </c>
      <c r="T34" s="191" t="s">
        <v>1637</v>
      </c>
      <c r="U34" s="52">
        <v>6</v>
      </c>
      <c r="V34" s="191" t="s">
        <v>204</v>
      </c>
      <c r="W34" s="177" t="s">
        <v>205</v>
      </c>
      <c r="X34" s="177" t="s">
        <v>206</v>
      </c>
      <c r="Y34" s="234"/>
      <c r="Z34" s="234"/>
      <c r="AA34" s="259"/>
      <c r="AB34" s="234"/>
      <c r="AC34" s="234"/>
      <c r="AD34" s="234"/>
      <c r="AE34" s="234"/>
      <c r="AF34" s="234"/>
      <c r="AG34" s="234"/>
      <c r="AH34" s="234"/>
      <c r="AI34" s="260">
        <v>40000000</v>
      </c>
      <c r="AJ34" s="234"/>
      <c r="AK34" s="234"/>
      <c r="AL34" s="234"/>
      <c r="AM34" s="218">
        <f>+Y34+Z34+AA34+AB34+AC34+AD34+AE34+AF34+AG34+AH34+AI34+AJ34+AK34</f>
        <v>40000000</v>
      </c>
      <c r="AN34" s="191" t="s">
        <v>1613</v>
      </c>
      <c r="AO34" s="188"/>
    </row>
    <row r="35" spans="1:41" s="26" customFormat="1" ht="135" customHeight="1" x14ac:dyDescent="0.2">
      <c r="A35" s="178">
        <v>308</v>
      </c>
      <c r="B35" s="177" t="s">
        <v>1584</v>
      </c>
      <c r="C35" s="174">
        <v>3</v>
      </c>
      <c r="D35" s="248" t="s">
        <v>1582</v>
      </c>
      <c r="E35" s="174">
        <v>32</v>
      </c>
      <c r="F35" s="248" t="s">
        <v>207</v>
      </c>
      <c r="G35" s="174">
        <v>3205</v>
      </c>
      <c r="H35" s="177" t="s">
        <v>208</v>
      </c>
      <c r="I35" s="174">
        <v>3205</v>
      </c>
      <c r="J35" s="177" t="s">
        <v>1562</v>
      </c>
      <c r="K35" s="177" t="s">
        <v>209</v>
      </c>
      <c r="L35" s="249">
        <v>3205010</v>
      </c>
      <c r="M35" s="177" t="s">
        <v>210</v>
      </c>
      <c r="N35" s="249">
        <v>3205010</v>
      </c>
      <c r="O35" s="177" t="s">
        <v>210</v>
      </c>
      <c r="P35" s="249" t="s">
        <v>211</v>
      </c>
      <c r="Q35" s="177" t="s">
        <v>212</v>
      </c>
      <c r="R35" s="249" t="s">
        <v>211</v>
      </c>
      <c r="S35" s="177" t="s">
        <v>212</v>
      </c>
      <c r="T35" s="191" t="s">
        <v>1637</v>
      </c>
      <c r="U35" s="52">
        <v>2</v>
      </c>
      <c r="V35" s="191" t="s">
        <v>213</v>
      </c>
      <c r="W35" s="175" t="s">
        <v>214</v>
      </c>
      <c r="X35" s="175" t="s">
        <v>215</v>
      </c>
      <c r="Y35" s="234">
        <v>0</v>
      </c>
      <c r="Z35" s="234">
        <v>0</v>
      </c>
      <c r="AA35" s="259">
        <v>0</v>
      </c>
      <c r="AB35" s="234">
        <v>0</v>
      </c>
      <c r="AC35" s="234">
        <v>0</v>
      </c>
      <c r="AD35" s="234">
        <v>0</v>
      </c>
      <c r="AE35" s="234">
        <v>0</v>
      </c>
      <c r="AF35" s="234">
        <v>0</v>
      </c>
      <c r="AG35" s="234">
        <v>0</v>
      </c>
      <c r="AH35" s="234">
        <v>0</v>
      </c>
      <c r="AI35" s="189">
        <v>1418800000</v>
      </c>
      <c r="AJ35" s="234">
        <v>0</v>
      </c>
      <c r="AK35" s="234">
        <v>0</v>
      </c>
      <c r="AL35" s="234"/>
      <c r="AM35" s="218">
        <f>+Y35+Z35+AA35+AB35+AC35+AD35+AE35+AF35+AG35+AH35+AI35+AJ35+AK35</f>
        <v>1418800000</v>
      </c>
      <c r="AN35" s="191" t="s">
        <v>1613</v>
      </c>
      <c r="AO35" s="188"/>
    </row>
    <row r="36" spans="1:41" s="26" customFormat="1" ht="157.5" customHeight="1" x14ac:dyDescent="0.2">
      <c r="A36" s="178">
        <v>308</v>
      </c>
      <c r="B36" s="177" t="s">
        <v>1584</v>
      </c>
      <c r="C36" s="174">
        <v>3</v>
      </c>
      <c r="D36" s="248" t="s">
        <v>1582</v>
      </c>
      <c r="E36" s="174">
        <v>32</v>
      </c>
      <c r="F36" s="248" t="s">
        <v>207</v>
      </c>
      <c r="G36" s="174">
        <v>3205</v>
      </c>
      <c r="H36" s="177" t="s">
        <v>208</v>
      </c>
      <c r="I36" s="174">
        <v>3205</v>
      </c>
      <c r="J36" s="177" t="s">
        <v>1562</v>
      </c>
      <c r="K36" s="177" t="s">
        <v>209</v>
      </c>
      <c r="L36" s="249">
        <v>3205021</v>
      </c>
      <c r="M36" s="177" t="s">
        <v>216</v>
      </c>
      <c r="N36" s="249">
        <v>3205021</v>
      </c>
      <c r="O36" s="177" t="s">
        <v>216</v>
      </c>
      <c r="P36" s="249">
        <v>320502100</v>
      </c>
      <c r="Q36" s="177" t="s">
        <v>217</v>
      </c>
      <c r="R36" s="249">
        <v>320502100</v>
      </c>
      <c r="S36" s="177" t="s">
        <v>217</v>
      </c>
      <c r="T36" s="191" t="s">
        <v>1637</v>
      </c>
      <c r="U36" s="52">
        <v>2</v>
      </c>
      <c r="V36" s="191" t="s">
        <v>218</v>
      </c>
      <c r="W36" s="175" t="s">
        <v>219</v>
      </c>
      <c r="X36" s="175" t="s">
        <v>220</v>
      </c>
      <c r="Y36" s="234"/>
      <c r="Z36" s="234"/>
      <c r="AA36" s="259">
        <v>56108067</v>
      </c>
      <c r="AB36" s="234"/>
      <c r="AC36" s="234"/>
      <c r="AD36" s="234"/>
      <c r="AE36" s="234"/>
      <c r="AF36" s="234"/>
      <c r="AG36" s="234"/>
      <c r="AH36" s="234"/>
      <c r="AI36" s="189">
        <v>788200000</v>
      </c>
      <c r="AJ36" s="234"/>
      <c r="AK36" s="234"/>
      <c r="AL36" s="234"/>
      <c r="AM36" s="218">
        <f>+Y36+Z36+AA36+AB36+AC36+AD36+AE36+AF36+AG36+AH36+AI36+AJ36+AK36</f>
        <v>844308067</v>
      </c>
      <c r="AN36" s="191" t="s">
        <v>1613</v>
      </c>
      <c r="AO36" s="188"/>
    </row>
    <row r="37" spans="1:41" s="26" customFormat="1" ht="126.75" customHeight="1" x14ac:dyDescent="0.2">
      <c r="A37" s="178">
        <v>308</v>
      </c>
      <c r="B37" s="177" t="s">
        <v>1584</v>
      </c>
      <c r="C37" s="174">
        <v>3</v>
      </c>
      <c r="D37" s="248" t="s">
        <v>1582</v>
      </c>
      <c r="E37" s="174">
        <v>40</v>
      </c>
      <c r="F37" s="177" t="s">
        <v>221</v>
      </c>
      <c r="G37" s="215">
        <v>4001</v>
      </c>
      <c r="H37" s="177" t="s">
        <v>222</v>
      </c>
      <c r="I37" s="215">
        <v>4001</v>
      </c>
      <c r="J37" s="177" t="s">
        <v>1569</v>
      </c>
      <c r="K37" s="177" t="s">
        <v>223</v>
      </c>
      <c r="L37" s="261">
        <v>4001015</v>
      </c>
      <c r="M37" s="177" t="s">
        <v>224</v>
      </c>
      <c r="N37" s="261">
        <v>4001015</v>
      </c>
      <c r="O37" s="177" t="s">
        <v>224</v>
      </c>
      <c r="P37" s="237" t="s">
        <v>225</v>
      </c>
      <c r="Q37" s="256" t="s">
        <v>226</v>
      </c>
      <c r="R37" s="237" t="s">
        <v>225</v>
      </c>
      <c r="S37" s="256" t="s">
        <v>226</v>
      </c>
      <c r="T37" s="191" t="s">
        <v>1637</v>
      </c>
      <c r="U37" s="52">
        <v>50</v>
      </c>
      <c r="V37" s="191" t="s">
        <v>227</v>
      </c>
      <c r="W37" s="175" t="s">
        <v>228</v>
      </c>
      <c r="X37" s="175" t="s">
        <v>229</v>
      </c>
      <c r="Y37" s="234">
        <v>100000000.09999999</v>
      </c>
      <c r="Z37" s="234"/>
      <c r="AA37" s="259"/>
      <c r="AB37" s="234"/>
      <c r="AC37" s="234"/>
      <c r="AD37" s="234"/>
      <c r="AE37" s="234"/>
      <c r="AF37" s="234"/>
      <c r="AG37" s="234"/>
      <c r="AH37" s="234"/>
      <c r="AI37" s="239">
        <v>20000000</v>
      </c>
      <c r="AJ37" s="234"/>
      <c r="AK37" s="234"/>
      <c r="AL37" s="234"/>
      <c r="AM37" s="218">
        <f>+Y37+Z37+AA37+AB37+AC37+AD37+AE37+AF37+AG37+AH37+AI37+AJ37+AK37</f>
        <v>120000000.09999999</v>
      </c>
      <c r="AN37" s="191" t="s">
        <v>1613</v>
      </c>
      <c r="AO37" s="188"/>
    </row>
    <row r="38" spans="1:41" s="26" customFormat="1" ht="117" customHeight="1" x14ac:dyDescent="0.2">
      <c r="A38" s="178">
        <v>308</v>
      </c>
      <c r="B38" s="177" t="s">
        <v>1584</v>
      </c>
      <c r="C38" s="174">
        <v>3</v>
      </c>
      <c r="D38" s="248" t="s">
        <v>1582</v>
      </c>
      <c r="E38" s="174">
        <v>40</v>
      </c>
      <c r="F38" s="177" t="s">
        <v>221</v>
      </c>
      <c r="G38" s="174">
        <v>4003</v>
      </c>
      <c r="H38" s="241" t="s">
        <v>230</v>
      </c>
      <c r="I38" s="174">
        <v>4003</v>
      </c>
      <c r="J38" s="177" t="s">
        <v>1570</v>
      </c>
      <c r="K38" s="248" t="s">
        <v>231</v>
      </c>
      <c r="L38" s="249" t="s">
        <v>41</v>
      </c>
      <c r="M38" s="177" t="s">
        <v>232</v>
      </c>
      <c r="N38" s="174">
        <v>4003006</v>
      </c>
      <c r="O38" s="177" t="s">
        <v>233</v>
      </c>
      <c r="P38" s="249" t="s">
        <v>41</v>
      </c>
      <c r="Q38" s="177" t="s">
        <v>234</v>
      </c>
      <c r="R38" s="174">
        <v>400300600</v>
      </c>
      <c r="S38" s="177" t="s">
        <v>235</v>
      </c>
      <c r="T38" s="191" t="s">
        <v>1635</v>
      </c>
      <c r="U38" s="263">
        <v>1</v>
      </c>
      <c r="V38" s="191" t="s">
        <v>236</v>
      </c>
      <c r="W38" s="175" t="s">
        <v>237</v>
      </c>
      <c r="X38" s="264" t="s">
        <v>238</v>
      </c>
      <c r="Y38" s="234"/>
      <c r="Z38" s="234"/>
      <c r="AA38" s="259"/>
      <c r="AB38" s="234"/>
      <c r="AC38" s="234"/>
      <c r="AD38" s="234"/>
      <c r="AE38" s="234"/>
      <c r="AF38" s="234"/>
      <c r="AG38" s="234"/>
      <c r="AH38" s="234">
        <v>100000000</v>
      </c>
      <c r="AI38" s="239"/>
      <c r="AJ38" s="234"/>
      <c r="AK38" s="234"/>
      <c r="AL38" s="234"/>
      <c r="AM38" s="218">
        <f>+Y38+Z38+AA38+AB38+AC38+AD38+AE38+AF38+AG38+AH38+AI38+AJ38+AK38</f>
        <v>100000000</v>
      </c>
      <c r="AN38" s="191" t="s">
        <v>1613</v>
      </c>
      <c r="AO38" s="188"/>
    </row>
    <row r="39" spans="1:41" s="26" customFormat="1" ht="105.75" customHeight="1" x14ac:dyDescent="0.2">
      <c r="A39" s="178">
        <v>308</v>
      </c>
      <c r="B39" s="177" t="s">
        <v>1584</v>
      </c>
      <c r="C39" s="174">
        <v>3</v>
      </c>
      <c r="D39" s="248" t="s">
        <v>1582</v>
      </c>
      <c r="E39" s="174">
        <v>40</v>
      </c>
      <c r="F39" s="177" t="s">
        <v>221</v>
      </c>
      <c r="G39" s="174">
        <v>4003</v>
      </c>
      <c r="H39" s="241" t="s">
        <v>230</v>
      </c>
      <c r="I39" s="174">
        <v>4003</v>
      </c>
      <c r="J39" s="177" t="s">
        <v>1570</v>
      </c>
      <c r="K39" s="248" t="s">
        <v>239</v>
      </c>
      <c r="L39" s="249">
        <v>4003018</v>
      </c>
      <c r="M39" s="248" t="s">
        <v>240</v>
      </c>
      <c r="N39" s="249">
        <v>4003018</v>
      </c>
      <c r="O39" s="248" t="s">
        <v>240</v>
      </c>
      <c r="P39" s="249">
        <v>400301802</v>
      </c>
      <c r="Q39" s="177" t="s">
        <v>241</v>
      </c>
      <c r="R39" s="249">
        <v>400301802</v>
      </c>
      <c r="S39" s="177" t="s">
        <v>241</v>
      </c>
      <c r="T39" s="191" t="s">
        <v>1637</v>
      </c>
      <c r="U39" s="258">
        <v>1</v>
      </c>
      <c r="V39" s="191" t="s">
        <v>236</v>
      </c>
      <c r="W39" s="175" t="s">
        <v>237</v>
      </c>
      <c r="X39" s="264" t="s">
        <v>238</v>
      </c>
      <c r="Y39" s="234"/>
      <c r="Z39" s="234"/>
      <c r="AA39" s="259"/>
      <c r="AB39" s="234"/>
      <c r="AC39" s="234"/>
      <c r="AD39" s="234"/>
      <c r="AE39" s="234"/>
      <c r="AF39" s="234"/>
      <c r="AG39" s="234"/>
      <c r="AH39" s="234">
        <v>852718865</v>
      </c>
      <c r="AI39" s="239"/>
      <c r="AJ39" s="234"/>
      <c r="AK39" s="234"/>
      <c r="AL39" s="234"/>
      <c r="AM39" s="218">
        <f>+Y39+Z39+AA39+AB39+AC39+AD39+AE39+AF39+AG39+AH39+AI39+AJ39+AK39</f>
        <v>852718865</v>
      </c>
      <c r="AN39" s="191" t="s">
        <v>1613</v>
      </c>
      <c r="AO39" s="188"/>
    </row>
    <row r="40" spans="1:41" s="26" customFormat="1" ht="105.75" customHeight="1" x14ac:dyDescent="0.2">
      <c r="A40" s="178">
        <v>308</v>
      </c>
      <c r="B40" s="177" t="s">
        <v>1584</v>
      </c>
      <c r="C40" s="174">
        <v>3</v>
      </c>
      <c r="D40" s="248" t="s">
        <v>1582</v>
      </c>
      <c r="E40" s="174">
        <v>40</v>
      </c>
      <c r="F40" s="177" t="s">
        <v>221</v>
      </c>
      <c r="G40" s="174">
        <v>4003</v>
      </c>
      <c r="H40" s="241" t="s">
        <v>230</v>
      </c>
      <c r="I40" s="174">
        <v>4003</v>
      </c>
      <c r="J40" s="177" t="s">
        <v>1570</v>
      </c>
      <c r="K40" s="248" t="s">
        <v>231</v>
      </c>
      <c r="L40" s="249">
        <v>4003025</v>
      </c>
      <c r="M40" s="248" t="s">
        <v>242</v>
      </c>
      <c r="N40" s="249">
        <v>4003025</v>
      </c>
      <c r="O40" s="248" t="s">
        <v>242</v>
      </c>
      <c r="P40" s="50">
        <v>400302500</v>
      </c>
      <c r="Q40" s="254" t="s">
        <v>243</v>
      </c>
      <c r="R40" s="50">
        <v>400302500</v>
      </c>
      <c r="S40" s="254" t="s">
        <v>243</v>
      </c>
      <c r="T40" s="191" t="s">
        <v>1637</v>
      </c>
      <c r="U40" s="258">
        <v>4</v>
      </c>
      <c r="V40" s="191" t="s">
        <v>236</v>
      </c>
      <c r="W40" s="175" t="s">
        <v>237</v>
      </c>
      <c r="X40" s="264" t="s">
        <v>238</v>
      </c>
      <c r="Y40" s="234">
        <v>605000000</v>
      </c>
      <c r="Z40" s="234"/>
      <c r="AA40" s="259"/>
      <c r="AB40" s="234"/>
      <c r="AC40" s="234"/>
      <c r="AD40" s="234"/>
      <c r="AE40" s="234"/>
      <c r="AF40" s="234"/>
      <c r="AG40" s="234"/>
      <c r="AH40" s="234">
        <v>249204317.68000001</v>
      </c>
      <c r="AI40" s="239"/>
      <c r="AJ40" s="234"/>
      <c r="AK40" s="234"/>
      <c r="AL40" s="234"/>
      <c r="AM40" s="218">
        <f>+Y40+Z40+AA40+AB40+AC40+AD40+AE40+AF40+AG40+AH40+AI40+AJ40+AK40</f>
        <v>854204317.68000007</v>
      </c>
      <c r="AN40" s="191" t="s">
        <v>1613</v>
      </c>
      <c r="AO40" s="188"/>
    </row>
    <row r="41" spans="1:41" s="26" customFormat="1" ht="105.75" customHeight="1" x14ac:dyDescent="0.2">
      <c r="A41" s="178">
        <v>308</v>
      </c>
      <c r="B41" s="177" t="s">
        <v>1584</v>
      </c>
      <c r="C41" s="174">
        <v>3</v>
      </c>
      <c r="D41" s="248" t="s">
        <v>1582</v>
      </c>
      <c r="E41" s="174">
        <v>40</v>
      </c>
      <c r="F41" s="177" t="s">
        <v>221</v>
      </c>
      <c r="G41" s="174">
        <v>4003</v>
      </c>
      <c r="H41" s="241" t="s">
        <v>230</v>
      </c>
      <c r="I41" s="174">
        <v>4003</v>
      </c>
      <c r="J41" s="177" t="s">
        <v>1570</v>
      </c>
      <c r="K41" s="248" t="s">
        <v>231</v>
      </c>
      <c r="L41" s="249">
        <v>4003028</v>
      </c>
      <c r="M41" s="248" t="s">
        <v>244</v>
      </c>
      <c r="N41" s="249">
        <v>4003028</v>
      </c>
      <c r="O41" s="248" t="s">
        <v>244</v>
      </c>
      <c r="P41" s="249">
        <v>400302801</v>
      </c>
      <c r="Q41" s="177" t="s">
        <v>245</v>
      </c>
      <c r="R41" s="249">
        <v>400302801</v>
      </c>
      <c r="S41" s="177" t="s">
        <v>245</v>
      </c>
      <c r="T41" s="191" t="s">
        <v>1635</v>
      </c>
      <c r="U41" s="258">
        <v>4</v>
      </c>
      <c r="V41" s="191" t="s">
        <v>236</v>
      </c>
      <c r="W41" s="175" t="s">
        <v>237</v>
      </c>
      <c r="X41" s="264" t="s">
        <v>238</v>
      </c>
      <c r="Y41" s="234"/>
      <c r="Z41" s="234"/>
      <c r="AA41" s="259"/>
      <c r="AB41" s="234"/>
      <c r="AC41" s="234"/>
      <c r="AD41" s="234"/>
      <c r="AE41" s="234"/>
      <c r="AF41" s="234"/>
      <c r="AG41" s="234"/>
      <c r="AH41" s="234">
        <v>279000000</v>
      </c>
      <c r="AI41" s="239"/>
      <c r="AJ41" s="234"/>
      <c r="AK41" s="234"/>
      <c r="AL41" s="234"/>
      <c r="AM41" s="218">
        <f>+Y41+Z41+AA41+AB41+AC41+AD41+AE41+AF41+AG41+AH41+AI41+AJ41+AK41</f>
        <v>279000000</v>
      </c>
      <c r="AN41" s="191" t="s">
        <v>1613</v>
      </c>
      <c r="AO41" s="188"/>
    </row>
    <row r="42" spans="1:41" s="26" customFormat="1" ht="105.75" customHeight="1" x14ac:dyDescent="0.2">
      <c r="A42" s="178">
        <v>308</v>
      </c>
      <c r="B42" s="177" t="s">
        <v>1584</v>
      </c>
      <c r="C42" s="174">
        <v>3</v>
      </c>
      <c r="D42" s="248" t="s">
        <v>1582</v>
      </c>
      <c r="E42" s="174">
        <v>40</v>
      </c>
      <c r="F42" s="177" t="s">
        <v>221</v>
      </c>
      <c r="G42" s="174">
        <v>4003</v>
      </c>
      <c r="H42" s="241" t="s">
        <v>230</v>
      </c>
      <c r="I42" s="174">
        <v>4003</v>
      </c>
      <c r="J42" s="177" t="s">
        <v>1570</v>
      </c>
      <c r="K42" s="248" t="s">
        <v>231</v>
      </c>
      <c r="L42" s="249">
        <v>4003042</v>
      </c>
      <c r="M42" s="248" t="s">
        <v>246</v>
      </c>
      <c r="N42" s="249">
        <v>4003042</v>
      </c>
      <c r="O42" s="248" t="s">
        <v>246</v>
      </c>
      <c r="P42" s="249">
        <v>400304200</v>
      </c>
      <c r="Q42" s="177" t="s">
        <v>247</v>
      </c>
      <c r="R42" s="249">
        <v>400304200</v>
      </c>
      <c r="S42" s="177" t="s">
        <v>247</v>
      </c>
      <c r="T42" s="191" t="s">
        <v>1637</v>
      </c>
      <c r="U42" s="258">
        <v>3</v>
      </c>
      <c r="V42" s="191" t="s">
        <v>236</v>
      </c>
      <c r="W42" s="175" t="s">
        <v>237</v>
      </c>
      <c r="X42" s="264" t="s">
        <v>238</v>
      </c>
      <c r="Y42" s="234"/>
      <c r="Z42" s="234"/>
      <c r="AA42" s="259"/>
      <c r="AB42" s="234"/>
      <c r="AC42" s="234"/>
      <c r="AD42" s="234"/>
      <c r="AE42" s="234"/>
      <c r="AF42" s="234"/>
      <c r="AG42" s="234"/>
      <c r="AH42" s="234">
        <v>629000000</v>
      </c>
      <c r="AI42" s="239"/>
      <c r="AJ42" s="234"/>
      <c r="AK42" s="234"/>
      <c r="AL42" s="234"/>
      <c r="AM42" s="218">
        <f>+Y42+Z42+AA42+AB42+AC42+AD42+AE42+AF42+AG42+AH42+AI42+AJ42+AK42</f>
        <v>629000000</v>
      </c>
      <c r="AN42" s="191" t="s">
        <v>1613</v>
      </c>
      <c r="AO42" s="188"/>
    </row>
    <row r="43" spans="1:41" s="26" customFormat="1" ht="105.75" customHeight="1" x14ac:dyDescent="0.2">
      <c r="A43" s="178">
        <v>308</v>
      </c>
      <c r="B43" s="177" t="s">
        <v>1584</v>
      </c>
      <c r="C43" s="174">
        <v>3</v>
      </c>
      <c r="D43" s="248" t="s">
        <v>1582</v>
      </c>
      <c r="E43" s="174">
        <v>40</v>
      </c>
      <c r="F43" s="177" t="s">
        <v>221</v>
      </c>
      <c r="G43" s="174">
        <v>4003</v>
      </c>
      <c r="H43" s="241" t="s">
        <v>230</v>
      </c>
      <c r="I43" s="174">
        <v>4003</v>
      </c>
      <c r="J43" s="177" t="s">
        <v>1570</v>
      </c>
      <c r="K43" s="248" t="s">
        <v>231</v>
      </c>
      <c r="L43" s="249" t="s">
        <v>248</v>
      </c>
      <c r="M43" s="248" t="s">
        <v>249</v>
      </c>
      <c r="N43" s="249" t="s">
        <v>248</v>
      </c>
      <c r="O43" s="248" t="s">
        <v>249</v>
      </c>
      <c r="P43" s="50">
        <v>400302600</v>
      </c>
      <c r="Q43" s="254" t="s">
        <v>250</v>
      </c>
      <c r="R43" s="50">
        <v>400302600</v>
      </c>
      <c r="S43" s="254" t="s">
        <v>250</v>
      </c>
      <c r="T43" s="191" t="s">
        <v>1637</v>
      </c>
      <c r="U43" s="258">
        <v>1</v>
      </c>
      <c r="V43" s="191" t="s">
        <v>236</v>
      </c>
      <c r="W43" s="175" t="s">
        <v>237</v>
      </c>
      <c r="X43" s="264" t="s">
        <v>238</v>
      </c>
      <c r="Y43" s="234"/>
      <c r="Z43" s="234"/>
      <c r="AA43" s="259"/>
      <c r="AB43" s="234"/>
      <c r="AC43" s="234"/>
      <c r="AD43" s="234"/>
      <c r="AE43" s="234"/>
      <c r="AF43" s="234"/>
      <c r="AG43" s="234"/>
      <c r="AH43" s="234">
        <v>785236459</v>
      </c>
      <c r="AI43" s="239"/>
      <c r="AJ43" s="234"/>
      <c r="AK43" s="234"/>
      <c r="AL43" s="234"/>
      <c r="AM43" s="218">
        <f>+Y43+Z43+AA43+AB43+AC43+AD43+AE43+AF43+AG43+AH43+AI43+AJ43+AK43</f>
        <v>785236459</v>
      </c>
      <c r="AN43" s="191" t="s">
        <v>1613</v>
      </c>
      <c r="AO43" s="188"/>
    </row>
    <row r="44" spans="1:41" s="26" customFormat="1" ht="130.5" customHeight="1" x14ac:dyDescent="0.2">
      <c r="A44" s="178">
        <v>308</v>
      </c>
      <c r="B44" s="177" t="s">
        <v>1584</v>
      </c>
      <c r="C44" s="174">
        <v>4</v>
      </c>
      <c r="D44" s="232" t="s">
        <v>1578</v>
      </c>
      <c r="E44" s="174">
        <v>45</v>
      </c>
      <c r="F44" s="177" t="s">
        <v>38</v>
      </c>
      <c r="G44" s="174" t="s">
        <v>41</v>
      </c>
      <c r="H44" s="177" t="s">
        <v>1536</v>
      </c>
      <c r="I44" s="174">
        <v>4599</v>
      </c>
      <c r="J44" s="177" t="s">
        <v>1537</v>
      </c>
      <c r="K44" s="177" t="s">
        <v>40</v>
      </c>
      <c r="L44" s="174" t="s">
        <v>41</v>
      </c>
      <c r="M44" s="177" t="s">
        <v>251</v>
      </c>
      <c r="N44" s="249" t="s">
        <v>252</v>
      </c>
      <c r="O44" s="177" t="s">
        <v>162</v>
      </c>
      <c r="P44" s="174" t="s">
        <v>41</v>
      </c>
      <c r="Q44" s="177" t="s">
        <v>253</v>
      </c>
      <c r="R44" s="249">
        <v>459901600</v>
      </c>
      <c r="S44" s="175" t="s">
        <v>162</v>
      </c>
      <c r="T44" s="191" t="s">
        <v>1635</v>
      </c>
      <c r="U44" s="52">
        <v>4</v>
      </c>
      <c r="V44" s="191" t="s">
        <v>254</v>
      </c>
      <c r="W44" s="175" t="s">
        <v>1458</v>
      </c>
      <c r="X44" s="175" t="s">
        <v>255</v>
      </c>
      <c r="Y44" s="257"/>
      <c r="Z44" s="234"/>
      <c r="AA44" s="234"/>
      <c r="AB44" s="234"/>
      <c r="AC44" s="234"/>
      <c r="AD44" s="234"/>
      <c r="AE44" s="234"/>
      <c r="AF44" s="234"/>
      <c r="AG44" s="234"/>
      <c r="AH44" s="234"/>
      <c r="AI44" s="239">
        <v>218394939</v>
      </c>
      <c r="AJ44" s="265"/>
      <c r="AK44" s="234"/>
      <c r="AL44" s="234"/>
      <c r="AM44" s="218">
        <f>+Y44+Z44+AA44+AB44+AC44+AD44+AE44+AF44+AG44+AH44+AI44+AJ44+AK44</f>
        <v>218394939</v>
      </c>
      <c r="AN44" s="191" t="s">
        <v>1613</v>
      </c>
      <c r="AO44" s="188"/>
    </row>
    <row r="45" spans="1:41" s="26" customFormat="1" ht="147.75" customHeight="1" x14ac:dyDescent="0.2">
      <c r="A45" s="178">
        <v>308</v>
      </c>
      <c r="B45" s="177" t="s">
        <v>1584</v>
      </c>
      <c r="C45" s="174">
        <v>4</v>
      </c>
      <c r="D45" s="232" t="s">
        <v>1578</v>
      </c>
      <c r="E45" s="174">
        <v>45</v>
      </c>
      <c r="F45" s="177" t="s">
        <v>38</v>
      </c>
      <c r="G45" s="174">
        <v>4502</v>
      </c>
      <c r="H45" s="177" t="s">
        <v>1532</v>
      </c>
      <c r="I45" s="174">
        <v>4502</v>
      </c>
      <c r="J45" s="177" t="s">
        <v>1533</v>
      </c>
      <c r="K45" s="177" t="s">
        <v>70</v>
      </c>
      <c r="L45" s="249">
        <v>4502003</v>
      </c>
      <c r="M45" s="248" t="s">
        <v>256</v>
      </c>
      <c r="N45" s="249">
        <v>4502003</v>
      </c>
      <c r="O45" s="248" t="s">
        <v>257</v>
      </c>
      <c r="P45" s="249">
        <v>450200300</v>
      </c>
      <c r="Q45" s="248" t="s">
        <v>256</v>
      </c>
      <c r="R45" s="249">
        <v>450200300</v>
      </c>
      <c r="S45" s="248" t="s">
        <v>256</v>
      </c>
      <c r="T45" s="191" t="s">
        <v>1637</v>
      </c>
      <c r="U45" s="52">
        <v>2</v>
      </c>
      <c r="V45" s="191" t="s">
        <v>258</v>
      </c>
      <c r="W45" s="175" t="s">
        <v>259</v>
      </c>
      <c r="X45" s="175" t="s">
        <v>260</v>
      </c>
      <c r="Y45" s="257"/>
      <c r="Z45" s="234"/>
      <c r="AA45" s="234"/>
      <c r="AB45" s="234"/>
      <c r="AC45" s="234"/>
      <c r="AD45" s="234"/>
      <c r="AE45" s="234"/>
      <c r="AF45" s="234"/>
      <c r="AG45" s="234"/>
      <c r="AH45" s="234"/>
      <c r="AI45" s="239">
        <v>31601460</v>
      </c>
      <c r="AJ45" s="242"/>
      <c r="AK45" s="234"/>
      <c r="AL45" s="234"/>
      <c r="AM45" s="218">
        <f>+Y45+Z45+AA45+AB45+AC45+AD45+AE45+AF45+AG45+AH45+AI45+AJ45+AK45</f>
        <v>31601460</v>
      </c>
      <c r="AN45" s="191" t="s">
        <v>1613</v>
      </c>
      <c r="AO45" s="188"/>
    </row>
    <row r="46" spans="1:41" s="26" customFormat="1" ht="186" customHeight="1" x14ac:dyDescent="0.2">
      <c r="A46" s="178">
        <v>309</v>
      </c>
      <c r="B46" s="177" t="s">
        <v>1583</v>
      </c>
      <c r="C46" s="174">
        <v>1</v>
      </c>
      <c r="D46" s="232" t="s">
        <v>1580</v>
      </c>
      <c r="E46" s="174">
        <v>12</v>
      </c>
      <c r="F46" s="177" t="s">
        <v>137</v>
      </c>
      <c r="G46" s="174">
        <v>1202</v>
      </c>
      <c r="H46" s="177" t="s">
        <v>1539</v>
      </c>
      <c r="I46" s="174">
        <v>1202</v>
      </c>
      <c r="J46" s="177" t="s">
        <v>1538</v>
      </c>
      <c r="K46" s="177" t="s">
        <v>139</v>
      </c>
      <c r="L46" s="174">
        <v>1202004</v>
      </c>
      <c r="M46" s="177" t="s">
        <v>262</v>
      </c>
      <c r="N46" s="174">
        <v>1202004</v>
      </c>
      <c r="O46" s="177" t="s">
        <v>262</v>
      </c>
      <c r="P46" s="249">
        <v>120200400</v>
      </c>
      <c r="Q46" s="256" t="s">
        <v>105</v>
      </c>
      <c r="R46" s="249">
        <v>120200400</v>
      </c>
      <c r="S46" s="256" t="s">
        <v>105</v>
      </c>
      <c r="T46" s="191" t="s">
        <v>1635</v>
      </c>
      <c r="U46" s="52">
        <v>12</v>
      </c>
      <c r="V46" s="191" t="s">
        <v>263</v>
      </c>
      <c r="W46" s="175" t="s">
        <v>1459</v>
      </c>
      <c r="X46" s="175" t="s">
        <v>264</v>
      </c>
      <c r="Y46" s="234"/>
      <c r="Z46" s="266"/>
      <c r="AA46" s="234"/>
      <c r="AB46" s="234"/>
      <c r="AC46" s="234"/>
      <c r="AD46" s="234"/>
      <c r="AE46" s="234"/>
      <c r="AF46" s="234"/>
      <c r="AG46" s="234"/>
      <c r="AH46" s="234"/>
      <c r="AI46" s="309">
        <v>135355000</v>
      </c>
      <c r="AJ46" s="234"/>
      <c r="AK46" s="234"/>
      <c r="AL46" s="234"/>
      <c r="AM46" s="218">
        <f>+Y46+Z46+AA46+AB46+AC46+AD46+AE46+AF46+AG46+AH46+AI46+AJ46+AK46</f>
        <v>135355000</v>
      </c>
      <c r="AN46" s="191" t="s">
        <v>1614</v>
      </c>
      <c r="AO46" s="188"/>
    </row>
    <row r="47" spans="1:41" s="26" customFormat="1" ht="186" customHeight="1" x14ac:dyDescent="0.2">
      <c r="A47" s="178">
        <v>309</v>
      </c>
      <c r="B47" s="177" t="s">
        <v>1583</v>
      </c>
      <c r="C47" s="174">
        <v>1</v>
      </c>
      <c r="D47" s="232" t="s">
        <v>1580</v>
      </c>
      <c r="E47" s="174">
        <v>12</v>
      </c>
      <c r="F47" s="177" t="s">
        <v>137</v>
      </c>
      <c r="G47" s="174">
        <v>1203</v>
      </c>
      <c r="H47" s="177" t="s">
        <v>265</v>
      </c>
      <c r="I47" s="174">
        <v>1203</v>
      </c>
      <c r="J47" s="177" t="s">
        <v>1576</v>
      </c>
      <c r="K47" s="177" t="s">
        <v>139</v>
      </c>
      <c r="L47" s="174">
        <v>1203002</v>
      </c>
      <c r="M47" s="177" t="s">
        <v>266</v>
      </c>
      <c r="N47" s="174">
        <v>1203002</v>
      </c>
      <c r="O47" s="177" t="s">
        <v>266</v>
      </c>
      <c r="P47" s="174">
        <v>120300200</v>
      </c>
      <c r="Q47" s="256" t="s">
        <v>267</v>
      </c>
      <c r="R47" s="174">
        <v>120300200</v>
      </c>
      <c r="S47" s="256" t="s">
        <v>267</v>
      </c>
      <c r="T47" s="191" t="s">
        <v>1637</v>
      </c>
      <c r="U47" s="52">
        <v>40</v>
      </c>
      <c r="V47" s="191" t="s">
        <v>268</v>
      </c>
      <c r="W47" s="175" t="s">
        <v>269</v>
      </c>
      <c r="X47" s="175" t="s">
        <v>270</v>
      </c>
      <c r="Y47" s="234"/>
      <c r="Z47" s="218"/>
      <c r="AA47" s="234"/>
      <c r="AB47" s="234"/>
      <c r="AC47" s="234"/>
      <c r="AD47" s="234"/>
      <c r="AE47" s="234"/>
      <c r="AF47" s="234"/>
      <c r="AG47" s="234"/>
      <c r="AH47" s="234"/>
      <c r="AI47" s="309">
        <v>67223401</v>
      </c>
      <c r="AJ47" s="234"/>
      <c r="AK47" s="267"/>
      <c r="AL47" s="267"/>
      <c r="AM47" s="218">
        <f>+Y47+Z47+AA47+AB47+AC47+AD47+AE47+AF47+AG47+AH47+AI47+AJ47+AK47</f>
        <v>67223401</v>
      </c>
      <c r="AN47" s="191" t="s">
        <v>1614</v>
      </c>
      <c r="AO47" s="188"/>
    </row>
    <row r="48" spans="1:41" s="26" customFormat="1" ht="180" customHeight="1" x14ac:dyDescent="0.2">
      <c r="A48" s="178">
        <v>309</v>
      </c>
      <c r="B48" s="177" t="s">
        <v>1583</v>
      </c>
      <c r="C48" s="174">
        <v>1</v>
      </c>
      <c r="D48" s="232" t="s">
        <v>1580</v>
      </c>
      <c r="E48" s="174">
        <v>12</v>
      </c>
      <c r="F48" s="177" t="s">
        <v>137</v>
      </c>
      <c r="G48" s="174">
        <v>1206</v>
      </c>
      <c r="H48" s="177" t="s">
        <v>271</v>
      </c>
      <c r="I48" s="174">
        <v>1206</v>
      </c>
      <c r="J48" s="177" t="s">
        <v>1540</v>
      </c>
      <c r="K48" s="177" t="s">
        <v>139</v>
      </c>
      <c r="L48" s="174">
        <v>1206005</v>
      </c>
      <c r="M48" s="177" t="s">
        <v>272</v>
      </c>
      <c r="N48" s="174">
        <v>1206005</v>
      </c>
      <c r="O48" s="177" t="s">
        <v>272</v>
      </c>
      <c r="P48" s="249">
        <v>120600500</v>
      </c>
      <c r="Q48" s="177" t="s">
        <v>273</v>
      </c>
      <c r="R48" s="249">
        <v>120600500</v>
      </c>
      <c r="S48" s="177" t="s">
        <v>273</v>
      </c>
      <c r="T48" s="191" t="s">
        <v>1637</v>
      </c>
      <c r="U48" s="52">
        <v>20</v>
      </c>
      <c r="V48" s="191" t="s">
        <v>274</v>
      </c>
      <c r="W48" s="269" t="s">
        <v>275</v>
      </c>
      <c r="X48" s="269" t="s">
        <v>276</v>
      </c>
      <c r="Y48" s="234"/>
      <c r="Z48" s="270"/>
      <c r="AA48" s="234"/>
      <c r="AB48" s="234"/>
      <c r="AC48" s="234"/>
      <c r="AD48" s="234"/>
      <c r="AE48" s="234"/>
      <c r="AF48" s="234"/>
      <c r="AG48" s="234"/>
      <c r="AH48" s="234"/>
      <c r="AI48" s="309">
        <v>30000000</v>
      </c>
      <c r="AJ48" s="234"/>
      <c r="AK48" s="234"/>
      <c r="AL48" s="234"/>
      <c r="AM48" s="218">
        <f>+Y48+Z48+AA48+AB48+AC48+AD48+AE48+AF48+AG48+AH48+AI48+AJ48+AK48</f>
        <v>30000000</v>
      </c>
      <c r="AN48" s="191" t="s">
        <v>1614</v>
      </c>
      <c r="AO48" s="188"/>
    </row>
    <row r="49" spans="1:41" s="26" customFormat="1" ht="129.75" customHeight="1" x14ac:dyDescent="0.2">
      <c r="A49" s="178">
        <v>309</v>
      </c>
      <c r="B49" s="177" t="s">
        <v>1583</v>
      </c>
      <c r="C49" s="174">
        <v>1</v>
      </c>
      <c r="D49" s="232" t="s">
        <v>1580</v>
      </c>
      <c r="E49" s="174">
        <v>22</v>
      </c>
      <c r="F49" s="177" t="s">
        <v>156</v>
      </c>
      <c r="G49" s="174">
        <v>2201</v>
      </c>
      <c r="H49" s="177" t="s">
        <v>277</v>
      </c>
      <c r="I49" s="174">
        <v>2201</v>
      </c>
      <c r="J49" s="177" t="s">
        <v>1553</v>
      </c>
      <c r="K49" s="177" t="s">
        <v>278</v>
      </c>
      <c r="L49" s="261">
        <v>2201068</v>
      </c>
      <c r="M49" s="177" t="s">
        <v>279</v>
      </c>
      <c r="N49" s="261">
        <v>2201068</v>
      </c>
      <c r="O49" s="177" t="s">
        <v>279</v>
      </c>
      <c r="P49" s="249">
        <v>220106800</v>
      </c>
      <c r="Q49" s="177" t="s">
        <v>280</v>
      </c>
      <c r="R49" s="249">
        <v>220106800</v>
      </c>
      <c r="S49" s="177" t="s">
        <v>280</v>
      </c>
      <c r="T49" s="191" t="s">
        <v>1637</v>
      </c>
      <c r="U49" s="52">
        <v>70</v>
      </c>
      <c r="V49" s="191" t="s">
        <v>281</v>
      </c>
      <c r="W49" s="175" t="s">
        <v>282</v>
      </c>
      <c r="X49" s="175" t="s">
        <v>283</v>
      </c>
      <c r="Y49" s="234"/>
      <c r="Z49" s="234"/>
      <c r="AA49" s="234"/>
      <c r="AB49" s="234"/>
      <c r="AC49" s="234"/>
      <c r="AD49" s="234"/>
      <c r="AE49" s="234"/>
      <c r="AF49" s="234"/>
      <c r="AG49" s="234"/>
      <c r="AH49" s="234"/>
      <c r="AI49" s="309">
        <v>74287500</v>
      </c>
      <c r="AJ49" s="234"/>
      <c r="AK49" s="234"/>
      <c r="AL49" s="234"/>
      <c r="AM49" s="218">
        <f>+Y49+Z49+AA49+AB49+AC49+AD49+AE49+AF49+AG49+AH49+AI49+AJ49+AK49</f>
        <v>74287500</v>
      </c>
      <c r="AN49" s="191" t="s">
        <v>1614</v>
      </c>
      <c r="AO49" s="188"/>
    </row>
    <row r="50" spans="1:41" s="26" customFormat="1" ht="140.25" customHeight="1" x14ac:dyDescent="0.2">
      <c r="A50" s="178">
        <v>309</v>
      </c>
      <c r="B50" s="177" t="s">
        <v>1583</v>
      </c>
      <c r="C50" s="174">
        <v>1</v>
      </c>
      <c r="D50" s="232" t="s">
        <v>1580</v>
      </c>
      <c r="E50" s="174">
        <v>41</v>
      </c>
      <c r="F50" s="177" t="s">
        <v>284</v>
      </c>
      <c r="G50" s="174">
        <v>4101</v>
      </c>
      <c r="H50" s="177" t="s">
        <v>285</v>
      </c>
      <c r="I50" s="174">
        <v>4101</v>
      </c>
      <c r="J50" s="177" t="s">
        <v>1571</v>
      </c>
      <c r="K50" s="177" t="s">
        <v>286</v>
      </c>
      <c r="L50" s="249">
        <v>4101023</v>
      </c>
      <c r="M50" s="177" t="s">
        <v>287</v>
      </c>
      <c r="N50" s="249">
        <v>4101023</v>
      </c>
      <c r="O50" s="177" t="s">
        <v>287</v>
      </c>
      <c r="P50" s="249">
        <v>410102300</v>
      </c>
      <c r="Q50" s="256" t="s">
        <v>288</v>
      </c>
      <c r="R50" s="249">
        <v>410102300</v>
      </c>
      <c r="S50" s="256" t="s">
        <v>288</v>
      </c>
      <c r="T50" s="191" t="s">
        <v>1637</v>
      </c>
      <c r="U50" s="52">
        <v>500</v>
      </c>
      <c r="V50" s="191" t="s">
        <v>289</v>
      </c>
      <c r="W50" s="175" t="s">
        <v>290</v>
      </c>
      <c r="X50" s="264" t="s">
        <v>291</v>
      </c>
      <c r="Y50" s="234"/>
      <c r="Z50" s="234"/>
      <c r="AA50" s="234"/>
      <c r="AB50" s="234"/>
      <c r="AC50" s="234"/>
      <c r="AD50" s="234"/>
      <c r="AE50" s="234"/>
      <c r="AF50" s="234"/>
      <c r="AG50" s="234"/>
      <c r="AH50" s="234"/>
      <c r="AI50" s="309">
        <v>222950000</v>
      </c>
      <c r="AJ50" s="234"/>
      <c r="AK50" s="234"/>
      <c r="AL50" s="234"/>
      <c r="AM50" s="218">
        <f>+Y50+Z50+AA50+AB50+AC50+AD50+AE50+AF50+AG50+AH50+AI50+AJ50+AK50</f>
        <v>222950000</v>
      </c>
      <c r="AN50" s="191" t="s">
        <v>1614</v>
      </c>
      <c r="AO50" s="188"/>
    </row>
    <row r="51" spans="1:41" s="26" customFormat="1" ht="115.5" customHeight="1" x14ac:dyDescent="0.2">
      <c r="A51" s="178">
        <v>309</v>
      </c>
      <c r="B51" s="177" t="s">
        <v>1583</v>
      </c>
      <c r="C51" s="174">
        <v>1</v>
      </c>
      <c r="D51" s="232" t="s">
        <v>1580</v>
      </c>
      <c r="E51" s="174">
        <v>41</v>
      </c>
      <c r="F51" s="177" t="s">
        <v>284</v>
      </c>
      <c r="G51" s="174">
        <v>4101</v>
      </c>
      <c r="H51" s="177" t="s">
        <v>285</v>
      </c>
      <c r="I51" s="174">
        <v>4101</v>
      </c>
      <c r="J51" s="177" t="s">
        <v>1571</v>
      </c>
      <c r="K51" s="177" t="s">
        <v>286</v>
      </c>
      <c r="L51" s="50">
        <v>4101025</v>
      </c>
      <c r="M51" s="177" t="s">
        <v>292</v>
      </c>
      <c r="N51" s="249">
        <v>4101025</v>
      </c>
      <c r="O51" s="177" t="s">
        <v>292</v>
      </c>
      <c r="P51" s="249">
        <v>410102511</v>
      </c>
      <c r="Q51" s="177" t="s">
        <v>293</v>
      </c>
      <c r="R51" s="249">
        <v>410102511</v>
      </c>
      <c r="S51" s="177" t="s">
        <v>293</v>
      </c>
      <c r="T51" s="191" t="s">
        <v>1637</v>
      </c>
      <c r="U51" s="52">
        <v>100</v>
      </c>
      <c r="V51" s="191" t="s">
        <v>289</v>
      </c>
      <c r="W51" s="175" t="s">
        <v>290</v>
      </c>
      <c r="X51" s="264" t="s">
        <v>291</v>
      </c>
      <c r="Y51" s="234"/>
      <c r="Z51" s="234"/>
      <c r="AA51" s="234"/>
      <c r="AB51" s="234"/>
      <c r="AC51" s="234"/>
      <c r="AD51" s="234"/>
      <c r="AE51" s="234"/>
      <c r="AF51" s="234"/>
      <c r="AG51" s="234"/>
      <c r="AH51" s="234"/>
      <c r="AI51" s="239">
        <v>52000000</v>
      </c>
      <c r="AJ51" s="234"/>
      <c r="AK51" s="234"/>
      <c r="AL51" s="234"/>
      <c r="AM51" s="218">
        <f>+Y51+Z51+AA51+AB51+AC51+AD51+AE51+AF51+AG51+AH51+AI51+AJ51+AK51</f>
        <v>52000000</v>
      </c>
      <c r="AN51" s="191" t="s">
        <v>1614</v>
      </c>
      <c r="AO51" s="188"/>
    </row>
    <row r="52" spans="1:41" s="26" customFormat="1" ht="117.75" customHeight="1" x14ac:dyDescent="0.2">
      <c r="A52" s="178">
        <v>309</v>
      </c>
      <c r="B52" s="177" t="s">
        <v>1583</v>
      </c>
      <c r="C52" s="174">
        <v>1</v>
      </c>
      <c r="D52" s="232" t="s">
        <v>1580</v>
      </c>
      <c r="E52" s="174">
        <v>41</v>
      </c>
      <c r="F52" s="177" t="s">
        <v>284</v>
      </c>
      <c r="G52" s="174">
        <v>4101</v>
      </c>
      <c r="H52" s="177" t="s">
        <v>285</v>
      </c>
      <c r="I52" s="174">
        <v>4101</v>
      </c>
      <c r="J52" s="177" t="s">
        <v>1571</v>
      </c>
      <c r="K52" s="177" t="s">
        <v>286</v>
      </c>
      <c r="L52" s="249">
        <v>4101038</v>
      </c>
      <c r="M52" s="177" t="s">
        <v>294</v>
      </c>
      <c r="N52" s="249">
        <v>4101038</v>
      </c>
      <c r="O52" s="177" t="s">
        <v>294</v>
      </c>
      <c r="P52" s="249">
        <v>410103800</v>
      </c>
      <c r="Q52" s="177" t="s">
        <v>295</v>
      </c>
      <c r="R52" s="249">
        <v>410103800</v>
      </c>
      <c r="S52" s="177" t="s">
        <v>295</v>
      </c>
      <c r="T52" s="191" t="s">
        <v>1637</v>
      </c>
      <c r="U52" s="52">
        <v>12</v>
      </c>
      <c r="V52" s="191" t="s">
        <v>289</v>
      </c>
      <c r="W52" s="175" t="s">
        <v>290</v>
      </c>
      <c r="X52" s="264" t="s">
        <v>291</v>
      </c>
      <c r="Y52" s="234"/>
      <c r="Z52" s="234"/>
      <c r="AA52" s="234"/>
      <c r="AB52" s="234"/>
      <c r="AC52" s="234"/>
      <c r="AD52" s="234"/>
      <c r="AE52" s="234"/>
      <c r="AF52" s="234"/>
      <c r="AG52" s="234"/>
      <c r="AH52" s="234"/>
      <c r="AI52" s="309">
        <v>44000000</v>
      </c>
      <c r="AJ52" s="234"/>
      <c r="AK52" s="234"/>
      <c r="AL52" s="234"/>
      <c r="AM52" s="218">
        <f>+Y52+Z52+AA52+AB52+AC52+AD52+AE52+AF52+AG52+AH52+AI52+AJ52+AK52</f>
        <v>44000000</v>
      </c>
      <c r="AN52" s="191" t="s">
        <v>1614</v>
      </c>
      <c r="AO52" s="188"/>
    </row>
    <row r="53" spans="1:41" s="26" customFormat="1" ht="109.5" customHeight="1" x14ac:dyDescent="0.2">
      <c r="A53" s="178">
        <v>309</v>
      </c>
      <c r="B53" s="177" t="s">
        <v>1583</v>
      </c>
      <c r="C53" s="174">
        <v>1</v>
      </c>
      <c r="D53" s="232" t="s">
        <v>1580</v>
      </c>
      <c r="E53" s="174">
        <v>41</v>
      </c>
      <c r="F53" s="177" t="s">
        <v>284</v>
      </c>
      <c r="G53" s="174">
        <v>4101</v>
      </c>
      <c r="H53" s="177" t="s">
        <v>285</v>
      </c>
      <c r="I53" s="174">
        <v>4101</v>
      </c>
      <c r="J53" s="177" t="s">
        <v>1571</v>
      </c>
      <c r="K53" s="177" t="s">
        <v>296</v>
      </c>
      <c r="L53" s="249">
        <v>4101073</v>
      </c>
      <c r="M53" s="177" t="s">
        <v>297</v>
      </c>
      <c r="N53" s="249">
        <v>4101073</v>
      </c>
      <c r="O53" s="177" t="s">
        <v>297</v>
      </c>
      <c r="P53" s="249">
        <v>410107300</v>
      </c>
      <c r="Q53" s="177" t="s">
        <v>298</v>
      </c>
      <c r="R53" s="249">
        <v>410107300</v>
      </c>
      <c r="S53" s="177" t="s">
        <v>298</v>
      </c>
      <c r="T53" s="191" t="s">
        <v>1637</v>
      </c>
      <c r="U53" s="52">
        <v>30</v>
      </c>
      <c r="V53" s="191" t="s">
        <v>289</v>
      </c>
      <c r="W53" s="175" t="s">
        <v>290</v>
      </c>
      <c r="X53" s="264" t="s">
        <v>291</v>
      </c>
      <c r="Y53" s="234"/>
      <c r="Z53" s="234"/>
      <c r="AA53" s="234"/>
      <c r="AB53" s="234"/>
      <c r="AC53" s="234"/>
      <c r="AD53" s="234"/>
      <c r="AE53" s="234"/>
      <c r="AF53" s="234"/>
      <c r="AG53" s="234"/>
      <c r="AH53" s="234"/>
      <c r="AI53" s="239">
        <v>136707113</v>
      </c>
      <c r="AJ53" s="234"/>
      <c r="AK53" s="234"/>
      <c r="AL53" s="234"/>
      <c r="AM53" s="218">
        <f>+Y53+Z53+AA53+AB53+AC53+AD53+AE53+AF53+AG53+AH53+AI53+AJ53+AK53</f>
        <v>136707113</v>
      </c>
      <c r="AN53" s="191" t="s">
        <v>1614</v>
      </c>
      <c r="AO53" s="188"/>
    </row>
    <row r="54" spans="1:41" s="26" customFormat="1" ht="90" x14ac:dyDescent="0.2">
      <c r="A54" s="178">
        <v>309</v>
      </c>
      <c r="B54" s="177" t="s">
        <v>1583</v>
      </c>
      <c r="C54" s="174">
        <v>1</v>
      </c>
      <c r="D54" s="232" t="s">
        <v>1580</v>
      </c>
      <c r="E54" s="174">
        <v>41</v>
      </c>
      <c r="F54" s="177" t="s">
        <v>284</v>
      </c>
      <c r="G54" s="174">
        <v>4101</v>
      </c>
      <c r="H54" s="177" t="s">
        <v>285</v>
      </c>
      <c r="I54" s="174">
        <v>4101</v>
      </c>
      <c r="J54" s="177" t="s">
        <v>1571</v>
      </c>
      <c r="K54" s="177" t="s">
        <v>299</v>
      </c>
      <c r="L54" s="249">
        <v>4101011</v>
      </c>
      <c r="M54" s="177" t="s">
        <v>300</v>
      </c>
      <c r="N54" s="249">
        <v>4101011</v>
      </c>
      <c r="O54" s="177" t="s">
        <v>300</v>
      </c>
      <c r="P54" s="249">
        <v>410101100</v>
      </c>
      <c r="Q54" s="177" t="s">
        <v>301</v>
      </c>
      <c r="R54" s="249">
        <v>410101100</v>
      </c>
      <c r="S54" s="177" t="s">
        <v>301</v>
      </c>
      <c r="T54" s="191" t="s">
        <v>1637</v>
      </c>
      <c r="U54" s="52">
        <v>2</v>
      </c>
      <c r="V54" s="191" t="s">
        <v>289</v>
      </c>
      <c r="W54" s="175" t="s">
        <v>290</v>
      </c>
      <c r="X54" s="264" t="s">
        <v>291</v>
      </c>
      <c r="Y54" s="234"/>
      <c r="Z54" s="234"/>
      <c r="AA54" s="234"/>
      <c r="AB54" s="234"/>
      <c r="AC54" s="234"/>
      <c r="AD54" s="234"/>
      <c r="AE54" s="234"/>
      <c r="AF54" s="234"/>
      <c r="AG54" s="234"/>
      <c r="AH54" s="234"/>
      <c r="AI54" s="239">
        <v>47000000</v>
      </c>
      <c r="AJ54" s="234"/>
      <c r="AK54" s="234"/>
      <c r="AL54" s="234"/>
      <c r="AM54" s="218">
        <f>+Y54+Z54+AA54+AB54+AC54+AD54+AE54+AF54+AG54+AH54+AI54+AJ54+AK54</f>
        <v>47000000</v>
      </c>
      <c r="AN54" s="191" t="s">
        <v>1614</v>
      </c>
      <c r="AO54" s="188"/>
    </row>
    <row r="55" spans="1:41" s="26" customFormat="1" ht="129.75" customHeight="1" x14ac:dyDescent="0.2">
      <c r="A55" s="178">
        <v>309</v>
      </c>
      <c r="B55" s="177" t="s">
        <v>1583</v>
      </c>
      <c r="C55" s="174">
        <v>1</v>
      </c>
      <c r="D55" s="232" t="s">
        <v>1580</v>
      </c>
      <c r="E55" s="174">
        <v>41</v>
      </c>
      <c r="F55" s="177" t="s">
        <v>284</v>
      </c>
      <c r="G55" s="174">
        <v>4103</v>
      </c>
      <c r="H55" s="177" t="s">
        <v>302</v>
      </c>
      <c r="I55" s="174">
        <v>4103</v>
      </c>
      <c r="J55" s="177" t="s">
        <v>1572</v>
      </c>
      <c r="K55" s="177" t="s">
        <v>303</v>
      </c>
      <c r="L55" s="174" t="s">
        <v>41</v>
      </c>
      <c r="M55" s="177" t="s">
        <v>304</v>
      </c>
      <c r="N55" s="249">
        <v>4103052</v>
      </c>
      <c r="O55" s="177" t="s">
        <v>305</v>
      </c>
      <c r="P55" s="174" t="s">
        <v>41</v>
      </c>
      <c r="Q55" s="177" t="s">
        <v>306</v>
      </c>
      <c r="R55" s="249">
        <v>410305201</v>
      </c>
      <c r="S55" s="177" t="s">
        <v>307</v>
      </c>
      <c r="T55" s="191" t="s">
        <v>1637</v>
      </c>
      <c r="U55" s="52">
        <v>25</v>
      </c>
      <c r="V55" s="191" t="s">
        <v>308</v>
      </c>
      <c r="W55" s="177" t="s">
        <v>309</v>
      </c>
      <c r="X55" s="177" t="s">
        <v>310</v>
      </c>
      <c r="Y55" s="234"/>
      <c r="Z55" s="234"/>
      <c r="AA55" s="234"/>
      <c r="AB55" s="234"/>
      <c r="AC55" s="234"/>
      <c r="AD55" s="234"/>
      <c r="AE55" s="234"/>
      <c r="AF55" s="234"/>
      <c r="AG55" s="234"/>
      <c r="AH55" s="234"/>
      <c r="AI55" s="239">
        <v>34027629</v>
      </c>
      <c r="AJ55" s="234"/>
      <c r="AK55" s="234"/>
      <c r="AL55" s="234"/>
      <c r="AM55" s="218">
        <f>+Y55+Z55+AA55+AB55+AC55+AD55+AE55+AF55+AG55+AH55+AI55+AJ55+AK55</f>
        <v>34027629</v>
      </c>
      <c r="AN55" s="191" t="s">
        <v>1614</v>
      </c>
      <c r="AO55" s="188"/>
    </row>
    <row r="56" spans="1:41" s="26" customFormat="1" ht="188.25" customHeight="1" x14ac:dyDescent="0.2">
      <c r="A56" s="178">
        <v>309</v>
      </c>
      <c r="B56" s="177" t="s">
        <v>1583</v>
      </c>
      <c r="C56" s="174">
        <v>1</v>
      </c>
      <c r="D56" s="232" t="s">
        <v>1580</v>
      </c>
      <c r="E56" s="174">
        <v>45</v>
      </c>
      <c r="F56" s="177" t="s">
        <v>38</v>
      </c>
      <c r="G56" s="174">
        <v>4501</v>
      </c>
      <c r="H56" s="177" t="s">
        <v>311</v>
      </c>
      <c r="I56" s="174">
        <v>4501</v>
      </c>
      <c r="J56" s="177" t="s">
        <v>1575</v>
      </c>
      <c r="K56" s="177" t="s">
        <v>139</v>
      </c>
      <c r="L56" s="174" t="s">
        <v>41</v>
      </c>
      <c r="M56" s="177" t="s">
        <v>312</v>
      </c>
      <c r="N56" s="249">
        <v>4501029</v>
      </c>
      <c r="O56" s="177" t="s">
        <v>313</v>
      </c>
      <c r="P56" s="174" t="s">
        <v>41</v>
      </c>
      <c r="Q56" s="177" t="s">
        <v>314</v>
      </c>
      <c r="R56" s="249">
        <v>450102900</v>
      </c>
      <c r="S56" s="177" t="s">
        <v>315</v>
      </c>
      <c r="T56" s="191" t="s">
        <v>1637</v>
      </c>
      <c r="U56" s="52">
        <v>5</v>
      </c>
      <c r="V56" s="191" t="s">
        <v>316</v>
      </c>
      <c r="W56" s="177" t="s">
        <v>317</v>
      </c>
      <c r="X56" s="177" t="s">
        <v>318</v>
      </c>
      <c r="Y56" s="234"/>
      <c r="Z56" s="270">
        <v>4387879528.3299999</v>
      </c>
      <c r="AA56" s="234"/>
      <c r="AB56" s="234"/>
      <c r="AC56" s="234"/>
      <c r="AD56" s="234"/>
      <c r="AE56" s="234"/>
      <c r="AF56" s="234"/>
      <c r="AG56" s="234"/>
      <c r="AH56" s="234"/>
      <c r="AI56" s="239"/>
      <c r="AJ56" s="234"/>
      <c r="AK56" s="234"/>
      <c r="AL56" s="234"/>
      <c r="AM56" s="218">
        <f>+Y56+Z56+AA56+AB56+AC56+AD56+AE56+AF56+AG56+AH56+AI56+AJ56+AK56</f>
        <v>4387879528.3299999</v>
      </c>
      <c r="AN56" s="191" t="s">
        <v>1614</v>
      </c>
      <c r="AO56" s="188"/>
    </row>
    <row r="57" spans="1:41" s="26" customFormat="1" ht="188.25" customHeight="1" x14ac:dyDescent="0.2">
      <c r="A57" s="178">
        <v>309</v>
      </c>
      <c r="B57" s="177" t="s">
        <v>1583</v>
      </c>
      <c r="C57" s="174">
        <v>1</v>
      </c>
      <c r="D57" s="232" t="s">
        <v>1580</v>
      </c>
      <c r="E57" s="174">
        <v>45</v>
      </c>
      <c r="F57" s="177" t="s">
        <v>38</v>
      </c>
      <c r="G57" s="174">
        <v>4501</v>
      </c>
      <c r="H57" s="177" t="s">
        <v>311</v>
      </c>
      <c r="I57" s="174">
        <v>4501</v>
      </c>
      <c r="J57" s="177" t="s">
        <v>1575</v>
      </c>
      <c r="K57" s="177" t="s">
        <v>139</v>
      </c>
      <c r="L57" s="174">
        <v>4501001</v>
      </c>
      <c r="M57" s="271" t="s">
        <v>103</v>
      </c>
      <c r="N57" s="174">
        <v>4501001</v>
      </c>
      <c r="O57" s="271" t="s">
        <v>103</v>
      </c>
      <c r="P57" s="174">
        <v>450100100</v>
      </c>
      <c r="Q57" s="177" t="s">
        <v>1638</v>
      </c>
      <c r="R57" s="174">
        <v>450100100</v>
      </c>
      <c r="S57" s="177" t="s">
        <v>319</v>
      </c>
      <c r="T57" s="191" t="s">
        <v>1637</v>
      </c>
      <c r="U57" s="52">
        <v>12</v>
      </c>
      <c r="V57" s="191" t="s">
        <v>320</v>
      </c>
      <c r="W57" s="177" t="s">
        <v>1460</v>
      </c>
      <c r="X57" s="271" t="s">
        <v>321</v>
      </c>
      <c r="Y57" s="272">
        <v>0</v>
      </c>
      <c r="Z57" s="234">
        <v>0</v>
      </c>
      <c r="AA57" s="234">
        <v>0</v>
      </c>
      <c r="AB57" s="234">
        <v>0</v>
      </c>
      <c r="AC57" s="234">
        <v>0</v>
      </c>
      <c r="AD57" s="234">
        <v>0</v>
      </c>
      <c r="AE57" s="234">
        <v>0</v>
      </c>
      <c r="AF57" s="234">
        <v>0</v>
      </c>
      <c r="AG57" s="234">
        <v>0</v>
      </c>
      <c r="AH57" s="234">
        <v>0</v>
      </c>
      <c r="AI57" s="310">
        <v>49500000</v>
      </c>
      <c r="AJ57" s="234">
        <v>0</v>
      </c>
      <c r="AK57" s="234">
        <v>0</v>
      </c>
      <c r="AL57" s="234"/>
      <c r="AM57" s="218">
        <f>+Y57+Z57+AA57+AB57+AC57+AD57+AE57+AF57+AG57+AH57+AI57+AJ57+AK57</f>
        <v>49500000</v>
      </c>
      <c r="AN57" s="191" t="s">
        <v>1614</v>
      </c>
      <c r="AO57" s="188"/>
    </row>
    <row r="58" spans="1:41" s="26" customFormat="1" ht="155.25" customHeight="1" x14ac:dyDescent="0.2">
      <c r="A58" s="178">
        <v>309</v>
      </c>
      <c r="B58" s="177" t="s">
        <v>1583</v>
      </c>
      <c r="C58" s="252">
        <v>3</v>
      </c>
      <c r="D58" s="177" t="s">
        <v>1585</v>
      </c>
      <c r="E58" s="174">
        <v>32</v>
      </c>
      <c r="F58" s="177" t="s">
        <v>207</v>
      </c>
      <c r="G58" s="174">
        <v>3205</v>
      </c>
      <c r="H58" s="177" t="s">
        <v>208</v>
      </c>
      <c r="I58" s="174">
        <v>3205</v>
      </c>
      <c r="J58" s="177" t="s">
        <v>1562</v>
      </c>
      <c r="K58" s="177" t="s">
        <v>322</v>
      </c>
      <c r="L58" s="174">
        <v>3205002</v>
      </c>
      <c r="M58" s="177" t="s">
        <v>323</v>
      </c>
      <c r="N58" s="174">
        <v>3205002</v>
      </c>
      <c r="O58" s="177" t="s">
        <v>323</v>
      </c>
      <c r="P58" s="174">
        <v>320500200</v>
      </c>
      <c r="Q58" s="177" t="s">
        <v>324</v>
      </c>
      <c r="R58" s="174">
        <v>320500200</v>
      </c>
      <c r="S58" s="177" t="s">
        <v>324</v>
      </c>
      <c r="T58" s="191" t="s">
        <v>1637</v>
      </c>
      <c r="U58" s="52">
        <v>3</v>
      </c>
      <c r="V58" s="191" t="s">
        <v>325</v>
      </c>
      <c r="W58" s="175" t="s">
        <v>326</v>
      </c>
      <c r="X58" s="175" t="s">
        <v>327</v>
      </c>
      <c r="Y58" s="234"/>
      <c r="Z58" s="234"/>
      <c r="AA58" s="234"/>
      <c r="AB58" s="234"/>
      <c r="AC58" s="234"/>
      <c r="AD58" s="234"/>
      <c r="AE58" s="234"/>
      <c r="AF58" s="234"/>
      <c r="AG58" s="234"/>
      <c r="AH58" s="234"/>
      <c r="AI58" s="273">
        <v>243850000</v>
      </c>
      <c r="AJ58" s="234"/>
      <c r="AK58" s="234"/>
      <c r="AL58" s="234"/>
      <c r="AM58" s="218">
        <f>+Y58+Z58+AA58+AB58+AC58+AD58+AE58+AF58+AG58+AH58+AI58+AJ58+AK58</f>
        <v>243850000</v>
      </c>
      <c r="AN58" s="191" t="s">
        <v>1614</v>
      </c>
      <c r="AO58" s="188"/>
    </row>
    <row r="59" spans="1:41" s="26" customFormat="1" ht="100.5" customHeight="1" x14ac:dyDescent="0.2">
      <c r="A59" s="178">
        <v>309</v>
      </c>
      <c r="B59" s="177" t="s">
        <v>1583</v>
      </c>
      <c r="C59" s="252">
        <v>3</v>
      </c>
      <c r="D59" s="177" t="s">
        <v>1585</v>
      </c>
      <c r="E59" s="174">
        <v>45</v>
      </c>
      <c r="F59" s="177" t="s">
        <v>38</v>
      </c>
      <c r="G59" s="174">
        <v>4503</v>
      </c>
      <c r="H59" s="177" t="s">
        <v>1534</v>
      </c>
      <c r="I59" s="174">
        <v>4503</v>
      </c>
      <c r="J59" s="177" t="s">
        <v>1535</v>
      </c>
      <c r="K59" s="177" t="s">
        <v>328</v>
      </c>
      <c r="L59" s="174">
        <v>4503002</v>
      </c>
      <c r="M59" s="177" t="s">
        <v>329</v>
      </c>
      <c r="N59" s="174">
        <v>4503002</v>
      </c>
      <c r="O59" s="177" t="s">
        <v>329</v>
      </c>
      <c r="P59" s="174">
        <v>450300200</v>
      </c>
      <c r="Q59" s="177" t="s">
        <v>330</v>
      </c>
      <c r="R59" s="174">
        <v>450300200</v>
      </c>
      <c r="S59" s="177" t="s">
        <v>330</v>
      </c>
      <c r="T59" s="191" t="s">
        <v>1637</v>
      </c>
      <c r="U59" s="52">
        <v>4000</v>
      </c>
      <c r="V59" s="191" t="s">
        <v>331</v>
      </c>
      <c r="W59" s="175" t="s">
        <v>332</v>
      </c>
      <c r="X59" s="264" t="s">
        <v>333</v>
      </c>
      <c r="Y59" s="234"/>
      <c r="Z59" s="234"/>
      <c r="AA59" s="234"/>
      <c r="AB59" s="234"/>
      <c r="AC59" s="234"/>
      <c r="AD59" s="234"/>
      <c r="AE59" s="234"/>
      <c r="AF59" s="234"/>
      <c r="AG59" s="234"/>
      <c r="AH59" s="234"/>
      <c r="AI59" s="309">
        <v>35000000</v>
      </c>
      <c r="AJ59" s="234"/>
      <c r="AK59" s="234"/>
      <c r="AL59" s="234"/>
      <c r="AM59" s="218">
        <f>+Y59+Z59+AA59+AB59+AC59+AD59+AE59+AF59+AG59+AH59+AI59+AJ59+AK59</f>
        <v>35000000</v>
      </c>
      <c r="AN59" s="191" t="s">
        <v>1614</v>
      </c>
      <c r="AO59" s="188"/>
    </row>
    <row r="60" spans="1:41" s="26" customFormat="1" ht="100.5" customHeight="1" x14ac:dyDescent="0.2">
      <c r="A60" s="178">
        <v>309</v>
      </c>
      <c r="B60" s="177" t="s">
        <v>1583</v>
      </c>
      <c r="C60" s="252">
        <v>3</v>
      </c>
      <c r="D60" s="177" t="s">
        <v>1585</v>
      </c>
      <c r="E60" s="174">
        <v>45</v>
      </c>
      <c r="F60" s="177" t="s">
        <v>38</v>
      </c>
      <c r="G60" s="174">
        <v>4503</v>
      </c>
      <c r="H60" s="177" t="s">
        <v>1534</v>
      </c>
      <c r="I60" s="174">
        <v>4503</v>
      </c>
      <c r="J60" s="177" t="s">
        <v>1535</v>
      </c>
      <c r="K60" s="177" t="s">
        <v>334</v>
      </c>
      <c r="L60" s="174">
        <v>4503003</v>
      </c>
      <c r="M60" s="177" t="s">
        <v>103</v>
      </c>
      <c r="N60" s="174">
        <v>4503003</v>
      </c>
      <c r="O60" s="177" t="s">
        <v>103</v>
      </c>
      <c r="P60" s="174">
        <v>450300300</v>
      </c>
      <c r="Q60" s="177" t="s">
        <v>335</v>
      </c>
      <c r="R60" s="174">
        <v>450300300</v>
      </c>
      <c r="S60" s="177" t="s">
        <v>335</v>
      </c>
      <c r="T60" s="191" t="s">
        <v>1635</v>
      </c>
      <c r="U60" s="52">
        <v>12</v>
      </c>
      <c r="V60" s="191" t="s">
        <v>331</v>
      </c>
      <c r="W60" s="175" t="s">
        <v>332</v>
      </c>
      <c r="X60" s="264" t="s">
        <v>333</v>
      </c>
      <c r="Y60" s="234"/>
      <c r="Z60" s="234"/>
      <c r="AA60" s="234"/>
      <c r="AB60" s="234"/>
      <c r="AC60" s="234"/>
      <c r="AD60" s="234"/>
      <c r="AE60" s="234"/>
      <c r="AF60" s="234"/>
      <c r="AG60" s="234"/>
      <c r="AH60" s="234"/>
      <c r="AI60" s="309">
        <v>400809656</v>
      </c>
      <c r="AJ60" s="234"/>
      <c r="AK60" s="234"/>
      <c r="AL60" s="234"/>
      <c r="AM60" s="218">
        <f>+Y60+Z60+AA60+AB60+AC60+AD60+AE60+AF60+AG60+AH60+AI60+AJ60+AK60</f>
        <v>400809656</v>
      </c>
      <c r="AN60" s="191" t="s">
        <v>1614</v>
      </c>
      <c r="AO60" s="188"/>
    </row>
    <row r="61" spans="1:41" s="26" customFormat="1" ht="113.25" customHeight="1" x14ac:dyDescent="0.2">
      <c r="A61" s="178">
        <v>309</v>
      </c>
      <c r="B61" s="177" t="s">
        <v>1583</v>
      </c>
      <c r="C61" s="252">
        <v>3</v>
      </c>
      <c r="D61" s="177" t="s">
        <v>1585</v>
      </c>
      <c r="E61" s="174">
        <v>45</v>
      </c>
      <c r="F61" s="177" t="s">
        <v>38</v>
      </c>
      <c r="G61" s="174">
        <v>4503</v>
      </c>
      <c r="H61" s="177" t="s">
        <v>1534</v>
      </c>
      <c r="I61" s="174">
        <v>4503</v>
      </c>
      <c r="J61" s="177" t="s">
        <v>1535</v>
      </c>
      <c r="K61" s="177" t="s">
        <v>334</v>
      </c>
      <c r="L61" s="174">
        <v>4503004</v>
      </c>
      <c r="M61" s="177" t="s">
        <v>336</v>
      </c>
      <c r="N61" s="174">
        <v>4503016</v>
      </c>
      <c r="O61" s="177" t="s">
        <v>337</v>
      </c>
      <c r="P61" s="174" t="s">
        <v>41</v>
      </c>
      <c r="Q61" s="177" t="s">
        <v>338</v>
      </c>
      <c r="R61" s="174">
        <v>450301600</v>
      </c>
      <c r="S61" s="177" t="s">
        <v>339</v>
      </c>
      <c r="T61" s="191" t="s">
        <v>1635</v>
      </c>
      <c r="U61" s="52">
        <v>1</v>
      </c>
      <c r="V61" s="191" t="s">
        <v>331</v>
      </c>
      <c r="W61" s="175" t="s">
        <v>332</v>
      </c>
      <c r="X61" s="264" t="s">
        <v>333</v>
      </c>
      <c r="Y61" s="234"/>
      <c r="Z61" s="234"/>
      <c r="AA61" s="234"/>
      <c r="AB61" s="234"/>
      <c r="AC61" s="234"/>
      <c r="AD61" s="234"/>
      <c r="AE61" s="234"/>
      <c r="AF61" s="234"/>
      <c r="AG61" s="234"/>
      <c r="AH61" s="234"/>
      <c r="AI61" s="239">
        <v>92505448</v>
      </c>
      <c r="AJ61" s="234"/>
      <c r="AK61" s="234"/>
      <c r="AL61" s="234"/>
      <c r="AM61" s="218">
        <f>+Y61+Z61+AA61+AB61+AC61+AD61+AE61+AF61+AG61+AH61+AI61+AJ61+AK61</f>
        <v>92505448</v>
      </c>
      <c r="AN61" s="191" t="s">
        <v>1614</v>
      </c>
      <c r="AO61" s="188"/>
    </row>
    <row r="62" spans="1:41" s="26" customFormat="1" ht="156" customHeight="1" x14ac:dyDescent="0.2">
      <c r="A62" s="178">
        <v>309</v>
      </c>
      <c r="B62" s="177" t="s">
        <v>1583</v>
      </c>
      <c r="C62" s="174">
        <v>4</v>
      </c>
      <c r="D62" s="232" t="s">
        <v>1578</v>
      </c>
      <c r="E62" s="174">
        <v>45</v>
      </c>
      <c r="F62" s="177" t="s">
        <v>38</v>
      </c>
      <c r="G62" s="174">
        <v>4502</v>
      </c>
      <c r="H62" s="177" t="s">
        <v>1532</v>
      </c>
      <c r="I62" s="174">
        <v>4502</v>
      </c>
      <c r="J62" s="177" t="s">
        <v>1533</v>
      </c>
      <c r="K62" s="177" t="s">
        <v>340</v>
      </c>
      <c r="L62" s="174">
        <v>4502024</v>
      </c>
      <c r="M62" s="177" t="s">
        <v>341</v>
      </c>
      <c r="N62" s="174">
        <v>4502024</v>
      </c>
      <c r="O62" s="177" t="s">
        <v>341</v>
      </c>
      <c r="P62" s="237">
        <v>450202400</v>
      </c>
      <c r="Q62" s="177" t="s">
        <v>342</v>
      </c>
      <c r="R62" s="237">
        <v>450202400</v>
      </c>
      <c r="S62" s="256" t="s">
        <v>342</v>
      </c>
      <c r="T62" s="191" t="s">
        <v>1635</v>
      </c>
      <c r="U62" s="52">
        <v>10</v>
      </c>
      <c r="V62" s="191" t="s">
        <v>343</v>
      </c>
      <c r="W62" s="177" t="s">
        <v>344</v>
      </c>
      <c r="X62" s="177" t="s">
        <v>345</v>
      </c>
      <c r="Y62" s="234"/>
      <c r="Z62" s="234"/>
      <c r="AA62" s="234"/>
      <c r="AB62" s="234"/>
      <c r="AC62" s="234"/>
      <c r="AD62" s="234"/>
      <c r="AE62" s="234"/>
      <c r="AF62" s="234"/>
      <c r="AG62" s="234"/>
      <c r="AH62" s="234"/>
      <c r="AI62" s="239">
        <v>89000000</v>
      </c>
      <c r="AJ62" s="234"/>
      <c r="AK62" s="234"/>
      <c r="AL62" s="234"/>
      <c r="AM62" s="218">
        <f>+Y62+Z62+AA62+AB62+AC62+AD62+AE62+AF62+AG62+AH62+AI62+AJ62+AK62</f>
        <v>89000000</v>
      </c>
      <c r="AN62" s="191" t="s">
        <v>1614</v>
      </c>
      <c r="AO62" s="188"/>
    </row>
    <row r="63" spans="1:41" s="26" customFormat="1" ht="100.5" customHeight="1" x14ac:dyDescent="0.2">
      <c r="A63" s="178">
        <v>309</v>
      </c>
      <c r="B63" s="177" t="s">
        <v>1583</v>
      </c>
      <c r="C63" s="174">
        <v>4</v>
      </c>
      <c r="D63" s="232" t="s">
        <v>1578</v>
      </c>
      <c r="E63" s="174">
        <v>45</v>
      </c>
      <c r="F63" s="177" t="s">
        <v>38</v>
      </c>
      <c r="G63" s="174">
        <v>4502</v>
      </c>
      <c r="H63" s="177" t="s">
        <v>1532</v>
      </c>
      <c r="I63" s="174">
        <v>4502</v>
      </c>
      <c r="J63" s="177" t="s">
        <v>1533</v>
      </c>
      <c r="K63" s="177" t="s">
        <v>61</v>
      </c>
      <c r="L63" s="178">
        <v>4502001</v>
      </c>
      <c r="M63" s="177" t="s">
        <v>72</v>
      </c>
      <c r="N63" s="178">
        <v>4502001</v>
      </c>
      <c r="O63" s="177" t="s">
        <v>72</v>
      </c>
      <c r="P63" s="174">
        <v>450200100</v>
      </c>
      <c r="Q63" s="177" t="s">
        <v>346</v>
      </c>
      <c r="R63" s="174">
        <v>450200100</v>
      </c>
      <c r="S63" s="177" t="s">
        <v>74</v>
      </c>
      <c r="T63" s="191" t="s">
        <v>1635</v>
      </c>
      <c r="U63" s="52">
        <v>3</v>
      </c>
      <c r="V63" s="191" t="s">
        <v>347</v>
      </c>
      <c r="W63" s="177" t="s">
        <v>348</v>
      </c>
      <c r="X63" s="177" t="s">
        <v>349</v>
      </c>
      <c r="Y63" s="234"/>
      <c r="Z63" s="234"/>
      <c r="AA63" s="234"/>
      <c r="AB63" s="234"/>
      <c r="AC63" s="234"/>
      <c r="AD63" s="234"/>
      <c r="AE63" s="234"/>
      <c r="AF63" s="234"/>
      <c r="AG63" s="234"/>
      <c r="AH63" s="234"/>
      <c r="AI63" s="309">
        <v>132073332</v>
      </c>
      <c r="AJ63" s="234"/>
      <c r="AK63" s="234"/>
      <c r="AL63" s="234"/>
      <c r="AM63" s="218">
        <f>+Y63+Z63+AA63+AB63+AC63+AD63+AE63+AF63+AG63+AH63+AI63+AJ63+AK63</f>
        <v>132073332</v>
      </c>
      <c r="AN63" s="191" t="s">
        <v>1614</v>
      </c>
      <c r="AO63" s="188"/>
    </row>
    <row r="64" spans="1:41" s="26" customFormat="1" ht="87" customHeight="1" x14ac:dyDescent="0.2">
      <c r="A64" s="178">
        <v>309</v>
      </c>
      <c r="B64" s="177" t="s">
        <v>1583</v>
      </c>
      <c r="C64" s="174">
        <v>4</v>
      </c>
      <c r="D64" s="232" t="s">
        <v>1578</v>
      </c>
      <c r="E64" s="174">
        <v>45</v>
      </c>
      <c r="F64" s="177" t="s">
        <v>38</v>
      </c>
      <c r="G64" s="174">
        <v>4502</v>
      </c>
      <c r="H64" s="177" t="s">
        <v>1532</v>
      </c>
      <c r="I64" s="174">
        <v>4502</v>
      </c>
      <c r="J64" s="177" t="s">
        <v>1533</v>
      </c>
      <c r="K64" s="177" t="s">
        <v>61</v>
      </c>
      <c r="L64" s="174" t="s">
        <v>41</v>
      </c>
      <c r="M64" s="177" t="s">
        <v>350</v>
      </c>
      <c r="N64" s="178">
        <v>4502001</v>
      </c>
      <c r="O64" s="177" t="s">
        <v>72</v>
      </c>
      <c r="P64" s="174" t="s">
        <v>41</v>
      </c>
      <c r="Q64" s="177" t="s">
        <v>351</v>
      </c>
      <c r="R64" s="178">
        <v>450200111</v>
      </c>
      <c r="S64" s="177" t="s">
        <v>352</v>
      </c>
      <c r="T64" s="191" t="s">
        <v>1635</v>
      </c>
      <c r="U64" s="274">
        <v>1</v>
      </c>
      <c r="V64" s="191" t="s">
        <v>347</v>
      </c>
      <c r="W64" s="177" t="s">
        <v>348</v>
      </c>
      <c r="X64" s="177" t="s">
        <v>349</v>
      </c>
      <c r="Y64" s="234"/>
      <c r="Z64" s="234"/>
      <c r="AA64" s="234"/>
      <c r="AB64" s="234"/>
      <c r="AC64" s="234"/>
      <c r="AD64" s="234"/>
      <c r="AE64" s="234"/>
      <c r="AF64" s="234"/>
      <c r="AG64" s="234"/>
      <c r="AH64" s="234"/>
      <c r="AI64" s="309">
        <v>59000000</v>
      </c>
      <c r="AJ64" s="234"/>
      <c r="AK64" s="234"/>
      <c r="AL64" s="234"/>
      <c r="AM64" s="218">
        <f>+Y64+Z64+AA64+AB64+AC64+AD64+AE64+AF64+AG64+AH64+AI64+AJ64+AK64</f>
        <v>59000000</v>
      </c>
      <c r="AN64" s="191" t="s">
        <v>1614</v>
      </c>
      <c r="AO64" s="188"/>
    </row>
    <row r="65" spans="1:43" s="26" customFormat="1" ht="108.75" customHeight="1" x14ac:dyDescent="0.2">
      <c r="A65" s="178">
        <v>309</v>
      </c>
      <c r="B65" s="177" t="s">
        <v>1583</v>
      </c>
      <c r="C65" s="174">
        <v>4</v>
      </c>
      <c r="D65" s="232" t="s">
        <v>1578</v>
      </c>
      <c r="E65" s="174">
        <v>45</v>
      </c>
      <c r="F65" s="177" t="s">
        <v>38</v>
      </c>
      <c r="G65" s="174">
        <v>4502</v>
      </c>
      <c r="H65" s="177" t="s">
        <v>1532</v>
      </c>
      <c r="I65" s="174">
        <v>4502</v>
      </c>
      <c r="J65" s="177" t="s">
        <v>1533</v>
      </c>
      <c r="K65" s="177" t="s">
        <v>61</v>
      </c>
      <c r="L65" s="174" t="s">
        <v>41</v>
      </c>
      <c r="M65" s="177" t="s">
        <v>353</v>
      </c>
      <c r="N65" s="174">
        <v>4502001</v>
      </c>
      <c r="O65" s="177" t="s">
        <v>72</v>
      </c>
      <c r="P65" s="174" t="s">
        <v>41</v>
      </c>
      <c r="Q65" s="177" t="s">
        <v>1462</v>
      </c>
      <c r="R65" s="174">
        <v>450200109</v>
      </c>
      <c r="S65" s="177" t="s">
        <v>354</v>
      </c>
      <c r="T65" s="191" t="s">
        <v>1635</v>
      </c>
      <c r="U65" s="52">
        <v>12</v>
      </c>
      <c r="V65" s="191" t="s">
        <v>347</v>
      </c>
      <c r="W65" s="177" t="s">
        <v>348</v>
      </c>
      <c r="X65" s="177" t="s">
        <v>349</v>
      </c>
      <c r="Y65" s="234"/>
      <c r="Z65" s="234"/>
      <c r="AA65" s="234"/>
      <c r="AB65" s="234"/>
      <c r="AC65" s="234"/>
      <c r="AD65" s="234"/>
      <c r="AE65" s="234"/>
      <c r="AF65" s="234"/>
      <c r="AG65" s="234"/>
      <c r="AH65" s="234"/>
      <c r="AI65" s="309">
        <v>65953401</v>
      </c>
      <c r="AJ65" s="234"/>
      <c r="AK65" s="234"/>
      <c r="AL65" s="234"/>
      <c r="AM65" s="218">
        <f>+Y65+Z65+AA65+AB65+AC65+AD65+AE65+AF65+AG65+AH65+AI65+AJ65+AK65</f>
        <v>65953401</v>
      </c>
      <c r="AN65" s="191" t="s">
        <v>1614</v>
      </c>
      <c r="AO65" s="188"/>
    </row>
    <row r="66" spans="1:43" s="26" customFormat="1" ht="96.75" customHeight="1" x14ac:dyDescent="0.2">
      <c r="A66" s="178">
        <v>309</v>
      </c>
      <c r="B66" s="177" t="s">
        <v>1583</v>
      </c>
      <c r="C66" s="174">
        <v>4</v>
      </c>
      <c r="D66" s="232" t="s">
        <v>1578</v>
      </c>
      <c r="E66" s="174">
        <v>45</v>
      </c>
      <c r="F66" s="177" t="s">
        <v>38</v>
      </c>
      <c r="G66" s="174">
        <v>4502</v>
      </c>
      <c r="H66" s="177" t="s">
        <v>1532</v>
      </c>
      <c r="I66" s="174">
        <v>4502</v>
      </c>
      <c r="J66" s="177" t="s">
        <v>1533</v>
      </c>
      <c r="K66" s="177" t="s">
        <v>61</v>
      </c>
      <c r="L66" s="174" t="s">
        <v>41</v>
      </c>
      <c r="M66" s="177" t="s">
        <v>355</v>
      </c>
      <c r="N66" s="178">
        <v>4502035</v>
      </c>
      <c r="O66" s="177" t="s">
        <v>356</v>
      </c>
      <c r="P66" s="174" t="s">
        <v>41</v>
      </c>
      <c r="Q66" s="177" t="s">
        <v>357</v>
      </c>
      <c r="R66" s="178">
        <v>450203501</v>
      </c>
      <c r="S66" s="177" t="s">
        <v>358</v>
      </c>
      <c r="T66" s="191" t="s">
        <v>1637</v>
      </c>
      <c r="U66" s="52">
        <v>0.4</v>
      </c>
      <c r="V66" s="191" t="s">
        <v>347</v>
      </c>
      <c r="W66" s="177" t="s">
        <v>348</v>
      </c>
      <c r="X66" s="177" t="s">
        <v>349</v>
      </c>
      <c r="Y66" s="234"/>
      <c r="Z66" s="234"/>
      <c r="AA66" s="234"/>
      <c r="AB66" s="234"/>
      <c r="AC66" s="234"/>
      <c r="AD66" s="234"/>
      <c r="AE66" s="234"/>
      <c r="AF66" s="234"/>
      <c r="AG66" s="234"/>
      <c r="AH66" s="234"/>
      <c r="AI66" s="239">
        <v>44600000</v>
      </c>
      <c r="AJ66" s="234"/>
      <c r="AK66" s="234"/>
      <c r="AL66" s="234"/>
      <c r="AM66" s="218">
        <f>+Y66+Z66+AA66+AB66+AC66+AD66+AE66+AF66+AG66+AH66+AI66+AJ66+AK66</f>
        <v>44600000</v>
      </c>
      <c r="AN66" s="191" t="s">
        <v>1614</v>
      </c>
      <c r="AO66" s="188"/>
    </row>
    <row r="67" spans="1:43" s="26" customFormat="1" ht="144" customHeight="1" x14ac:dyDescent="0.2">
      <c r="A67" s="178">
        <v>310</v>
      </c>
      <c r="B67" s="177" t="s">
        <v>1586</v>
      </c>
      <c r="C67" s="174">
        <v>1</v>
      </c>
      <c r="D67" s="177" t="s">
        <v>1580</v>
      </c>
      <c r="E67" s="174">
        <v>33</v>
      </c>
      <c r="F67" s="232" t="s">
        <v>166</v>
      </c>
      <c r="G67" s="174">
        <v>3301</v>
      </c>
      <c r="H67" s="177" t="s">
        <v>167</v>
      </c>
      <c r="I67" s="174">
        <v>3301</v>
      </c>
      <c r="J67" s="177" t="s">
        <v>1564</v>
      </c>
      <c r="K67" s="177" t="s">
        <v>360</v>
      </c>
      <c r="L67" s="174">
        <v>3301087</v>
      </c>
      <c r="M67" s="177" t="s">
        <v>361</v>
      </c>
      <c r="N67" s="174">
        <v>3301087</v>
      </c>
      <c r="O67" s="177" t="s">
        <v>361</v>
      </c>
      <c r="P67" s="174">
        <v>330108701</v>
      </c>
      <c r="Q67" s="177" t="s">
        <v>330</v>
      </c>
      <c r="R67" s="174">
        <v>330108701</v>
      </c>
      <c r="S67" s="177" t="s">
        <v>330</v>
      </c>
      <c r="T67" s="191" t="s">
        <v>1637</v>
      </c>
      <c r="U67" s="52">
        <f>5700+1428</f>
        <v>7128</v>
      </c>
      <c r="V67" s="191" t="s">
        <v>362</v>
      </c>
      <c r="W67" s="177" t="s">
        <v>363</v>
      </c>
      <c r="X67" s="177" t="s">
        <v>364</v>
      </c>
      <c r="Y67" s="275"/>
      <c r="Z67" s="234"/>
      <c r="AA67" s="234"/>
      <c r="AB67" s="234"/>
      <c r="AC67" s="234"/>
      <c r="AD67" s="234"/>
      <c r="AE67" s="234"/>
      <c r="AF67" s="234"/>
      <c r="AG67" s="234"/>
      <c r="AH67" s="234"/>
      <c r="AI67" s="190">
        <v>322900000</v>
      </c>
      <c r="AJ67" s="235"/>
      <c r="AK67" s="234"/>
      <c r="AL67" s="234"/>
      <c r="AM67" s="218">
        <f>+Y67+Z67+AA67+AB67+AC67+AD67+AE67+AF67+AG67+AH67+AI67+AJ67+AK67</f>
        <v>322900000</v>
      </c>
      <c r="AN67" s="191" t="s">
        <v>1615</v>
      </c>
      <c r="AO67" s="188"/>
    </row>
    <row r="68" spans="1:43" s="26" customFormat="1" ht="135" customHeight="1" x14ac:dyDescent="0.2">
      <c r="A68" s="178">
        <v>310</v>
      </c>
      <c r="B68" s="177" t="s">
        <v>1586</v>
      </c>
      <c r="C68" s="174">
        <v>1</v>
      </c>
      <c r="D68" s="177" t="s">
        <v>1580</v>
      </c>
      <c r="E68" s="174">
        <v>33</v>
      </c>
      <c r="F68" s="232" t="s">
        <v>166</v>
      </c>
      <c r="G68" s="174">
        <v>3301</v>
      </c>
      <c r="H68" s="177" t="s">
        <v>167</v>
      </c>
      <c r="I68" s="174">
        <v>3301</v>
      </c>
      <c r="J68" s="177" t="s">
        <v>1564</v>
      </c>
      <c r="K68" s="177" t="s">
        <v>168</v>
      </c>
      <c r="L68" s="174">
        <v>3301073</v>
      </c>
      <c r="M68" s="177" t="s">
        <v>365</v>
      </c>
      <c r="N68" s="174">
        <v>3301073</v>
      </c>
      <c r="O68" s="177" t="s">
        <v>365</v>
      </c>
      <c r="P68" s="174">
        <v>330107301</v>
      </c>
      <c r="Q68" s="177" t="s">
        <v>366</v>
      </c>
      <c r="R68" s="174">
        <v>330107301</v>
      </c>
      <c r="S68" s="177" t="s">
        <v>366</v>
      </c>
      <c r="T68" s="191" t="s">
        <v>1637</v>
      </c>
      <c r="U68" s="52">
        <v>500</v>
      </c>
      <c r="V68" s="191" t="s">
        <v>362</v>
      </c>
      <c r="W68" s="177" t="s">
        <v>363</v>
      </c>
      <c r="X68" s="177" t="s">
        <v>364</v>
      </c>
      <c r="Y68" s="190">
        <v>1280078703.8999999</v>
      </c>
      <c r="Z68" s="234"/>
      <c r="AA68" s="234"/>
      <c r="AB68" s="234"/>
      <c r="AC68" s="234"/>
      <c r="AD68" s="234"/>
      <c r="AE68" s="234"/>
      <c r="AF68" s="234"/>
      <c r="AG68" s="234"/>
      <c r="AH68" s="234"/>
      <c r="AI68" s="190">
        <v>333700000</v>
      </c>
      <c r="AJ68" s="235"/>
      <c r="AK68" s="234"/>
      <c r="AL68" s="234"/>
      <c r="AM68" s="218">
        <f>+Y68+Z68+AA68+AB68+AC68+AD68+AE68+AF68+AG68+AH68+AI68+AJ68+AK68</f>
        <v>1613778703.8999999</v>
      </c>
      <c r="AN68" s="191" t="s">
        <v>1615</v>
      </c>
      <c r="AO68" s="188"/>
    </row>
    <row r="69" spans="1:43" s="26" customFormat="1" ht="151.5" customHeight="1" x14ac:dyDescent="0.2">
      <c r="A69" s="178">
        <v>310</v>
      </c>
      <c r="B69" s="177" t="s">
        <v>1586</v>
      </c>
      <c r="C69" s="174">
        <v>1</v>
      </c>
      <c r="D69" s="177" t="s">
        <v>1580</v>
      </c>
      <c r="E69" s="174">
        <v>33</v>
      </c>
      <c r="F69" s="232" t="s">
        <v>166</v>
      </c>
      <c r="G69" s="174">
        <v>3301</v>
      </c>
      <c r="H69" s="177" t="s">
        <v>167</v>
      </c>
      <c r="I69" s="174">
        <v>3301</v>
      </c>
      <c r="J69" s="177" t="s">
        <v>1564</v>
      </c>
      <c r="K69" s="177" t="s">
        <v>367</v>
      </c>
      <c r="L69" s="174" t="s">
        <v>41</v>
      </c>
      <c r="M69" s="177" t="s">
        <v>368</v>
      </c>
      <c r="N69" s="174">
        <v>3301070</v>
      </c>
      <c r="O69" s="177" t="s">
        <v>369</v>
      </c>
      <c r="P69" s="174" t="s">
        <v>41</v>
      </c>
      <c r="Q69" s="177" t="s">
        <v>370</v>
      </c>
      <c r="R69" s="174">
        <v>330107000</v>
      </c>
      <c r="S69" s="177" t="s">
        <v>86</v>
      </c>
      <c r="T69" s="191" t="s">
        <v>1637</v>
      </c>
      <c r="U69" s="52">
        <v>0.3</v>
      </c>
      <c r="V69" s="191" t="s">
        <v>362</v>
      </c>
      <c r="W69" s="177" t="s">
        <v>363</v>
      </c>
      <c r="X69" s="177" t="s">
        <v>364</v>
      </c>
      <c r="Y69" s="276"/>
      <c r="Z69" s="234"/>
      <c r="AA69" s="234"/>
      <c r="AB69" s="234"/>
      <c r="AC69" s="234"/>
      <c r="AD69" s="234"/>
      <c r="AE69" s="234"/>
      <c r="AF69" s="234"/>
      <c r="AG69" s="234"/>
      <c r="AH69" s="234"/>
      <c r="AI69" s="190">
        <v>20000000</v>
      </c>
      <c r="AJ69" s="235"/>
      <c r="AK69" s="234"/>
      <c r="AL69" s="234"/>
      <c r="AM69" s="218">
        <f>+Y69+Z69+AA69+AB69+AC69+AD69+AE69+AF69+AG69+AH69+AI69+AJ69+AK69</f>
        <v>20000000</v>
      </c>
      <c r="AN69" s="191" t="s">
        <v>1615</v>
      </c>
      <c r="AO69" s="188"/>
    </row>
    <row r="70" spans="1:43" s="26" customFormat="1" ht="96" customHeight="1" x14ac:dyDescent="0.2">
      <c r="A70" s="178">
        <v>310</v>
      </c>
      <c r="B70" s="177" t="s">
        <v>1586</v>
      </c>
      <c r="C70" s="174">
        <v>1</v>
      </c>
      <c r="D70" s="177" t="s">
        <v>1580</v>
      </c>
      <c r="E70" s="174">
        <v>33</v>
      </c>
      <c r="F70" s="232" t="s">
        <v>166</v>
      </c>
      <c r="G70" s="174">
        <v>3301</v>
      </c>
      <c r="H70" s="177" t="s">
        <v>167</v>
      </c>
      <c r="I70" s="174">
        <v>3301</v>
      </c>
      <c r="J70" s="177" t="s">
        <v>1564</v>
      </c>
      <c r="K70" s="177" t="s">
        <v>168</v>
      </c>
      <c r="L70" s="174">
        <v>3301099</v>
      </c>
      <c r="M70" s="177" t="s">
        <v>1463</v>
      </c>
      <c r="N70" s="174">
        <v>3301099</v>
      </c>
      <c r="O70" s="177" t="s">
        <v>1463</v>
      </c>
      <c r="P70" s="174">
        <v>330109900</v>
      </c>
      <c r="Q70" s="177" t="s">
        <v>1464</v>
      </c>
      <c r="R70" s="174">
        <v>330109900</v>
      </c>
      <c r="S70" s="177" t="s">
        <v>1464</v>
      </c>
      <c r="T70" s="191" t="s">
        <v>1635</v>
      </c>
      <c r="U70" s="52">
        <v>1</v>
      </c>
      <c r="V70" s="191" t="s">
        <v>362</v>
      </c>
      <c r="W70" s="177" t="s">
        <v>363</v>
      </c>
      <c r="X70" s="177" t="s">
        <v>364</v>
      </c>
      <c r="Y70" s="276"/>
      <c r="Z70" s="234"/>
      <c r="AA70" s="234"/>
      <c r="AB70" s="234"/>
      <c r="AC70" s="234"/>
      <c r="AD70" s="234"/>
      <c r="AE70" s="234"/>
      <c r="AF70" s="234"/>
      <c r="AG70" s="234"/>
      <c r="AH70" s="234"/>
      <c r="AI70" s="190">
        <v>5400000</v>
      </c>
      <c r="AJ70" s="235"/>
      <c r="AK70" s="234"/>
      <c r="AL70" s="234"/>
      <c r="AM70" s="218">
        <f>+Y70+Z70+AA70+AB70+AC70+AD70+AE70+AF70+AG70+AH70+AI70+AJ70+AK70</f>
        <v>5400000</v>
      </c>
      <c r="AN70" s="191" t="s">
        <v>1615</v>
      </c>
      <c r="AO70" s="188"/>
    </row>
    <row r="71" spans="1:43" s="26" customFormat="1" ht="139.5" customHeight="1" x14ac:dyDescent="0.2">
      <c r="A71" s="178">
        <v>310</v>
      </c>
      <c r="B71" s="177" t="s">
        <v>1586</v>
      </c>
      <c r="C71" s="174">
        <v>1</v>
      </c>
      <c r="D71" s="177" t="s">
        <v>1580</v>
      </c>
      <c r="E71" s="174">
        <v>33</v>
      </c>
      <c r="F71" s="232" t="s">
        <v>166</v>
      </c>
      <c r="G71" s="174">
        <v>3301</v>
      </c>
      <c r="H71" s="177" t="s">
        <v>167</v>
      </c>
      <c r="I71" s="174">
        <v>3301</v>
      </c>
      <c r="J71" s="177" t="s">
        <v>1564</v>
      </c>
      <c r="K71" s="177" t="s">
        <v>360</v>
      </c>
      <c r="L71" s="174">
        <v>3301052</v>
      </c>
      <c r="M71" s="177" t="s">
        <v>371</v>
      </c>
      <c r="N71" s="174">
        <v>3301052</v>
      </c>
      <c r="O71" s="177" t="s">
        <v>371</v>
      </c>
      <c r="P71" s="277">
        <v>330105203</v>
      </c>
      <c r="Q71" s="177" t="s">
        <v>372</v>
      </c>
      <c r="R71" s="277">
        <v>330105203</v>
      </c>
      <c r="S71" s="177" t="s">
        <v>372</v>
      </c>
      <c r="T71" s="191" t="s">
        <v>1635</v>
      </c>
      <c r="U71" s="52">
        <v>135</v>
      </c>
      <c r="V71" s="191" t="s">
        <v>362</v>
      </c>
      <c r="W71" s="177" t="s">
        <v>363</v>
      </c>
      <c r="X71" s="177" t="s">
        <v>364</v>
      </c>
      <c r="Y71" s="276"/>
      <c r="Z71" s="234"/>
      <c r="AA71" s="234"/>
      <c r="AB71" s="234"/>
      <c r="AC71" s="234"/>
      <c r="AD71" s="234"/>
      <c r="AE71" s="234"/>
      <c r="AF71" s="234"/>
      <c r="AG71" s="234"/>
      <c r="AH71" s="234"/>
      <c r="AI71" s="190">
        <v>18000000</v>
      </c>
      <c r="AJ71" s="235"/>
      <c r="AK71" s="234"/>
      <c r="AL71" s="234"/>
      <c r="AM71" s="218">
        <f>+Y71+Z71+AA71+AB71+AC71+AD71+AE71+AF71+AG71+AH71+AI71+AJ71+AK71</f>
        <v>18000000</v>
      </c>
      <c r="AN71" s="191" t="s">
        <v>1615</v>
      </c>
      <c r="AO71" s="188"/>
    </row>
    <row r="72" spans="1:43" s="26" customFormat="1" ht="103.5" customHeight="1" x14ac:dyDescent="0.2">
      <c r="A72" s="178">
        <v>310</v>
      </c>
      <c r="B72" s="177" t="s">
        <v>1586</v>
      </c>
      <c r="C72" s="174">
        <v>1</v>
      </c>
      <c r="D72" s="177" t="s">
        <v>1580</v>
      </c>
      <c r="E72" s="174">
        <v>33</v>
      </c>
      <c r="F72" s="232" t="s">
        <v>166</v>
      </c>
      <c r="G72" s="174">
        <v>3301</v>
      </c>
      <c r="H72" s="177" t="s">
        <v>167</v>
      </c>
      <c r="I72" s="174">
        <v>3301</v>
      </c>
      <c r="J72" s="177" t="s">
        <v>1564</v>
      </c>
      <c r="K72" s="177" t="s">
        <v>373</v>
      </c>
      <c r="L72" s="174">
        <v>3301085</v>
      </c>
      <c r="M72" s="177" t="s">
        <v>374</v>
      </c>
      <c r="N72" s="174">
        <v>3301085</v>
      </c>
      <c r="O72" s="177" t="s">
        <v>374</v>
      </c>
      <c r="P72" s="174" t="s">
        <v>375</v>
      </c>
      <c r="Q72" s="177" t="s">
        <v>376</v>
      </c>
      <c r="R72" s="174">
        <v>330108500</v>
      </c>
      <c r="S72" s="177" t="s">
        <v>376</v>
      </c>
      <c r="T72" s="191" t="s">
        <v>1637</v>
      </c>
      <c r="U72" s="52">
        <v>40000</v>
      </c>
      <c r="V72" s="191" t="s">
        <v>377</v>
      </c>
      <c r="W72" s="177" t="s">
        <v>378</v>
      </c>
      <c r="X72" s="177" t="s">
        <v>379</v>
      </c>
      <c r="Y72" s="276">
        <v>235000000</v>
      </c>
      <c r="Z72" s="234"/>
      <c r="AA72" s="234"/>
      <c r="AB72" s="234"/>
      <c r="AC72" s="234"/>
      <c r="AD72" s="234"/>
      <c r="AE72" s="234"/>
      <c r="AF72" s="234"/>
      <c r="AG72" s="234"/>
      <c r="AH72" s="234"/>
      <c r="AI72" s="216">
        <v>14000000</v>
      </c>
      <c r="AJ72" s="235"/>
      <c r="AK72" s="234">
        <v>12090000</v>
      </c>
      <c r="AL72" s="234"/>
      <c r="AM72" s="218">
        <f>+Y72+Z72+AA72+AB72+AC72+AD72+AE72+AF72+AG72+AH72+AI72+AJ72+AK72</f>
        <v>261090000</v>
      </c>
      <c r="AN72" s="191" t="s">
        <v>1615</v>
      </c>
      <c r="AO72" s="188"/>
      <c r="AP72" s="188"/>
      <c r="AQ72" s="188"/>
    </row>
    <row r="73" spans="1:43" s="26" customFormat="1" ht="100.5" customHeight="1" x14ac:dyDescent="0.2">
      <c r="A73" s="178">
        <v>310</v>
      </c>
      <c r="B73" s="177" t="s">
        <v>1586</v>
      </c>
      <c r="C73" s="174">
        <v>1</v>
      </c>
      <c r="D73" s="177" t="s">
        <v>1580</v>
      </c>
      <c r="E73" s="174">
        <v>33</v>
      </c>
      <c r="F73" s="232" t="s">
        <v>166</v>
      </c>
      <c r="G73" s="174">
        <v>3301</v>
      </c>
      <c r="H73" s="177" t="s">
        <v>167</v>
      </c>
      <c r="I73" s="174">
        <v>3301</v>
      </c>
      <c r="J73" s="177" t="s">
        <v>1564</v>
      </c>
      <c r="K73" s="177" t="s">
        <v>373</v>
      </c>
      <c r="L73" s="174">
        <v>3301100</v>
      </c>
      <c r="M73" s="177" t="s">
        <v>380</v>
      </c>
      <c r="N73" s="174">
        <v>3301100</v>
      </c>
      <c r="O73" s="177" t="s">
        <v>380</v>
      </c>
      <c r="P73" s="277" t="s">
        <v>381</v>
      </c>
      <c r="Q73" s="177" t="s">
        <v>382</v>
      </c>
      <c r="R73" s="277">
        <v>330110000</v>
      </c>
      <c r="S73" s="177" t="s">
        <v>382</v>
      </c>
      <c r="T73" s="191" t="s">
        <v>1637</v>
      </c>
      <c r="U73" s="52">
        <f>10+5</f>
        <v>15</v>
      </c>
      <c r="V73" s="191" t="s">
        <v>377</v>
      </c>
      <c r="W73" s="177" t="s">
        <v>378</v>
      </c>
      <c r="X73" s="177" t="s">
        <v>379</v>
      </c>
      <c r="Y73" s="276">
        <v>64013297.600000001</v>
      </c>
      <c r="Z73" s="234"/>
      <c r="AA73" s="234"/>
      <c r="AB73" s="234"/>
      <c r="AC73" s="234"/>
      <c r="AD73" s="234"/>
      <c r="AE73" s="234"/>
      <c r="AF73" s="234"/>
      <c r="AG73" s="234"/>
      <c r="AH73" s="234"/>
      <c r="AI73" s="216">
        <v>8000000</v>
      </c>
      <c r="AJ73" s="235"/>
      <c r="AK73" s="234"/>
      <c r="AL73" s="234"/>
      <c r="AM73" s="218">
        <f>+Y73+Z73+AA73+AB73+AC73+AD73+AE73+AF73+AG73+AH73+AI73+AJ73+AK73</f>
        <v>72013297.599999994</v>
      </c>
      <c r="AN73" s="191" t="s">
        <v>1615</v>
      </c>
      <c r="AO73" s="188"/>
    </row>
    <row r="74" spans="1:43" s="26" customFormat="1" ht="111.75" customHeight="1" x14ac:dyDescent="0.2">
      <c r="A74" s="178">
        <v>310</v>
      </c>
      <c r="B74" s="177" t="s">
        <v>1586</v>
      </c>
      <c r="C74" s="174">
        <v>1</v>
      </c>
      <c r="D74" s="177" t="s">
        <v>1580</v>
      </c>
      <c r="E74" s="174">
        <v>33</v>
      </c>
      <c r="F74" s="232" t="s">
        <v>166</v>
      </c>
      <c r="G74" s="174">
        <v>3301</v>
      </c>
      <c r="H74" s="177" t="s">
        <v>167</v>
      </c>
      <c r="I74" s="174">
        <v>3301</v>
      </c>
      <c r="J74" s="177" t="s">
        <v>1564</v>
      </c>
      <c r="K74" s="177" t="s">
        <v>168</v>
      </c>
      <c r="L74" s="174">
        <v>3301095</v>
      </c>
      <c r="M74" s="177" t="s">
        <v>383</v>
      </c>
      <c r="N74" s="174">
        <v>3301095</v>
      </c>
      <c r="O74" s="177" t="s">
        <v>383</v>
      </c>
      <c r="P74" s="174" t="s">
        <v>384</v>
      </c>
      <c r="Q74" s="177" t="s">
        <v>385</v>
      </c>
      <c r="R74" s="174" t="s">
        <v>384</v>
      </c>
      <c r="S74" s="177" t="s">
        <v>385</v>
      </c>
      <c r="T74" s="191" t="s">
        <v>1637</v>
      </c>
      <c r="U74" s="52">
        <v>150</v>
      </c>
      <c r="V74" s="191" t="s">
        <v>386</v>
      </c>
      <c r="W74" s="175" t="s">
        <v>387</v>
      </c>
      <c r="X74" s="175" t="s">
        <v>388</v>
      </c>
      <c r="Y74" s="276">
        <v>1401227081.52</v>
      </c>
      <c r="Z74" s="234"/>
      <c r="AA74" s="234"/>
      <c r="AB74" s="234"/>
      <c r="AC74" s="234"/>
      <c r="AD74" s="234"/>
      <c r="AE74" s="234"/>
      <c r="AF74" s="234"/>
      <c r="AG74" s="234"/>
      <c r="AH74" s="234"/>
      <c r="AI74" s="190"/>
      <c r="AJ74" s="235"/>
      <c r="AK74" s="234"/>
      <c r="AL74" s="234"/>
      <c r="AM74" s="218">
        <f>+Y74+Z74+AA74+AB74+AC74+AD74+AE74+AF74+AG74+AH74+AI74+AJ74+AK74</f>
        <v>1401227081.52</v>
      </c>
      <c r="AN74" s="191" t="s">
        <v>1615</v>
      </c>
      <c r="AO74" s="188"/>
    </row>
    <row r="75" spans="1:43" s="26" customFormat="1" ht="123" customHeight="1" x14ac:dyDescent="0.2">
      <c r="A75" s="178">
        <v>310</v>
      </c>
      <c r="B75" s="177" t="s">
        <v>1586</v>
      </c>
      <c r="C75" s="174">
        <v>1</v>
      </c>
      <c r="D75" s="177" t="s">
        <v>1580</v>
      </c>
      <c r="E75" s="174">
        <v>33</v>
      </c>
      <c r="F75" s="232" t="s">
        <v>166</v>
      </c>
      <c r="G75" s="174">
        <v>3302</v>
      </c>
      <c r="H75" s="269" t="s">
        <v>389</v>
      </c>
      <c r="I75" s="174">
        <v>3302</v>
      </c>
      <c r="J75" s="269" t="s">
        <v>1565</v>
      </c>
      <c r="K75" s="177" t="s">
        <v>390</v>
      </c>
      <c r="L75" s="261">
        <v>3302042</v>
      </c>
      <c r="M75" s="177" t="s">
        <v>391</v>
      </c>
      <c r="N75" s="261">
        <v>3302042</v>
      </c>
      <c r="O75" s="177" t="s">
        <v>391</v>
      </c>
      <c r="P75" s="174" t="s">
        <v>392</v>
      </c>
      <c r="Q75" s="177" t="s">
        <v>393</v>
      </c>
      <c r="R75" s="174" t="s">
        <v>392</v>
      </c>
      <c r="S75" s="177" t="s">
        <v>393</v>
      </c>
      <c r="T75" s="191" t="s">
        <v>1637</v>
      </c>
      <c r="U75" s="52">
        <v>12</v>
      </c>
      <c r="V75" s="191" t="s">
        <v>394</v>
      </c>
      <c r="W75" s="175" t="s">
        <v>395</v>
      </c>
      <c r="X75" s="264" t="s">
        <v>396</v>
      </c>
      <c r="Y75" s="234"/>
      <c r="Z75" s="234"/>
      <c r="AA75" s="234"/>
      <c r="AB75" s="234"/>
      <c r="AC75" s="234"/>
      <c r="AD75" s="234"/>
      <c r="AE75" s="234"/>
      <c r="AF75" s="234"/>
      <c r="AG75" s="234"/>
      <c r="AH75" s="234"/>
      <c r="AI75" s="190">
        <v>66500000</v>
      </c>
      <c r="AJ75" s="235"/>
      <c r="AK75" s="267"/>
      <c r="AL75" s="267"/>
      <c r="AM75" s="218">
        <f>+Y75+Z75+AA75+AB75+AC75+AD75+AE75+AF75+AG75+AH75+AI75+AJ75+AK75</f>
        <v>66500000</v>
      </c>
      <c r="AN75" s="191" t="s">
        <v>1615</v>
      </c>
      <c r="AO75" s="188"/>
    </row>
    <row r="76" spans="1:43" s="26" customFormat="1" ht="130.5" customHeight="1" x14ac:dyDescent="0.2">
      <c r="A76" s="178">
        <v>310</v>
      </c>
      <c r="B76" s="177" t="s">
        <v>1586</v>
      </c>
      <c r="C76" s="174">
        <v>1</v>
      </c>
      <c r="D76" s="177" t="s">
        <v>1580</v>
      </c>
      <c r="E76" s="174">
        <v>33</v>
      </c>
      <c r="F76" s="232" t="s">
        <v>166</v>
      </c>
      <c r="G76" s="174">
        <v>3302</v>
      </c>
      <c r="H76" s="269" t="s">
        <v>389</v>
      </c>
      <c r="I76" s="174">
        <v>3302</v>
      </c>
      <c r="J76" s="269" t="s">
        <v>1565</v>
      </c>
      <c r="K76" s="177" t="s">
        <v>390</v>
      </c>
      <c r="L76" s="261">
        <v>3302070</v>
      </c>
      <c r="M76" s="177" t="s">
        <v>397</v>
      </c>
      <c r="N76" s="261">
        <v>3302070</v>
      </c>
      <c r="O76" s="177" t="s">
        <v>397</v>
      </c>
      <c r="P76" s="277" t="s">
        <v>398</v>
      </c>
      <c r="Q76" s="177" t="s">
        <v>382</v>
      </c>
      <c r="R76" s="277" t="s">
        <v>398</v>
      </c>
      <c r="S76" s="177" t="s">
        <v>382</v>
      </c>
      <c r="T76" s="191" t="s">
        <v>1635</v>
      </c>
      <c r="U76" s="52">
        <v>4</v>
      </c>
      <c r="V76" s="191" t="s">
        <v>394</v>
      </c>
      <c r="W76" s="175" t="s">
        <v>395</v>
      </c>
      <c r="X76" s="264" t="s">
        <v>396</v>
      </c>
      <c r="Y76" s="242"/>
      <c r="Z76" s="234"/>
      <c r="AA76" s="234"/>
      <c r="AB76" s="234"/>
      <c r="AC76" s="234"/>
      <c r="AD76" s="234"/>
      <c r="AE76" s="234"/>
      <c r="AF76" s="234"/>
      <c r="AG76" s="234"/>
      <c r="AH76" s="234"/>
      <c r="AI76" s="190">
        <v>66500000</v>
      </c>
      <c r="AJ76" s="278">
        <v>141198236.30000001</v>
      </c>
      <c r="AK76" s="267"/>
      <c r="AL76" s="267"/>
      <c r="AM76" s="218">
        <f>+Y76+Z76+AA76+AB76+AC76+AD76+AE76+AF76+AG76+AH76+AI76+AJ76+AK76</f>
        <v>207698236.30000001</v>
      </c>
      <c r="AN76" s="191" t="s">
        <v>1615</v>
      </c>
      <c r="AO76" s="188"/>
    </row>
    <row r="77" spans="1:43" s="26" customFormat="1" ht="72.75" customHeight="1" x14ac:dyDescent="0.2">
      <c r="A77" s="178">
        <v>311</v>
      </c>
      <c r="B77" s="177" t="s">
        <v>1589</v>
      </c>
      <c r="C77" s="174">
        <v>2</v>
      </c>
      <c r="D77" s="177" t="s">
        <v>1587</v>
      </c>
      <c r="E77" s="174">
        <v>35</v>
      </c>
      <c r="F77" s="177" t="s">
        <v>401</v>
      </c>
      <c r="G77" s="174">
        <v>3502</v>
      </c>
      <c r="H77" s="177" t="s">
        <v>1549</v>
      </c>
      <c r="I77" s="174">
        <v>3502</v>
      </c>
      <c r="J77" s="177" t="s">
        <v>1548</v>
      </c>
      <c r="K77" s="177" t="s">
        <v>403</v>
      </c>
      <c r="L77" s="178">
        <v>3502006</v>
      </c>
      <c r="M77" s="177" t="s">
        <v>404</v>
      </c>
      <c r="N77" s="178">
        <v>3502006</v>
      </c>
      <c r="O77" s="177" t="s">
        <v>404</v>
      </c>
      <c r="P77" s="174" t="s">
        <v>405</v>
      </c>
      <c r="Q77" s="177" t="s">
        <v>406</v>
      </c>
      <c r="R77" s="174" t="s">
        <v>405</v>
      </c>
      <c r="S77" s="177" t="s">
        <v>406</v>
      </c>
      <c r="T77" s="191" t="s">
        <v>1637</v>
      </c>
      <c r="U77" s="52">
        <v>1</v>
      </c>
      <c r="V77" s="191" t="s">
        <v>407</v>
      </c>
      <c r="W77" s="175" t="s">
        <v>408</v>
      </c>
      <c r="X77" s="264" t="s">
        <v>409</v>
      </c>
      <c r="Y77" s="234"/>
      <c r="Z77" s="234"/>
      <c r="AA77" s="234"/>
      <c r="AB77" s="234"/>
      <c r="AC77" s="234"/>
      <c r="AD77" s="234"/>
      <c r="AE77" s="234"/>
      <c r="AF77" s="234"/>
      <c r="AG77" s="234"/>
      <c r="AH77" s="234"/>
      <c r="AI77" s="239">
        <v>27000000</v>
      </c>
      <c r="AJ77" s="234"/>
      <c r="AK77" s="234"/>
      <c r="AL77" s="234"/>
      <c r="AM77" s="218">
        <f>+Y77+Z77+AA77+AB77+AC77+AD77+AE77+AF77+AG77+AH77+AI77+AJ77+AK77</f>
        <v>27000000</v>
      </c>
      <c r="AN77" s="212" t="s">
        <v>1616</v>
      </c>
      <c r="AO77" s="188"/>
    </row>
    <row r="78" spans="1:43" s="26" customFormat="1" ht="87" customHeight="1" x14ac:dyDescent="0.2">
      <c r="A78" s="178">
        <v>311</v>
      </c>
      <c r="B78" s="177" t="s">
        <v>1589</v>
      </c>
      <c r="C78" s="174">
        <v>2</v>
      </c>
      <c r="D78" s="177" t="s">
        <v>1587</v>
      </c>
      <c r="E78" s="174">
        <v>35</v>
      </c>
      <c r="F78" s="177" t="s">
        <v>401</v>
      </c>
      <c r="G78" s="174">
        <v>3502</v>
      </c>
      <c r="H78" s="177" t="s">
        <v>1549</v>
      </c>
      <c r="I78" s="174">
        <v>3502</v>
      </c>
      <c r="J78" s="177" t="s">
        <v>1548</v>
      </c>
      <c r="K78" s="177" t="s">
        <v>403</v>
      </c>
      <c r="L78" s="178">
        <v>3502007</v>
      </c>
      <c r="M78" s="177" t="s">
        <v>410</v>
      </c>
      <c r="N78" s="178">
        <v>3502007</v>
      </c>
      <c r="O78" s="177" t="s">
        <v>410</v>
      </c>
      <c r="P78" s="174" t="s">
        <v>411</v>
      </c>
      <c r="Q78" s="177" t="s">
        <v>412</v>
      </c>
      <c r="R78" s="174" t="s">
        <v>411</v>
      </c>
      <c r="S78" s="177" t="s">
        <v>412</v>
      </c>
      <c r="T78" s="191" t="s">
        <v>1635</v>
      </c>
      <c r="U78" s="52">
        <v>7</v>
      </c>
      <c r="V78" s="191" t="s">
        <v>407</v>
      </c>
      <c r="W78" s="175" t="s">
        <v>408</v>
      </c>
      <c r="X78" s="264" t="s">
        <v>409</v>
      </c>
      <c r="Y78" s="234"/>
      <c r="Z78" s="234"/>
      <c r="AA78" s="234"/>
      <c r="AB78" s="234"/>
      <c r="AC78" s="234"/>
      <c r="AD78" s="234"/>
      <c r="AE78" s="234"/>
      <c r="AF78" s="234"/>
      <c r="AG78" s="234"/>
      <c r="AH78" s="234"/>
      <c r="AI78" s="309">
        <f>50000000+66000000</f>
        <v>116000000</v>
      </c>
      <c r="AJ78" s="234"/>
      <c r="AK78" s="234"/>
      <c r="AL78" s="234"/>
      <c r="AM78" s="218">
        <f>+Y78+Z78+AA78+AB78+AC78+AD78+AE78+AF78+AG78+AH78+AI78+AJ78+AK78</f>
        <v>116000000</v>
      </c>
      <c r="AN78" s="212" t="s">
        <v>1616</v>
      </c>
      <c r="AO78" s="188"/>
    </row>
    <row r="79" spans="1:43" s="26" customFormat="1" ht="68.25" customHeight="1" x14ac:dyDescent="0.2">
      <c r="A79" s="178">
        <v>311</v>
      </c>
      <c r="B79" s="177" t="s">
        <v>1589</v>
      </c>
      <c r="C79" s="174">
        <v>2</v>
      </c>
      <c r="D79" s="177" t="s">
        <v>1587</v>
      </c>
      <c r="E79" s="174">
        <v>35</v>
      </c>
      <c r="F79" s="177" t="s">
        <v>401</v>
      </c>
      <c r="G79" s="174">
        <v>3502</v>
      </c>
      <c r="H79" s="177" t="s">
        <v>1549</v>
      </c>
      <c r="I79" s="174">
        <v>3502</v>
      </c>
      <c r="J79" s="177" t="s">
        <v>1548</v>
      </c>
      <c r="K79" s="177" t="s">
        <v>403</v>
      </c>
      <c r="L79" s="249">
        <v>3502022</v>
      </c>
      <c r="M79" s="177" t="s">
        <v>1465</v>
      </c>
      <c r="N79" s="249">
        <v>3502022</v>
      </c>
      <c r="O79" s="177" t="s">
        <v>1465</v>
      </c>
      <c r="P79" s="50" t="s">
        <v>413</v>
      </c>
      <c r="Q79" s="177" t="s">
        <v>414</v>
      </c>
      <c r="R79" s="50" t="s">
        <v>413</v>
      </c>
      <c r="S79" s="177" t="s">
        <v>414</v>
      </c>
      <c r="T79" s="191" t="s">
        <v>1635</v>
      </c>
      <c r="U79" s="52">
        <v>14</v>
      </c>
      <c r="V79" s="191" t="s">
        <v>415</v>
      </c>
      <c r="W79" s="175" t="s">
        <v>416</v>
      </c>
      <c r="X79" s="264" t="s">
        <v>417</v>
      </c>
      <c r="Y79" s="234"/>
      <c r="Z79" s="234"/>
      <c r="AA79" s="234"/>
      <c r="AB79" s="234"/>
      <c r="AC79" s="234"/>
      <c r="AD79" s="234"/>
      <c r="AE79" s="234"/>
      <c r="AF79" s="234"/>
      <c r="AG79" s="234"/>
      <c r="AH79" s="234"/>
      <c r="AI79" s="309">
        <f>90000000-60000000</f>
        <v>30000000</v>
      </c>
      <c r="AJ79" s="234"/>
      <c r="AK79" s="234"/>
      <c r="AL79" s="234"/>
      <c r="AM79" s="218">
        <f>+Y79+Z79+AA79+AB79+AC79+AD79+AE79+AF79+AG79+AH79+AI79+AJ79+AK79</f>
        <v>30000000</v>
      </c>
      <c r="AN79" s="212" t="s">
        <v>1616</v>
      </c>
      <c r="AO79" s="188"/>
    </row>
    <row r="80" spans="1:43" s="26" customFormat="1" ht="84.75" customHeight="1" x14ac:dyDescent="0.2">
      <c r="A80" s="178">
        <v>311</v>
      </c>
      <c r="B80" s="177" t="s">
        <v>1589</v>
      </c>
      <c r="C80" s="174">
        <v>2</v>
      </c>
      <c r="D80" s="177" t="s">
        <v>1587</v>
      </c>
      <c r="E80" s="174">
        <v>35</v>
      </c>
      <c r="F80" s="177" t="s">
        <v>401</v>
      </c>
      <c r="G80" s="174">
        <v>3502</v>
      </c>
      <c r="H80" s="177" t="s">
        <v>1549</v>
      </c>
      <c r="I80" s="174">
        <v>3502</v>
      </c>
      <c r="J80" s="177" t="s">
        <v>1548</v>
      </c>
      <c r="K80" s="177" t="s">
        <v>403</v>
      </c>
      <c r="L80" s="249">
        <v>3502047</v>
      </c>
      <c r="M80" s="177" t="s">
        <v>233</v>
      </c>
      <c r="N80" s="249">
        <v>3502047</v>
      </c>
      <c r="O80" s="177" t="s">
        <v>233</v>
      </c>
      <c r="P80" s="50" t="s">
        <v>418</v>
      </c>
      <c r="Q80" s="256" t="s">
        <v>235</v>
      </c>
      <c r="R80" s="50" t="s">
        <v>418</v>
      </c>
      <c r="S80" s="256" t="s">
        <v>235</v>
      </c>
      <c r="T80" s="191" t="s">
        <v>1637</v>
      </c>
      <c r="U80" s="52">
        <v>0.7</v>
      </c>
      <c r="V80" s="191" t="s">
        <v>415</v>
      </c>
      <c r="W80" s="175" t="s">
        <v>416</v>
      </c>
      <c r="X80" s="264" t="s">
        <v>417</v>
      </c>
      <c r="Y80" s="234"/>
      <c r="Z80" s="234"/>
      <c r="AA80" s="234"/>
      <c r="AB80" s="234"/>
      <c r="AC80" s="234"/>
      <c r="AD80" s="234"/>
      <c r="AE80" s="234"/>
      <c r="AF80" s="234"/>
      <c r="AG80" s="234"/>
      <c r="AH80" s="234"/>
      <c r="AI80" s="309">
        <f>130000000+30000000-66000000</f>
        <v>94000000</v>
      </c>
      <c r="AJ80" s="234"/>
      <c r="AK80" s="234"/>
      <c r="AL80" s="234"/>
      <c r="AM80" s="218">
        <f>+Y80+Z80+AA80+AB80+AC80+AD80+AE80+AF80+AG80+AH80+AI80+AJ80+AK80</f>
        <v>94000000</v>
      </c>
      <c r="AN80" s="212" t="s">
        <v>1616</v>
      </c>
      <c r="AO80" s="188"/>
    </row>
    <row r="81" spans="1:41" s="26" customFormat="1" ht="126" customHeight="1" x14ac:dyDescent="0.2">
      <c r="A81" s="178">
        <v>311</v>
      </c>
      <c r="B81" s="177" t="s">
        <v>1589</v>
      </c>
      <c r="C81" s="174">
        <v>2</v>
      </c>
      <c r="D81" s="177" t="s">
        <v>1587</v>
      </c>
      <c r="E81" s="174">
        <v>35</v>
      </c>
      <c r="F81" s="177" t="s">
        <v>401</v>
      </c>
      <c r="G81" s="174">
        <v>3502</v>
      </c>
      <c r="H81" s="177" t="s">
        <v>1549</v>
      </c>
      <c r="I81" s="174">
        <v>3502</v>
      </c>
      <c r="J81" s="177" t="s">
        <v>1548</v>
      </c>
      <c r="K81" s="177" t="s">
        <v>420</v>
      </c>
      <c r="L81" s="249">
        <v>3502039</v>
      </c>
      <c r="M81" s="177" t="s">
        <v>421</v>
      </c>
      <c r="N81" s="249">
        <v>3502039</v>
      </c>
      <c r="O81" s="177" t="s">
        <v>421</v>
      </c>
      <c r="P81" s="174" t="s">
        <v>422</v>
      </c>
      <c r="Q81" s="177" t="s">
        <v>105</v>
      </c>
      <c r="R81" s="174" t="s">
        <v>422</v>
      </c>
      <c r="S81" s="177" t="s">
        <v>105</v>
      </c>
      <c r="T81" s="191" t="s">
        <v>1635</v>
      </c>
      <c r="U81" s="52">
        <v>12</v>
      </c>
      <c r="V81" s="191" t="s">
        <v>423</v>
      </c>
      <c r="W81" s="175" t="s">
        <v>424</v>
      </c>
      <c r="X81" s="264" t="s">
        <v>425</v>
      </c>
      <c r="Y81" s="234"/>
      <c r="Z81" s="234"/>
      <c r="AA81" s="234"/>
      <c r="AB81" s="234"/>
      <c r="AC81" s="234"/>
      <c r="AD81" s="234"/>
      <c r="AE81" s="234"/>
      <c r="AF81" s="234"/>
      <c r="AG81" s="234"/>
      <c r="AH81" s="234"/>
      <c r="AI81" s="309">
        <v>175000000</v>
      </c>
      <c r="AJ81" s="234"/>
      <c r="AK81" s="234"/>
      <c r="AL81" s="234"/>
      <c r="AM81" s="218">
        <f>+Y81+Z81+AA81+AB81+AC81+AD81+AE81+AF81+AG81+AH81+AI81+AJ81+AK81</f>
        <v>175000000</v>
      </c>
      <c r="AN81" s="212" t="s">
        <v>1616</v>
      </c>
      <c r="AO81" s="188"/>
    </row>
    <row r="82" spans="1:41" s="26" customFormat="1" ht="116.25" customHeight="1" x14ac:dyDescent="0.2">
      <c r="A82" s="178">
        <v>311</v>
      </c>
      <c r="B82" s="177" t="s">
        <v>1589</v>
      </c>
      <c r="C82" s="174">
        <v>2</v>
      </c>
      <c r="D82" s="177" t="s">
        <v>1587</v>
      </c>
      <c r="E82" s="174">
        <v>35</v>
      </c>
      <c r="F82" s="177" t="s">
        <v>401</v>
      </c>
      <c r="G82" s="174">
        <v>3502</v>
      </c>
      <c r="H82" s="177" t="s">
        <v>1549</v>
      </c>
      <c r="I82" s="174">
        <v>3502</v>
      </c>
      <c r="J82" s="177" t="s">
        <v>1548</v>
      </c>
      <c r="K82" s="177" t="s">
        <v>403</v>
      </c>
      <c r="L82" s="249">
        <v>3502047</v>
      </c>
      <c r="M82" s="177" t="s">
        <v>233</v>
      </c>
      <c r="N82" s="249">
        <v>3502047</v>
      </c>
      <c r="O82" s="177" t="s">
        <v>233</v>
      </c>
      <c r="P82" s="174" t="s">
        <v>418</v>
      </c>
      <c r="Q82" s="177" t="s">
        <v>235</v>
      </c>
      <c r="R82" s="174" t="s">
        <v>418</v>
      </c>
      <c r="S82" s="177" t="s">
        <v>235</v>
      </c>
      <c r="T82" s="191" t="s">
        <v>1637</v>
      </c>
      <c r="U82" s="52" t="s">
        <v>419</v>
      </c>
      <c r="V82" s="191" t="s">
        <v>423</v>
      </c>
      <c r="W82" s="175" t="s">
        <v>424</v>
      </c>
      <c r="X82" s="264" t="s">
        <v>425</v>
      </c>
      <c r="Y82" s="234"/>
      <c r="Z82" s="234"/>
      <c r="AA82" s="234"/>
      <c r="AB82" s="234"/>
      <c r="AC82" s="234"/>
      <c r="AD82" s="234"/>
      <c r="AE82" s="234"/>
      <c r="AF82" s="234"/>
      <c r="AG82" s="234"/>
      <c r="AH82" s="234"/>
      <c r="AI82" s="239">
        <v>18000000</v>
      </c>
      <c r="AJ82" s="234"/>
      <c r="AK82" s="234"/>
      <c r="AL82" s="234"/>
      <c r="AM82" s="218">
        <f>+Y82+Z82+AA82+AB82+AC82+AD82+AE82+AF82+AG82+AH82+AI82+AJ82+AK82</f>
        <v>18000000</v>
      </c>
      <c r="AN82" s="212" t="s">
        <v>1616</v>
      </c>
      <c r="AO82" s="188"/>
    </row>
    <row r="83" spans="1:41" s="26" customFormat="1" ht="111" customHeight="1" x14ac:dyDescent="0.2">
      <c r="A83" s="178">
        <v>311</v>
      </c>
      <c r="B83" s="177" t="s">
        <v>1589</v>
      </c>
      <c r="C83" s="174">
        <v>2</v>
      </c>
      <c r="D83" s="177" t="s">
        <v>1587</v>
      </c>
      <c r="E83" s="174">
        <v>35</v>
      </c>
      <c r="F83" s="177" t="s">
        <v>401</v>
      </c>
      <c r="G83" s="174">
        <v>3502</v>
      </c>
      <c r="H83" s="177" t="s">
        <v>1549</v>
      </c>
      <c r="I83" s="174">
        <v>3502</v>
      </c>
      <c r="J83" s="177" t="s">
        <v>1548</v>
      </c>
      <c r="K83" s="177" t="s">
        <v>420</v>
      </c>
      <c r="L83" s="249">
        <v>3502039</v>
      </c>
      <c r="M83" s="177" t="s">
        <v>421</v>
      </c>
      <c r="N83" s="249">
        <v>3502039</v>
      </c>
      <c r="O83" s="177" t="s">
        <v>421</v>
      </c>
      <c r="P83" s="50">
        <v>350203910</v>
      </c>
      <c r="Q83" s="177" t="s">
        <v>426</v>
      </c>
      <c r="R83" s="50">
        <v>350203910</v>
      </c>
      <c r="S83" s="177" t="s">
        <v>426</v>
      </c>
      <c r="T83" s="191" t="s">
        <v>1637</v>
      </c>
      <c r="U83" s="52">
        <v>1</v>
      </c>
      <c r="V83" s="191" t="s">
        <v>423</v>
      </c>
      <c r="W83" s="175" t="s">
        <v>424</v>
      </c>
      <c r="X83" s="264" t="s">
        <v>425</v>
      </c>
      <c r="Y83" s="234"/>
      <c r="Z83" s="234"/>
      <c r="AA83" s="234"/>
      <c r="AB83" s="234"/>
      <c r="AC83" s="234"/>
      <c r="AD83" s="234"/>
      <c r="AE83" s="234"/>
      <c r="AF83" s="234"/>
      <c r="AG83" s="234"/>
      <c r="AH83" s="234"/>
      <c r="AI83" s="239">
        <f>100000000+1498856036</f>
        <v>1598856036</v>
      </c>
      <c r="AJ83" s="234"/>
      <c r="AK83" s="234"/>
      <c r="AL83" s="234"/>
      <c r="AM83" s="218">
        <f>+Y83+Z83+AA83+AB83+AC83+AD83+AE83+AF83+AG83+AH83+AI83+AJ83+AK83</f>
        <v>1598856036</v>
      </c>
      <c r="AN83" s="212" t="s">
        <v>1616</v>
      </c>
      <c r="AO83" s="188"/>
    </row>
    <row r="84" spans="1:41" s="172" customFormat="1" ht="98.25" customHeight="1" x14ac:dyDescent="0.25">
      <c r="A84" s="178">
        <v>311</v>
      </c>
      <c r="B84" s="177" t="s">
        <v>1589</v>
      </c>
      <c r="C84" s="174">
        <v>2</v>
      </c>
      <c r="D84" s="177" t="s">
        <v>1587</v>
      </c>
      <c r="E84" s="174">
        <v>35</v>
      </c>
      <c r="F84" s="177" t="s">
        <v>401</v>
      </c>
      <c r="G84" s="174">
        <v>3502</v>
      </c>
      <c r="H84" s="177" t="s">
        <v>1549</v>
      </c>
      <c r="I84" s="174">
        <v>3502</v>
      </c>
      <c r="J84" s="177" t="s">
        <v>1548</v>
      </c>
      <c r="K84" s="177" t="s">
        <v>420</v>
      </c>
      <c r="L84" s="249">
        <v>3502046</v>
      </c>
      <c r="M84" s="177" t="s">
        <v>427</v>
      </c>
      <c r="N84" s="249">
        <v>3502046</v>
      </c>
      <c r="O84" s="177" t="s">
        <v>427</v>
      </c>
      <c r="P84" s="174" t="s">
        <v>428</v>
      </c>
      <c r="Q84" s="177" t="s">
        <v>429</v>
      </c>
      <c r="R84" s="174" t="s">
        <v>428</v>
      </c>
      <c r="S84" s="177" t="s">
        <v>429</v>
      </c>
      <c r="T84" s="191" t="s">
        <v>1637</v>
      </c>
      <c r="U84" s="52">
        <v>1</v>
      </c>
      <c r="V84" s="191" t="s">
        <v>430</v>
      </c>
      <c r="W84" s="177" t="s">
        <v>431</v>
      </c>
      <c r="X84" s="177" t="s">
        <v>432</v>
      </c>
      <c r="Y84" s="234"/>
      <c r="Z84" s="234"/>
      <c r="AA84" s="234"/>
      <c r="AB84" s="234"/>
      <c r="AC84" s="234"/>
      <c r="AD84" s="234"/>
      <c r="AE84" s="234"/>
      <c r="AF84" s="234"/>
      <c r="AG84" s="234"/>
      <c r="AH84" s="234"/>
      <c r="AI84" s="309">
        <f>100000000+20000000+150000000-15000000</f>
        <v>255000000</v>
      </c>
      <c r="AJ84" s="266">
        <f>664872303.76+340359369.85</f>
        <v>1005231673.61</v>
      </c>
      <c r="AK84" s="266"/>
      <c r="AL84" s="266"/>
      <c r="AM84" s="218">
        <f>+Y84+Z84+AA84+AB84+AC84+AD84+AE84+AF84+AG84+AH84+AI84+AJ84+AK84</f>
        <v>1260231673.6100001</v>
      </c>
      <c r="AN84" s="212" t="s">
        <v>1616</v>
      </c>
      <c r="AO84" s="188"/>
    </row>
    <row r="85" spans="1:41" s="26" customFormat="1" ht="84" customHeight="1" x14ac:dyDescent="0.2">
      <c r="A85" s="178">
        <v>311</v>
      </c>
      <c r="B85" s="177" t="s">
        <v>1589</v>
      </c>
      <c r="C85" s="174">
        <v>2</v>
      </c>
      <c r="D85" s="177" t="s">
        <v>1587</v>
      </c>
      <c r="E85" s="174">
        <v>36</v>
      </c>
      <c r="F85" s="174" t="s">
        <v>433</v>
      </c>
      <c r="G85" s="174">
        <v>3602</v>
      </c>
      <c r="H85" s="177" t="s">
        <v>434</v>
      </c>
      <c r="I85" s="174">
        <v>3602</v>
      </c>
      <c r="J85" s="177" t="s">
        <v>1566</v>
      </c>
      <c r="K85" s="177" t="s">
        <v>403</v>
      </c>
      <c r="L85" s="174">
        <v>3602018</v>
      </c>
      <c r="M85" s="177" t="s">
        <v>435</v>
      </c>
      <c r="N85" s="174">
        <v>3602018</v>
      </c>
      <c r="O85" s="177" t="s">
        <v>435</v>
      </c>
      <c r="P85" s="50" t="s">
        <v>436</v>
      </c>
      <c r="Q85" s="256" t="s">
        <v>437</v>
      </c>
      <c r="R85" s="50">
        <v>360201800</v>
      </c>
      <c r="S85" s="256" t="s">
        <v>437</v>
      </c>
      <c r="T85" s="191" t="s">
        <v>1637</v>
      </c>
      <c r="U85" s="52">
        <v>3</v>
      </c>
      <c r="V85" s="191" t="s">
        <v>438</v>
      </c>
      <c r="W85" s="177" t="s">
        <v>439</v>
      </c>
      <c r="X85" s="177" t="s">
        <v>440</v>
      </c>
      <c r="Y85" s="234"/>
      <c r="Z85" s="234"/>
      <c r="AA85" s="234"/>
      <c r="AB85" s="234"/>
      <c r="AC85" s="234"/>
      <c r="AD85" s="234"/>
      <c r="AE85" s="234"/>
      <c r="AF85" s="234"/>
      <c r="AG85" s="234"/>
      <c r="AH85" s="234"/>
      <c r="AI85" s="309">
        <f>120000000-24000000-27345000</f>
        <v>68655000</v>
      </c>
      <c r="AJ85" s="234"/>
      <c r="AK85" s="234"/>
      <c r="AL85" s="234"/>
      <c r="AM85" s="218">
        <f>+Y85+Z85+AA85+AB85+AC85+AD85+AE85+AF85+AG85+AH85+AI85+AJ85+AK85</f>
        <v>68655000</v>
      </c>
      <c r="AN85" s="212" t="s">
        <v>1616</v>
      </c>
      <c r="AO85" s="188"/>
    </row>
    <row r="86" spans="1:41" s="26" customFormat="1" ht="75.75" customHeight="1" x14ac:dyDescent="0.2">
      <c r="A86" s="178">
        <v>311</v>
      </c>
      <c r="B86" s="177" t="s">
        <v>1589</v>
      </c>
      <c r="C86" s="174">
        <v>2</v>
      </c>
      <c r="D86" s="177" t="s">
        <v>1587</v>
      </c>
      <c r="E86" s="174">
        <v>36</v>
      </c>
      <c r="F86" s="174" t="s">
        <v>433</v>
      </c>
      <c r="G86" s="174">
        <v>3602</v>
      </c>
      <c r="H86" s="177" t="s">
        <v>434</v>
      </c>
      <c r="I86" s="174">
        <v>3602</v>
      </c>
      <c r="J86" s="177" t="s">
        <v>1566</v>
      </c>
      <c r="K86" s="177" t="s">
        <v>403</v>
      </c>
      <c r="L86" s="178">
        <v>3602032</v>
      </c>
      <c r="M86" s="177" t="s">
        <v>441</v>
      </c>
      <c r="N86" s="178">
        <v>3602032</v>
      </c>
      <c r="O86" s="177" t="s">
        <v>441</v>
      </c>
      <c r="P86" s="50" t="s">
        <v>442</v>
      </c>
      <c r="Q86" s="256" t="s">
        <v>443</v>
      </c>
      <c r="R86" s="50">
        <v>360203201</v>
      </c>
      <c r="S86" s="256" t="s">
        <v>443</v>
      </c>
      <c r="T86" s="191" t="s">
        <v>1635</v>
      </c>
      <c r="U86" s="52">
        <v>14</v>
      </c>
      <c r="V86" s="191" t="s">
        <v>438</v>
      </c>
      <c r="W86" s="177" t="s">
        <v>439</v>
      </c>
      <c r="X86" s="177" t="s">
        <v>440</v>
      </c>
      <c r="Y86" s="234"/>
      <c r="Z86" s="234"/>
      <c r="AA86" s="234"/>
      <c r="AB86" s="234"/>
      <c r="AC86" s="234"/>
      <c r="AD86" s="234"/>
      <c r="AE86" s="234"/>
      <c r="AF86" s="234"/>
      <c r="AG86" s="234"/>
      <c r="AH86" s="234"/>
      <c r="AI86" s="309">
        <f>60000000+31150000+27345000</f>
        <v>118495000</v>
      </c>
      <c r="AJ86" s="234"/>
      <c r="AK86" s="234"/>
      <c r="AL86" s="234"/>
      <c r="AM86" s="218">
        <f>+Y86+Z86+AA86+AB86+AC86+AD86+AE86+AF86+AG86+AH86+AI86+AJ86+AK86</f>
        <v>118495000</v>
      </c>
      <c r="AN86" s="212" t="s">
        <v>1616</v>
      </c>
      <c r="AO86" s="188"/>
    </row>
    <row r="87" spans="1:41" s="26" customFormat="1" ht="81" customHeight="1" x14ac:dyDescent="0.2">
      <c r="A87" s="178">
        <v>311</v>
      </c>
      <c r="B87" s="177" t="s">
        <v>1589</v>
      </c>
      <c r="C87" s="174">
        <v>2</v>
      </c>
      <c r="D87" s="177" t="s">
        <v>1587</v>
      </c>
      <c r="E87" s="174">
        <v>36</v>
      </c>
      <c r="F87" s="174" t="s">
        <v>433</v>
      </c>
      <c r="G87" s="174">
        <v>3602</v>
      </c>
      <c r="H87" s="177" t="s">
        <v>434</v>
      </c>
      <c r="I87" s="174">
        <v>3602</v>
      </c>
      <c r="J87" s="177" t="s">
        <v>1566</v>
      </c>
      <c r="K87" s="177" t="s">
        <v>403</v>
      </c>
      <c r="L87" s="178">
        <v>3602029</v>
      </c>
      <c r="M87" s="177" t="s">
        <v>444</v>
      </c>
      <c r="N87" s="178">
        <v>3602029</v>
      </c>
      <c r="O87" s="177" t="s">
        <v>444</v>
      </c>
      <c r="P87" s="50" t="s">
        <v>445</v>
      </c>
      <c r="Q87" s="256" t="s">
        <v>446</v>
      </c>
      <c r="R87" s="50">
        <v>360202904</v>
      </c>
      <c r="S87" s="256" t="s">
        <v>446</v>
      </c>
      <c r="T87" s="191" t="s">
        <v>1637</v>
      </c>
      <c r="U87" s="52">
        <v>12</v>
      </c>
      <c r="V87" s="191" t="s">
        <v>438</v>
      </c>
      <c r="W87" s="177" t="s">
        <v>439</v>
      </c>
      <c r="X87" s="177" t="s">
        <v>440</v>
      </c>
      <c r="Y87" s="234"/>
      <c r="Z87" s="234"/>
      <c r="AA87" s="234"/>
      <c r="AB87" s="234"/>
      <c r="AC87" s="234"/>
      <c r="AD87" s="234"/>
      <c r="AE87" s="234"/>
      <c r="AF87" s="234"/>
      <c r="AG87" s="234"/>
      <c r="AH87" s="234"/>
      <c r="AI87" s="189">
        <v>22500000</v>
      </c>
      <c r="AJ87" s="234"/>
      <c r="AK87" s="234"/>
      <c r="AL87" s="234"/>
      <c r="AM87" s="218">
        <f>+Y87+Z87+AA87+AB87+AC87+AD87+AE87+AF87+AG87+AH87+AI87+AJ87+AK87</f>
        <v>22500000</v>
      </c>
      <c r="AN87" s="212" t="s">
        <v>1616</v>
      </c>
      <c r="AO87" s="188"/>
    </row>
    <row r="88" spans="1:41" s="26" customFormat="1" ht="78" customHeight="1" x14ac:dyDescent="0.2">
      <c r="A88" s="178">
        <v>311</v>
      </c>
      <c r="B88" s="177" t="s">
        <v>1589</v>
      </c>
      <c r="C88" s="174">
        <v>2</v>
      </c>
      <c r="D88" s="177" t="s">
        <v>1587</v>
      </c>
      <c r="E88" s="174">
        <v>36</v>
      </c>
      <c r="F88" s="174" t="s">
        <v>433</v>
      </c>
      <c r="G88" s="174">
        <v>3602</v>
      </c>
      <c r="H88" s="177" t="s">
        <v>434</v>
      </c>
      <c r="I88" s="174">
        <v>3602</v>
      </c>
      <c r="J88" s="177" t="s">
        <v>1566</v>
      </c>
      <c r="K88" s="177" t="s">
        <v>403</v>
      </c>
      <c r="L88" s="178">
        <v>3602030</v>
      </c>
      <c r="M88" s="177" t="s">
        <v>447</v>
      </c>
      <c r="N88" s="178">
        <v>3602030</v>
      </c>
      <c r="O88" s="177" t="s">
        <v>447</v>
      </c>
      <c r="P88" s="50" t="s">
        <v>448</v>
      </c>
      <c r="Q88" s="256" t="s">
        <v>449</v>
      </c>
      <c r="R88" s="50">
        <v>360203000</v>
      </c>
      <c r="S88" s="256" t="s">
        <v>449</v>
      </c>
      <c r="T88" s="191" t="s">
        <v>1637</v>
      </c>
      <c r="U88" s="52">
        <v>3</v>
      </c>
      <c r="V88" s="191" t="s">
        <v>438</v>
      </c>
      <c r="W88" s="177" t="s">
        <v>439</v>
      </c>
      <c r="X88" s="177" t="s">
        <v>440</v>
      </c>
      <c r="Y88" s="234"/>
      <c r="Z88" s="234"/>
      <c r="AA88" s="234"/>
      <c r="AB88" s="234"/>
      <c r="AC88" s="234"/>
      <c r="AD88" s="234"/>
      <c r="AE88" s="234"/>
      <c r="AF88" s="234"/>
      <c r="AG88" s="234"/>
      <c r="AH88" s="234"/>
      <c r="AI88" s="189">
        <f>35000000-7150000</f>
        <v>27850000</v>
      </c>
      <c r="AJ88" s="234"/>
      <c r="AK88" s="234"/>
      <c r="AL88" s="234"/>
      <c r="AM88" s="218">
        <f>+Y88+Z88+AA88+AB88+AC88+AD88+AE88+AF88+AG88+AH88+AI88+AJ88+AK88</f>
        <v>27850000</v>
      </c>
      <c r="AN88" s="212" t="s">
        <v>1616</v>
      </c>
      <c r="AO88" s="188"/>
    </row>
    <row r="89" spans="1:41" s="26" customFormat="1" ht="88.5" customHeight="1" x14ac:dyDescent="0.2">
      <c r="A89" s="178">
        <v>312</v>
      </c>
      <c r="B89" s="177" t="s">
        <v>1588</v>
      </c>
      <c r="C89" s="174">
        <v>2</v>
      </c>
      <c r="D89" s="177" t="s">
        <v>1587</v>
      </c>
      <c r="E89" s="174">
        <v>17</v>
      </c>
      <c r="F89" s="177" t="s">
        <v>451</v>
      </c>
      <c r="G89" s="174">
        <v>1702</v>
      </c>
      <c r="H89" s="177" t="s">
        <v>452</v>
      </c>
      <c r="I89" s="174">
        <v>1702</v>
      </c>
      <c r="J89" s="177" t="s">
        <v>1541</v>
      </c>
      <c r="K89" s="177" t="s">
        <v>453</v>
      </c>
      <c r="L89" s="249">
        <v>1702011</v>
      </c>
      <c r="M89" s="177" t="s">
        <v>454</v>
      </c>
      <c r="N89" s="249">
        <v>1702011</v>
      </c>
      <c r="O89" s="177" t="s">
        <v>454</v>
      </c>
      <c r="P89" s="174" t="s">
        <v>455</v>
      </c>
      <c r="Q89" s="177" t="s">
        <v>456</v>
      </c>
      <c r="R89" s="174">
        <v>170201100</v>
      </c>
      <c r="S89" s="177" t="s">
        <v>456</v>
      </c>
      <c r="T89" s="191" t="s">
        <v>1635</v>
      </c>
      <c r="U89" s="52">
        <v>30</v>
      </c>
      <c r="V89" s="191" t="s">
        <v>457</v>
      </c>
      <c r="W89" s="177" t="s">
        <v>458</v>
      </c>
      <c r="X89" s="177" t="s">
        <v>459</v>
      </c>
      <c r="Y89" s="234"/>
      <c r="Z89" s="234"/>
      <c r="AA89" s="234"/>
      <c r="AB89" s="234"/>
      <c r="AC89" s="234"/>
      <c r="AD89" s="234"/>
      <c r="AE89" s="234"/>
      <c r="AF89" s="234"/>
      <c r="AG89" s="234"/>
      <c r="AH89" s="234"/>
      <c r="AI89" s="190">
        <v>226000000</v>
      </c>
      <c r="AJ89" s="279"/>
      <c r="AK89" s="279"/>
      <c r="AL89" s="279"/>
      <c r="AM89" s="218">
        <f>+Y89+Z89+AA89+AB89+AC89+AD89+AE89+AF89+AG89+AH89+AI89+AJ89+AK89</f>
        <v>226000000</v>
      </c>
      <c r="AN89" s="201" t="s">
        <v>1617</v>
      </c>
      <c r="AO89" s="188"/>
    </row>
    <row r="90" spans="1:41" s="26" customFormat="1" ht="86.25" customHeight="1" x14ac:dyDescent="0.2">
      <c r="A90" s="178">
        <v>312</v>
      </c>
      <c r="B90" s="177" t="s">
        <v>1588</v>
      </c>
      <c r="C90" s="174">
        <v>2</v>
      </c>
      <c r="D90" s="177" t="s">
        <v>1587</v>
      </c>
      <c r="E90" s="174">
        <v>17</v>
      </c>
      <c r="F90" s="177" t="s">
        <v>451</v>
      </c>
      <c r="G90" s="174">
        <v>1702</v>
      </c>
      <c r="H90" s="177" t="s">
        <v>452</v>
      </c>
      <c r="I90" s="174">
        <v>1702</v>
      </c>
      <c r="J90" s="177" t="s">
        <v>1541</v>
      </c>
      <c r="K90" s="177" t="s">
        <v>453</v>
      </c>
      <c r="L90" s="249">
        <v>1702007</v>
      </c>
      <c r="M90" s="177" t="s">
        <v>460</v>
      </c>
      <c r="N90" s="249">
        <v>1702007</v>
      </c>
      <c r="O90" s="177" t="s">
        <v>460</v>
      </c>
      <c r="P90" s="50" t="s">
        <v>461</v>
      </c>
      <c r="Q90" s="177" t="s">
        <v>462</v>
      </c>
      <c r="R90" s="50" t="s">
        <v>461</v>
      </c>
      <c r="S90" s="177" t="s">
        <v>462</v>
      </c>
      <c r="T90" s="191" t="s">
        <v>1637</v>
      </c>
      <c r="U90" s="52">
        <f>4+2</f>
        <v>6</v>
      </c>
      <c r="V90" s="191" t="s">
        <v>457</v>
      </c>
      <c r="W90" s="177" t="s">
        <v>458</v>
      </c>
      <c r="X90" s="177" t="s">
        <v>459</v>
      </c>
      <c r="Y90" s="280"/>
      <c r="Z90" s="280"/>
      <c r="AA90" s="280"/>
      <c r="AB90" s="280"/>
      <c r="AC90" s="280"/>
      <c r="AD90" s="280"/>
      <c r="AE90" s="280"/>
      <c r="AF90" s="280"/>
      <c r="AG90" s="280"/>
      <c r="AH90" s="280"/>
      <c r="AI90" s="190">
        <v>123000000</v>
      </c>
      <c r="AJ90" s="279"/>
      <c r="AK90" s="279"/>
      <c r="AL90" s="279"/>
      <c r="AM90" s="218">
        <f>+Y90+Z90+AA90+AB90+AC90+AD90+AE90+AF90+AG90+AH90+AI90+AJ90+AK90</f>
        <v>123000000</v>
      </c>
      <c r="AN90" s="201" t="s">
        <v>1617</v>
      </c>
      <c r="AO90" s="188"/>
    </row>
    <row r="91" spans="1:41" s="26" customFormat="1" ht="84.75" customHeight="1" x14ac:dyDescent="0.2">
      <c r="A91" s="178">
        <v>312</v>
      </c>
      <c r="B91" s="177" t="s">
        <v>1588</v>
      </c>
      <c r="C91" s="174">
        <v>2</v>
      </c>
      <c r="D91" s="177" t="s">
        <v>1587</v>
      </c>
      <c r="E91" s="174">
        <v>17</v>
      </c>
      <c r="F91" s="177" t="s">
        <v>451</v>
      </c>
      <c r="G91" s="174">
        <v>1702</v>
      </c>
      <c r="H91" s="177" t="s">
        <v>452</v>
      </c>
      <c r="I91" s="174">
        <v>1702</v>
      </c>
      <c r="J91" s="177" t="s">
        <v>1541</v>
      </c>
      <c r="K91" s="177" t="s">
        <v>453</v>
      </c>
      <c r="L91" s="249">
        <v>1702009</v>
      </c>
      <c r="M91" s="177" t="s">
        <v>463</v>
      </c>
      <c r="N91" s="249">
        <v>1702009</v>
      </c>
      <c r="O91" s="177" t="s">
        <v>463</v>
      </c>
      <c r="P91" s="50" t="s">
        <v>464</v>
      </c>
      <c r="Q91" s="256" t="s">
        <v>465</v>
      </c>
      <c r="R91" s="50" t="s">
        <v>464</v>
      </c>
      <c r="S91" s="256" t="s">
        <v>465</v>
      </c>
      <c r="T91" s="191" t="s">
        <v>1637</v>
      </c>
      <c r="U91" s="52">
        <v>168</v>
      </c>
      <c r="V91" s="191" t="s">
        <v>457</v>
      </c>
      <c r="W91" s="177" t="s">
        <v>458</v>
      </c>
      <c r="X91" s="177" t="s">
        <v>459</v>
      </c>
      <c r="Y91" s="280"/>
      <c r="Z91" s="280"/>
      <c r="AA91" s="280"/>
      <c r="AB91" s="280"/>
      <c r="AC91" s="280"/>
      <c r="AD91" s="280"/>
      <c r="AE91" s="280"/>
      <c r="AF91" s="280"/>
      <c r="AG91" s="280"/>
      <c r="AH91" s="280"/>
      <c r="AI91" s="190">
        <v>90000000</v>
      </c>
      <c r="AJ91" s="279"/>
      <c r="AK91" s="279"/>
      <c r="AL91" s="190">
        <v>300000000</v>
      </c>
      <c r="AM91" s="218">
        <f>+Y91+Z91+AA91+AB91+AC91+AD91+AE91+AF91+AG91+AH91+AI91+AJ91+AK91+AL91</f>
        <v>390000000</v>
      </c>
      <c r="AN91" s="201" t="s">
        <v>1617</v>
      </c>
      <c r="AO91" s="188"/>
    </row>
    <row r="92" spans="1:41" s="26" customFormat="1" ht="156.75" customHeight="1" x14ac:dyDescent="0.2">
      <c r="A92" s="178">
        <v>312</v>
      </c>
      <c r="B92" s="177" t="s">
        <v>1588</v>
      </c>
      <c r="C92" s="174">
        <v>2</v>
      </c>
      <c r="D92" s="177" t="s">
        <v>1587</v>
      </c>
      <c r="E92" s="174">
        <v>17</v>
      </c>
      <c r="F92" s="177" t="s">
        <v>451</v>
      </c>
      <c r="G92" s="174">
        <v>1702</v>
      </c>
      <c r="H92" s="177" t="s">
        <v>452</v>
      </c>
      <c r="I92" s="174">
        <v>1702</v>
      </c>
      <c r="J92" s="177" t="s">
        <v>1541</v>
      </c>
      <c r="K92" s="177" t="s">
        <v>453</v>
      </c>
      <c r="L92" s="281">
        <v>1702017</v>
      </c>
      <c r="M92" s="177" t="s">
        <v>466</v>
      </c>
      <c r="N92" s="281">
        <v>1702017</v>
      </c>
      <c r="O92" s="177" t="s">
        <v>466</v>
      </c>
      <c r="P92" s="50" t="s">
        <v>467</v>
      </c>
      <c r="Q92" s="177" t="s">
        <v>468</v>
      </c>
      <c r="R92" s="50" t="s">
        <v>467</v>
      </c>
      <c r="S92" s="177" t="s">
        <v>468</v>
      </c>
      <c r="T92" s="191" t="s">
        <v>1637</v>
      </c>
      <c r="U92" s="52">
        <f>750+10</f>
        <v>760</v>
      </c>
      <c r="V92" s="191" t="s">
        <v>469</v>
      </c>
      <c r="W92" s="177" t="s">
        <v>470</v>
      </c>
      <c r="X92" s="177" t="s">
        <v>471</v>
      </c>
      <c r="Y92" s="280"/>
      <c r="Z92" s="280"/>
      <c r="AA92" s="280"/>
      <c r="AB92" s="280"/>
      <c r="AC92" s="280"/>
      <c r="AD92" s="280"/>
      <c r="AE92" s="280"/>
      <c r="AF92" s="280"/>
      <c r="AG92" s="280"/>
      <c r="AH92" s="280"/>
      <c r="AI92" s="190">
        <v>465052526.97000003</v>
      </c>
      <c r="AJ92" s="279"/>
      <c r="AK92" s="279"/>
      <c r="AL92" s="279"/>
      <c r="AM92" s="218">
        <f>+Y92+Z92+AA92+AB92+AC92+AD92+AE92+AF92+AG92+AH92+AI92+AJ92+AK92</f>
        <v>465052526.97000003</v>
      </c>
      <c r="AN92" s="201" t="s">
        <v>1617</v>
      </c>
      <c r="AO92" s="188"/>
    </row>
    <row r="93" spans="1:41" s="26" customFormat="1" ht="141" customHeight="1" x14ac:dyDescent="0.2">
      <c r="A93" s="178">
        <v>312</v>
      </c>
      <c r="B93" s="177" t="s">
        <v>1588</v>
      </c>
      <c r="C93" s="174">
        <v>2</v>
      </c>
      <c r="D93" s="177" t="s">
        <v>1587</v>
      </c>
      <c r="E93" s="174">
        <v>17</v>
      </c>
      <c r="F93" s="177" t="s">
        <v>451</v>
      </c>
      <c r="G93" s="174">
        <v>1702</v>
      </c>
      <c r="H93" s="177" t="s">
        <v>452</v>
      </c>
      <c r="I93" s="174">
        <v>1702</v>
      </c>
      <c r="J93" s="177" t="s">
        <v>1541</v>
      </c>
      <c r="K93" s="177" t="s">
        <v>453</v>
      </c>
      <c r="L93" s="249">
        <v>1702014</v>
      </c>
      <c r="M93" s="177" t="s">
        <v>472</v>
      </c>
      <c r="N93" s="249">
        <v>1702014</v>
      </c>
      <c r="O93" s="177" t="s">
        <v>472</v>
      </c>
      <c r="P93" s="50" t="s">
        <v>473</v>
      </c>
      <c r="Q93" s="256" t="s">
        <v>474</v>
      </c>
      <c r="R93" s="50" t="s">
        <v>473</v>
      </c>
      <c r="S93" s="256" t="s">
        <v>474</v>
      </c>
      <c r="T93" s="191" t="s">
        <v>1637</v>
      </c>
      <c r="U93" s="52">
        <f>25+25</f>
        <v>50</v>
      </c>
      <c r="V93" s="191" t="s">
        <v>469</v>
      </c>
      <c r="W93" s="177" t="s">
        <v>470</v>
      </c>
      <c r="X93" s="177" t="s">
        <v>471</v>
      </c>
      <c r="Y93" s="280"/>
      <c r="Z93" s="280"/>
      <c r="AA93" s="280"/>
      <c r="AB93" s="280"/>
      <c r="AC93" s="280"/>
      <c r="AD93" s="280"/>
      <c r="AE93" s="280"/>
      <c r="AF93" s="280"/>
      <c r="AG93" s="280"/>
      <c r="AH93" s="280"/>
      <c r="AI93" s="190">
        <v>45000000</v>
      </c>
      <c r="AJ93" s="279"/>
      <c r="AK93" s="279"/>
      <c r="AL93" s="279"/>
      <c r="AM93" s="218">
        <f>+Y93+Z93+AA93+AB93+AC93+AD93+AE93+AF93+AG93+AH93+AI93+AJ93+AK93</f>
        <v>45000000</v>
      </c>
      <c r="AN93" s="201" t="s">
        <v>1617</v>
      </c>
      <c r="AO93" s="188"/>
    </row>
    <row r="94" spans="1:41" s="26" customFormat="1" ht="147" customHeight="1" x14ac:dyDescent="0.2">
      <c r="A94" s="178">
        <v>312</v>
      </c>
      <c r="B94" s="177" t="s">
        <v>1588</v>
      </c>
      <c r="C94" s="174">
        <v>2</v>
      </c>
      <c r="D94" s="177" t="s">
        <v>1587</v>
      </c>
      <c r="E94" s="174">
        <v>17</v>
      </c>
      <c r="F94" s="177" t="s">
        <v>451</v>
      </c>
      <c r="G94" s="174">
        <v>1702</v>
      </c>
      <c r="H94" s="177" t="s">
        <v>452</v>
      </c>
      <c r="I94" s="174">
        <v>1702</v>
      </c>
      <c r="J94" s="177" t="s">
        <v>1541</v>
      </c>
      <c r="K94" s="177" t="s">
        <v>453</v>
      </c>
      <c r="L94" s="249">
        <v>1702021</v>
      </c>
      <c r="M94" s="177" t="s">
        <v>475</v>
      </c>
      <c r="N94" s="249">
        <v>1702021</v>
      </c>
      <c r="O94" s="177" t="s">
        <v>475</v>
      </c>
      <c r="P94" s="50" t="s">
        <v>476</v>
      </c>
      <c r="Q94" s="256" t="s">
        <v>477</v>
      </c>
      <c r="R94" s="50">
        <v>170202100</v>
      </c>
      <c r="S94" s="256" t="s">
        <v>477</v>
      </c>
      <c r="T94" s="191" t="s">
        <v>1637</v>
      </c>
      <c r="U94" s="52">
        <f>150+50</f>
        <v>200</v>
      </c>
      <c r="V94" s="191" t="s">
        <v>469</v>
      </c>
      <c r="W94" s="177" t="s">
        <v>470</v>
      </c>
      <c r="X94" s="177" t="s">
        <v>471</v>
      </c>
      <c r="Y94" s="280"/>
      <c r="Z94" s="280"/>
      <c r="AA94" s="280"/>
      <c r="AB94" s="280"/>
      <c r="AC94" s="280"/>
      <c r="AD94" s="280"/>
      <c r="AE94" s="280"/>
      <c r="AF94" s="280"/>
      <c r="AG94" s="280"/>
      <c r="AH94" s="280"/>
      <c r="AI94" s="190">
        <v>20000000</v>
      </c>
      <c r="AJ94" s="279"/>
      <c r="AK94" s="279"/>
      <c r="AL94" s="279"/>
      <c r="AM94" s="218">
        <f>+Y94+Z94+AA94+AB94+AC94+AD94+AE94+AF94+AG94+AH94+AI94+AJ94+AK94</f>
        <v>20000000</v>
      </c>
      <c r="AN94" s="201" t="s">
        <v>1617</v>
      </c>
      <c r="AO94" s="188"/>
    </row>
    <row r="95" spans="1:41" s="26" customFormat="1" ht="125.25" customHeight="1" x14ac:dyDescent="0.2">
      <c r="A95" s="178">
        <v>312</v>
      </c>
      <c r="B95" s="177" t="s">
        <v>1588</v>
      </c>
      <c r="C95" s="174">
        <v>2</v>
      </c>
      <c r="D95" s="177" t="s">
        <v>1587</v>
      </c>
      <c r="E95" s="174">
        <v>17</v>
      </c>
      <c r="F95" s="177" t="s">
        <v>451</v>
      </c>
      <c r="G95" s="174">
        <v>1702</v>
      </c>
      <c r="H95" s="177" t="s">
        <v>452</v>
      </c>
      <c r="I95" s="174">
        <v>1702</v>
      </c>
      <c r="J95" s="177" t="s">
        <v>1541</v>
      </c>
      <c r="K95" s="177" t="s">
        <v>453</v>
      </c>
      <c r="L95" s="249">
        <v>1702038</v>
      </c>
      <c r="M95" s="177" t="s">
        <v>478</v>
      </c>
      <c r="N95" s="249">
        <v>1702038</v>
      </c>
      <c r="O95" s="177" t="s">
        <v>478</v>
      </c>
      <c r="P95" s="174" t="s">
        <v>479</v>
      </c>
      <c r="Q95" s="177" t="s">
        <v>480</v>
      </c>
      <c r="R95" s="174" t="s">
        <v>479</v>
      </c>
      <c r="S95" s="177" t="s">
        <v>480</v>
      </c>
      <c r="T95" s="191" t="s">
        <v>1635</v>
      </c>
      <c r="U95" s="52">
        <v>30</v>
      </c>
      <c r="V95" s="191" t="s">
        <v>481</v>
      </c>
      <c r="W95" s="241" t="s">
        <v>482</v>
      </c>
      <c r="X95" s="177" t="s">
        <v>483</v>
      </c>
      <c r="Y95" s="280"/>
      <c r="Z95" s="280"/>
      <c r="AA95" s="280"/>
      <c r="AB95" s="280"/>
      <c r="AC95" s="280"/>
      <c r="AD95" s="280"/>
      <c r="AE95" s="280"/>
      <c r="AF95" s="280"/>
      <c r="AG95" s="280"/>
      <c r="AH95" s="280"/>
      <c r="AI95" s="190">
        <v>65000000</v>
      </c>
      <c r="AJ95" s="211"/>
      <c r="AK95" s="279"/>
      <c r="AL95" s="427">
        <v>105606585.66</v>
      </c>
      <c r="AM95" s="218">
        <f>+Y95+Z95+AA95+AB95+AC95+AD95+AE95+AF95+AG95+AH95+AI95+AJ95+AK95+AL95</f>
        <v>170606585.66</v>
      </c>
      <c r="AN95" s="201" t="s">
        <v>1617</v>
      </c>
      <c r="AO95" s="188"/>
    </row>
    <row r="96" spans="1:41" s="26" customFormat="1" ht="120" customHeight="1" x14ac:dyDescent="0.2">
      <c r="A96" s="178">
        <v>312</v>
      </c>
      <c r="B96" s="177" t="s">
        <v>1588</v>
      </c>
      <c r="C96" s="174">
        <v>2</v>
      </c>
      <c r="D96" s="177" t="s">
        <v>1587</v>
      </c>
      <c r="E96" s="174">
        <v>17</v>
      </c>
      <c r="F96" s="177" t="s">
        <v>451</v>
      </c>
      <c r="G96" s="174">
        <v>1702</v>
      </c>
      <c r="H96" s="175" t="s">
        <v>452</v>
      </c>
      <c r="I96" s="174">
        <v>1702</v>
      </c>
      <c r="J96" s="175" t="s">
        <v>1541</v>
      </c>
      <c r="K96" s="177" t="s">
        <v>453</v>
      </c>
      <c r="L96" s="249">
        <v>1702038</v>
      </c>
      <c r="M96" s="177" t="s">
        <v>478</v>
      </c>
      <c r="N96" s="249">
        <v>1702038</v>
      </c>
      <c r="O96" s="177" t="s">
        <v>478</v>
      </c>
      <c r="P96" s="174" t="s">
        <v>484</v>
      </c>
      <c r="Q96" s="177" t="s">
        <v>485</v>
      </c>
      <c r="R96" s="174" t="s">
        <v>484</v>
      </c>
      <c r="S96" s="177" t="s">
        <v>485</v>
      </c>
      <c r="T96" s="191" t="s">
        <v>1637</v>
      </c>
      <c r="U96" s="52">
        <f>80+10</f>
        <v>90</v>
      </c>
      <c r="V96" s="191" t="s">
        <v>481</v>
      </c>
      <c r="W96" s="241" t="s">
        <v>482</v>
      </c>
      <c r="X96" s="177" t="s">
        <v>483</v>
      </c>
      <c r="Y96" s="280"/>
      <c r="Z96" s="280"/>
      <c r="AA96" s="280"/>
      <c r="AB96" s="280"/>
      <c r="AC96" s="280"/>
      <c r="AD96" s="280"/>
      <c r="AE96" s="280"/>
      <c r="AF96" s="280"/>
      <c r="AG96" s="280"/>
      <c r="AH96" s="280"/>
      <c r="AI96" s="190">
        <v>18000000</v>
      </c>
      <c r="AJ96" s="279"/>
      <c r="AK96" s="279"/>
      <c r="AL96" s="279"/>
      <c r="AM96" s="218">
        <f>+Y96+Z96+AA96+AB96+AC96+AD96+AE96+AF96+AG96+AH96+AI96+AJ96+AK96</f>
        <v>18000000</v>
      </c>
      <c r="AN96" s="201" t="s">
        <v>1617</v>
      </c>
      <c r="AO96" s="188"/>
    </row>
    <row r="97" spans="1:41" s="26" customFormat="1" ht="115.5" customHeight="1" x14ac:dyDescent="0.2">
      <c r="A97" s="178">
        <v>312</v>
      </c>
      <c r="B97" s="177" t="s">
        <v>1588</v>
      </c>
      <c r="C97" s="174">
        <v>2</v>
      </c>
      <c r="D97" s="177" t="s">
        <v>1587</v>
      </c>
      <c r="E97" s="174">
        <v>17</v>
      </c>
      <c r="F97" s="177" t="s">
        <v>451</v>
      </c>
      <c r="G97" s="174">
        <v>1702</v>
      </c>
      <c r="H97" s="177" t="s">
        <v>452</v>
      </c>
      <c r="I97" s="174">
        <v>1702</v>
      </c>
      <c r="J97" s="177" t="s">
        <v>1541</v>
      </c>
      <c r="K97" s="177" t="s">
        <v>453</v>
      </c>
      <c r="L97" s="249">
        <v>1702023</v>
      </c>
      <c r="M97" s="177" t="s">
        <v>233</v>
      </c>
      <c r="N97" s="249">
        <v>1702023</v>
      </c>
      <c r="O97" s="177" t="s">
        <v>233</v>
      </c>
      <c r="P97" s="174" t="s">
        <v>486</v>
      </c>
      <c r="Q97" s="177" t="s">
        <v>487</v>
      </c>
      <c r="R97" s="174">
        <v>170202301</v>
      </c>
      <c r="S97" s="177" t="s">
        <v>487</v>
      </c>
      <c r="T97" s="191" t="s">
        <v>1635</v>
      </c>
      <c r="U97" s="52">
        <v>1</v>
      </c>
      <c r="V97" s="191" t="s">
        <v>488</v>
      </c>
      <c r="W97" s="177" t="s">
        <v>489</v>
      </c>
      <c r="X97" s="177" t="s">
        <v>490</v>
      </c>
      <c r="Y97" s="280"/>
      <c r="Z97" s="280"/>
      <c r="AA97" s="280"/>
      <c r="AB97" s="280"/>
      <c r="AC97" s="280"/>
      <c r="AD97" s="280"/>
      <c r="AE97" s="280"/>
      <c r="AF97" s="280"/>
      <c r="AG97" s="280"/>
      <c r="AH97" s="280"/>
      <c r="AI97" s="319">
        <f>45000000-11512613</f>
        <v>33487387</v>
      </c>
      <c r="AJ97" s="279"/>
      <c r="AK97" s="279"/>
      <c r="AL97" s="279"/>
      <c r="AM97" s="218">
        <f>+Y97+Z97+AA97+AB97+AC97+AD97+AE97+AF97+AG97+AH97+AI97+AJ97+AK97</f>
        <v>33487387</v>
      </c>
      <c r="AN97" s="201" t="s">
        <v>1617</v>
      </c>
      <c r="AO97" s="188"/>
    </row>
    <row r="98" spans="1:41" s="26" customFormat="1" ht="108" customHeight="1" x14ac:dyDescent="0.2">
      <c r="A98" s="178">
        <v>312</v>
      </c>
      <c r="B98" s="177" t="s">
        <v>1588</v>
      </c>
      <c r="C98" s="174">
        <v>2</v>
      </c>
      <c r="D98" s="177" t="s">
        <v>1587</v>
      </c>
      <c r="E98" s="174">
        <v>17</v>
      </c>
      <c r="F98" s="177" t="s">
        <v>451</v>
      </c>
      <c r="G98" s="174">
        <v>1702</v>
      </c>
      <c r="H98" s="177" t="s">
        <v>452</v>
      </c>
      <c r="I98" s="174">
        <v>1702</v>
      </c>
      <c r="J98" s="177" t="s">
        <v>1541</v>
      </c>
      <c r="K98" s="177" t="s">
        <v>453</v>
      </c>
      <c r="L98" s="249">
        <v>1702024</v>
      </c>
      <c r="M98" s="177" t="s">
        <v>491</v>
      </c>
      <c r="N98" s="249">
        <v>1702024</v>
      </c>
      <c r="O98" s="177" t="s">
        <v>491</v>
      </c>
      <c r="P98" s="50" t="s">
        <v>492</v>
      </c>
      <c r="Q98" s="177" t="s">
        <v>493</v>
      </c>
      <c r="R98" s="50" t="s">
        <v>492</v>
      </c>
      <c r="S98" s="177" t="s">
        <v>493</v>
      </c>
      <c r="T98" s="191" t="s">
        <v>1635</v>
      </c>
      <c r="U98" s="52">
        <v>12</v>
      </c>
      <c r="V98" s="191" t="s">
        <v>488</v>
      </c>
      <c r="W98" s="177" t="s">
        <v>489</v>
      </c>
      <c r="X98" s="177" t="s">
        <v>490</v>
      </c>
      <c r="Y98" s="280"/>
      <c r="Z98" s="280"/>
      <c r="AA98" s="280"/>
      <c r="AB98" s="280"/>
      <c r="AC98" s="280"/>
      <c r="AD98" s="280"/>
      <c r="AE98" s="280"/>
      <c r="AF98" s="280"/>
      <c r="AG98" s="280"/>
      <c r="AH98" s="280"/>
      <c r="AI98" s="319">
        <f>45000000-245000</f>
        <v>44755000</v>
      </c>
      <c r="AJ98" s="279"/>
      <c r="AK98" s="279"/>
      <c r="AL98" s="279"/>
      <c r="AM98" s="218">
        <f>+Y98+Z98+AA98+AB98+AC98+AD98+AE98+AF98+AG98+AH98+AI98+AJ98+AK98</f>
        <v>44755000</v>
      </c>
      <c r="AN98" s="201" t="s">
        <v>1617</v>
      </c>
      <c r="AO98" s="188"/>
    </row>
    <row r="99" spans="1:41" s="26" customFormat="1" ht="150" customHeight="1" x14ac:dyDescent="0.2">
      <c r="A99" s="178">
        <v>312</v>
      </c>
      <c r="B99" s="177" t="s">
        <v>1588</v>
      </c>
      <c r="C99" s="174">
        <v>2</v>
      </c>
      <c r="D99" s="177" t="s">
        <v>1587</v>
      </c>
      <c r="E99" s="174">
        <v>17</v>
      </c>
      <c r="F99" s="177" t="s">
        <v>451</v>
      </c>
      <c r="G99" s="174">
        <v>1702</v>
      </c>
      <c r="H99" s="177" t="s">
        <v>452</v>
      </c>
      <c r="I99" s="174">
        <v>1702</v>
      </c>
      <c r="J99" s="177" t="s">
        <v>1541</v>
      </c>
      <c r="K99" s="177" t="s">
        <v>453</v>
      </c>
      <c r="L99" s="249">
        <v>1702025</v>
      </c>
      <c r="M99" s="177" t="s">
        <v>494</v>
      </c>
      <c r="N99" s="249">
        <v>1702025</v>
      </c>
      <c r="O99" s="177" t="s">
        <v>494</v>
      </c>
      <c r="P99" s="50" t="s">
        <v>495</v>
      </c>
      <c r="Q99" s="256" t="s">
        <v>496</v>
      </c>
      <c r="R99" s="50" t="s">
        <v>495</v>
      </c>
      <c r="S99" s="256" t="s">
        <v>496</v>
      </c>
      <c r="T99" s="191" t="s">
        <v>1637</v>
      </c>
      <c r="U99" s="52">
        <v>25</v>
      </c>
      <c r="V99" s="191" t="s">
        <v>497</v>
      </c>
      <c r="W99" s="175" t="s">
        <v>498</v>
      </c>
      <c r="X99" s="177" t="s">
        <v>499</v>
      </c>
      <c r="Y99" s="280"/>
      <c r="Z99" s="280"/>
      <c r="AA99" s="280"/>
      <c r="AB99" s="280"/>
      <c r="AC99" s="280"/>
      <c r="AD99" s="280"/>
      <c r="AE99" s="280"/>
      <c r="AF99" s="280"/>
      <c r="AG99" s="280"/>
      <c r="AH99" s="280"/>
      <c r="AI99" s="190">
        <v>27000000</v>
      </c>
      <c r="AJ99" s="279"/>
      <c r="AK99" s="279"/>
      <c r="AL99" s="279"/>
      <c r="AM99" s="218">
        <f>+Y99+Z99+AA99+AB99+AC99+AD99+AE99+AF99+AG99+AH99+AI99+AJ99+AK99</f>
        <v>27000000</v>
      </c>
      <c r="AN99" s="201" t="s">
        <v>1617</v>
      </c>
      <c r="AO99" s="188"/>
    </row>
    <row r="100" spans="1:41" s="26" customFormat="1" ht="187.5" customHeight="1" x14ac:dyDescent="0.2">
      <c r="A100" s="178">
        <v>312</v>
      </c>
      <c r="B100" s="177" t="s">
        <v>1588</v>
      </c>
      <c r="C100" s="174">
        <v>2</v>
      </c>
      <c r="D100" s="177" t="s">
        <v>1587</v>
      </c>
      <c r="E100" s="174">
        <v>17</v>
      </c>
      <c r="F100" s="177" t="s">
        <v>451</v>
      </c>
      <c r="G100" s="174">
        <v>1703</v>
      </c>
      <c r="H100" s="177" t="s">
        <v>500</v>
      </c>
      <c r="I100" s="174">
        <v>1703</v>
      </c>
      <c r="J100" s="177" t="s">
        <v>1542</v>
      </c>
      <c r="K100" s="177" t="s">
        <v>453</v>
      </c>
      <c r="L100" s="249">
        <v>1703013</v>
      </c>
      <c r="M100" s="177" t="s">
        <v>501</v>
      </c>
      <c r="N100" s="249">
        <v>1703013</v>
      </c>
      <c r="O100" s="177" t="s">
        <v>501</v>
      </c>
      <c r="P100" s="50" t="s">
        <v>502</v>
      </c>
      <c r="Q100" s="256" t="s">
        <v>503</v>
      </c>
      <c r="R100" s="50" t="s">
        <v>502</v>
      </c>
      <c r="S100" s="256" t="s">
        <v>503</v>
      </c>
      <c r="T100" s="191" t="s">
        <v>1637</v>
      </c>
      <c r="U100" s="52">
        <v>100</v>
      </c>
      <c r="V100" s="191" t="s">
        <v>504</v>
      </c>
      <c r="W100" s="175" t="s">
        <v>505</v>
      </c>
      <c r="X100" s="177" t="s">
        <v>506</v>
      </c>
      <c r="Y100" s="280"/>
      <c r="Z100" s="280"/>
      <c r="AA100" s="280"/>
      <c r="AB100" s="280"/>
      <c r="AC100" s="280"/>
      <c r="AD100" s="280"/>
      <c r="AE100" s="280"/>
      <c r="AF100" s="280"/>
      <c r="AG100" s="280"/>
      <c r="AH100" s="280"/>
      <c r="AI100" s="190">
        <v>75000000</v>
      </c>
      <c r="AJ100" s="211"/>
      <c r="AK100" s="279"/>
      <c r="AL100" s="190">
        <v>250000000</v>
      </c>
      <c r="AM100" s="218">
        <f>+Y100+Z100+AA100+AB100+AC100+AD100+AE100+AF100+AG100+AH100+AI100+AJ100+AK100+AL100</f>
        <v>325000000</v>
      </c>
      <c r="AN100" s="201" t="s">
        <v>1617</v>
      </c>
      <c r="AO100" s="188"/>
    </row>
    <row r="101" spans="1:41" s="26" customFormat="1" ht="136.5" customHeight="1" x14ac:dyDescent="0.2">
      <c r="A101" s="178">
        <v>312</v>
      </c>
      <c r="B101" s="177" t="s">
        <v>1588</v>
      </c>
      <c r="C101" s="174">
        <v>2</v>
      </c>
      <c r="D101" s="177" t="s">
        <v>1587</v>
      </c>
      <c r="E101" s="174">
        <v>17</v>
      </c>
      <c r="F101" s="177" t="s">
        <v>451</v>
      </c>
      <c r="G101" s="178">
        <v>1704</v>
      </c>
      <c r="H101" s="177" t="s">
        <v>507</v>
      </c>
      <c r="I101" s="178">
        <v>1704</v>
      </c>
      <c r="J101" s="177" t="s">
        <v>1543</v>
      </c>
      <c r="K101" s="177" t="s">
        <v>453</v>
      </c>
      <c r="L101" s="249">
        <v>1704002</v>
      </c>
      <c r="M101" s="177" t="s">
        <v>84</v>
      </c>
      <c r="N101" s="249">
        <v>1704002</v>
      </c>
      <c r="O101" s="177" t="s">
        <v>84</v>
      </c>
      <c r="P101" s="174" t="s">
        <v>508</v>
      </c>
      <c r="Q101" s="177" t="s">
        <v>509</v>
      </c>
      <c r="R101" s="174" t="s">
        <v>508</v>
      </c>
      <c r="S101" s="177" t="s">
        <v>509</v>
      </c>
      <c r="T101" s="191" t="s">
        <v>1635</v>
      </c>
      <c r="U101" s="52">
        <v>1</v>
      </c>
      <c r="V101" s="191" t="s">
        <v>510</v>
      </c>
      <c r="W101" s="175" t="s">
        <v>511</v>
      </c>
      <c r="X101" s="177" t="s">
        <v>512</v>
      </c>
      <c r="Y101" s="242"/>
      <c r="Z101" s="242"/>
      <c r="AA101" s="242"/>
      <c r="AB101" s="242"/>
      <c r="AC101" s="242"/>
      <c r="AD101" s="242"/>
      <c r="AE101" s="242"/>
      <c r="AF101" s="242"/>
      <c r="AG101" s="242"/>
      <c r="AH101" s="242"/>
      <c r="AI101" s="319">
        <v>41255500</v>
      </c>
      <c r="AJ101" s="279"/>
      <c r="AK101" s="279"/>
      <c r="AL101" s="279"/>
      <c r="AM101" s="218">
        <f>+Y101+Z101+AA101+AB101+AC101+AD101+AE101+AF101+AG101+AH101+AI101+AJ101+AK101</f>
        <v>41255500</v>
      </c>
      <c r="AN101" s="201" t="s">
        <v>1617</v>
      </c>
      <c r="AO101" s="188"/>
    </row>
    <row r="102" spans="1:41" s="26" customFormat="1" ht="130.5" customHeight="1" x14ac:dyDescent="0.2">
      <c r="A102" s="178">
        <v>312</v>
      </c>
      <c r="B102" s="177" t="s">
        <v>1588</v>
      </c>
      <c r="C102" s="174">
        <v>2</v>
      </c>
      <c r="D102" s="177" t="s">
        <v>1587</v>
      </c>
      <c r="E102" s="174">
        <v>17</v>
      </c>
      <c r="F102" s="177" t="s">
        <v>451</v>
      </c>
      <c r="G102" s="178">
        <v>1704</v>
      </c>
      <c r="H102" s="177" t="s">
        <v>507</v>
      </c>
      <c r="I102" s="178">
        <v>1704</v>
      </c>
      <c r="J102" s="177" t="s">
        <v>1543</v>
      </c>
      <c r="K102" s="177" t="s">
        <v>453</v>
      </c>
      <c r="L102" s="249">
        <v>1704017</v>
      </c>
      <c r="M102" s="177" t="s">
        <v>513</v>
      </c>
      <c r="N102" s="249">
        <v>1704017</v>
      </c>
      <c r="O102" s="177" t="s">
        <v>513</v>
      </c>
      <c r="P102" s="174" t="s">
        <v>514</v>
      </c>
      <c r="Q102" s="177" t="s">
        <v>515</v>
      </c>
      <c r="R102" s="174" t="s">
        <v>514</v>
      </c>
      <c r="S102" s="177" t="s">
        <v>515</v>
      </c>
      <c r="T102" s="191" t="s">
        <v>1637</v>
      </c>
      <c r="U102" s="52">
        <v>150</v>
      </c>
      <c r="V102" s="191" t="s">
        <v>510</v>
      </c>
      <c r="W102" s="175" t="s">
        <v>511</v>
      </c>
      <c r="X102" s="177" t="s">
        <v>512</v>
      </c>
      <c r="Y102" s="242"/>
      <c r="Z102" s="242"/>
      <c r="AA102" s="242"/>
      <c r="AB102" s="242"/>
      <c r="AC102" s="242"/>
      <c r="AD102" s="242"/>
      <c r="AE102" s="242"/>
      <c r="AF102" s="242"/>
      <c r="AG102" s="242"/>
      <c r="AH102" s="242"/>
      <c r="AI102" s="235">
        <v>28000000</v>
      </c>
      <c r="AJ102" s="279"/>
      <c r="AK102" s="279"/>
      <c r="AL102" s="279"/>
      <c r="AM102" s="218">
        <f>+Y102+Z102+AA102+AB102+AC102+AD102+AE102+AF102+AG102+AH102+AI102+AJ102+AK102</f>
        <v>28000000</v>
      </c>
      <c r="AN102" s="201" t="s">
        <v>1617</v>
      </c>
      <c r="AO102" s="188"/>
    </row>
    <row r="103" spans="1:41" s="26" customFormat="1" ht="116.25" customHeight="1" x14ac:dyDescent="0.2">
      <c r="A103" s="178">
        <v>312</v>
      </c>
      <c r="B103" s="177" t="s">
        <v>1588</v>
      </c>
      <c r="C103" s="174">
        <v>2</v>
      </c>
      <c r="D103" s="177" t="s">
        <v>1587</v>
      </c>
      <c r="E103" s="174">
        <v>17</v>
      </c>
      <c r="F103" s="177" t="s">
        <v>451</v>
      </c>
      <c r="G103" s="174">
        <v>1706</v>
      </c>
      <c r="H103" s="177" t="s">
        <v>516</v>
      </c>
      <c r="I103" s="174">
        <v>1706</v>
      </c>
      <c r="J103" s="177" t="s">
        <v>1544</v>
      </c>
      <c r="K103" s="177" t="s">
        <v>453</v>
      </c>
      <c r="L103" s="249">
        <v>1706004</v>
      </c>
      <c r="M103" s="177" t="s">
        <v>517</v>
      </c>
      <c r="N103" s="249">
        <v>1706004</v>
      </c>
      <c r="O103" s="177" t="s">
        <v>517</v>
      </c>
      <c r="P103" s="174" t="s">
        <v>518</v>
      </c>
      <c r="Q103" s="177" t="s">
        <v>519</v>
      </c>
      <c r="R103" s="174" t="s">
        <v>518</v>
      </c>
      <c r="S103" s="177" t="s">
        <v>519</v>
      </c>
      <c r="T103" s="191" t="s">
        <v>1635</v>
      </c>
      <c r="U103" s="52">
        <v>10</v>
      </c>
      <c r="V103" s="191" t="s">
        <v>520</v>
      </c>
      <c r="W103" s="175" t="s">
        <v>521</v>
      </c>
      <c r="X103" s="175" t="s">
        <v>522</v>
      </c>
      <c r="Y103" s="234"/>
      <c r="Z103" s="234"/>
      <c r="AA103" s="234"/>
      <c r="AB103" s="234"/>
      <c r="AC103" s="234"/>
      <c r="AD103" s="234"/>
      <c r="AE103" s="234"/>
      <c r="AF103" s="234"/>
      <c r="AG103" s="234"/>
      <c r="AH103" s="234"/>
      <c r="AI103" s="235">
        <v>20000000</v>
      </c>
      <c r="AJ103" s="279"/>
      <c r="AK103" s="279"/>
      <c r="AL103" s="279"/>
      <c r="AM103" s="218">
        <f>+Y103+Z103+AA103+AB103+AC103+AD103+AE103+AF103+AG103+AH103+AI103+AJ103+AK103</f>
        <v>20000000</v>
      </c>
      <c r="AN103" s="201" t="s">
        <v>1617</v>
      </c>
      <c r="AO103" s="188"/>
    </row>
    <row r="104" spans="1:41" s="26" customFormat="1" ht="128.25" customHeight="1" x14ac:dyDescent="0.2">
      <c r="A104" s="178">
        <v>312</v>
      </c>
      <c r="B104" s="177" t="s">
        <v>1588</v>
      </c>
      <c r="C104" s="174">
        <v>2</v>
      </c>
      <c r="D104" s="177" t="s">
        <v>1587</v>
      </c>
      <c r="E104" s="174">
        <v>17</v>
      </c>
      <c r="F104" s="177" t="s">
        <v>451</v>
      </c>
      <c r="G104" s="174">
        <v>1707</v>
      </c>
      <c r="H104" s="177" t="s">
        <v>523</v>
      </c>
      <c r="I104" s="174">
        <v>1707</v>
      </c>
      <c r="J104" s="177" t="s">
        <v>1545</v>
      </c>
      <c r="K104" s="177" t="s">
        <v>453</v>
      </c>
      <c r="L104" s="249">
        <v>1707069</v>
      </c>
      <c r="M104" s="177" t="s">
        <v>524</v>
      </c>
      <c r="N104" s="249">
        <v>1707069</v>
      </c>
      <c r="O104" s="177" t="s">
        <v>524</v>
      </c>
      <c r="P104" s="174" t="s">
        <v>525</v>
      </c>
      <c r="Q104" s="177" t="s">
        <v>526</v>
      </c>
      <c r="R104" s="174" t="s">
        <v>525</v>
      </c>
      <c r="S104" s="177" t="s">
        <v>526</v>
      </c>
      <c r="T104" s="191" t="s">
        <v>1637</v>
      </c>
      <c r="U104" s="52">
        <v>5</v>
      </c>
      <c r="V104" s="191" t="s">
        <v>527</v>
      </c>
      <c r="W104" s="175" t="s">
        <v>528</v>
      </c>
      <c r="X104" s="177" t="s">
        <v>529</v>
      </c>
      <c r="Y104" s="280"/>
      <c r="Z104" s="280"/>
      <c r="AA104" s="280"/>
      <c r="AB104" s="280"/>
      <c r="AC104" s="280"/>
      <c r="AD104" s="280"/>
      <c r="AE104" s="280"/>
      <c r="AF104" s="280"/>
      <c r="AG104" s="280"/>
      <c r="AH104" s="280"/>
      <c r="AI104" s="190">
        <v>43000000</v>
      </c>
      <c r="AJ104" s="279"/>
      <c r="AK104" s="279"/>
      <c r="AL104" s="279"/>
      <c r="AM104" s="218">
        <f>+Y104+Z104+AA104+AB104+AC104+AD104+AE104+AF104+AG104+AH104+AI104+AJ104+AK104</f>
        <v>43000000</v>
      </c>
      <c r="AN104" s="201" t="s">
        <v>1617</v>
      </c>
      <c r="AO104" s="188"/>
    </row>
    <row r="105" spans="1:41" s="26" customFormat="1" ht="168.75" customHeight="1" x14ac:dyDescent="0.2">
      <c r="A105" s="178">
        <v>312</v>
      </c>
      <c r="B105" s="177" t="s">
        <v>1588</v>
      </c>
      <c r="C105" s="174">
        <v>2</v>
      </c>
      <c r="D105" s="177" t="s">
        <v>1587</v>
      </c>
      <c r="E105" s="174">
        <v>17</v>
      </c>
      <c r="F105" s="177" t="s">
        <v>451</v>
      </c>
      <c r="G105" s="174">
        <v>1708</v>
      </c>
      <c r="H105" s="177" t="s">
        <v>530</v>
      </c>
      <c r="I105" s="174">
        <v>1708</v>
      </c>
      <c r="J105" s="177" t="s">
        <v>1546</v>
      </c>
      <c r="K105" s="177" t="s">
        <v>453</v>
      </c>
      <c r="L105" s="249">
        <v>1708016</v>
      </c>
      <c r="M105" s="177" t="s">
        <v>84</v>
      </c>
      <c r="N105" s="249">
        <v>1708016</v>
      </c>
      <c r="O105" s="177" t="s">
        <v>84</v>
      </c>
      <c r="P105" s="50" t="s">
        <v>531</v>
      </c>
      <c r="Q105" s="177" t="s">
        <v>532</v>
      </c>
      <c r="R105" s="50" t="s">
        <v>531</v>
      </c>
      <c r="S105" s="177" t="s">
        <v>532</v>
      </c>
      <c r="T105" s="191" t="s">
        <v>1635</v>
      </c>
      <c r="U105" s="52">
        <v>2</v>
      </c>
      <c r="V105" s="191" t="s">
        <v>533</v>
      </c>
      <c r="W105" s="175" t="s">
        <v>534</v>
      </c>
      <c r="X105" s="177" t="s">
        <v>535</v>
      </c>
      <c r="Y105" s="234"/>
      <c r="Z105" s="234"/>
      <c r="AA105" s="234"/>
      <c r="AB105" s="234"/>
      <c r="AC105" s="234"/>
      <c r="AD105" s="234"/>
      <c r="AE105" s="234"/>
      <c r="AF105" s="234"/>
      <c r="AG105" s="234"/>
      <c r="AH105" s="234"/>
      <c r="AI105" s="190">
        <f>20000000-2445000</f>
        <v>17555000</v>
      </c>
      <c r="AJ105" s="279"/>
      <c r="AK105" s="279"/>
      <c r="AL105" s="279"/>
      <c r="AM105" s="218">
        <f>+Y105+Z105+AA105+AB105+AC105+AD105+AE105+AF105+AG105+AH105+AI105+AJ105+AK105</f>
        <v>17555000</v>
      </c>
      <c r="AN105" s="201" t="s">
        <v>1617</v>
      </c>
      <c r="AO105" s="188"/>
    </row>
    <row r="106" spans="1:41" s="26" customFormat="1" ht="187.5" customHeight="1" x14ac:dyDescent="0.2">
      <c r="A106" s="178">
        <v>312</v>
      </c>
      <c r="B106" s="177" t="s">
        <v>1588</v>
      </c>
      <c r="C106" s="174">
        <v>2</v>
      </c>
      <c r="D106" s="177" t="s">
        <v>1587</v>
      </c>
      <c r="E106" s="174">
        <v>17</v>
      </c>
      <c r="F106" s="177" t="s">
        <v>451</v>
      </c>
      <c r="G106" s="174">
        <v>1708</v>
      </c>
      <c r="H106" s="177" t="s">
        <v>530</v>
      </c>
      <c r="I106" s="174">
        <v>1708</v>
      </c>
      <c r="J106" s="177" t="s">
        <v>1546</v>
      </c>
      <c r="K106" s="177" t="s">
        <v>453</v>
      </c>
      <c r="L106" s="249">
        <v>1708051</v>
      </c>
      <c r="M106" s="177" t="s">
        <v>536</v>
      </c>
      <c r="N106" s="249">
        <v>1708051</v>
      </c>
      <c r="O106" s="177" t="s">
        <v>536</v>
      </c>
      <c r="P106" s="50" t="s">
        <v>537</v>
      </c>
      <c r="Q106" s="256" t="s">
        <v>538</v>
      </c>
      <c r="R106" s="50" t="s">
        <v>537</v>
      </c>
      <c r="S106" s="256" t="s">
        <v>538</v>
      </c>
      <c r="T106" s="191" t="s">
        <v>1635</v>
      </c>
      <c r="U106" s="52">
        <v>1</v>
      </c>
      <c r="V106" s="191" t="s">
        <v>533</v>
      </c>
      <c r="W106" s="175" t="s">
        <v>534</v>
      </c>
      <c r="X106" s="177" t="s">
        <v>535</v>
      </c>
      <c r="Y106" s="234"/>
      <c r="Z106" s="234"/>
      <c r="AA106" s="234"/>
      <c r="AB106" s="234"/>
      <c r="AC106" s="234"/>
      <c r="AD106" s="234"/>
      <c r="AE106" s="234"/>
      <c r="AF106" s="234"/>
      <c r="AG106" s="234"/>
      <c r="AH106" s="234"/>
      <c r="AI106" s="235">
        <v>20000000</v>
      </c>
      <c r="AJ106" s="279"/>
      <c r="AK106" s="279"/>
      <c r="AL106" s="279"/>
      <c r="AM106" s="218">
        <f>+Y106+Z106+AA106+AB106+AC106+AD106+AE106+AF106+AG106+AH106+AI106+AJ106+AK106</f>
        <v>20000000</v>
      </c>
      <c r="AN106" s="201" t="s">
        <v>1617</v>
      </c>
      <c r="AO106" s="188"/>
    </row>
    <row r="107" spans="1:41" s="26" customFormat="1" ht="138.75" customHeight="1" x14ac:dyDescent="0.2">
      <c r="A107" s="178">
        <v>312</v>
      </c>
      <c r="B107" s="177" t="s">
        <v>1588</v>
      </c>
      <c r="C107" s="174">
        <v>2</v>
      </c>
      <c r="D107" s="177" t="s">
        <v>1587</v>
      </c>
      <c r="E107" s="174">
        <v>17</v>
      </c>
      <c r="F107" s="177" t="s">
        <v>451</v>
      </c>
      <c r="G107" s="178">
        <v>1709</v>
      </c>
      <c r="H107" s="177" t="s">
        <v>539</v>
      </c>
      <c r="I107" s="178">
        <v>1709</v>
      </c>
      <c r="J107" s="177" t="s">
        <v>1547</v>
      </c>
      <c r="K107" s="177" t="s">
        <v>453</v>
      </c>
      <c r="L107" s="249">
        <v>1709019</v>
      </c>
      <c r="M107" s="177" t="s">
        <v>540</v>
      </c>
      <c r="N107" s="249">
        <v>1709019</v>
      </c>
      <c r="O107" s="177" t="s">
        <v>540</v>
      </c>
      <c r="P107" s="50">
        <v>170901900</v>
      </c>
      <c r="Q107" s="256" t="s">
        <v>540</v>
      </c>
      <c r="R107" s="50">
        <v>170901900</v>
      </c>
      <c r="S107" s="256" t="s">
        <v>540</v>
      </c>
      <c r="T107" s="191" t="s">
        <v>1637</v>
      </c>
      <c r="U107" s="52">
        <v>4</v>
      </c>
      <c r="V107" s="268" t="s">
        <v>541</v>
      </c>
      <c r="W107" s="175" t="s">
        <v>542</v>
      </c>
      <c r="X107" s="177" t="s">
        <v>543</v>
      </c>
      <c r="Y107" s="242"/>
      <c r="Z107" s="242"/>
      <c r="AA107" s="242"/>
      <c r="AB107" s="242"/>
      <c r="AC107" s="242"/>
      <c r="AD107" s="242"/>
      <c r="AE107" s="242"/>
      <c r="AF107" s="242"/>
      <c r="AG107" s="242"/>
      <c r="AH107" s="242"/>
      <c r="AI107" s="235">
        <v>43000000</v>
      </c>
      <c r="AJ107" s="279"/>
      <c r="AK107" s="279"/>
      <c r="AL107" s="279"/>
      <c r="AM107" s="218">
        <f>+Y107+Z107+AA107+AB107+AC107+AD107+AE107+AF107+AG107+AH107+AI107+AJ107+AK107</f>
        <v>43000000</v>
      </c>
      <c r="AN107" s="201" t="s">
        <v>1617</v>
      </c>
      <c r="AO107" s="188"/>
    </row>
    <row r="108" spans="1:41" s="26" customFormat="1" ht="132.75" customHeight="1" x14ac:dyDescent="0.2">
      <c r="A108" s="178">
        <v>312</v>
      </c>
      <c r="B108" s="177" t="s">
        <v>1588</v>
      </c>
      <c r="C108" s="174">
        <v>2</v>
      </c>
      <c r="D108" s="177" t="s">
        <v>1587</v>
      </c>
      <c r="E108" s="174">
        <v>17</v>
      </c>
      <c r="F108" s="177" t="s">
        <v>451</v>
      </c>
      <c r="G108" s="178">
        <v>1709</v>
      </c>
      <c r="H108" s="177" t="s">
        <v>539</v>
      </c>
      <c r="I108" s="178">
        <v>1709</v>
      </c>
      <c r="J108" s="177" t="s">
        <v>1547</v>
      </c>
      <c r="K108" s="177" t="s">
        <v>453</v>
      </c>
      <c r="L108" s="249">
        <v>1709034</v>
      </c>
      <c r="M108" s="177" t="s">
        <v>544</v>
      </c>
      <c r="N108" s="249">
        <v>1709034</v>
      </c>
      <c r="O108" s="177" t="s">
        <v>544</v>
      </c>
      <c r="P108" s="50" t="s">
        <v>545</v>
      </c>
      <c r="Q108" s="256" t="s">
        <v>544</v>
      </c>
      <c r="R108" s="50">
        <v>170903400</v>
      </c>
      <c r="S108" s="256" t="s">
        <v>544</v>
      </c>
      <c r="T108" s="191" t="s">
        <v>1637</v>
      </c>
      <c r="U108" s="52">
        <v>3</v>
      </c>
      <c r="V108" s="268" t="s">
        <v>541</v>
      </c>
      <c r="W108" s="175" t="s">
        <v>542</v>
      </c>
      <c r="X108" s="177" t="s">
        <v>543</v>
      </c>
      <c r="Y108" s="242"/>
      <c r="Z108" s="242"/>
      <c r="AA108" s="242"/>
      <c r="AB108" s="242"/>
      <c r="AC108" s="242"/>
      <c r="AD108" s="242"/>
      <c r="AE108" s="242"/>
      <c r="AF108" s="242"/>
      <c r="AG108" s="242"/>
      <c r="AH108" s="242"/>
      <c r="AI108" s="235">
        <v>43000000</v>
      </c>
      <c r="AJ108" s="279"/>
      <c r="AK108" s="279"/>
      <c r="AL108" s="279"/>
      <c r="AM108" s="218">
        <f>+Y108+Z108+AA108+AB108+AC108+AD108+AE108+AF108+AG108+AH108+AI108+AJ108+AK108</f>
        <v>43000000</v>
      </c>
      <c r="AN108" s="201" t="s">
        <v>1617</v>
      </c>
      <c r="AO108" s="188"/>
    </row>
    <row r="109" spans="1:41" s="26" customFormat="1" ht="132.75" customHeight="1" x14ac:dyDescent="0.2">
      <c r="A109" s="178">
        <v>312</v>
      </c>
      <c r="B109" s="177" t="s">
        <v>1588</v>
      </c>
      <c r="C109" s="174">
        <v>2</v>
      </c>
      <c r="D109" s="177" t="s">
        <v>1587</v>
      </c>
      <c r="E109" s="174">
        <v>17</v>
      </c>
      <c r="F109" s="177" t="s">
        <v>451</v>
      </c>
      <c r="G109" s="178">
        <v>1709</v>
      </c>
      <c r="H109" s="177" t="s">
        <v>539</v>
      </c>
      <c r="I109" s="178">
        <v>1709</v>
      </c>
      <c r="J109" s="177" t="s">
        <v>1547</v>
      </c>
      <c r="K109" s="177" t="s">
        <v>453</v>
      </c>
      <c r="L109" s="249">
        <v>1709093</v>
      </c>
      <c r="M109" s="177" t="s">
        <v>546</v>
      </c>
      <c r="N109" s="249">
        <v>1709093</v>
      </c>
      <c r="O109" s="177" t="s">
        <v>546</v>
      </c>
      <c r="P109" s="174" t="s">
        <v>547</v>
      </c>
      <c r="Q109" s="177" t="s">
        <v>548</v>
      </c>
      <c r="R109" s="174">
        <v>170909300</v>
      </c>
      <c r="S109" s="177" t="s">
        <v>548</v>
      </c>
      <c r="T109" s="191" t="s">
        <v>1637</v>
      </c>
      <c r="U109" s="52">
        <v>2</v>
      </c>
      <c r="V109" s="268" t="s">
        <v>541</v>
      </c>
      <c r="W109" s="175" t="s">
        <v>542</v>
      </c>
      <c r="X109" s="177" t="s">
        <v>543</v>
      </c>
      <c r="Y109" s="242"/>
      <c r="Z109" s="242"/>
      <c r="AA109" s="242"/>
      <c r="AB109" s="242"/>
      <c r="AC109" s="242"/>
      <c r="AD109" s="242"/>
      <c r="AE109" s="242"/>
      <c r="AF109" s="242"/>
      <c r="AG109" s="242"/>
      <c r="AH109" s="242"/>
      <c r="AI109" s="235">
        <v>22000000</v>
      </c>
      <c r="AJ109" s="279"/>
      <c r="AK109" s="279"/>
      <c r="AL109" s="279"/>
      <c r="AM109" s="218">
        <f>+Y109+Z109+AA109+AB109+AC109+AD109+AE109+AF109+AG109+AH109+AI109+AJ109+AK109</f>
        <v>22000000</v>
      </c>
      <c r="AN109" s="201" t="s">
        <v>1617</v>
      </c>
      <c r="AO109" s="188"/>
    </row>
    <row r="110" spans="1:41" s="26" customFormat="1" ht="110.25" customHeight="1" x14ac:dyDescent="0.2">
      <c r="A110" s="178">
        <v>312</v>
      </c>
      <c r="B110" s="177" t="s">
        <v>1588</v>
      </c>
      <c r="C110" s="174">
        <v>2</v>
      </c>
      <c r="D110" s="177" t="s">
        <v>1587</v>
      </c>
      <c r="E110" s="174">
        <v>35</v>
      </c>
      <c r="F110" s="177" t="s">
        <v>401</v>
      </c>
      <c r="G110" s="174">
        <v>3502</v>
      </c>
      <c r="H110" s="177" t="s">
        <v>1549</v>
      </c>
      <c r="I110" s="174">
        <v>3502</v>
      </c>
      <c r="J110" s="177" t="s">
        <v>1548</v>
      </c>
      <c r="K110" s="177" t="s">
        <v>549</v>
      </c>
      <c r="L110" s="249">
        <v>3502017</v>
      </c>
      <c r="M110" s="177" t="s">
        <v>550</v>
      </c>
      <c r="N110" s="249">
        <v>3502017</v>
      </c>
      <c r="O110" s="177" t="s">
        <v>550</v>
      </c>
      <c r="P110" s="50" t="s">
        <v>551</v>
      </c>
      <c r="Q110" s="256" t="s">
        <v>552</v>
      </c>
      <c r="R110" s="50" t="s">
        <v>551</v>
      </c>
      <c r="S110" s="256" t="s">
        <v>552</v>
      </c>
      <c r="T110" s="191" t="s">
        <v>1635</v>
      </c>
      <c r="U110" s="52">
        <v>6</v>
      </c>
      <c r="V110" s="191" t="s">
        <v>553</v>
      </c>
      <c r="W110" s="175" t="s">
        <v>554</v>
      </c>
      <c r="X110" s="177" t="s">
        <v>555</v>
      </c>
      <c r="Y110" s="234"/>
      <c r="Z110" s="234"/>
      <c r="AA110" s="234"/>
      <c r="AB110" s="234"/>
      <c r="AC110" s="234"/>
      <c r="AD110" s="234"/>
      <c r="AE110" s="234"/>
      <c r="AF110" s="234"/>
      <c r="AG110" s="234"/>
      <c r="AH110" s="234"/>
      <c r="AI110" s="235">
        <v>18000000</v>
      </c>
      <c r="AJ110" s="235"/>
      <c r="AK110" s="279"/>
      <c r="AL110" s="279"/>
      <c r="AM110" s="218">
        <f>+Y110+Z110+AA110+AB110+AC110+AD110+AE110+AF110+AG110+AH110+AI110+AJ110+AK110</f>
        <v>18000000</v>
      </c>
      <c r="AN110" s="201" t="s">
        <v>1617</v>
      </c>
      <c r="AO110" s="188"/>
    </row>
    <row r="111" spans="1:41" s="188" customFormat="1" ht="130.5" customHeight="1" x14ac:dyDescent="0.25">
      <c r="A111" s="178">
        <v>312</v>
      </c>
      <c r="B111" s="177" t="s">
        <v>1588</v>
      </c>
      <c r="C111" s="174">
        <v>2</v>
      </c>
      <c r="D111" s="177" t="s">
        <v>1587</v>
      </c>
      <c r="E111" s="174">
        <v>35</v>
      </c>
      <c r="F111" s="177" t="s">
        <v>401</v>
      </c>
      <c r="G111" s="174">
        <v>3502</v>
      </c>
      <c r="H111" s="177" t="s">
        <v>1549</v>
      </c>
      <c r="I111" s="174">
        <v>3502</v>
      </c>
      <c r="J111" s="177" t="s">
        <v>1548</v>
      </c>
      <c r="K111" s="177" t="s">
        <v>549</v>
      </c>
      <c r="L111" s="249">
        <v>3502007</v>
      </c>
      <c r="M111" s="177" t="s">
        <v>556</v>
      </c>
      <c r="N111" s="249">
        <v>3502007</v>
      </c>
      <c r="O111" s="177" t="s">
        <v>556</v>
      </c>
      <c r="P111" s="174" t="s">
        <v>411</v>
      </c>
      <c r="Q111" s="177" t="s">
        <v>412</v>
      </c>
      <c r="R111" s="174" t="s">
        <v>411</v>
      </c>
      <c r="S111" s="177" t="s">
        <v>412</v>
      </c>
      <c r="T111" s="191" t="s">
        <v>1635</v>
      </c>
      <c r="U111" s="174">
        <v>5</v>
      </c>
      <c r="V111" s="191" t="s">
        <v>553</v>
      </c>
      <c r="W111" s="175" t="s">
        <v>554</v>
      </c>
      <c r="X111" s="177" t="s">
        <v>555</v>
      </c>
      <c r="Y111" s="234"/>
      <c r="Z111" s="234"/>
      <c r="AA111" s="234"/>
      <c r="AB111" s="234"/>
      <c r="AC111" s="234"/>
      <c r="AD111" s="234"/>
      <c r="AE111" s="234"/>
      <c r="AF111" s="234"/>
      <c r="AG111" s="234"/>
      <c r="AH111" s="234"/>
      <c r="AI111" s="235">
        <v>18000000</v>
      </c>
      <c r="AJ111" s="235"/>
      <c r="AK111" s="279"/>
      <c r="AL111" s="279"/>
      <c r="AM111" s="218">
        <f>+Y111+Z111+AA111+AB111+AC111+AD111+AE111+AF111+AG111+AH111+AI111+AJ111+AK111</f>
        <v>18000000</v>
      </c>
      <c r="AN111" s="201" t="s">
        <v>1617</v>
      </c>
    </row>
    <row r="112" spans="1:41" s="26" customFormat="1" ht="131.25" customHeight="1" x14ac:dyDescent="0.2">
      <c r="A112" s="178">
        <v>312</v>
      </c>
      <c r="B112" s="177" t="s">
        <v>1588</v>
      </c>
      <c r="C112" s="174">
        <v>3</v>
      </c>
      <c r="D112" s="177" t="s">
        <v>1582</v>
      </c>
      <c r="E112" s="174">
        <v>32</v>
      </c>
      <c r="F112" s="177" t="s">
        <v>207</v>
      </c>
      <c r="G112" s="178">
        <v>3201</v>
      </c>
      <c r="H112" s="177" t="s">
        <v>1558</v>
      </c>
      <c r="I112" s="178">
        <v>3201</v>
      </c>
      <c r="J112" s="177" t="s">
        <v>1559</v>
      </c>
      <c r="K112" s="177" t="s">
        <v>209</v>
      </c>
      <c r="L112" s="249">
        <v>3201013</v>
      </c>
      <c r="M112" s="177" t="s">
        <v>559</v>
      </c>
      <c r="N112" s="249">
        <v>3201013</v>
      </c>
      <c r="O112" s="177" t="s">
        <v>559</v>
      </c>
      <c r="P112" s="50" t="s">
        <v>560</v>
      </c>
      <c r="Q112" s="256" t="s">
        <v>561</v>
      </c>
      <c r="R112" s="50" t="s">
        <v>560</v>
      </c>
      <c r="S112" s="256" t="s">
        <v>561</v>
      </c>
      <c r="T112" s="191" t="s">
        <v>1637</v>
      </c>
      <c r="U112" s="52">
        <v>1</v>
      </c>
      <c r="V112" s="268" t="s">
        <v>562</v>
      </c>
      <c r="W112" s="175" t="s">
        <v>563</v>
      </c>
      <c r="X112" s="177" t="s">
        <v>564</v>
      </c>
      <c r="Y112" s="253"/>
      <c r="Z112" s="253"/>
      <c r="AA112" s="253"/>
      <c r="AB112" s="253"/>
      <c r="AC112" s="253"/>
      <c r="AD112" s="253"/>
      <c r="AE112" s="253"/>
      <c r="AF112" s="253"/>
      <c r="AG112" s="253"/>
      <c r="AH112" s="253"/>
      <c r="AI112" s="235">
        <f>32000000-543501</f>
        <v>31456499</v>
      </c>
      <c r="AJ112" s="279"/>
      <c r="AK112" s="279"/>
      <c r="AL112" s="279"/>
      <c r="AM112" s="218">
        <f>+Y112+Z112+AA112+AB112+AC112+AD112+AE112+AF112+AG112+AH112+AI112+AJ112+AK112</f>
        <v>31456499</v>
      </c>
      <c r="AN112" s="201" t="s">
        <v>1617</v>
      </c>
      <c r="AO112" s="188"/>
    </row>
    <row r="113" spans="1:41" s="26" customFormat="1" ht="130.5" customHeight="1" x14ac:dyDescent="0.2">
      <c r="A113" s="178">
        <v>312</v>
      </c>
      <c r="B113" s="177" t="s">
        <v>1588</v>
      </c>
      <c r="C113" s="174">
        <v>3</v>
      </c>
      <c r="D113" s="177" t="s">
        <v>1582</v>
      </c>
      <c r="E113" s="174">
        <v>32</v>
      </c>
      <c r="F113" s="177" t="s">
        <v>207</v>
      </c>
      <c r="G113" s="178">
        <v>3201</v>
      </c>
      <c r="H113" s="177" t="s">
        <v>1558</v>
      </c>
      <c r="I113" s="178">
        <v>3201</v>
      </c>
      <c r="J113" s="177" t="s">
        <v>1559</v>
      </c>
      <c r="K113" s="177" t="s">
        <v>209</v>
      </c>
      <c r="L113" s="249">
        <v>3201008</v>
      </c>
      <c r="M113" s="177" t="s">
        <v>565</v>
      </c>
      <c r="N113" s="249">
        <v>3201008</v>
      </c>
      <c r="O113" s="177" t="s">
        <v>565</v>
      </c>
      <c r="P113" s="50" t="s">
        <v>566</v>
      </c>
      <c r="Q113" s="177" t="s">
        <v>567</v>
      </c>
      <c r="R113" s="50" t="s">
        <v>566</v>
      </c>
      <c r="S113" s="177" t="s">
        <v>567</v>
      </c>
      <c r="T113" s="191" t="s">
        <v>1637</v>
      </c>
      <c r="U113" s="52">
        <v>2</v>
      </c>
      <c r="V113" s="268" t="s">
        <v>562</v>
      </c>
      <c r="W113" s="175" t="s">
        <v>563</v>
      </c>
      <c r="X113" s="177" t="s">
        <v>564</v>
      </c>
      <c r="Y113" s="253"/>
      <c r="Z113" s="253"/>
      <c r="AA113" s="253"/>
      <c r="AB113" s="253"/>
      <c r="AC113" s="253"/>
      <c r="AD113" s="253"/>
      <c r="AE113" s="253"/>
      <c r="AF113" s="253"/>
      <c r="AG113" s="253"/>
      <c r="AH113" s="253"/>
      <c r="AI113" s="235">
        <v>50000000</v>
      </c>
      <c r="AJ113" s="279"/>
      <c r="AK113" s="279"/>
      <c r="AL113" s="279"/>
      <c r="AM113" s="218">
        <f>+Y113+Z113+AA113+AB113+AC113+AD113+AE113+AF113+AG113+AH113+AI113+AJ113+AK113</f>
        <v>50000000</v>
      </c>
      <c r="AN113" s="201" t="s">
        <v>1617</v>
      </c>
      <c r="AO113" s="188"/>
    </row>
    <row r="114" spans="1:41" s="26" customFormat="1" ht="175.5" customHeight="1" x14ac:dyDescent="0.2">
      <c r="A114" s="178">
        <v>312</v>
      </c>
      <c r="B114" s="177" t="s">
        <v>1588</v>
      </c>
      <c r="C114" s="174">
        <v>3</v>
      </c>
      <c r="D114" s="177" t="s">
        <v>1582</v>
      </c>
      <c r="E114" s="174">
        <v>32</v>
      </c>
      <c r="F114" s="177" t="s">
        <v>207</v>
      </c>
      <c r="G114" s="174">
        <v>3202</v>
      </c>
      <c r="H114" s="177" t="s">
        <v>568</v>
      </c>
      <c r="I114" s="174">
        <v>3202</v>
      </c>
      <c r="J114" s="177" t="s">
        <v>1560</v>
      </c>
      <c r="K114" s="177" t="s">
        <v>209</v>
      </c>
      <c r="L114" s="249" t="s">
        <v>569</v>
      </c>
      <c r="M114" s="177" t="s">
        <v>570</v>
      </c>
      <c r="N114" s="249" t="s">
        <v>569</v>
      </c>
      <c r="O114" s="177" t="s">
        <v>570</v>
      </c>
      <c r="P114" s="50" t="s">
        <v>571</v>
      </c>
      <c r="Q114" s="256" t="s">
        <v>572</v>
      </c>
      <c r="R114" s="50" t="s">
        <v>571</v>
      </c>
      <c r="S114" s="256" t="s">
        <v>572</v>
      </c>
      <c r="T114" s="191" t="s">
        <v>1637</v>
      </c>
      <c r="U114" s="52">
        <v>600</v>
      </c>
      <c r="V114" s="191" t="s">
        <v>573</v>
      </c>
      <c r="W114" s="175" t="s">
        <v>574</v>
      </c>
      <c r="X114" s="177" t="s">
        <v>575</v>
      </c>
      <c r="Y114" s="234"/>
      <c r="Z114" s="234"/>
      <c r="AA114" s="234"/>
      <c r="AB114" s="234"/>
      <c r="AC114" s="234"/>
      <c r="AD114" s="234"/>
      <c r="AE114" s="234"/>
      <c r="AF114" s="234"/>
      <c r="AG114" s="234"/>
      <c r="AH114" s="234"/>
      <c r="AI114" s="235">
        <f>200000000+20000000</f>
        <v>220000000</v>
      </c>
      <c r="AJ114" s="279"/>
      <c r="AK114" s="279"/>
      <c r="AL114" s="279"/>
      <c r="AM114" s="218">
        <f>+Y114+Z114+AA114+AB114+AC114+AD114+AE114+AF114+AG114+AH114+AI114+AJ114+AK114</f>
        <v>220000000</v>
      </c>
      <c r="AN114" s="201" t="s">
        <v>1617</v>
      </c>
      <c r="AO114" s="188"/>
    </row>
    <row r="115" spans="1:41" s="26" customFormat="1" ht="186" customHeight="1" x14ac:dyDescent="0.2">
      <c r="A115" s="178">
        <v>312</v>
      </c>
      <c r="B115" s="177" t="s">
        <v>1588</v>
      </c>
      <c r="C115" s="174">
        <v>3</v>
      </c>
      <c r="D115" s="177" t="s">
        <v>1582</v>
      </c>
      <c r="E115" s="174">
        <v>32</v>
      </c>
      <c r="F115" s="177" t="s">
        <v>207</v>
      </c>
      <c r="G115" s="174">
        <v>3202</v>
      </c>
      <c r="H115" s="177" t="s">
        <v>568</v>
      </c>
      <c r="I115" s="174">
        <v>3202</v>
      </c>
      <c r="J115" s="177" t="s">
        <v>1560</v>
      </c>
      <c r="K115" s="177" t="s">
        <v>209</v>
      </c>
      <c r="L115" s="249">
        <v>3202037</v>
      </c>
      <c r="M115" s="177" t="s">
        <v>576</v>
      </c>
      <c r="N115" s="249">
        <v>3202037</v>
      </c>
      <c r="O115" s="177" t="s">
        <v>576</v>
      </c>
      <c r="P115" s="50" t="s">
        <v>577</v>
      </c>
      <c r="Q115" s="256" t="s">
        <v>578</v>
      </c>
      <c r="R115" s="50" t="s">
        <v>577</v>
      </c>
      <c r="S115" s="256" t="s">
        <v>578</v>
      </c>
      <c r="T115" s="191" t="s">
        <v>1637</v>
      </c>
      <c r="U115" s="52">
        <v>40</v>
      </c>
      <c r="V115" s="191" t="s">
        <v>573</v>
      </c>
      <c r="W115" s="175" t="s">
        <v>574</v>
      </c>
      <c r="X115" s="177" t="s">
        <v>575</v>
      </c>
      <c r="Y115" s="234"/>
      <c r="Z115" s="234"/>
      <c r="AA115" s="234"/>
      <c r="AB115" s="234"/>
      <c r="AC115" s="234"/>
      <c r="AD115" s="234"/>
      <c r="AE115" s="234"/>
      <c r="AF115" s="234"/>
      <c r="AG115" s="234"/>
      <c r="AH115" s="234"/>
      <c r="AI115" s="235">
        <f>82575952+12672234</f>
        <v>95248186</v>
      </c>
      <c r="AJ115" s="279"/>
      <c r="AK115" s="279"/>
      <c r="AL115" s="279"/>
      <c r="AM115" s="218">
        <f>+Y115+Z115+AA115+AB115+AC115+AD115+AE115+AF115+AG115+AH115+AI115+AJ115+AK115</f>
        <v>95248186</v>
      </c>
      <c r="AN115" s="201" t="s">
        <v>1617</v>
      </c>
      <c r="AO115" s="188"/>
    </row>
    <row r="116" spans="1:41" s="26" customFormat="1" ht="186" customHeight="1" x14ac:dyDescent="0.2">
      <c r="A116" s="178">
        <v>312</v>
      </c>
      <c r="B116" s="177" t="s">
        <v>1588</v>
      </c>
      <c r="C116" s="174">
        <v>3</v>
      </c>
      <c r="D116" s="177" t="s">
        <v>1582</v>
      </c>
      <c r="E116" s="174">
        <v>32</v>
      </c>
      <c r="F116" s="177" t="s">
        <v>207</v>
      </c>
      <c r="G116" s="174">
        <v>3202</v>
      </c>
      <c r="H116" s="177" t="s">
        <v>568</v>
      </c>
      <c r="I116" s="174">
        <v>3202</v>
      </c>
      <c r="J116" s="177" t="s">
        <v>1560</v>
      </c>
      <c r="K116" s="177" t="s">
        <v>209</v>
      </c>
      <c r="L116" s="174" t="s">
        <v>41</v>
      </c>
      <c r="M116" s="177" t="s">
        <v>579</v>
      </c>
      <c r="N116" s="178">
        <v>3202037</v>
      </c>
      <c r="O116" s="177" t="s">
        <v>576</v>
      </c>
      <c r="P116" s="174" t="s">
        <v>41</v>
      </c>
      <c r="Q116" s="256" t="s">
        <v>580</v>
      </c>
      <c r="R116" s="178">
        <v>320203700</v>
      </c>
      <c r="S116" s="256" t="s">
        <v>581</v>
      </c>
      <c r="T116" s="191" t="s">
        <v>1637</v>
      </c>
      <c r="U116" s="52">
        <v>60</v>
      </c>
      <c r="V116" s="191" t="s">
        <v>573</v>
      </c>
      <c r="W116" s="175" t="s">
        <v>574</v>
      </c>
      <c r="X116" s="177" t="s">
        <v>575</v>
      </c>
      <c r="Y116" s="234"/>
      <c r="Z116" s="234"/>
      <c r="AA116" s="234"/>
      <c r="AB116" s="234"/>
      <c r="AC116" s="234"/>
      <c r="AD116" s="234"/>
      <c r="AE116" s="234"/>
      <c r="AF116" s="234"/>
      <c r="AG116" s="234"/>
      <c r="AH116" s="234"/>
      <c r="AI116" s="235">
        <f>400000000+20000000+290383203</f>
        <v>710383203</v>
      </c>
      <c r="AJ116" s="279"/>
      <c r="AK116" s="279"/>
      <c r="AL116" s="279"/>
      <c r="AM116" s="218">
        <f>+Y116+Z116+AA116+AB116+AC116+AD116+AE116+AF116+AG116+AH116+AI116+AJ116+AK116</f>
        <v>710383203</v>
      </c>
      <c r="AN116" s="201" t="s">
        <v>1617</v>
      </c>
      <c r="AO116" s="188"/>
    </row>
    <row r="117" spans="1:41" s="26" customFormat="1" ht="186" customHeight="1" x14ac:dyDescent="0.2">
      <c r="A117" s="178">
        <v>312</v>
      </c>
      <c r="B117" s="177" t="s">
        <v>1588</v>
      </c>
      <c r="C117" s="174">
        <v>3</v>
      </c>
      <c r="D117" s="177" t="s">
        <v>1582</v>
      </c>
      <c r="E117" s="174">
        <v>32</v>
      </c>
      <c r="F117" s="177" t="s">
        <v>207</v>
      </c>
      <c r="G117" s="174">
        <v>3202</v>
      </c>
      <c r="H117" s="177" t="s">
        <v>568</v>
      </c>
      <c r="I117" s="174">
        <v>3202</v>
      </c>
      <c r="J117" s="177" t="s">
        <v>1560</v>
      </c>
      <c r="K117" s="177" t="s">
        <v>209</v>
      </c>
      <c r="L117" s="174">
        <v>3202017</v>
      </c>
      <c r="M117" s="177" t="s">
        <v>582</v>
      </c>
      <c r="N117" s="249">
        <v>3202043</v>
      </c>
      <c r="O117" s="177" t="s">
        <v>583</v>
      </c>
      <c r="P117" s="174" t="s">
        <v>584</v>
      </c>
      <c r="Q117" s="256" t="s">
        <v>585</v>
      </c>
      <c r="R117" s="50">
        <v>320204300</v>
      </c>
      <c r="S117" s="256" t="s">
        <v>586</v>
      </c>
      <c r="T117" s="191" t="s">
        <v>1635</v>
      </c>
      <c r="U117" s="282">
        <v>1</v>
      </c>
      <c r="V117" s="191" t="s">
        <v>573</v>
      </c>
      <c r="W117" s="175" t="s">
        <v>574</v>
      </c>
      <c r="X117" s="177" t="s">
        <v>575</v>
      </c>
      <c r="Y117" s="234"/>
      <c r="Z117" s="234"/>
      <c r="AA117" s="234"/>
      <c r="AB117" s="234"/>
      <c r="AC117" s="234"/>
      <c r="AD117" s="234"/>
      <c r="AE117" s="234"/>
      <c r="AF117" s="234"/>
      <c r="AG117" s="234"/>
      <c r="AH117" s="234"/>
      <c r="AI117" s="235">
        <f>100000000+20000000</f>
        <v>120000000</v>
      </c>
      <c r="AJ117" s="279"/>
      <c r="AK117" s="279"/>
      <c r="AL117" s="279"/>
      <c r="AM117" s="218">
        <f>+Y117+Z117+AA117+AB117+AC117+AD117+AE117+AF117+AG117+AH117+AI117+AJ117+AK117</f>
        <v>120000000</v>
      </c>
      <c r="AN117" s="201" t="s">
        <v>1617</v>
      </c>
      <c r="AO117" s="188"/>
    </row>
    <row r="118" spans="1:41" s="26" customFormat="1" ht="216.75" customHeight="1" x14ac:dyDescent="0.2">
      <c r="A118" s="178">
        <v>312</v>
      </c>
      <c r="B118" s="177" t="s">
        <v>1588</v>
      </c>
      <c r="C118" s="174">
        <v>3</v>
      </c>
      <c r="D118" s="177" t="s">
        <v>1582</v>
      </c>
      <c r="E118" s="174">
        <v>32</v>
      </c>
      <c r="F118" s="177" t="s">
        <v>207</v>
      </c>
      <c r="G118" s="174">
        <v>3202</v>
      </c>
      <c r="H118" s="177" t="s">
        <v>568</v>
      </c>
      <c r="I118" s="174">
        <v>3202</v>
      </c>
      <c r="J118" s="177" t="s">
        <v>1560</v>
      </c>
      <c r="K118" s="177" t="s">
        <v>209</v>
      </c>
      <c r="L118" s="174" t="s">
        <v>41</v>
      </c>
      <c r="M118" s="177" t="s">
        <v>587</v>
      </c>
      <c r="N118" s="249">
        <v>3202014</v>
      </c>
      <c r="O118" s="177" t="s">
        <v>1466</v>
      </c>
      <c r="P118" s="174" t="s">
        <v>41</v>
      </c>
      <c r="Q118" s="256" t="s">
        <v>588</v>
      </c>
      <c r="R118" s="50">
        <v>320201402</v>
      </c>
      <c r="S118" s="256" t="s">
        <v>589</v>
      </c>
      <c r="T118" s="191" t="s">
        <v>1635</v>
      </c>
      <c r="U118" s="282">
        <v>1</v>
      </c>
      <c r="V118" s="191" t="s">
        <v>590</v>
      </c>
      <c r="W118" s="175" t="s">
        <v>591</v>
      </c>
      <c r="X118" s="177" t="s">
        <v>592</v>
      </c>
      <c r="Y118" s="234"/>
      <c r="Z118" s="234"/>
      <c r="AA118" s="234"/>
      <c r="AB118" s="234"/>
      <c r="AC118" s="234"/>
      <c r="AD118" s="234"/>
      <c r="AE118" s="234"/>
      <c r="AF118" s="234"/>
      <c r="AG118" s="234"/>
      <c r="AH118" s="234"/>
      <c r="AI118" s="235">
        <v>36000000</v>
      </c>
      <c r="AJ118" s="279"/>
      <c r="AK118" s="279"/>
      <c r="AL118" s="279"/>
      <c r="AM118" s="218">
        <f>+Y118+Z118+AA118+AB118+AC118+AD118+AE118+AF118+AG118+AH118+AI118+AJ118+AK118</f>
        <v>36000000</v>
      </c>
      <c r="AN118" s="201" t="s">
        <v>1617</v>
      </c>
      <c r="AO118" s="188"/>
    </row>
    <row r="119" spans="1:41" s="26" customFormat="1" ht="204" customHeight="1" x14ac:dyDescent="0.2">
      <c r="A119" s="178">
        <v>312</v>
      </c>
      <c r="B119" s="177" t="s">
        <v>1588</v>
      </c>
      <c r="C119" s="174">
        <v>3</v>
      </c>
      <c r="D119" s="177" t="s">
        <v>1582</v>
      </c>
      <c r="E119" s="174">
        <v>32</v>
      </c>
      <c r="F119" s="177" t="s">
        <v>207</v>
      </c>
      <c r="G119" s="174">
        <v>3202</v>
      </c>
      <c r="H119" s="177" t="s">
        <v>568</v>
      </c>
      <c r="I119" s="174">
        <v>3202</v>
      </c>
      <c r="J119" s="177" t="s">
        <v>1560</v>
      </c>
      <c r="K119" s="177" t="s">
        <v>209</v>
      </c>
      <c r="L119" s="174" t="s">
        <v>41</v>
      </c>
      <c r="M119" s="177" t="s">
        <v>593</v>
      </c>
      <c r="N119" s="174">
        <v>3202014</v>
      </c>
      <c r="O119" s="177" t="s">
        <v>1466</v>
      </c>
      <c r="P119" s="174" t="s">
        <v>41</v>
      </c>
      <c r="Q119" s="256" t="s">
        <v>594</v>
      </c>
      <c r="R119" s="174">
        <v>320201402</v>
      </c>
      <c r="S119" s="256" t="s">
        <v>589</v>
      </c>
      <c r="T119" s="191" t="s">
        <v>1637</v>
      </c>
      <c r="U119" s="282">
        <v>1</v>
      </c>
      <c r="V119" s="191" t="s">
        <v>595</v>
      </c>
      <c r="W119" s="175" t="s">
        <v>596</v>
      </c>
      <c r="X119" s="177" t="s">
        <v>597</v>
      </c>
      <c r="Y119" s="234"/>
      <c r="Z119" s="234"/>
      <c r="AA119" s="234"/>
      <c r="AB119" s="234"/>
      <c r="AC119" s="234"/>
      <c r="AD119" s="234"/>
      <c r="AE119" s="234"/>
      <c r="AF119" s="234"/>
      <c r="AG119" s="234"/>
      <c r="AH119" s="234"/>
      <c r="AI119" s="235">
        <v>54000000</v>
      </c>
      <c r="AJ119" s="279"/>
      <c r="AK119" s="279"/>
      <c r="AL119" s="279"/>
      <c r="AM119" s="218">
        <f>+Y119+Z119+AA119+AB119+AC119+AD119+AE119+AF119+AG119+AH119+AI119+AJ119+AK119</f>
        <v>54000000</v>
      </c>
      <c r="AN119" s="201" t="s">
        <v>1617</v>
      </c>
      <c r="AO119" s="188"/>
    </row>
    <row r="120" spans="1:41" s="26" customFormat="1" ht="206.25" customHeight="1" x14ac:dyDescent="0.2">
      <c r="A120" s="178">
        <v>312</v>
      </c>
      <c r="B120" s="177" t="s">
        <v>1588</v>
      </c>
      <c r="C120" s="174">
        <v>3</v>
      </c>
      <c r="D120" s="177" t="s">
        <v>1582</v>
      </c>
      <c r="E120" s="174">
        <v>32</v>
      </c>
      <c r="F120" s="177" t="s">
        <v>207</v>
      </c>
      <c r="G120" s="174">
        <v>3204</v>
      </c>
      <c r="H120" s="177" t="s">
        <v>1561</v>
      </c>
      <c r="I120" s="174">
        <v>3204</v>
      </c>
      <c r="J120" s="177" t="s">
        <v>1561</v>
      </c>
      <c r="K120" s="177" t="s">
        <v>209</v>
      </c>
      <c r="L120" s="249">
        <v>3204012</v>
      </c>
      <c r="M120" s="177" t="s">
        <v>600</v>
      </c>
      <c r="N120" s="249">
        <v>3204012</v>
      </c>
      <c r="O120" s="177" t="s">
        <v>600</v>
      </c>
      <c r="P120" s="50" t="s">
        <v>601</v>
      </c>
      <c r="Q120" s="256" t="s">
        <v>602</v>
      </c>
      <c r="R120" s="50" t="s">
        <v>601</v>
      </c>
      <c r="S120" s="256" t="s">
        <v>602</v>
      </c>
      <c r="T120" s="191" t="s">
        <v>1637</v>
      </c>
      <c r="U120" s="52">
        <v>2</v>
      </c>
      <c r="V120" s="191" t="s">
        <v>603</v>
      </c>
      <c r="W120" s="175" t="s">
        <v>604</v>
      </c>
      <c r="X120" s="177" t="s">
        <v>605</v>
      </c>
      <c r="Y120" s="234"/>
      <c r="Z120" s="234"/>
      <c r="AA120" s="234"/>
      <c r="AB120" s="234"/>
      <c r="AC120" s="234"/>
      <c r="AD120" s="234"/>
      <c r="AE120" s="234"/>
      <c r="AF120" s="234"/>
      <c r="AG120" s="234"/>
      <c r="AH120" s="234"/>
      <c r="AI120" s="235">
        <v>120000000</v>
      </c>
      <c r="AJ120" s="279"/>
      <c r="AK120" s="279"/>
      <c r="AL120" s="279"/>
      <c r="AM120" s="218">
        <f>+Y120+Z120+AA120+AB120+AC120+AD120+AE120+AF120+AG120+AH120+AI120+AJ120+AK120</f>
        <v>120000000</v>
      </c>
      <c r="AN120" s="201" t="s">
        <v>1617</v>
      </c>
      <c r="AO120" s="188"/>
    </row>
    <row r="121" spans="1:41" s="26" customFormat="1" ht="98.25" customHeight="1" x14ac:dyDescent="0.2">
      <c r="A121" s="178">
        <v>312</v>
      </c>
      <c r="B121" s="177" t="s">
        <v>1588</v>
      </c>
      <c r="C121" s="174">
        <v>3</v>
      </c>
      <c r="D121" s="177" t="s">
        <v>1582</v>
      </c>
      <c r="E121" s="174">
        <v>32</v>
      </c>
      <c r="F121" s="177" t="s">
        <v>207</v>
      </c>
      <c r="G121" s="174">
        <v>3205</v>
      </c>
      <c r="H121" s="177" t="s">
        <v>208</v>
      </c>
      <c r="I121" s="174">
        <v>3205</v>
      </c>
      <c r="J121" s="177" t="s">
        <v>1562</v>
      </c>
      <c r="K121" s="177" t="s">
        <v>209</v>
      </c>
      <c r="L121" s="249" t="s">
        <v>606</v>
      </c>
      <c r="M121" s="177" t="s">
        <v>607</v>
      </c>
      <c r="N121" s="249" t="s">
        <v>606</v>
      </c>
      <c r="O121" s="177" t="s">
        <v>607</v>
      </c>
      <c r="P121" s="174" t="s">
        <v>608</v>
      </c>
      <c r="Q121" s="177" t="s">
        <v>609</v>
      </c>
      <c r="R121" s="174" t="s">
        <v>608</v>
      </c>
      <c r="S121" s="177" t="s">
        <v>609</v>
      </c>
      <c r="T121" s="191" t="s">
        <v>1637</v>
      </c>
      <c r="U121" s="52">
        <v>200</v>
      </c>
      <c r="V121" s="191" t="s">
        <v>610</v>
      </c>
      <c r="W121" s="175" t="s">
        <v>611</v>
      </c>
      <c r="X121" s="177" t="s">
        <v>612</v>
      </c>
      <c r="Y121" s="241"/>
      <c r="Z121" s="234"/>
      <c r="AA121" s="234"/>
      <c r="AB121" s="234"/>
      <c r="AC121" s="234"/>
      <c r="AD121" s="234"/>
      <c r="AE121" s="234"/>
      <c r="AF121" s="234"/>
      <c r="AG121" s="234"/>
      <c r="AH121" s="234"/>
      <c r="AI121" s="235">
        <v>20000000</v>
      </c>
      <c r="AJ121" s="279"/>
      <c r="AK121" s="279"/>
      <c r="AL121" s="279"/>
      <c r="AM121" s="218">
        <f>+Y121+Z121+AA121+AB121+AC121+AD121+AE121+AF121+AG121+AH121+AI121+AJ121+AK121</f>
        <v>20000000</v>
      </c>
      <c r="AN121" s="201" t="s">
        <v>1617</v>
      </c>
      <c r="AO121" s="188"/>
    </row>
    <row r="122" spans="1:41" s="26" customFormat="1" ht="105.75" customHeight="1" x14ac:dyDescent="0.2">
      <c r="A122" s="178">
        <v>312</v>
      </c>
      <c r="B122" s="177" t="s">
        <v>1588</v>
      </c>
      <c r="C122" s="174">
        <v>3</v>
      </c>
      <c r="D122" s="177" t="s">
        <v>1582</v>
      </c>
      <c r="E122" s="174">
        <v>32</v>
      </c>
      <c r="F122" s="177" t="s">
        <v>207</v>
      </c>
      <c r="G122" s="174">
        <v>3205</v>
      </c>
      <c r="H122" s="177" t="s">
        <v>208</v>
      </c>
      <c r="I122" s="174">
        <v>3205</v>
      </c>
      <c r="J122" s="177" t="s">
        <v>1562</v>
      </c>
      <c r="K122" s="177" t="s">
        <v>209</v>
      </c>
      <c r="L122" s="249" t="s">
        <v>613</v>
      </c>
      <c r="M122" s="177" t="s">
        <v>614</v>
      </c>
      <c r="N122" s="249" t="s">
        <v>613</v>
      </c>
      <c r="O122" s="177" t="s">
        <v>614</v>
      </c>
      <c r="P122" s="174" t="s">
        <v>615</v>
      </c>
      <c r="Q122" s="177" t="s">
        <v>616</v>
      </c>
      <c r="R122" s="174" t="s">
        <v>615</v>
      </c>
      <c r="S122" s="177" t="s">
        <v>616</v>
      </c>
      <c r="T122" s="191" t="s">
        <v>1637</v>
      </c>
      <c r="U122" s="52">
        <v>10</v>
      </c>
      <c r="V122" s="191" t="s">
        <v>610</v>
      </c>
      <c r="W122" s="175" t="s">
        <v>611</v>
      </c>
      <c r="X122" s="177" t="s">
        <v>612</v>
      </c>
      <c r="Y122" s="241"/>
      <c r="Z122" s="234"/>
      <c r="AA122" s="234"/>
      <c r="AB122" s="234"/>
      <c r="AC122" s="234"/>
      <c r="AD122" s="234"/>
      <c r="AE122" s="234"/>
      <c r="AF122" s="234"/>
      <c r="AG122" s="234"/>
      <c r="AH122" s="234"/>
      <c r="AI122" s="235">
        <v>20000000</v>
      </c>
      <c r="AJ122" s="279"/>
      <c r="AK122" s="279"/>
      <c r="AL122" s="279"/>
      <c r="AM122" s="218">
        <f>+Y122+Z122+AA122+AB122+AC122+AD122+AE122+AF122+AG122+AH122+AI122+AJ122+AK122</f>
        <v>20000000</v>
      </c>
      <c r="AN122" s="201" t="s">
        <v>1617</v>
      </c>
      <c r="AO122" s="188"/>
    </row>
    <row r="123" spans="1:41" s="26" customFormat="1" ht="105" customHeight="1" x14ac:dyDescent="0.2">
      <c r="A123" s="178">
        <v>312</v>
      </c>
      <c r="B123" s="177" t="s">
        <v>1588</v>
      </c>
      <c r="C123" s="174">
        <v>3</v>
      </c>
      <c r="D123" s="177" t="s">
        <v>1582</v>
      </c>
      <c r="E123" s="174">
        <v>32</v>
      </c>
      <c r="F123" s="177" t="s">
        <v>207</v>
      </c>
      <c r="G123" s="174">
        <v>3205</v>
      </c>
      <c r="H123" s="177" t="s">
        <v>208</v>
      </c>
      <c r="I123" s="174">
        <v>3205</v>
      </c>
      <c r="J123" s="177" t="s">
        <v>1562</v>
      </c>
      <c r="K123" s="177" t="s">
        <v>209</v>
      </c>
      <c r="L123" s="249">
        <v>3205010</v>
      </c>
      <c r="M123" s="177" t="s">
        <v>210</v>
      </c>
      <c r="N123" s="249">
        <v>3205010</v>
      </c>
      <c r="O123" s="177" t="s">
        <v>210</v>
      </c>
      <c r="P123" s="174" t="s">
        <v>211</v>
      </c>
      <c r="Q123" s="177" t="s">
        <v>212</v>
      </c>
      <c r="R123" s="174" t="s">
        <v>211</v>
      </c>
      <c r="S123" s="177" t="s">
        <v>212</v>
      </c>
      <c r="T123" s="191" t="s">
        <v>1637</v>
      </c>
      <c r="U123" s="52">
        <v>1</v>
      </c>
      <c r="V123" s="191" t="s">
        <v>610</v>
      </c>
      <c r="W123" s="175" t="s">
        <v>611</v>
      </c>
      <c r="X123" s="177" t="s">
        <v>612</v>
      </c>
      <c r="Y123" s="241"/>
      <c r="Z123" s="234"/>
      <c r="AA123" s="234"/>
      <c r="AB123" s="234"/>
      <c r="AC123" s="234"/>
      <c r="AD123" s="234"/>
      <c r="AE123" s="234"/>
      <c r="AF123" s="234"/>
      <c r="AG123" s="234"/>
      <c r="AH123" s="234"/>
      <c r="AI123" s="235">
        <v>42000000</v>
      </c>
      <c r="AJ123" s="279"/>
      <c r="AK123" s="279"/>
      <c r="AL123" s="279"/>
      <c r="AM123" s="218">
        <f>+Y123+Z123+AA123+AB123+AC123+AD123+AE123+AF123+AG123+AH123+AI123+AJ123+AK123</f>
        <v>42000000</v>
      </c>
      <c r="AN123" s="201" t="s">
        <v>1617</v>
      </c>
      <c r="AO123" s="188"/>
    </row>
    <row r="124" spans="1:41" s="26" customFormat="1" ht="119.25" customHeight="1" x14ac:dyDescent="0.2">
      <c r="A124" s="178">
        <v>312</v>
      </c>
      <c r="B124" s="177" t="s">
        <v>1588</v>
      </c>
      <c r="C124" s="174">
        <v>3</v>
      </c>
      <c r="D124" s="177" t="s">
        <v>1582</v>
      </c>
      <c r="E124" s="174">
        <v>32</v>
      </c>
      <c r="F124" s="177" t="s">
        <v>207</v>
      </c>
      <c r="G124" s="174">
        <v>3206</v>
      </c>
      <c r="H124" s="177" t="s">
        <v>618</v>
      </c>
      <c r="I124" s="174">
        <v>3206</v>
      </c>
      <c r="J124" s="177" t="s">
        <v>1563</v>
      </c>
      <c r="K124" s="177" t="s">
        <v>209</v>
      </c>
      <c r="L124" s="249" t="s">
        <v>619</v>
      </c>
      <c r="M124" s="177" t="s">
        <v>620</v>
      </c>
      <c r="N124" s="249" t="s">
        <v>619</v>
      </c>
      <c r="O124" s="177" t="s">
        <v>620</v>
      </c>
      <c r="P124" s="50" t="s">
        <v>621</v>
      </c>
      <c r="Q124" s="256" t="s">
        <v>622</v>
      </c>
      <c r="R124" s="50" t="s">
        <v>621</v>
      </c>
      <c r="S124" s="256" t="s">
        <v>622</v>
      </c>
      <c r="T124" s="191" t="s">
        <v>1637</v>
      </c>
      <c r="U124" s="52">
        <v>6</v>
      </c>
      <c r="V124" s="191" t="s">
        <v>623</v>
      </c>
      <c r="W124" s="175" t="s">
        <v>624</v>
      </c>
      <c r="X124" s="177" t="s">
        <v>625</v>
      </c>
      <c r="Y124" s="234"/>
      <c r="Z124" s="234"/>
      <c r="AA124" s="234"/>
      <c r="AB124" s="234"/>
      <c r="AC124" s="234"/>
      <c r="AD124" s="234"/>
      <c r="AE124" s="234"/>
      <c r="AF124" s="234"/>
      <c r="AG124" s="234"/>
      <c r="AH124" s="234"/>
      <c r="AI124" s="235">
        <v>25000000</v>
      </c>
      <c r="AJ124" s="279"/>
      <c r="AK124" s="279"/>
      <c r="AL124" s="279"/>
      <c r="AM124" s="218">
        <f>+Y124+Z124+AA124+AB124+AC124+AD124+AE124+AF124+AG124+AH124+AI124+AJ124+AK124</f>
        <v>25000000</v>
      </c>
      <c r="AN124" s="201" t="s">
        <v>1617</v>
      </c>
      <c r="AO124" s="188"/>
    </row>
    <row r="125" spans="1:41" s="26" customFormat="1" ht="117.75" customHeight="1" x14ac:dyDescent="0.2">
      <c r="A125" s="178">
        <v>312</v>
      </c>
      <c r="B125" s="177" t="s">
        <v>1588</v>
      </c>
      <c r="C125" s="174">
        <v>3</v>
      </c>
      <c r="D125" s="177" t="s">
        <v>1582</v>
      </c>
      <c r="E125" s="174">
        <v>32</v>
      </c>
      <c r="F125" s="177" t="s">
        <v>207</v>
      </c>
      <c r="G125" s="174">
        <v>3206</v>
      </c>
      <c r="H125" s="177" t="s">
        <v>618</v>
      </c>
      <c r="I125" s="174">
        <v>3206</v>
      </c>
      <c r="J125" s="177" t="s">
        <v>1563</v>
      </c>
      <c r="K125" s="177" t="s">
        <v>209</v>
      </c>
      <c r="L125" s="249">
        <v>3206014</v>
      </c>
      <c r="M125" s="177" t="s">
        <v>626</v>
      </c>
      <c r="N125" s="249">
        <v>3206014</v>
      </c>
      <c r="O125" s="177" t="s">
        <v>626</v>
      </c>
      <c r="P125" s="50" t="s">
        <v>627</v>
      </c>
      <c r="Q125" s="256" t="s">
        <v>628</v>
      </c>
      <c r="R125" s="50" t="s">
        <v>627</v>
      </c>
      <c r="S125" s="256" t="s">
        <v>628</v>
      </c>
      <c r="T125" s="191" t="s">
        <v>1637</v>
      </c>
      <c r="U125" s="52">
        <v>1950</v>
      </c>
      <c r="V125" s="191" t="s">
        <v>623</v>
      </c>
      <c r="W125" s="175" t="s">
        <v>624</v>
      </c>
      <c r="X125" s="177" t="s">
        <v>625</v>
      </c>
      <c r="Y125" s="234"/>
      <c r="Z125" s="234"/>
      <c r="AA125" s="234"/>
      <c r="AB125" s="234"/>
      <c r="AC125" s="234"/>
      <c r="AD125" s="234"/>
      <c r="AE125" s="234"/>
      <c r="AF125" s="234"/>
      <c r="AG125" s="234"/>
      <c r="AH125" s="234"/>
      <c r="AI125" s="235">
        <v>18000000</v>
      </c>
      <c r="AJ125" s="279"/>
      <c r="AK125" s="279"/>
      <c r="AL125" s="279"/>
      <c r="AM125" s="218">
        <f>+Y125+Z125+AA125+AB125+AC125+AD125+AE125+AF125+AG125+AH125+AI125+AJ125+AK125</f>
        <v>18000000</v>
      </c>
      <c r="AN125" s="201" t="s">
        <v>1617</v>
      </c>
      <c r="AO125" s="188"/>
    </row>
    <row r="126" spans="1:41" s="26" customFormat="1" ht="113.25" customHeight="1" x14ac:dyDescent="0.2">
      <c r="A126" s="178">
        <v>312</v>
      </c>
      <c r="B126" s="177" t="s">
        <v>1588</v>
      </c>
      <c r="C126" s="174">
        <v>3</v>
      </c>
      <c r="D126" s="177" t="s">
        <v>1582</v>
      </c>
      <c r="E126" s="174">
        <v>32</v>
      </c>
      <c r="F126" s="177" t="s">
        <v>207</v>
      </c>
      <c r="G126" s="174">
        <v>3206</v>
      </c>
      <c r="H126" s="177" t="s">
        <v>618</v>
      </c>
      <c r="I126" s="174">
        <v>3206</v>
      </c>
      <c r="J126" s="177" t="s">
        <v>1563</v>
      </c>
      <c r="K126" s="177" t="s">
        <v>209</v>
      </c>
      <c r="L126" s="249" t="s">
        <v>629</v>
      </c>
      <c r="M126" s="177" t="s">
        <v>630</v>
      </c>
      <c r="N126" s="249" t="s">
        <v>629</v>
      </c>
      <c r="O126" s="177" t="s">
        <v>630</v>
      </c>
      <c r="P126" s="50" t="s">
        <v>631</v>
      </c>
      <c r="Q126" s="256" t="s">
        <v>632</v>
      </c>
      <c r="R126" s="50" t="s">
        <v>631</v>
      </c>
      <c r="S126" s="256" t="s">
        <v>632</v>
      </c>
      <c r="T126" s="191" t="s">
        <v>1637</v>
      </c>
      <c r="U126" s="52">
        <v>20</v>
      </c>
      <c r="V126" s="191" t="s">
        <v>623</v>
      </c>
      <c r="W126" s="175" t="s">
        <v>624</v>
      </c>
      <c r="X126" s="177" t="s">
        <v>625</v>
      </c>
      <c r="Y126" s="234"/>
      <c r="Z126" s="234"/>
      <c r="AA126" s="234"/>
      <c r="AB126" s="234"/>
      <c r="AC126" s="234"/>
      <c r="AD126" s="234"/>
      <c r="AE126" s="234"/>
      <c r="AF126" s="234"/>
      <c r="AG126" s="234"/>
      <c r="AH126" s="234"/>
      <c r="AI126" s="235">
        <v>75000000</v>
      </c>
      <c r="AJ126" s="279"/>
      <c r="AK126" s="279"/>
      <c r="AL126" s="279"/>
      <c r="AM126" s="218">
        <f>+Y126+Z126+AA126+AB126+AC126+AD126+AE126+AF126+AG126+AH126+AI126+AJ126+AK126</f>
        <v>75000000</v>
      </c>
      <c r="AN126" s="201" t="s">
        <v>1617</v>
      </c>
      <c r="AO126" s="188"/>
    </row>
    <row r="127" spans="1:41" s="26" customFormat="1" ht="222" customHeight="1" x14ac:dyDescent="0.2">
      <c r="A127" s="178">
        <v>313</v>
      </c>
      <c r="B127" s="177" t="s">
        <v>1590</v>
      </c>
      <c r="C127" s="174">
        <v>4</v>
      </c>
      <c r="D127" s="177" t="s">
        <v>1578</v>
      </c>
      <c r="E127" s="174">
        <v>45</v>
      </c>
      <c r="F127" s="232" t="s">
        <v>38</v>
      </c>
      <c r="G127" s="174" t="s">
        <v>41</v>
      </c>
      <c r="H127" s="177" t="s">
        <v>1536</v>
      </c>
      <c r="I127" s="174">
        <v>4599</v>
      </c>
      <c r="J127" s="177" t="s">
        <v>1537</v>
      </c>
      <c r="K127" s="177" t="s">
        <v>40</v>
      </c>
      <c r="L127" s="174" t="s">
        <v>41</v>
      </c>
      <c r="M127" s="177" t="s">
        <v>635</v>
      </c>
      <c r="N127" s="174">
        <v>4599023</v>
      </c>
      <c r="O127" s="177" t="s">
        <v>116</v>
      </c>
      <c r="P127" s="174" t="s">
        <v>41</v>
      </c>
      <c r="Q127" s="236" t="s">
        <v>636</v>
      </c>
      <c r="R127" s="174">
        <v>459902304</v>
      </c>
      <c r="S127" s="236" t="s">
        <v>637</v>
      </c>
      <c r="T127" s="191" t="s">
        <v>1635</v>
      </c>
      <c r="U127" s="282">
        <v>1</v>
      </c>
      <c r="V127" s="191" t="s">
        <v>638</v>
      </c>
      <c r="W127" s="271" t="s">
        <v>639</v>
      </c>
      <c r="X127" s="271" t="s">
        <v>640</v>
      </c>
      <c r="Y127" s="234"/>
      <c r="Z127" s="234"/>
      <c r="AA127" s="234"/>
      <c r="AB127" s="234"/>
      <c r="AC127" s="234"/>
      <c r="AD127" s="234"/>
      <c r="AE127" s="234"/>
      <c r="AF127" s="234"/>
      <c r="AG127" s="234"/>
      <c r="AH127" s="234"/>
      <c r="AI127" s="247">
        <v>249636991.63999999</v>
      </c>
      <c r="AJ127" s="234"/>
      <c r="AK127" s="234"/>
      <c r="AL127" s="234"/>
      <c r="AM127" s="218">
        <f>+Y127+Z127+AA127+AB127+AC127+AD127+AE127+AF127+AG127+AH127+AI127+AJ127+AK127</f>
        <v>249636991.63999999</v>
      </c>
      <c r="AN127" s="191" t="s">
        <v>1618</v>
      </c>
      <c r="AO127" s="188"/>
    </row>
    <row r="128" spans="1:41" s="26" customFormat="1" ht="193.5" customHeight="1" x14ac:dyDescent="0.2">
      <c r="A128" s="178">
        <v>313</v>
      </c>
      <c r="B128" s="177" t="s">
        <v>1590</v>
      </c>
      <c r="C128" s="174">
        <v>4</v>
      </c>
      <c r="D128" s="177" t="s">
        <v>1578</v>
      </c>
      <c r="E128" s="174">
        <v>45</v>
      </c>
      <c r="F128" s="232" t="s">
        <v>38</v>
      </c>
      <c r="G128" s="174" t="s">
        <v>41</v>
      </c>
      <c r="H128" s="177" t="s">
        <v>1536</v>
      </c>
      <c r="I128" s="174">
        <v>4599</v>
      </c>
      <c r="J128" s="177" t="s">
        <v>1537</v>
      </c>
      <c r="K128" s="177" t="s">
        <v>40</v>
      </c>
      <c r="L128" s="174" t="s">
        <v>41</v>
      </c>
      <c r="M128" s="177" t="s">
        <v>641</v>
      </c>
      <c r="N128" s="174">
        <v>4599029</v>
      </c>
      <c r="O128" s="177" t="s">
        <v>63</v>
      </c>
      <c r="P128" s="174" t="s">
        <v>41</v>
      </c>
      <c r="Q128" s="236" t="s">
        <v>642</v>
      </c>
      <c r="R128" s="178">
        <v>459902900</v>
      </c>
      <c r="S128" s="236" t="s">
        <v>65</v>
      </c>
      <c r="T128" s="191" t="s">
        <v>1635</v>
      </c>
      <c r="U128" s="282">
        <v>1</v>
      </c>
      <c r="V128" s="191" t="s">
        <v>643</v>
      </c>
      <c r="W128" s="175" t="s">
        <v>644</v>
      </c>
      <c r="X128" s="177" t="s">
        <v>645</v>
      </c>
      <c r="Y128" s="234"/>
      <c r="Z128" s="234"/>
      <c r="AA128" s="234"/>
      <c r="AB128" s="234"/>
      <c r="AC128" s="234"/>
      <c r="AD128" s="234"/>
      <c r="AE128" s="234"/>
      <c r="AF128" s="234"/>
      <c r="AG128" s="234"/>
      <c r="AH128" s="234"/>
      <c r="AI128" s="247">
        <v>783075508.38</v>
      </c>
      <c r="AJ128" s="234"/>
      <c r="AK128" s="234"/>
      <c r="AL128" s="234"/>
      <c r="AM128" s="218">
        <f>+Y128+Z128+AA128+AB128+AC128+AD128+AE128+AF128+AG128+AH128+AI128+AJ128+AK128</f>
        <v>783075508.38</v>
      </c>
      <c r="AN128" s="191" t="s">
        <v>1618</v>
      </c>
      <c r="AO128" s="188"/>
    </row>
    <row r="129" spans="1:41" s="26" customFormat="1" ht="191.25" customHeight="1" x14ac:dyDescent="0.2">
      <c r="A129" s="178">
        <v>313</v>
      </c>
      <c r="B129" s="177" t="s">
        <v>1590</v>
      </c>
      <c r="C129" s="174">
        <v>4</v>
      </c>
      <c r="D129" s="177" t="s">
        <v>1578</v>
      </c>
      <c r="E129" s="174">
        <v>45</v>
      </c>
      <c r="F129" s="232" t="s">
        <v>38</v>
      </c>
      <c r="G129" s="174">
        <v>4502</v>
      </c>
      <c r="H129" s="177" t="s">
        <v>1532</v>
      </c>
      <c r="I129" s="174">
        <v>4502</v>
      </c>
      <c r="J129" s="177" t="s">
        <v>1533</v>
      </c>
      <c r="K129" s="177" t="s">
        <v>61</v>
      </c>
      <c r="L129" s="174" t="s">
        <v>41</v>
      </c>
      <c r="M129" s="177" t="s">
        <v>646</v>
      </c>
      <c r="N129" s="174">
        <v>4502001</v>
      </c>
      <c r="O129" s="177" t="s">
        <v>72</v>
      </c>
      <c r="P129" s="174" t="s">
        <v>41</v>
      </c>
      <c r="Q129" s="236" t="s">
        <v>647</v>
      </c>
      <c r="R129" s="174">
        <v>450200100</v>
      </c>
      <c r="S129" s="236" t="s">
        <v>74</v>
      </c>
      <c r="T129" s="191" t="s">
        <v>1635</v>
      </c>
      <c r="U129" s="52">
        <v>30</v>
      </c>
      <c r="V129" s="268" t="s">
        <v>648</v>
      </c>
      <c r="W129" s="175" t="s">
        <v>649</v>
      </c>
      <c r="X129" s="177" t="s">
        <v>650</v>
      </c>
      <c r="Y129" s="253"/>
      <c r="Z129" s="253"/>
      <c r="AA129" s="253"/>
      <c r="AB129" s="253"/>
      <c r="AC129" s="253"/>
      <c r="AD129" s="253"/>
      <c r="AE129" s="253"/>
      <c r="AF129" s="253"/>
      <c r="AG129" s="253"/>
      <c r="AH129" s="253"/>
      <c r="AI129" s="276">
        <v>144287499.97999999</v>
      </c>
      <c r="AJ129" s="253"/>
      <c r="AK129" s="253"/>
      <c r="AL129" s="253"/>
      <c r="AM129" s="218">
        <f>+Y129+Z129+AA129+AB129+AC129+AD129+AE129+AF129+AG129+AH129+AI129+AJ129+AK129</f>
        <v>144287499.97999999</v>
      </c>
      <c r="AN129" s="191" t="s">
        <v>1618</v>
      </c>
      <c r="AO129" s="188"/>
    </row>
    <row r="130" spans="1:41" s="26" customFormat="1" ht="130.5" customHeight="1" x14ac:dyDescent="0.2">
      <c r="A130" s="178">
        <v>314</v>
      </c>
      <c r="B130" s="177" t="s">
        <v>1592</v>
      </c>
      <c r="C130" s="174">
        <v>1</v>
      </c>
      <c r="D130" s="177" t="s">
        <v>1580</v>
      </c>
      <c r="E130" s="174">
        <v>22</v>
      </c>
      <c r="F130" s="232" t="s">
        <v>156</v>
      </c>
      <c r="G130" s="174">
        <v>2201</v>
      </c>
      <c r="H130" s="177" t="s">
        <v>277</v>
      </c>
      <c r="I130" s="174">
        <v>2201</v>
      </c>
      <c r="J130" s="177" t="s">
        <v>1553</v>
      </c>
      <c r="K130" s="177" t="s">
        <v>652</v>
      </c>
      <c r="L130" s="174">
        <v>2201030</v>
      </c>
      <c r="M130" s="177" t="s">
        <v>653</v>
      </c>
      <c r="N130" s="174">
        <v>2201030</v>
      </c>
      <c r="O130" s="177" t="s">
        <v>653</v>
      </c>
      <c r="P130" s="277">
        <v>220103000</v>
      </c>
      <c r="Q130" s="177" t="s">
        <v>654</v>
      </c>
      <c r="R130" s="277">
        <v>220103000</v>
      </c>
      <c r="S130" s="177" t="s">
        <v>654</v>
      </c>
      <c r="T130" s="191" t="s">
        <v>1635</v>
      </c>
      <c r="U130" s="52">
        <v>2500</v>
      </c>
      <c r="V130" s="191" t="s">
        <v>655</v>
      </c>
      <c r="W130" s="175" t="s">
        <v>656</v>
      </c>
      <c r="X130" s="177" t="s">
        <v>657</v>
      </c>
      <c r="Y130" s="234"/>
      <c r="Z130" s="234"/>
      <c r="AA130" s="234"/>
      <c r="AB130" s="234"/>
      <c r="AC130" s="234"/>
      <c r="AD130" s="234"/>
      <c r="AE130" s="234">
        <v>1343703729</v>
      </c>
      <c r="AF130" s="234"/>
      <c r="AG130" s="234"/>
      <c r="AH130" s="234"/>
      <c r="AI130" s="239"/>
      <c r="AJ130" s="234"/>
      <c r="AK130" s="234"/>
      <c r="AL130" s="234"/>
      <c r="AM130" s="218">
        <f>+Y130+Z130+AA130+AB130+AC130+AD130+AE130+AF130+AG130+AH130+AI130+AJ130+AK130</f>
        <v>1343703729</v>
      </c>
      <c r="AN130" s="200" t="s">
        <v>1619</v>
      </c>
      <c r="AO130" s="188"/>
    </row>
    <row r="131" spans="1:41" s="26" customFormat="1" ht="111.75" customHeight="1" x14ac:dyDescent="0.2">
      <c r="A131" s="178">
        <v>314</v>
      </c>
      <c r="B131" s="177" t="s">
        <v>1592</v>
      </c>
      <c r="C131" s="174">
        <v>1</v>
      </c>
      <c r="D131" s="177" t="s">
        <v>1580</v>
      </c>
      <c r="E131" s="174">
        <v>22</v>
      </c>
      <c r="F131" s="232" t="s">
        <v>156</v>
      </c>
      <c r="G131" s="174">
        <v>2201</v>
      </c>
      <c r="H131" s="177" t="s">
        <v>277</v>
      </c>
      <c r="I131" s="174">
        <v>2201</v>
      </c>
      <c r="J131" s="177" t="s">
        <v>1553</v>
      </c>
      <c r="K131" s="177" t="s">
        <v>658</v>
      </c>
      <c r="L131" s="174">
        <v>2201033</v>
      </c>
      <c r="M131" s="177" t="s">
        <v>659</v>
      </c>
      <c r="N131" s="174">
        <v>2201033</v>
      </c>
      <c r="O131" s="177" t="s">
        <v>659</v>
      </c>
      <c r="P131" s="277">
        <v>220103300</v>
      </c>
      <c r="Q131" s="256" t="s">
        <v>660</v>
      </c>
      <c r="R131" s="277">
        <v>220103300</v>
      </c>
      <c r="S131" s="256" t="s">
        <v>660</v>
      </c>
      <c r="T131" s="191" t="s">
        <v>1637</v>
      </c>
      <c r="U131" s="52">
        <v>9000</v>
      </c>
      <c r="V131" s="191" t="s">
        <v>655</v>
      </c>
      <c r="W131" s="175" t="s">
        <v>656</v>
      </c>
      <c r="X131" s="177" t="s">
        <v>657</v>
      </c>
      <c r="Y131" s="234"/>
      <c r="Z131" s="234"/>
      <c r="AA131" s="234"/>
      <c r="AB131" s="234"/>
      <c r="AC131" s="234"/>
      <c r="AD131" s="234"/>
      <c r="AE131" s="234"/>
      <c r="AF131" s="234"/>
      <c r="AG131" s="234"/>
      <c r="AH131" s="234"/>
      <c r="AI131" s="283">
        <f>18000000</f>
        <v>18000000</v>
      </c>
      <c r="AJ131" s="234"/>
      <c r="AK131" s="234"/>
      <c r="AL131" s="234"/>
      <c r="AM131" s="218">
        <f>+Y131+Z131+AA131+AB131+AC131+AD131+AE131+AF131+AG131+AH131+AI131+AJ131+AK131</f>
        <v>18000000</v>
      </c>
      <c r="AN131" s="200" t="s">
        <v>1619</v>
      </c>
      <c r="AO131" s="188"/>
    </row>
    <row r="132" spans="1:41" s="26" customFormat="1" ht="120" customHeight="1" x14ac:dyDescent="0.2">
      <c r="A132" s="178">
        <v>314</v>
      </c>
      <c r="B132" s="177" t="s">
        <v>1592</v>
      </c>
      <c r="C132" s="174">
        <v>1</v>
      </c>
      <c r="D132" s="177" t="s">
        <v>1580</v>
      </c>
      <c r="E132" s="174">
        <v>22</v>
      </c>
      <c r="F132" s="232" t="s">
        <v>156</v>
      </c>
      <c r="G132" s="174">
        <v>2201</v>
      </c>
      <c r="H132" s="177" t="s">
        <v>277</v>
      </c>
      <c r="I132" s="174">
        <v>2201</v>
      </c>
      <c r="J132" s="177" t="s">
        <v>1553</v>
      </c>
      <c r="K132" s="177" t="s">
        <v>661</v>
      </c>
      <c r="L132" s="174">
        <v>2201032</v>
      </c>
      <c r="M132" s="177" t="s">
        <v>662</v>
      </c>
      <c r="N132" s="174">
        <v>2201032</v>
      </c>
      <c r="O132" s="177" t="s">
        <v>662</v>
      </c>
      <c r="P132" s="249">
        <v>220103200</v>
      </c>
      <c r="Q132" s="177" t="s">
        <v>663</v>
      </c>
      <c r="R132" s="249">
        <v>220103200</v>
      </c>
      <c r="S132" s="177" t="s">
        <v>663</v>
      </c>
      <c r="T132" s="191" t="s">
        <v>1637</v>
      </c>
      <c r="U132" s="52">
        <v>200</v>
      </c>
      <c r="V132" s="191" t="s">
        <v>655</v>
      </c>
      <c r="W132" s="175" t="s">
        <v>656</v>
      </c>
      <c r="X132" s="177" t="s">
        <v>657</v>
      </c>
      <c r="Y132" s="234"/>
      <c r="Z132" s="234"/>
      <c r="AA132" s="234"/>
      <c r="AB132" s="234"/>
      <c r="AC132" s="234"/>
      <c r="AD132" s="234"/>
      <c r="AE132" s="234"/>
      <c r="AF132" s="234"/>
      <c r="AG132" s="234"/>
      <c r="AH132" s="234"/>
      <c r="AI132" s="270">
        <f>10000000.01-10000000.01</f>
        <v>0</v>
      </c>
      <c r="AJ132" s="234"/>
      <c r="AK132" s="234"/>
      <c r="AL132" s="234"/>
      <c r="AM132" s="218">
        <f>+Y132+Z132+AA132+AB132+AC132+AD132+AE132+AF132+AG132+AH132+AI132+AJ132+AK132</f>
        <v>0</v>
      </c>
      <c r="AN132" s="200" t="s">
        <v>1619</v>
      </c>
      <c r="AO132" s="188"/>
    </row>
    <row r="133" spans="1:41" s="26" customFormat="1" ht="175.5" customHeight="1" x14ac:dyDescent="0.2">
      <c r="A133" s="178">
        <v>314</v>
      </c>
      <c r="B133" s="177" t="s">
        <v>1592</v>
      </c>
      <c r="C133" s="174">
        <v>1</v>
      </c>
      <c r="D133" s="177" t="s">
        <v>1580</v>
      </c>
      <c r="E133" s="174">
        <v>22</v>
      </c>
      <c r="F133" s="232" t="s">
        <v>156</v>
      </c>
      <c r="G133" s="174">
        <v>2201</v>
      </c>
      <c r="H133" s="177" t="s">
        <v>277</v>
      </c>
      <c r="I133" s="174">
        <v>2201</v>
      </c>
      <c r="J133" s="177" t="s">
        <v>1553</v>
      </c>
      <c r="K133" s="177" t="s">
        <v>664</v>
      </c>
      <c r="L133" s="174">
        <v>2201055</v>
      </c>
      <c r="M133" s="177" t="s">
        <v>665</v>
      </c>
      <c r="N133" s="174">
        <v>2201055</v>
      </c>
      <c r="O133" s="177" t="s">
        <v>665</v>
      </c>
      <c r="P133" s="277">
        <v>220105500</v>
      </c>
      <c r="Q133" s="256" t="s">
        <v>666</v>
      </c>
      <c r="R133" s="277">
        <v>220105500</v>
      </c>
      <c r="S133" s="256" t="s">
        <v>666</v>
      </c>
      <c r="T133" s="191" t="s">
        <v>1635</v>
      </c>
      <c r="U133" s="52">
        <v>1</v>
      </c>
      <c r="V133" s="191" t="s">
        <v>655</v>
      </c>
      <c r="W133" s="175" t="s">
        <v>656</v>
      </c>
      <c r="X133" s="177" t="s">
        <v>657</v>
      </c>
      <c r="Y133" s="234"/>
      <c r="Z133" s="234"/>
      <c r="AA133" s="234"/>
      <c r="AB133" s="234"/>
      <c r="AC133" s="234"/>
      <c r="AD133" s="234"/>
      <c r="AE133" s="234">
        <v>48279229</v>
      </c>
      <c r="AF133" s="234"/>
      <c r="AG133" s="234"/>
      <c r="AH133" s="234"/>
      <c r="AI133" s="239">
        <v>0</v>
      </c>
      <c r="AJ133" s="234"/>
      <c r="AK133" s="234"/>
      <c r="AL133" s="234"/>
      <c r="AM133" s="218">
        <f>+Y133+Z133+AA133+AB133+AC133+AD133+AE133+AF133+AG133+AH133+AI133+AJ133+AK133</f>
        <v>48279229</v>
      </c>
      <c r="AN133" s="200" t="s">
        <v>1619</v>
      </c>
      <c r="AO133" s="188"/>
    </row>
    <row r="134" spans="1:41" s="26" customFormat="1" ht="144.75" customHeight="1" x14ac:dyDescent="0.2">
      <c r="A134" s="178">
        <v>314</v>
      </c>
      <c r="B134" s="177" t="s">
        <v>1592</v>
      </c>
      <c r="C134" s="174">
        <v>1</v>
      </c>
      <c r="D134" s="177" t="s">
        <v>1580</v>
      </c>
      <c r="E134" s="174">
        <v>22</v>
      </c>
      <c r="F134" s="232" t="s">
        <v>156</v>
      </c>
      <c r="G134" s="174">
        <v>2201</v>
      </c>
      <c r="H134" s="177" t="s">
        <v>277</v>
      </c>
      <c r="I134" s="174">
        <v>2201</v>
      </c>
      <c r="J134" s="177" t="s">
        <v>1553</v>
      </c>
      <c r="K134" s="177" t="s">
        <v>667</v>
      </c>
      <c r="L134" s="174">
        <v>2201067</v>
      </c>
      <c r="M134" s="177" t="s">
        <v>668</v>
      </c>
      <c r="N134" s="174">
        <v>2201067</v>
      </c>
      <c r="O134" s="177" t="s">
        <v>668</v>
      </c>
      <c r="P134" s="249">
        <v>220106700</v>
      </c>
      <c r="Q134" s="177" t="s">
        <v>669</v>
      </c>
      <c r="R134" s="249">
        <v>220106700</v>
      </c>
      <c r="S134" s="177" t="s">
        <v>669</v>
      </c>
      <c r="T134" s="191" t="s">
        <v>1635</v>
      </c>
      <c r="U134" s="52">
        <v>54</v>
      </c>
      <c r="V134" s="191" t="s">
        <v>655</v>
      </c>
      <c r="W134" s="175" t="s">
        <v>656</v>
      </c>
      <c r="X134" s="177" t="s">
        <v>657</v>
      </c>
      <c r="Y134" s="234"/>
      <c r="Z134" s="234"/>
      <c r="AA134" s="234"/>
      <c r="AB134" s="234"/>
      <c r="AC134" s="234"/>
      <c r="AD134" s="234"/>
      <c r="AE134" s="234"/>
      <c r="AF134" s="234"/>
      <c r="AG134" s="234"/>
      <c r="AH134" s="234"/>
      <c r="AI134" s="270">
        <v>10000000.01</v>
      </c>
      <c r="AJ134" s="234"/>
      <c r="AK134" s="234"/>
      <c r="AL134" s="234"/>
      <c r="AM134" s="218">
        <f>+Y134+Z134+AA134+AB134+AC134+AD134+AE134+AF134+AG134+AH134+AI134+AJ134+AK134</f>
        <v>10000000.01</v>
      </c>
      <c r="AN134" s="200" t="s">
        <v>1619</v>
      </c>
      <c r="AO134" s="188"/>
    </row>
    <row r="135" spans="1:41" s="26" customFormat="1" ht="112.5" customHeight="1" x14ac:dyDescent="0.2">
      <c r="A135" s="178">
        <v>314</v>
      </c>
      <c r="B135" s="177" t="s">
        <v>1592</v>
      </c>
      <c r="C135" s="174">
        <v>1</v>
      </c>
      <c r="D135" s="177" t="s">
        <v>1580</v>
      </c>
      <c r="E135" s="174">
        <v>22</v>
      </c>
      <c r="F135" s="232" t="s">
        <v>156</v>
      </c>
      <c r="G135" s="174">
        <v>2201</v>
      </c>
      <c r="H135" s="177" t="s">
        <v>277</v>
      </c>
      <c r="I135" s="174">
        <v>2201</v>
      </c>
      <c r="J135" s="177" t="s">
        <v>1553</v>
      </c>
      <c r="K135" s="177" t="s">
        <v>667</v>
      </c>
      <c r="L135" s="174">
        <v>2201028</v>
      </c>
      <c r="M135" s="177" t="s">
        <v>670</v>
      </c>
      <c r="N135" s="174">
        <v>2201028</v>
      </c>
      <c r="O135" s="177" t="s">
        <v>670</v>
      </c>
      <c r="P135" s="277">
        <v>220102801</v>
      </c>
      <c r="Q135" s="177" t="s">
        <v>671</v>
      </c>
      <c r="R135" s="277">
        <v>220102801</v>
      </c>
      <c r="S135" s="177" t="s">
        <v>671</v>
      </c>
      <c r="T135" s="191" t="s">
        <v>1635</v>
      </c>
      <c r="U135" s="52">
        <v>36000</v>
      </c>
      <c r="V135" s="191" t="s">
        <v>655</v>
      </c>
      <c r="W135" s="175" t="s">
        <v>656</v>
      </c>
      <c r="X135" s="177" t="s">
        <v>657</v>
      </c>
      <c r="Y135" s="234"/>
      <c r="Z135" s="234"/>
      <c r="AA135" s="234"/>
      <c r="AB135" s="234"/>
      <c r="AC135" s="234"/>
      <c r="AD135" s="234"/>
      <c r="AE135" s="234"/>
      <c r="AF135" s="284"/>
      <c r="AG135" s="270">
        <v>12544566918.389999</v>
      </c>
      <c r="AH135" s="234"/>
      <c r="AI135" s="270">
        <v>2377000000</v>
      </c>
      <c r="AJ135" s="270">
        <v>62.1</v>
      </c>
      <c r="AK135" s="234"/>
      <c r="AL135" s="234"/>
      <c r="AM135" s="218">
        <f>+Y135+Z135+AA135+AB135+AC135+AD135+AE135+AF135+AG135+AH135+AI135+AJ135+AK135</f>
        <v>14921566980.49</v>
      </c>
      <c r="AN135" s="200" t="s">
        <v>1619</v>
      </c>
      <c r="AO135" s="188"/>
    </row>
    <row r="136" spans="1:41" s="26" customFormat="1" ht="165" customHeight="1" x14ac:dyDescent="0.2">
      <c r="A136" s="178">
        <v>314</v>
      </c>
      <c r="B136" s="177" t="s">
        <v>1592</v>
      </c>
      <c r="C136" s="174">
        <v>1</v>
      </c>
      <c r="D136" s="177" t="s">
        <v>1580</v>
      </c>
      <c r="E136" s="174">
        <v>22</v>
      </c>
      <c r="F136" s="232" t="s">
        <v>156</v>
      </c>
      <c r="G136" s="174">
        <v>2201</v>
      </c>
      <c r="H136" s="177" t="s">
        <v>277</v>
      </c>
      <c r="I136" s="174">
        <v>2201</v>
      </c>
      <c r="J136" s="177" t="s">
        <v>1553</v>
      </c>
      <c r="K136" s="177" t="s">
        <v>667</v>
      </c>
      <c r="L136" s="174">
        <v>2201029</v>
      </c>
      <c r="M136" s="177" t="s">
        <v>672</v>
      </c>
      <c r="N136" s="174">
        <v>2201029</v>
      </c>
      <c r="O136" s="177" t="s">
        <v>672</v>
      </c>
      <c r="P136" s="277">
        <v>220102900</v>
      </c>
      <c r="Q136" s="177" t="s">
        <v>673</v>
      </c>
      <c r="R136" s="277">
        <v>220102900</v>
      </c>
      <c r="S136" s="177" t="s">
        <v>673</v>
      </c>
      <c r="T136" s="191" t="s">
        <v>1637</v>
      </c>
      <c r="U136" s="52">
        <v>1000</v>
      </c>
      <c r="V136" s="191" t="s">
        <v>655</v>
      </c>
      <c r="W136" s="175" t="s">
        <v>656</v>
      </c>
      <c r="X136" s="177" t="s">
        <v>657</v>
      </c>
      <c r="Y136" s="234"/>
      <c r="Z136" s="234"/>
      <c r="AA136" s="234"/>
      <c r="AB136" s="234"/>
      <c r="AC136" s="234"/>
      <c r="AD136" s="234"/>
      <c r="AE136" s="234"/>
      <c r="AF136" s="234"/>
      <c r="AG136" s="234"/>
      <c r="AH136" s="234"/>
      <c r="AI136" s="312">
        <v>95316290.020000011</v>
      </c>
      <c r="AJ136" s="234"/>
      <c r="AK136" s="234"/>
      <c r="AL136" s="234"/>
      <c r="AM136" s="218">
        <f>+Y136+Z136+AA136+AB136+AC136+AD136+AE136+AF136+AG136+AH136+AI136+AJ136+AK136</f>
        <v>95316290.020000011</v>
      </c>
      <c r="AN136" s="200" t="s">
        <v>1619</v>
      </c>
      <c r="AO136" s="188"/>
    </row>
    <row r="137" spans="1:41" s="26" customFormat="1" ht="138.75" customHeight="1" x14ac:dyDescent="0.2">
      <c r="A137" s="178">
        <v>314</v>
      </c>
      <c r="B137" s="177" t="s">
        <v>1592</v>
      </c>
      <c r="C137" s="174">
        <v>1</v>
      </c>
      <c r="D137" s="177" t="s">
        <v>1580</v>
      </c>
      <c r="E137" s="174">
        <v>22</v>
      </c>
      <c r="F137" s="232" t="s">
        <v>156</v>
      </c>
      <c r="G137" s="174">
        <v>2201</v>
      </c>
      <c r="H137" s="177" t="s">
        <v>277</v>
      </c>
      <c r="I137" s="174">
        <v>2201</v>
      </c>
      <c r="J137" s="177" t="s">
        <v>1553</v>
      </c>
      <c r="K137" s="177" t="s">
        <v>158</v>
      </c>
      <c r="L137" s="174" t="s">
        <v>41</v>
      </c>
      <c r="M137" s="177" t="s">
        <v>674</v>
      </c>
      <c r="N137" s="174">
        <v>2201062</v>
      </c>
      <c r="O137" s="177" t="s">
        <v>160</v>
      </c>
      <c r="P137" s="174" t="s">
        <v>41</v>
      </c>
      <c r="Q137" s="177" t="s">
        <v>161</v>
      </c>
      <c r="R137" s="174">
        <v>220106200</v>
      </c>
      <c r="S137" s="177" t="s">
        <v>675</v>
      </c>
      <c r="T137" s="191" t="s">
        <v>1637</v>
      </c>
      <c r="U137" s="174">
        <v>15</v>
      </c>
      <c r="V137" s="191" t="s">
        <v>655</v>
      </c>
      <c r="W137" s="175" t="s">
        <v>656</v>
      </c>
      <c r="X137" s="177" t="s">
        <v>657</v>
      </c>
      <c r="Y137" s="234"/>
      <c r="Z137" s="234"/>
      <c r="AA137" s="234"/>
      <c r="AB137" s="234"/>
      <c r="AC137" s="234"/>
      <c r="AD137" s="234"/>
      <c r="AE137" s="234"/>
      <c r="AF137" s="234"/>
      <c r="AG137" s="234"/>
      <c r="AH137" s="234"/>
      <c r="AI137" s="239">
        <v>109520000</v>
      </c>
      <c r="AJ137" s="234"/>
      <c r="AK137" s="234"/>
      <c r="AL137" s="234"/>
      <c r="AM137" s="218">
        <f>+Y137+Z137+AA137+AB137+AC137+AD137+AE137+AF137+AG137+AH137+AI137+AJ137+AK137</f>
        <v>109520000</v>
      </c>
      <c r="AN137" s="200" t="s">
        <v>1619</v>
      </c>
      <c r="AO137" s="188"/>
    </row>
    <row r="138" spans="1:41" s="26" customFormat="1" ht="111.75" customHeight="1" x14ac:dyDescent="0.2">
      <c r="A138" s="178">
        <v>314</v>
      </c>
      <c r="B138" s="177" t="s">
        <v>1592</v>
      </c>
      <c r="C138" s="174">
        <v>1</v>
      </c>
      <c r="D138" s="177" t="s">
        <v>1580</v>
      </c>
      <c r="E138" s="174">
        <v>22</v>
      </c>
      <c r="F138" s="232" t="s">
        <v>156</v>
      </c>
      <c r="G138" s="174">
        <v>2201</v>
      </c>
      <c r="H138" s="177" t="s">
        <v>277</v>
      </c>
      <c r="I138" s="174">
        <v>2201</v>
      </c>
      <c r="J138" s="177" t="s">
        <v>1553</v>
      </c>
      <c r="K138" s="177" t="s">
        <v>676</v>
      </c>
      <c r="L138" s="174">
        <v>2201063</v>
      </c>
      <c r="M138" s="177" t="s">
        <v>677</v>
      </c>
      <c r="N138" s="174">
        <v>2201063</v>
      </c>
      <c r="O138" s="177" t="s">
        <v>677</v>
      </c>
      <c r="P138" s="249">
        <v>220106300</v>
      </c>
      <c r="Q138" s="177" t="s">
        <v>678</v>
      </c>
      <c r="R138" s="249">
        <v>220106300</v>
      </c>
      <c r="S138" s="177" t="s">
        <v>678</v>
      </c>
      <c r="T138" s="191" t="s">
        <v>1637</v>
      </c>
      <c r="U138" s="52">
        <v>2</v>
      </c>
      <c r="V138" s="191" t="s">
        <v>655</v>
      </c>
      <c r="W138" s="175" t="s">
        <v>656</v>
      </c>
      <c r="X138" s="177" t="s">
        <v>657</v>
      </c>
      <c r="Y138" s="234"/>
      <c r="Z138" s="234"/>
      <c r="AA138" s="234"/>
      <c r="AB138" s="234"/>
      <c r="AC138" s="234"/>
      <c r="AD138" s="234"/>
      <c r="AE138" s="234"/>
      <c r="AF138" s="234"/>
      <c r="AG138" s="234"/>
      <c r="AH138" s="234"/>
      <c r="AI138" s="270">
        <f>30000000-30000000</f>
        <v>0</v>
      </c>
      <c r="AJ138" s="234"/>
      <c r="AK138" s="234"/>
      <c r="AL138" s="234"/>
      <c r="AM138" s="218">
        <f>+Y138+Z138+AA138+AB138+AC138+AD138+AE138+AF138+AG138+AH138+AI138+AJ138+AK138</f>
        <v>0</v>
      </c>
      <c r="AN138" s="200" t="s">
        <v>1619</v>
      </c>
      <c r="AO138" s="188"/>
    </row>
    <row r="139" spans="1:41" s="26" customFormat="1" ht="110.25" customHeight="1" x14ac:dyDescent="0.2">
      <c r="A139" s="178">
        <v>314</v>
      </c>
      <c r="B139" s="177" t="s">
        <v>1592</v>
      </c>
      <c r="C139" s="174">
        <v>1</v>
      </c>
      <c r="D139" s="177" t="s">
        <v>1580</v>
      </c>
      <c r="E139" s="174">
        <v>22</v>
      </c>
      <c r="F139" s="232" t="s">
        <v>156</v>
      </c>
      <c r="G139" s="174">
        <v>2201</v>
      </c>
      <c r="H139" s="177" t="s">
        <v>277</v>
      </c>
      <c r="I139" s="174">
        <v>2201</v>
      </c>
      <c r="J139" s="177" t="s">
        <v>1553</v>
      </c>
      <c r="K139" s="177" t="s">
        <v>676</v>
      </c>
      <c r="L139" s="174">
        <v>2201069</v>
      </c>
      <c r="M139" s="177" t="s">
        <v>679</v>
      </c>
      <c r="N139" s="174">
        <v>2201069</v>
      </c>
      <c r="O139" s="177" t="s">
        <v>679</v>
      </c>
      <c r="P139" s="249">
        <v>220106900</v>
      </c>
      <c r="Q139" s="175" t="s">
        <v>680</v>
      </c>
      <c r="R139" s="249">
        <v>220106900</v>
      </c>
      <c r="S139" s="175" t="s">
        <v>680</v>
      </c>
      <c r="T139" s="191" t="s">
        <v>1637</v>
      </c>
      <c r="U139" s="52">
        <v>3</v>
      </c>
      <c r="V139" s="191" t="s">
        <v>655</v>
      </c>
      <c r="W139" s="175" t="s">
        <v>656</v>
      </c>
      <c r="X139" s="177" t="s">
        <v>657</v>
      </c>
      <c r="Y139" s="234"/>
      <c r="Z139" s="234"/>
      <c r="AA139" s="234"/>
      <c r="AB139" s="234"/>
      <c r="AC139" s="234"/>
      <c r="AD139" s="234"/>
      <c r="AE139" s="234">
        <v>3286467.8</v>
      </c>
      <c r="AF139" s="234"/>
      <c r="AG139" s="234"/>
      <c r="AH139" s="234"/>
      <c r="AI139" s="270">
        <v>20000000</v>
      </c>
      <c r="AJ139" s="234"/>
      <c r="AK139" s="234"/>
      <c r="AL139" s="234"/>
      <c r="AM139" s="218">
        <f>+Y139+Z139+AA139+AB139+AC139+AD139+AE139+AF139+AG139+AH139+AI139+AJ139+AK139</f>
        <v>23286467.800000001</v>
      </c>
      <c r="AN139" s="200" t="s">
        <v>1619</v>
      </c>
      <c r="AO139" s="188"/>
    </row>
    <row r="140" spans="1:41" s="26" customFormat="1" ht="138" customHeight="1" x14ac:dyDescent="0.2">
      <c r="A140" s="178">
        <v>314</v>
      </c>
      <c r="B140" s="177" t="s">
        <v>1592</v>
      </c>
      <c r="C140" s="174">
        <v>1</v>
      </c>
      <c r="D140" s="177" t="s">
        <v>1580</v>
      </c>
      <c r="E140" s="174">
        <v>22</v>
      </c>
      <c r="F140" s="232" t="s">
        <v>156</v>
      </c>
      <c r="G140" s="174">
        <v>2201</v>
      </c>
      <c r="H140" s="177" t="s">
        <v>277</v>
      </c>
      <c r="I140" s="174">
        <v>2201</v>
      </c>
      <c r="J140" s="177" t="s">
        <v>1553</v>
      </c>
      <c r="K140" s="177" t="s">
        <v>681</v>
      </c>
      <c r="L140" s="174">
        <v>2201018</v>
      </c>
      <c r="M140" s="177" t="s">
        <v>682</v>
      </c>
      <c r="N140" s="174">
        <v>2201018</v>
      </c>
      <c r="O140" s="177" t="s">
        <v>682</v>
      </c>
      <c r="P140" s="249">
        <v>220101802</v>
      </c>
      <c r="Q140" s="177" t="s">
        <v>683</v>
      </c>
      <c r="R140" s="249">
        <v>220101802</v>
      </c>
      <c r="S140" s="177" t="s">
        <v>683</v>
      </c>
      <c r="T140" s="191" t="s">
        <v>1635</v>
      </c>
      <c r="U140" s="52">
        <v>1</v>
      </c>
      <c r="V140" s="191" t="s">
        <v>684</v>
      </c>
      <c r="W140" s="175" t="s">
        <v>685</v>
      </c>
      <c r="X140" s="177" t="s">
        <v>686</v>
      </c>
      <c r="Y140" s="234"/>
      <c r="Z140" s="234"/>
      <c r="AA140" s="234"/>
      <c r="AB140" s="234"/>
      <c r="AC140" s="234"/>
      <c r="AD140" s="234"/>
      <c r="AE140" s="234"/>
      <c r="AF140" s="234"/>
      <c r="AG140" s="234"/>
      <c r="AH140" s="234"/>
      <c r="AI140" s="270">
        <f>6000000-6000000</f>
        <v>0</v>
      </c>
      <c r="AJ140" s="234"/>
      <c r="AK140" s="234"/>
      <c r="AL140" s="234"/>
      <c r="AM140" s="218">
        <f>+Y140+Z140+AA140+AB140+AC140+AD140+AE140+AF140+AG140+AH140+AI140+AJ140+AK140</f>
        <v>0</v>
      </c>
      <c r="AN140" s="200" t="s">
        <v>1619</v>
      </c>
      <c r="AO140" s="188"/>
    </row>
    <row r="141" spans="1:41" s="26" customFormat="1" ht="115.5" customHeight="1" x14ac:dyDescent="0.2">
      <c r="A141" s="178">
        <v>314</v>
      </c>
      <c r="B141" s="177" t="s">
        <v>1592</v>
      </c>
      <c r="C141" s="174">
        <v>1</v>
      </c>
      <c r="D141" s="177" t="s">
        <v>1580</v>
      </c>
      <c r="E141" s="174">
        <v>22</v>
      </c>
      <c r="F141" s="232" t="s">
        <v>156</v>
      </c>
      <c r="G141" s="174">
        <v>2201</v>
      </c>
      <c r="H141" s="177" t="s">
        <v>277</v>
      </c>
      <c r="I141" s="174">
        <v>2201</v>
      </c>
      <c r="J141" s="177" t="s">
        <v>1553</v>
      </c>
      <c r="K141" s="177" t="s">
        <v>687</v>
      </c>
      <c r="L141" s="174">
        <v>2201037</v>
      </c>
      <c r="M141" s="177" t="s">
        <v>688</v>
      </c>
      <c r="N141" s="174">
        <v>2201037</v>
      </c>
      <c r="O141" s="177" t="s">
        <v>688</v>
      </c>
      <c r="P141" s="277">
        <v>220103700</v>
      </c>
      <c r="Q141" s="256" t="s">
        <v>689</v>
      </c>
      <c r="R141" s="277">
        <v>220103700</v>
      </c>
      <c r="S141" s="256" t="s">
        <v>689</v>
      </c>
      <c r="T141" s="191" t="s">
        <v>1635</v>
      </c>
      <c r="U141" s="52">
        <v>54</v>
      </c>
      <c r="V141" s="191" t="s">
        <v>684</v>
      </c>
      <c r="W141" s="175" t="s">
        <v>685</v>
      </c>
      <c r="X141" s="177" t="s">
        <v>686</v>
      </c>
      <c r="Y141" s="234"/>
      <c r="Z141" s="234"/>
      <c r="AA141" s="234"/>
      <c r="AB141" s="234"/>
      <c r="AC141" s="234"/>
      <c r="AD141" s="234"/>
      <c r="AE141" s="234"/>
      <c r="AF141" s="234"/>
      <c r="AG141" s="234"/>
      <c r="AH141" s="234"/>
      <c r="AI141" s="270">
        <v>10000000</v>
      </c>
      <c r="AJ141" s="234"/>
      <c r="AK141" s="234"/>
      <c r="AL141" s="234"/>
      <c r="AM141" s="218">
        <f>+Y141+Z141+AA141+AB141+AC141+AD141+AE141+AF141+AG141+AH141+AI141+AJ141+AK141</f>
        <v>10000000</v>
      </c>
      <c r="AN141" s="200" t="s">
        <v>1619</v>
      </c>
      <c r="AO141" s="188"/>
    </row>
    <row r="142" spans="1:41" s="26" customFormat="1" ht="218.25" customHeight="1" x14ac:dyDescent="0.2">
      <c r="A142" s="178">
        <v>314</v>
      </c>
      <c r="B142" s="177" t="s">
        <v>1592</v>
      </c>
      <c r="C142" s="174">
        <v>1</v>
      </c>
      <c r="D142" s="177" t="s">
        <v>1580</v>
      </c>
      <c r="E142" s="174">
        <v>22</v>
      </c>
      <c r="F142" s="232" t="s">
        <v>156</v>
      </c>
      <c r="G142" s="174">
        <v>2201</v>
      </c>
      <c r="H142" s="177" t="s">
        <v>277</v>
      </c>
      <c r="I142" s="174">
        <v>2201</v>
      </c>
      <c r="J142" s="177" t="s">
        <v>1553</v>
      </c>
      <c r="K142" s="177" t="s">
        <v>690</v>
      </c>
      <c r="L142" s="174">
        <v>2201007</v>
      </c>
      <c r="M142" s="177" t="s">
        <v>691</v>
      </c>
      <c r="N142" s="174">
        <v>2201073</v>
      </c>
      <c r="O142" s="177" t="s">
        <v>691</v>
      </c>
      <c r="P142" s="174">
        <v>220100700</v>
      </c>
      <c r="Q142" s="177" t="s">
        <v>692</v>
      </c>
      <c r="R142" s="249">
        <v>220107300</v>
      </c>
      <c r="S142" s="177" t="s">
        <v>692</v>
      </c>
      <c r="T142" s="191" t="s">
        <v>1637</v>
      </c>
      <c r="U142" s="52">
        <v>7774</v>
      </c>
      <c r="V142" s="191" t="s">
        <v>693</v>
      </c>
      <c r="W142" s="175" t="s">
        <v>694</v>
      </c>
      <c r="X142" s="177" t="s">
        <v>695</v>
      </c>
      <c r="Y142" s="234"/>
      <c r="Z142" s="234"/>
      <c r="AA142" s="234"/>
      <c r="AB142" s="234"/>
      <c r="AC142" s="234"/>
      <c r="AD142" s="234"/>
      <c r="AE142" s="234">
        <v>13838656.48</v>
      </c>
      <c r="AF142" s="234"/>
      <c r="AG142" s="234"/>
      <c r="AH142" s="234"/>
      <c r="AI142" s="270">
        <v>19999999.989999998</v>
      </c>
      <c r="AJ142" s="234"/>
      <c r="AK142" s="234"/>
      <c r="AL142" s="234"/>
      <c r="AM142" s="218">
        <f>+Y142+Z142+AA142+AB142+AC142+AD142+AE142+AF142+AG142+AH142+AI142+AJ142+AK142</f>
        <v>33838656.469999999</v>
      </c>
      <c r="AN142" s="200" t="s">
        <v>1619</v>
      </c>
      <c r="AO142" s="188"/>
    </row>
    <row r="143" spans="1:41" s="26" customFormat="1" ht="138.75" customHeight="1" x14ac:dyDescent="0.2">
      <c r="A143" s="178">
        <v>314</v>
      </c>
      <c r="B143" s="177" t="s">
        <v>1592</v>
      </c>
      <c r="C143" s="174">
        <v>1</v>
      </c>
      <c r="D143" s="177" t="s">
        <v>1580</v>
      </c>
      <c r="E143" s="174">
        <v>22</v>
      </c>
      <c r="F143" s="232" t="s">
        <v>156</v>
      </c>
      <c r="G143" s="174">
        <v>2201</v>
      </c>
      <c r="H143" s="177" t="s">
        <v>277</v>
      </c>
      <c r="I143" s="174">
        <v>2201</v>
      </c>
      <c r="J143" s="177" t="s">
        <v>1553</v>
      </c>
      <c r="K143" s="177" t="s">
        <v>696</v>
      </c>
      <c r="L143" s="174">
        <v>2201068</v>
      </c>
      <c r="M143" s="177" t="s">
        <v>279</v>
      </c>
      <c r="N143" s="174">
        <v>2201068</v>
      </c>
      <c r="O143" s="177" t="s">
        <v>279</v>
      </c>
      <c r="P143" s="277">
        <v>220106800</v>
      </c>
      <c r="Q143" s="256" t="s">
        <v>280</v>
      </c>
      <c r="R143" s="277">
        <v>220106800</v>
      </c>
      <c r="S143" s="256" t="s">
        <v>280</v>
      </c>
      <c r="T143" s="191" t="s">
        <v>1637</v>
      </c>
      <c r="U143" s="174">
        <v>70</v>
      </c>
      <c r="V143" s="191" t="s">
        <v>693</v>
      </c>
      <c r="W143" s="175" t="s">
        <v>694</v>
      </c>
      <c r="X143" s="177" t="s">
        <v>695</v>
      </c>
      <c r="Y143" s="234"/>
      <c r="Z143" s="234"/>
      <c r="AA143" s="234">
        <v>0</v>
      </c>
      <c r="AB143" s="234">
        <v>0</v>
      </c>
      <c r="AC143" s="234">
        <v>0</v>
      </c>
      <c r="AD143" s="234">
        <v>0</v>
      </c>
      <c r="AE143" s="234">
        <v>0</v>
      </c>
      <c r="AF143" s="234">
        <v>0</v>
      </c>
      <c r="AG143" s="234">
        <v>0</v>
      </c>
      <c r="AH143" s="234">
        <v>0</v>
      </c>
      <c r="AI143" s="239">
        <v>18000000</v>
      </c>
      <c r="AJ143" s="234">
        <v>0</v>
      </c>
      <c r="AK143" s="234">
        <v>0</v>
      </c>
      <c r="AL143" s="234"/>
      <c r="AM143" s="218">
        <f>+Y143+Z143+AA143+AB143+AC143+AD143+AE143+AF143+AG143+AH143+AI143+AJ143+AK143</f>
        <v>18000000</v>
      </c>
      <c r="AN143" s="200" t="s">
        <v>1619</v>
      </c>
      <c r="AO143" s="188"/>
    </row>
    <row r="144" spans="1:41" s="26" customFormat="1" ht="74.25" customHeight="1" x14ac:dyDescent="0.2">
      <c r="A144" s="178">
        <v>314</v>
      </c>
      <c r="B144" s="177" t="s">
        <v>1592</v>
      </c>
      <c r="C144" s="174">
        <v>1</v>
      </c>
      <c r="D144" s="177" t="s">
        <v>1580</v>
      </c>
      <c r="E144" s="174">
        <v>22</v>
      </c>
      <c r="F144" s="232" t="s">
        <v>156</v>
      </c>
      <c r="G144" s="174">
        <v>2201</v>
      </c>
      <c r="H144" s="177" t="s">
        <v>277</v>
      </c>
      <c r="I144" s="174">
        <v>2201</v>
      </c>
      <c r="J144" s="177" t="s">
        <v>1553</v>
      </c>
      <c r="K144" s="177" t="s">
        <v>676</v>
      </c>
      <c r="L144" s="174">
        <v>2201026</v>
      </c>
      <c r="M144" s="177" t="s">
        <v>697</v>
      </c>
      <c r="N144" s="174">
        <v>2201026</v>
      </c>
      <c r="O144" s="177" t="s">
        <v>697</v>
      </c>
      <c r="P144" s="277">
        <v>220102600</v>
      </c>
      <c r="Q144" s="177" t="s">
        <v>698</v>
      </c>
      <c r="R144" s="277">
        <v>220102600</v>
      </c>
      <c r="S144" s="177" t="s">
        <v>698</v>
      </c>
      <c r="T144" s="191" t="s">
        <v>1637</v>
      </c>
      <c r="U144" s="52">
        <v>17</v>
      </c>
      <c r="V144" s="191" t="s">
        <v>693</v>
      </c>
      <c r="W144" s="175" t="s">
        <v>694</v>
      </c>
      <c r="X144" s="177" t="s">
        <v>695</v>
      </c>
      <c r="Y144" s="234"/>
      <c r="Z144" s="234"/>
      <c r="AA144" s="234"/>
      <c r="AB144" s="234"/>
      <c r="AC144" s="234"/>
      <c r="AD144" s="234"/>
      <c r="AE144" s="234">
        <v>1594997</v>
      </c>
      <c r="AF144" s="234"/>
      <c r="AG144" s="234"/>
      <c r="AH144" s="234"/>
      <c r="AI144" s="239">
        <v>18000000</v>
      </c>
      <c r="AJ144" s="234"/>
      <c r="AK144" s="234"/>
      <c r="AL144" s="234"/>
      <c r="AM144" s="218">
        <f>+Y144+Z144+AA144+AB144+AC144+AD144+AE144+AF144+AG144+AH144+AI144+AJ144+AK144</f>
        <v>19594997</v>
      </c>
      <c r="AN144" s="200" t="s">
        <v>1619</v>
      </c>
      <c r="AO144" s="188"/>
    </row>
    <row r="145" spans="1:41" s="26" customFormat="1" ht="116.25" customHeight="1" x14ac:dyDescent="0.2">
      <c r="A145" s="178">
        <v>314</v>
      </c>
      <c r="B145" s="177" t="s">
        <v>1592</v>
      </c>
      <c r="C145" s="174">
        <v>1</v>
      </c>
      <c r="D145" s="177" t="s">
        <v>1580</v>
      </c>
      <c r="E145" s="174">
        <v>22</v>
      </c>
      <c r="F145" s="232" t="s">
        <v>156</v>
      </c>
      <c r="G145" s="174">
        <v>2201</v>
      </c>
      <c r="H145" s="177" t="s">
        <v>277</v>
      </c>
      <c r="I145" s="174">
        <v>2201</v>
      </c>
      <c r="J145" s="177" t="s">
        <v>1553</v>
      </c>
      <c r="K145" s="177" t="s">
        <v>690</v>
      </c>
      <c r="L145" s="174">
        <v>2201009</v>
      </c>
      <c r="M145" s="177" t="s">
        <v>699</v>
      </c>
      <c r="N145" s="174">
        <v>2201074</v>
      </c>
      <c r="O145" s="177" t="s">
        <v>699</v>
      </c>
      <c r="P145" s="174">
        <v>220100900</v>
      </c>
      <c r="Q145" s="177" t="s">
        <v>700</v>
      </c>
      <c r="R145" s="249">
        <v>220107400</v>
      </c>
      <c r="S145" s="177" t="s">
        <v>701</v>
      </c>
      <c r="T145" s="191" t="s">
        <v>1637</v>
      </c>
      <c r="U145" s="52">
        <v>606</v>
      </c>
      <c r="V145" s="191" t="s">
        <v>693</v>
      </c>
      <c r="W145" s="175" t="s">
        <v>694</v>
      </c>
      <c r="X145" s="177" t="s">
        <v>695</v>
      </c>
      <c r="Y145" s="234"/>
      <c r="Z145" s="234"/>
      <c r="AA145" s="234"/>
      <c r="AB145" s="234"/>
      <c r="AC145" s="234"/>
      <c r="AD145" s="234"/>
      <c r="AE145" s="234"/>
      <c r="AF145" s="234"/>
      <c r="AG145" s="234"/>
      <c r="AH145" s="234"/>
      <c r="AI145" s="270">
        <v>19999999.989999998</v>
      </c>
      <c r="AJ145" s="234"/>
      <c r="AK145" s="234"/>
      <c r="AL145" s="234"/>
      <c r="AM145" s="218">
        <f>+Y145+Z145+AA145+AB145+AC145+AD145+AE145+AF145+AG145+AH145+AI145+AJ145+AK145</f>
        <v>19999999.989999998</v>
      </c>
      <c r="AN145" s="200" t="s">
        <v>1619</v>
      </c>
      <c r="AO145" s="188"/>
    </row>
    <row r="146" spans="1:41" s="26" customFormat="1" ht="162.75" customHeight="1" x14ac:dyDescent="0.2">
      <c r="A146" s="178">
        <v>314</v>
      </c>
      <c r="B146" s="177" t="s">
        <v>1592</v>
      </c>
      <c r="C146" s="174">
        <v>1</v>
      </c>
      <c r="D146" s="177" t="s">
        <v>1580</v>
      </c>
      <c r="E146" s="174">
        <v>22</v>
      </c>
      <c r="F146" s="232" t="s">
        <v>156</v>
      </c>
      <c r="G146" s="174">
        <v>2201</v>
      </c>
      <c r="H146" s="177" t="s">
        <v>277</v>
      </c>
      <c r="I146" s="174">
        <v>2201</v>
      </c>
      <c r="J146" s="177" t="s">
        <v>1553</v>
      </c>
      <c r="K146" s="177" t="s">
        <v>690</v>
      </c>
      <c r="L146" s="174">
        <v>2201010</v>
      </c>
      <c r="M146" s="177" t="s">
        <v>702</v>
      </c>
      <c r="N146" s="174">
        <v>2201074</v>
      </c>
      <c r="O146" s="177" t="s">
        <v>703</v>
      </c>
      <c r="P146" s="174">
        <v>220101000</v>
      </c>
      <c r="Q146" s="177" t="s">
        <v>704</v>
      </c>
      <c r="R146" s="249">
        <v>220107400</v>
      </c>
      <c r="S146" s="177" t="s">
        <v>701</v>
      </c>
      <c r="T146" s="191" t="s">
        <v>1635</v>
      </c>
      <c r="U146" s="52">
        <v>94</v>
      </c>
      <c r="V146" s="191" t="s">
        <v>693</v>
      </c>
      <c r="W146" s="175" t="s">
        <v>694</v>
      </c>
      <c r="X146" s="177" t="s">
        <v>695</v>
      </c>
      <c r="Y146" s="234"/>
      <c r="Z146" s="234"/>
      <c r="AA146" s="234"/>
      <c r="AB146" s="234"/>
      <c r="AC146" s="234"/>
      <c r="AD146" s="234"/>
      <c r="AE146" s="234"/>
      <c r="AF146" s="234"/>
      <c r="AG146" s="234"/>
      <c r="AH146" s="234"/>
      <c r="AI146" s="270">
        <v>20000000</v>
      </c>
      <c r="AJ146" s="234"/>
      <c r="AK146" s="234"/>
      <c r="AL146" s="234"/>
      <c r="AM146" s="218">
        <f>+Y146+Z146+AA146+AB146+AC146+AD146+AE146+AF146+AG146+AH146+AI146+AJ146+AK146</f>
        <v>20000000</v>
      </c>
      <c r="AN146" s="200" t="s">
        <v>1619</v>
      </c>
      <c r="AO146" s="188"/>
    </row>
    <row r="147" spans="1:41" s="26" customFormat="1" ht="129.75" customHeight="1" x14ac:dyDescent="0.2">
      <c r="A147" s="178">
        <v>314</v>
      </c>
      <c r="B147" s="177" t="s">
        <v>1592</v>
      </c>
      <c r="C147" s="174">
        <v>1</v>
      </c>
      <c r="D147" s="177" t="s">
        <v>1580</v>
      </c>
      <c r="E147" s="174">
        <v>22</v>
      </c>
      <c r="F147" s="232" t="s">
        <v>156</v>
      </c>
      <c r="G147" s="174">
        <v>2201</v>
      </c>
      <c r="H147" s="177" t="s">
        <v>277</v>
      </c>
      <c r="I147" s="174">
        <v>2201</v>
      </c>
      <c r="J147" s="177" t="s">
        <v>1553</v>
      </c>
      <c r="K147" s="177" t="s">
        <v>705</v>
      </c>
      <c r="L147" s="174">
        <v>2201035</v>
      </c>
      <c r="M147" s="177" t="s">
        <v>706</v>
      </c>
      <c r="N147" s="174">
        <v>2201035</v>
      </c>
      <c r="O147" s="177" t="s">
        <v>706</v>
      </c>
      <c r="P147" s="249">
        <v>220103500</v>
      </c>
      <c r="Q147" s="177" t="s">
        <v>707</v>
      </c>
      <c r="R147" s="249">
        <v>220103500</v>
      </c>
      <c r="S147" s="175" t="s">
        <v>707</v>
      </c>
      <c r="T147" s="191" t="s">
        <v>1637</v>
      </c>
      <c r="U147" s="52">
        <v>8</v>
      </c>
      <c r="V147" s="191" t="s">
        <v>693</v>
      </c>
      <c r="W147" s="175" t="s">
        <v>694</v>
      </c>
      <c r="X147" s="177" t="s">
        <v>695</v>
      </c>
      <c r="Y147" s="234"/>
      <c r="Z147" s="234"/>
      <c r="AA147" s="234"/>
      <c r="AB147" s="234"/>
      <c r="AC147" s="234"/>
      <c r="AD147" s="234"/>
      <c r="AE147" s="234"/>
      <c r="AF147" s="234"/>
      <c r="AG147" s="234"/>
      <c r="AH147" s="234"/>
      <c r="AI147" s="270">
        <v>10000000</v>
      </c>
      <c r="AJ147" s="234"/>
      <c r="AK147" s="234"/>
      <c r="AL147" s="234"/>
      <c r="AM147" s="218">
        <f>+Y147+Z147+AA147+AB147+AC147+AD147+AE147+AF147+AG147+AH147+AI147+AJ147+AK147</f>
        <v>10000000</v>
      </c>
      <c r="AN147" s="200" t="s">
        <v>1619</v>
      </c>
      <c r="AO147" s="188"/>
    </row>
    <row r="148" spans="1:41" s="26" customFormat="1" ht="121.5" customHeight="1" x14ac:dyDescent="0.2">
      <c r="A148" s="178">
        <v>314</v>
      </c>
      <c r="B148" s="177" t="s">
        <v>1592</v>
      </c>
      <c r="C148" s="174">
        <v>1</v>
      </c>
      <c r="D148" s="177" t="s">
        <v>1580</v>
      </c>
      <c r="E148" s="174">
        <v>22</v>
      </c>
      <c r="F148" s="232" t="s">
        <v>156</v>
      </c>
      <c r="G148" s="174">
        <v>2201</v>
      </c>
      <c r="H148" s="177" t="s">
        <v>277</v>
      </c>
      <c r="I148" s="174">
        <v>2201</v>
      </c>
      <c r="J148" s="177" t="s">
        <v>1553</v>
      </c>
      <c r="K148" s="177" t="s">
        <v>667</v>
      </c>
      <c r="L148" s="174">
        <v>2201046</v>
      </c>
      <c r="M148" s="177" t="s">
        <v>708</v>
      </c>
      <c r="N148" s="174">
        <v>2201046</v>
      </c>
      <c r="O148" s="177" t="s">
        <v>708</v>
      </c>
      <c r="P148" s="277">
        <v>220104602</v>
      </c>
      <c r="Q148" s="177" t="s">
        <v>709</v>
      </c>
      <c r="R148" s="277">
        <v>220104602</v>
      </c>
      <c r="S148" s="177" t="s">
        <v>709</v>
      </c>
      <c r="T148" s="191" t="s">
        <v>1637</v>
      </c>
      <c r="U148" s="52">
        <v>13</v>
      </c>
      <c r="V148" s="191" t="s">
        <v>693</v>
      </c>
      <c r="W148" s="175" t="s">
        <v>694</v>
      </c>
      <c r="X148" s="177" t="s">
        <v>695</v>
      </c>
      <c r="Y148" s="234"/>
      <c r="Z148" s="234"/>
      <c r="AA148" s="234"/>
      <c r="AB148" s="218"/>
      <c r="AC148" s="234"/>
      <c r="AD148" s="234"/>
      <c r="AE148" s="234"/>
      <c r="AF148" s="234"/>
      <c r="AG148" s="234"/>
      <c r="AH148" s="234"/>
      <c r="AI148" s="239">
        <v>10000000.01</v>
      </c>
      <c r="AJ148" s="234"/>
      <c r="AK148" s="234"/>
      <c r="AL148" s="234"/>
      <c r="AM148" s="218">
        <f>+Y148+Z148+AA148+AB148+AC148+AD148+AE148+AF148+AG148+AH148+AI148+AJ148+AK148</f>
        <v>10000000.01</v>
      </c>
      <c r="AN148" s="200" t="s">
        <v>1619</v>
      </c>
      <c r="AO148" s="188"/>
    </row>
    <row r="149" spans="1:41" s="26" customFormat="1" ht="131.25" customHeight="1" x14ac:dyDescent="0.2">
      <c r="A149" s="178">
        <v>314</v>
      </c>
      <c r="B149" s="177" t="s">
        <v>1592</v>
      </c>
      <c r="C149" s="174">
        <v>1</v>
      </c>
      <c r="D149" s="177" t="s">
        <v>1580</v>
      </c>
      <c r="E149" s="174">
        <v>22</v>
      </c>
      <c r="F149" s="232" t="s">
        <v>156</v>
      </c>
      <c r="G149" s="174">
        <v>2201</v>
      </c>
      <c r="H149" s="177" t="s">
        <v>277</v>
      </c>
      <c r="I149" s="174">
        <v>2201</v>
      </c>
      <c r="J149" s="177" t="s">
        <v>1553</v>
      </c>
      <c r="K149" s="177" t="s">
        <v>667</v>
      </c>
      <c r="L149" s="174">
        <v>2201054</v>
      </c>
      <c r="M149" s="177" t="s">
        <v>710</v>
      </c>
      <c r="N149" s="174">
        <v>2201054</v>
      </c>
      <c r="O149" s="177" t="s">
        <v>710</v>
      </c>
      <c r="P149" s="249">
        <v>220105400</v>
      </c>
      <c r="Q149" s="177" t="s">
        <v>711</v>
      </c>
      <c r="R149" s="249">
        <v>220105400</v>
      </c>
      <c r="S149" s="177" t="s">
        <v>711</v>
      </c>
      <c r="T149" s="191" t="s">
        <v>1635</v>
      </c>
      <c r="U149" s="52">
        <v>11</v>
      </c>
      <c r="V149" s="191" t="s">
        <v>693</v>
      </c>
      <c r="W149" s="175" t="s">
        <v>694</v>
      </c>
      <c r="X149" s="177" t="s">
        <v>695</v>
      </c>
      <c r="Y149" s="234"/>
      <c r="Z149" s="234"/>
      <c r="AA149" s="234"/>
      <c r="AB149" s="234"/>
      <c r="AC149" s="234"/>
      <c r="AD149" s="234"/>
      <c r="AE149" s="234"/>
      <c r="AF149" s="234"/>
      <c r="AG149" s="234"/>
      <c r="AH149" s="234"/>
      <c r="AI149" s="270">
        <v>10000000.01</v>
      </c>
      <c r="AJ149" s="234"/>
      <c r="AK149" s="234"/>
      <c r="AL149" s="234"/>
      <c r="AM149" s="218">
        <f>+Y149+Z149+AA149+AB149+AC149+AD149+AE149+AF149+AG149+AH149+AI149+AJ149+AK149</f>
        <v>10000000.01</v>
      </c>
      <c r="AN149" s="200" t="s">
        <v>1619</v>
      </c>
      <c r="AO149" s="188"/>
    </row>
    <row r="150" spans="1:41" s="26" customFormat="1" ht="121.5" customHeight="1" x14ac:dyDescent="0.2">
      <c r="A150" s="178">
        <v>314</v>
      </c>
      <c r="B150" s="177" t="s">
        <v>1592</v>
      </c>
      <c r="C150" s="174">
        <v>1</v>
      </c>
      <c r="D150" s="177" t="s">
        <v>1580</v>
      </c>
      <c r="E150" s="174">
        <v>22</v>
      </c>
      <c r="F150" s="232" t="s">
        <v>156</v>
      </c>
      <c r="G150" s="174">
        <v>2201</v>
      </c>
      <c r="H150" s="177" t="s">
        <v>277</v>
      </c>
      <c r="I150" s="174">
        <v>2201</v>
      </c>
      <c r="J150" s="177" t="s">
        <v>1553</v>
      </c>
      <c r="K150" s="177" t="s">
        <v>664</v>
      </c>
      <c r="L150" s="174">
        <v>2201061</v>
      </c>
      <c r="M150" s="177" t="s">
        <v>712</v>
      </c>
      <c r="N150" s="174">
        <v>2201061</v>
      </c>
      <c r="O150" s="177" t="s">
        <v>712</v>
      </c>
      <c r="P150" s="249">
        <v>220106102</v>
      </c>
      <c r="Q150" s="177" t="s">
        <v>713</v>
      </c>
      <c r="R150" s="249">
        <v>220106102</v>
      </c>
      <c r="S150" s="177" t="s">
        <v>713</v>
      </c>
      <c r="T150" s="191" t="s">
        <v>1637</v>
      </c>
      <c r="U150" s="52">
        <v>12</v>
      </c>
      <c r="V150" s="191" t="s">
        <v>693</v>
      </c>
      <c r="W150" s="175" t="s">
        <v>694</v>
      </c>
      <c r="X150" s="177" t="s">
        <v>695</v>
      </c>
      <c r="Y150" s="234"/>
      <c r="Z150" s="234"/>
      <c r="AA150" s="234"/>
      <c r="AB150" s="234"/>
      <c r="AC150" s="234"/>
      <c r="AD150" s="234"/>
      <c r="AE150" s="234"/>
      <c r="AF150" s="234"/>
      <c r="AG150" s="234"/>
      <c r="AH150" s="234"/>
      <c r="AI150" s="270">
        <v>10000000</v>
      </c>
      <c r="AJ150" s="234"/>
      <c r="AK150" s="234"/>
      <c r="AL150" s="234"/>
      <c r="AM150" s="218">
        <f>+Y150+Z150+AA150+AB150+AC150+AD150+AE150+AF150+AG150+AH150+AI150+AJ150+AK150</f>
        <v>10000000</v>
      </c>
      <c r="AN150" s="200" t="s">
        <v>1619</v>
      </c>
      <c r="AO150" s="188"/>
    </row>
    <row r="151" spans="1:41" s="26" customFormat="1" ht="137.25" customHeight="1" x14ac:dyDescent="0.2">
      <c r="A151" s="178">
        <v>314</v>
      </c>
      <c r="B151" s="177" t="s">
        <v>1592</v>
      </c>
      <c r="C151" s="174">
        <v>1</v>
      </c>
      <c r="D151" s="177" t="s">
        <v>1580</v>
      </c>
      <c r="E151" s="174">
        <v>22</v>
      </c>
      <c r="F151" s="232" t="s">
        <v>156</v>
      </c>
      <c r="G151" s="174">
        <v>2201</v>
      </c>
      <c r="H151" s="177" t="s">
        <v>277</v>
      </c>
      <c r="I151" s="174">
        <v>2201</v>
      </c>
      <c r="J151" s="177" t="s">
        <v>1553</v>
      </c>
      <c r="K151" s="177" t="s">
        <v>664</v>
      </c>
      <c r="L151" s="174">
        <v>2201066</v>
      </c>
      <c r="M151" s="177" t="s">
        <v>714</v>
      </c>
      <c r="N151" s="174">
        <v>2201066</v>
      </c>
      <c r="O151" s="177" t="s">
        <v>714</v>
      </c>
      <c r="P151" s="249">
        <v>220106600</v>
      </c>
      <c r="Q151" s="177" t="s">
        <v>715</v>
      </c>
      <c r="R151" s="249">
        <v>220106600</v>
      </c>
      <c r="S151" s="177" t="s">
        <v>715</v>
      </c>
      <c r="T151" s="191" t="s">
        <v>1637</v>
      </c>
      <c r="U151" s="52">
        <v>10000</v>
      </c>
      <c r="V151" s="191" t="s">
        <v>693</v>
      </c>
      <c r="W151" s="175" t="s">
        <v>694</v>
      </c>
      <c r="X151" s="177" t="s">
        <v>695</v>
      </c>
      <c r="Y151" s="234"/>
      <c r="Z151" s="234"/>
      <c r="AA151" s="234"/>
      <c r="AB151" s="234"/>
      <c r="AC151" s="234"/>
      <c r="AD151" s="234"/>
      <c r="AE151" s="234"/>
      <c r="AF151" s="234"/>
      <c r="AG151" s="234"/>
      <c r="AH151" s="234"/>
      <c r="AI151" s="270">
        <f>10000000-8460000</f>
        <v>1540000</v>
      </c>
      <c r="AJ151" s="234"/>
      <c r="AK151" s="234"/>
      <c r="AL151" s="234"/>
      <c r="AM151" s="218">
        <f>+Y151+Z151+AA151+AB151+AC151+AD151+AE151+AF151+AG151+AH151+AI151+AJ151+AK151</f>
        <v>1540000</v>
      </c>
      <c r="AN151" s="200" t="s">
        <v>1619</v>
      </c>
      <c r="AO151" s="188"/>
    </row>
    <row r="152" spans="1:41" s="26" customFormat="1" ht="128.25" customHeight="1" x14ac:dyDescent="0.2">
      <c r="A152" s="178">
        <v>314</v>
      </c>
      <c r="B152" s="177" t="s">
        <v>1592</v>
      </c>
      <c r="C152" s="174">
        <v>1</v>
      </c>
      <c r="D152" s="177" t="s">
        <v>1580</v>
      </c>
      <c r="E152" s="174">
        <v>22</v>
      </c>
      <c r="F152" s="232" t="s">
        <v>156</v>
      </c>
      <c r="G152" s="174">
        <v>2201</v>
      </c>
      <c r="H152" s="177" t="s">
        <v>277</v>
      </c>
      <c r="I152" s="174">
        <v>2201</v>
      </c>
      <c r="J152" s="177" t="s">
        <v>1553</v>
      </c>
      <c r="K152" s="177" t="s">
        <v>716</v>
      </c>
      <c r="L152" s="174">
        <v>2201006</v>
      </c>
      <c r="M152" s="177" t="s">
        <v>717</v>
      </c>
      <c r="N152" s="174">
        <v>2201006</v>
      </c>
      <c r="O152" s="177" t="s">
        <v>717</v>
      </c>
      <c r="P152" s="277">
        <v>220100600</v>
      </c>
      <c r="Q152" s="177" t="s">
        <v>718</v>
      </c>
      <c r="R152" s="277">
        <v>220100600</v>
      </c>
      <c r="S152" s="177" t="s">
        <v>718</v>
      </c>
      <c r="T152" s="191" t="s">
        <v>1635</v>
      </c>
      <c r="U152" s="52">
        <v>54</v>
      </c>
      <c r="V152" s="191" t="s">
        <v>719</v>
      </c>
      <c r="W152" s="175" t="s">
        <v>720</v>
      </c>
      <c r="X152" s="177" t="s">
        <v>721</v>
      </c>
      <c r="Y152" s="234"/>
      <c r="Z152" s="234"/>
      <c r="AA152" s="234"/>
      <c r="AB152" s="234"/>
      <c r="AC152" s="234"/>
      <c r="AD152" s="234"/>
      <c r="AE152" s="285"/>
      <c r="AF152" s="234"/>
      <c r="AG152" s="234"/>
      <c r="AH152" s="234"/>
      <c r="AI152" s="313">
        <v>174900000.94999999</v>
      </c>
      <c r="AJ152" s="234"/>
      <c r="AK152" s="234"/>
      <c r="AL152" s="234"/>
      <c r="AM152" s="218">
        <f>+Y152+Z152+AA152+AB152+AC152+AD152+AE152+AF152+AG152+AH152+AI152+AJ152+AK152</f>
        <v>174900000.94999999</v>
      </c>
      <c r="AN152" s="200" t="s">
        <v>1619</v>
      </c>
      <c r="AO152" s="188"/>
    </row>
    <row r="153" spans="1:41" s="26" customFormat="1" ht="150" customHeight="1" x14ac:dyDescent="0.2">
      <c r="A153" s="178">
        <v>314</v>
      </c>
      <c r="B153" s="177" t="s">
        <v>1592</v>
      </c>
      <c r="C153" s="174">
        <v>1</v>
      </c>
      <c r="D153" s="177" t="s">
        <v>1580</v>
      </c>
      <c r="E153" s="174">
        <v>22</v>
      </c>
      <c r="F153" s="232" t="s">
        <v>156</v>
      </c>
      <c r="G153" s="174">
        <v>2201</v>
      </c>
      <c r="H153" s="177" t="s">
        <v>277</v>
      </c>
      <c r="I153" s="174">
        <v>2201</v>
      </c>
      <c r="J153" s="177" t="s">
        <v>1553</v>
      </c>
      <c r="K153" s="177" t="s">
        <v>716</v>
      </c>
      <c r="L153" s="174">
        <v>2201015</v>
      </c>
      <c r="M153" s="177" t="s">
        <v>722</v>
      </c>
      <c r="N153" s="174">
        <v>2201015</v>
      </c>
      <c r="O153" s="177" t="s">
        <v>722</v>
      </c>
      <c r="P153" s="249">
        <v>220101500</v>
      </c>
      <c r="Q153" s="177" t="s">
        <v>723</v>
      </c>
      <c r="R153" s="249">
        <v>220101500</v>
      </c>
      <c r="S153" s="177" t="s">
        <v>723</v>
      </c>
      <c r="T153" s="191" t="s">
        <v>1635</v>
      </c>
      <c r="U153" s="52">
        <v>11</v>
      </c>
      <c r="V153" s="191" t="s">
        <v>719</v>
      </c>
      <c r="W153" s="175" t="s">
        <v>720</v>
      </c>
      <c r="X153" s="177" t="s">
        <v>721</v>
      </c>
      <c r="Y153" s="234"/>
      <c r="Z153" s="234"/>
      <c r="AA153" s="234"/>
      <c r="AB153" s="234"/>
      <c r="AC153" s="234"/>
      <c r="AD153" s="234"/>
      <c r="AE153" s="234"/>
      <c r="AF153" s="234"/>
      <c r="AG153" s="234"/>
      <c r="AH153" s="234"/>
      <c r="AI153" s="270">
        <f>12000000-12000000</f>
        <v>0</v>
      </c>
      <c r="AJ153" s="234"/>
      <c r="AK153" s="234"/>
      <c r="AL153" s="234"/>
      <c r="AM153" s="218">
        <f>+Y153+Z153+AA153+AB153+AC153+AD153+AE153+AF153+AG153+AH153+AI153+AJ153+AK153</f>
        <v>0</v>
      </c>
      <c r="AN153" s="200" t="s">
        <v>1619</v>
      </c>
      <c r="AO153" s="188"/>
    </row>
    <row r="154" spans="1:41" s="26" customFormat="1" ht="154.5" customHeight="1" x14ac:dyDescent="0.2">
      <c r="A154" s="178">
        <v>314</v>
      </c>
      <c r="B154" s="177" t="s">
        <v>1592</v>
      </c>
      <c r="C154" s="174">
        <v>1</v>
      </c>
      <c r="D154" s="177" t="s">
        <v>1580</v>
      </c>
      <c r="E154" s="174">
        <v>22</v>
      </c>
      <c r="F154" s="232" t="s">
        <v>156</v>
      </c>
      <c r="G154" s="174">
        <v>2201</v>
      </c>
      <c r="H154" s="177" t="s">
        <v>277</v>
      </c>
      <c r="I154" s="174">
        <v>2201</v>
      </c>
      <c r="J154" s="177" t="s">
        <v>1553</v>
      </c>
      <c r="K154" s="177" t="s">
        <v>667</v>
      </c>
      <c r="L154" s="174">
        <v>2201042</v>
      </c>
      <c r="M154" s="177" t="s">
        <v>724</v>
      </c>
      <c r="N154" s="174">
        <v>2201042</v>
      </c>
      <c r="O154" s="177" t="s">
        <v>724</v>
      </c>
      <c r="P154" s="249">
        <v>220104200</v>
      </c>
      <c r="Q154" s="177" t="s">
        <v>725</v>
      </c>
      <c r="R154" s="249">
        <v>220104200</v>
      </c>
      <c r="S154" s="177" t="s">
        <v>725</v>
      </c>
      <c r="T154" s="191" t="s">
        <v>1637</v>
      </c>
      <c r="U154" s="52">
        <v>6000</v>
      </c>
      <c r="V154" s="191" t="s">
        <v>719</v>
      </c>
      <c r="W154" s="175" t="s">
        <v>720</v>
      </c>
      <c r="X154" s="177" t="s">
        <v>721</v>
      </c>
      <c r="Y154" s="234"/>
      <c r="Z154" s="234"/>
      <c r="AA154" s="234"/>
      <c r="AB154" s="234"/>
      <c r="AC154" s="234"/>
      <c r="AD154" s="234"/>
      <c r="AE154" s="234"/>
      <c r="AF154" s="234"/>
      <c r="AG154" s="234"/>
      <c r="AH154" s="234"/>
      <c r="AI154" s="239">
        <v>10000000.01</v>
      </c>
      <c r="AJ154" s="234"/>
      <c r="AK154" s="234"/>
      <c r="AL154" s="234"/>
      <c r="AM154" s="218">
        <f>+Y154+Z154+AA154+AB154+AC154+AD154+AE154+AF154+AG154+AH154+AI154+AJ154+AK154</f>
        <v>10000000.01</v>
      </c>
      <c r="AN154" s="200" t="s">
        <v>1619</v>
      </c>
      <c r="AO154" s="188"/>
    </row>
    <row r="155" spans="1:41" s="26" customFormat="1" ht="111.75" customHeight="1" x14ac:dyDescent="0.2">
      <c r="A155" s="178">
        <v>314</v>
      </c>
      <c r="B155" s="177" t="s">
        <v>1592</v>
      </c>
      <c r="C155" s="174">
        <v>1</v>
      </c>
      <c r="D155" s="177" t="s">
        <v>1580</v>
      </c>
      <c r="E155" s="174">
        <v>22</v>
      </c>
      <c r="F155" s="232" t="s">
        <v>156</v>
      </c>
      <c r="G155" s="174">
        <v>2201</v>
      </c>
      <c r="H155" s="177" t="s">
        <v>277</v>
      </c>
      <c r="I155" s="174">
        <v>2201</v>
      </c>
      <c r="J155" s="177" t="s">
        <v>1553</v>
      </c>
      <c r="K155" s="177" t="s">
        <v>726</v>
      </c>
      <c r="L155" s="174">
        <v>2201071</v>
      </c>
      <c r="M155" s="286" t="s">
        <v>727</v>
      </c>
      <c r="N155" s="174">
        <v>2201071</v>
      </c>
      <c r="O155" s="286" t="s">
        <v>727</v>
      </c>
      <c r="P155" s="277">
        <v>220107100</v>
      </c>
      <c r="Q155" s="177" t="s">
        <v>728</v>
      </c>
      <c r="R155" s="277">
        <v>220107100</v>
      </c>
      <c r="S155" s="177" t="s">
        <v>728</v>
      </c>
      <c r="T155" s="191" t="s">
        <v>1635</v>
      </c>
      <c r="U155" s="52">
        <v>54</v>
      </c>
      <c r="V155" s="191" t="s">
        <v>719</v>
      </c>
      <c r="W155" s="175" t="s">
        <v>720</v>
      </c>
      <c r="X155" s="177" t="s">
        <v>721</v>
      </c>
      <c r="Y155" s="287"/>
      <c r="Z155" s="287"/>
      <c r="AA155" s="287"/>
      <c r="AB155" s="311">
        <v>1573920278.6600001</v>
      </c>
      <c r="AC155" s="287"/>
      <c r="AD155" s="287"/>
      <c r="AE155" s="285">
        <v>135943144737.94</v>
      </c>
      <c r="AF155" s="288">
        <v>28315024554</v>
      </c>
      <c r="AG155" s="287"/>
      <c r="AH155" s="287"/>
      <c r="AI155" s="309">
        <v>6038518198.2200003</v>
      </c>
      <c r="AJ155" s="287"/>
      <c r="AK155" s="287">
        <v>3316642291.1900001</v>
      </c>
      <c r="AL155" s="287"/>
      <c r="AM155" s="218">
        <f>+Y155+Z155+AA155+AB155+AC155+AD155+AE155+AF155+AG155+AH155+AI155+AJ155+AK155</f>
        <v>175187250060.01001</v>
      </c>
      <c r="AN155" s="200" t="s">
        <v>1619</v>
      </c>
      <c r="AO155" s="188"/>
    </row>
    <row r="156" spans="1:41" s="26" customFormat="1" ht="168" customHeight="1" x14ac:dyDescent="0.2">
      <c r="A156" s="178">
        <v>314</v>
      </c>
      <c r="B156" s="177" t="s">
        <v>1592</v>
      </c>
      <c r="C156" s="174">
        <v>1</v>
      </c>
      <c r="D156" s="177" t="s">
        <v>1580</v>
      </c>
      <c r="E156" s="174">
        <v>22</v>
      </c>
      <c r="F156" s="232" t="s">
        <v>156</v>
      </c>
      <c r="G156" s="174">
        <v>2201</v>
      </c>
      <c r="H156" s="177" t="s">
        <v>277</v>
      </c>
      <c r="I156" s="174">
        <v>2201</v>
      </c>
      <c r="J156" s="177" t="s">
        <v>1553</v>
      </c>
      <c r="K156" s="177" t="s">
        <v>667</v>
      </c>
      <c r="L156" s="174">
        <v>2201050</v>
      </c>
      <c r="M156" s="177" t="s">
        <v>729</v>
      </c>
      <c r="N156" s="174">
        <v>2201050</v>
      </c>
      <c r="O156" s="177" t="s">
        <v>729</v>
      </c>
      <c r="P156" s="249">
        <v>220105000</v>
      </c>
      <c r="Q156" s="177" t="s">
        <v>730</v>
      </c>
      <c r="R156" s="249">
        <v>220105000</v>
      </c>
      <c r="S156" s="177" t="s">
        <v>730</v>
      </c>
      <c r="T156" s="191" t="s">
        <v>1637</v>
      </c>
      <c r="U156" s="52">
        <v>8000</v>
      </c>
      <c r="V156" s="191" t="s">
        <v>731</v>
      </c>
      <c r="W156" s="175" t="s">
        <v>732</v>
      </c>
      <c r="X156" s="177" t="s">
        <v>733</v>
      </c>
      <c r="Y156" s="234"/>
      <c r="Z156" s="234"/>
      <c r="AA156" s="234"/>
      <c r="AB156" s="234"/>
      <c r="AC156" s="234"/>
      <c r="AD156" s="234"/>
      <c r="AE156" s="242"/>
      <c r="AF156" s="234"/>
      <c r="AG156" s="234"/>
      <c r="AH156" s="234"/>
      <c r="AI156" s="270">
        <v>10000000.01</v>
      </c>
      <c r="AJ156" s="234"/>
      <c r="AK156" s="234"/>
      <c r="AL156" s="234"/>
      <c r="AM156" s="218">
        <f>+Y156+Z156+AA156+AB156+AC156+AD156+AE156+AF156+AG156+AH156+AI156+AJ156+AK156</f>
        <v>10000000.01</v>
      </c>
      <c r="AN156" s="200" t="s">
        <v>1619</v>
      </c>
      <c r="AO156" s="188"/>
    </row>
    <row r="157" spans="1:41" s="26" customFormat="1" ht="135" customHeight="1" x14ac:dyDescent="0.2">
      <c r="A157" s="178">
        <v>314</v>
      </c>
      <c r="B157" s="177" t="s">
        <v>1592</v>
      </c>
      <c r="C157" s="174">
        <v>1</v>
      </c>
      <c r="D157" s="177" t="s">
        <v>1580</v>
      </c>
      <c r="E157" s="174">
        <v>22</v>
      </c>
      <c r="F157" s="232" t="s">
        <v>156</v>
      </c>
      <c r="G157" s="174">
        <v>2201</v>
      </c>
      <c r="H157" s="177" t="s">
        <v>277</v>
      </c>
      <c r="I157" s="174">
        <v>2201</v>
      </c>
      <c r="J157" s="177" t="s">
        <v>1553</v>
      </c>
      <c r="K157" s="177" t="s">
        <v>667</v>
      </c>
      <c r="L157" s="174">
        <v>2201050</v>
      </c>
      <c r="M157" s="177" t="s">
        <v>729</v>
      </c>
      <c r="N157" s="174">
        <v>2201050</v>
      </c>
      <c r="O157" s="177" t="s">
        <v>729</v>
      </c>
      <c r="P157" s="277">
        <v>220105001</v>
      </c>
      <c r="Q157" s="177" t="s">
        <v>734</v>
      </c>
      <c r="R157" s="277">
        <v>220105001</v>
      </c>
      <c r="S157" s="177" t="s">
        <v>734</v>
      </c>
      <c r="T157" s="191" t="s">
        <v>1635</v>
      </c>
      <c r="U157" s="52">
        <v>150</v>
      </c>
      <c r="V157" s="191" t="s">
        <v>731</v>
      </c>
      <c r="W157" s="175" t="s">
        <v>732</v>
      </c>
      <c r="X157" s="177" t="s">
        <v>733</v>
      </c>
      <c r="Y157" s="234"/>
      <c r="Z157" s="234"/>
      <c r="AA157" s="234"/>
      <c r="AB157" s="234"/>
      <c r="AC157" s="234"/>
      <c r="AD157" s="234"/>
      <c r="AE157" s="234">
        <f>749000000-157054393</f>
        <v>591945607</v>
      </c>
      <c r="AF157" s="234">
        <v>0</v>
      </c>
      <c r="AG157" s="234">
        <v>0</v>
      </c>
      <c r="AH157" s="234">
        <v>0</v>
      </c>
      <c r="AI157" s="234">
        <v>0</v>
      </c>
      <c r="AJ157" s="234">
        <v>0</v>
      </c>
      <c r="AK157" s="234">
        <v>0</v>
      </c>
      <c r="AL157" s="234"/>
      <c r="AM157" s="218">
        <f>+Y157+Z157+AA157+AB157+AC157+AD157+AE157+AF157+AG157+AH157+AI157+AJ157+AK157</f>
        <v>591945607</v>
      </c>
      <c r="AN157" s="200" t="s">
        <v>1619</v>
      </c>
      <c r="AO157" s="188"/>
    </row>
    <row r="158" spans="1:41" s="26" customFormat="1" ht="120.75" customHeight="1" x14ac:dyDescent="0.2">
      <c r="A158" s="178">
        <v>314</v>
      </c>
      <c r="B158" s="177" t="s">
        <v>1592</v>
      </c>
      <c r="C158" s="174">
        <v>1</v>
      </c>
      <c r="D158" s="177" t="s">
        <v>1580</v>
      </c>
      <c r="E158" s="174">
        <v>22</v>
      </c>
      <c r="F158" s="232" t="s">
        <v>156</v>
      </c>
      <c r="G158" s="174">
        <v>2201</v>
      </c>
      <c r="H158" s="177" t="s">
        <v>277</v>
      </c>
      <c r="I158" s="174">
        <v>2201</v>
      </c>
      <c r="J158" s="177" t="s">
        <v>1553</v>
      </c>
      <c r="K158" s="177" t="s">
        <v>676</v>
      </c>
      <c r="L158" s="174" t="s">
        <v>41</v>
      </c>
      <c r="M158" s="177" t="s">
        <v>735</v>
      </c>
      <c r="N158" s="174">
        <v>2201001</v>
      </c>
      <c r="O158" s="177" t="s">
        <v>233</v>
      </c>
      <c r="P158" s="174" t="s">
        <v>41</v>
      </c>
      <c r="Q158" s="177" t="s">
        <v>736</v>
      </c>
      <c r="R158" s="249">
        <v>220100100</v>
      </c>
      <c r="S158" s="177" t="s">
        <v>737</v>
      </c>
      <c r="T158" s="191" t="s">
        <v>1635</v>
      </c>
      <c r="U158" s="52">
        <v>2</v>
      </c>
      <c r="V158" s="191" t="s">
        <v>731</v>
      </c>
      <c r="W158" s="175" t="s">
        <v>732</v>
      </c>
      <c r="X158" s="177" t="s">
        <v>733</v>
      </c>
      <c r="Y158" s="234"/>
      <c r="Z158" s="234"/>
      <c r="AA158" s="234"/>
      <c r="AB158" s="234"/>
      <c r="AC158" s="234"/>
      <c r="AD158" s="234"/>
      <c r="AE158" s="234"/>
      <c r="AF158" s="234"/>
      <c r="AG158" s="234"/>
      <c r="AH158" s="234"/>
      <c r="AI158" s="270">
        <v>10000000.01</v>
      </c>
      <c r="AJ158" s="234"/>
      <c r="AK158" s="234"/>
      <c r="AL158" s="234"/>
      <c r="AM158" s="218">
        <f>+Y158+Z158+AA158+AB158+AC158+AD158+AE158+AF158+AG158+AH158+AI158+AJ158+AK158</f>
        <v>10000000.01</v>
      </c>
      <c r="AN158" s="200" t="s">
        <v>1619</v>
      </c>
      <c r="AO158" s="188"/>
    </row>
    <row r="159" spans="1:41" s="26" customFormat="1" ht="114" customHeight="1" x14ac:dyDescent="0.2">
      <c r="A159" s="178">
        <v>314</v>
      </c>
      <c r="B159" s="177" t="s">
        <v>1592</v>
      </c>
      <c r="C159" s="174">
        <v>1</v>
      </c>
      <c r="D159" s="177" t="s">
        <v>1580</v>
      </c>
      <c r="E159" s="174">
        <v>22</v>
      </c>
      <c r="F159" s="232" t="s">
        <v>156</v>
      </c>
      <c r="G159" s="174">
        <v>2201</v>
      </c>
      <c r="H159" s="177" t="s">
        <v>277</v>
      </c>
      <c r="I159" s="174">
        <v>2201</v>
      </c>
      <c r="J159" s="177" t="s">
        <v>1553</v>
      </c>
      <c r="K159" s="177" t="s">
        <v>738</v>
      </c>
      <c r="L159" s="174">
        <v>2201034</v>
      </c>
      <c r="M159" s="177" t="s">
        <v>739</v>
      </c>
      <c r="N159" s="174">
        <v>2201034</v>
      </c>
      <c r="O159" s="177" t="s">
        <v>739</v>
      </c>
      <c r="P159" s="277">
        <v>220103400</v>
      </c>
      <c r="Q159" s="177" t="s">
        <v>740</v>
      </c>
      <c r="R159" s="277">
        <v>220103400</v>
      </c>
      <c r="S159" s="177" t="s">
        <v>740</v>
      </c>
      <c r="T159" s="191" t="s">
        <v>1637</v>
      </c>
      <c r="U159" s="52">
        <v>5500</v>
      </c>
      <c r="V159" s="191" t="s">
        <v>741</v>
      </c>
      <c r="W159" s="175" t="s">
        <v>742</v>
      </c>
      <c r="X159" s="177" t="s">
        <v>743</v>
      </c>
      <c r="Y159" s="234"/>
      <c r="Z159" s="234"/>
      <c r="AA159" s="234"/>
      <c r="AB159" s="234"/>
      <c r="AC159" s="234"/>
      <c r="AD159" s="234"/>
      <c r="AE159" s="234"/>
      <c r="AF159" s="234"/>
      <c r="AG159" s="234"/>
      <c r="AH159" s="234"/>
      <c r="AI159" s="270">
        <v>10000000.01</v>
      </c>
      <c r="AJ159" s="234"/>
      <c r="AK159" s="234"/>
      <c r="AL159" s="234"/>
      <c r="AM159" s="218">
        <f>+Y159+Z159+AA159+AB159+AC159+AD159+AE159+AF159+AG159+AH159+AI159+AJ159+AK159</f>
        <v>10000000.01</v>
      </c>
      <c r="AN159" s="200" t="s">
        <v>1619</v>
      </c>
      <c r="AO159" s="188"/>
    </row>
    <row r="160" spans="1:41" s="26" customFormat="1" ht="103.5" customHeight="1" x14ac:dyDescent="0.2">
      <c r="A160" s="178">
        <v>314</v>
      </c>
      <c r="B160" s="177" t="s">
        <v>1592</v>
      </c>
      <c r="C160" s="174">
        <v>1</v>
      </c>
      <c r="D160" s="177" t="s">
        <v>1580</v>
      </c>
      <c r="E160" s="174">
        <v>22</v>
      </c>
      <c r="F160" s="232" t="s">
        <v>156</v>
      </c>
      <c r="G160" s="174">
        <v>2201</v>
      </c>
      <c r="H160" s="177" t="s">
        <v>277</v>
      </c>
      <c r="I160" s="174">
        <v>2201</v>
      </c>
      <c r="J160" s="177" t="s">
        <v>1553</v>
      </c>
      <c r="K160" s="177" t="s">
        <v>738</v>
      </c>
      <c r="L160" s="174">
        <v>2201034</v>
      </c>
      <c r="M160" s="177" t="s">
        <v>744</v>
      </c>
      <c r="N160" s="174">
        <v>2201034</v>
      </c>
      <c r="O160" s="177" t="s">
        <v>744</v>
      </c>
      <c r="P160" s="249">
        <v>220103401</v>
      </c>
      <c r="Q160" s="177" t="s">
        <v>745</v>
      </c>
      <c r="R160" s="249">
        <v>220103401</v>
      </c>
      <c r="S160" s="177" t="s">
        <v>745</v>
      </c>
      <c r="T160" s="191" t="s">
        <v>1635</v>
      </c>
      <c r="U160" s="52">
        <v>54</v>
      </c>
      <c r="V160" s="191" t="s">
        <v>741</v>
      </c>
      <c r="W160" s="175" t="s">
        <v>742</v>
      </c>
      <c r="X160" s="177" t="s">
        <v>743</v>
      </c>
      <c r="Y160" s="234"/>
      <c r="Z160" s="234"/>
      <c r="AA160" s="234"/>
      <c r="AB160" s="234"/>
      <c r="AC160" s="234"/>
      <c r="AD160" s="234"/>
      <c r="AE160" s="234"/>
      <c r="AF160" s="234"/>
      <c r="AG160" s="234"/>
      <c r="AH160" s="234"/>
      <c r="AI160" s="270">
        <v>9999999.9800000004</v>
      </c>
      <c r="AJ160" s="234"/>
      <c r="AK160" s="234"/>
      <c r="AL160" s="234"/>
      <c r="AM160" s="218">
        <f>+Y160+Z160+AA160+AB160+AC160+AD160+AE160+AF160+AG160+AH160+AI160+AJ160+AK160</f>
        <v>9999999.9800000004</v>
      </c>
      <c r="AN160" s="200" t="s">
        <v>1619</v>
      </c>
      <c r="AO160" s="188"/>
    </row>
    <row r="161" spans="1:41" s="26" customFormat="1" ht="93.75" customHeight="1" x14ac:dyDescent="0.2">
      <c r="A161" s="178">
        <v>314</v>
      </c>
      <c r="B161" s="177" t="s">
        <v>1592</v>
      </c>
      <c r="C161" s="174">
        <v>1</v>
      </c>
      <c r="D161" s="177" t="s">
        <v>1580</v>
      </c>
      <c r="E161" s="174">
        <v>22</v>
      </c>
      <c r="F161" s="232" t="s">
        <v>156</v>
      </c>
      <c r="G161" s="174">
        <v>2201</v>
      </c>
      <c r="H161" s="177" t="s">
        <v>277</v>
      </c>
      <c r="I161" s="174">
        <v>2201</v>
      </c>
      <c r="J161" s="177" t="s">
        <v>1553</v>
      </c>
      <c r="K161" s="177" t="s">
        <v>738</v>
      </c>
      <c r="L161" s="174">
        <v>2201060</v>
      </c>
      <c r="M161" s="177" t="s">
        <v>746</v>
      </c>
      <c r="N161" s="174">
        <v>2201060</v>
      </c>
      <c r="O161" s="177" t="s">
        <v>746</v>
      </c>
      <c r="P161" s="277">
        <v>220106000</v>
      </c>
      <c r="Q161" s="177" t="s">
        <v>747</v>
      </c>
      <c r="R161" s="277">
        <v>220106000</v>
      </c>
      <c r="S161" s="177" t="s">
        <v>747</v>
      </c>
      <c r="T161" s="191" t="s">
        <v>1637</v>
      </c>
      <c r="U161" s="52">
        <v>200</v>
      </c>
      <c r="V161" s="191" t="s">
        <v>741</v>
      </c>
      <c r="W161" s="175" t="s">
        <v>742</v>
      </c>
      <c r="X161" s="177" t="s">
        <v>743</v>
      </c>
      <c r="Y161" s="234"/>
      <c r="Z161" s="234"/>
      <c r="AA161" s="234"/>
      <c r="AB161" s="234"/>
      <c r="AC161" s="234"/>
      <c r="AD161" s="234"/>
      <c r="AE161" s="234"/>
      <c r="AF161" s="234"/>
      <c r="AG161" s="234"/>
      <c r="AH161" s="234"/>
      <c r="AI161" s="270">
        <f>10000000.01-10000000.01</f>
        <v>0</v>
      </c>
      <c r="AJ161" s="234"/>
      <c r="AK161" s="234"/>
      <c r="AL161" s="234"/>
      <c r="AM161" s="218">
        <f>+Y161+Z161+AA161+AB161+AC161+AD161+AE161+AF161+AG161+AH161+AI161+AJ161+AK161</f>
        <v>0</v>
      </c>
      <c r="AN161" s="200" t="s">
        <v>1619</v>
      </c>
      <c r="AO161" s="188"/>
    </row>
    <row r="162" spans="1:41" s="26" customFormat="1" ht="159.75" customHeight="1" x14ac:dyDescent="0.2">
      <c r="A162" s="178">
        <v>314</v>
      </c>
      <c r="B162" s="177" t="s">
        <v>1592</v>
      </c>
      <c r="C162" s="174">
        <v>1</v>
      </c>
      <c r="D162" s="177" t="s">
        <v>1580</v>
      </c>
      <c r="E162" s="174">
        <v>22</v>
      </c>
      <c r="F162" s="232" t="s">
        <v>156</v>
      </c>
      <c r="G162" s="174">
        <v>2201</v>
      </c>
      <c r="H162" s="177" t="s">
        <v>277</v>
      </c>
      <c r="I162" s="174">
        <v>2201</v>
      </c>
      <c r="J162" s="177" t="s">
        <v>1553</v>
      </c>
      <c r="K162" s="177" t="s">
        <v>716</v>
      </c>
      <c r="L162" s="174">
        <v>2201001</v>
      </c>
      <c r="M162" s="177" t="s">
        <v>233</v>
      </c>
      <c r="N162" s="174">
        <v>2201001</v>
      </c>
      <c r="O162" s="177" t="s">
        <v>233</v>
      </c>
      <c r="P162" s="174">
        <v>2201001</v>
      </c>
      <c r="Q162" s="177" t="s">
        <v>737</v>
      </c>
      <c r="R162" s="174">
        <v>220100100</v>
      </c>
      <c r="S162" s="177" t="s">
        <v>737</v>
      </c>
      <c r="T162" s="191" t="s">
        <v>1635</v>
      </c>
      <c r="U162" s="52">
        <v>5</v>
      </c>
      <c r="V162" s="191" t="s">
        <v>748</v>
      </c>
      <c r="W162" s="175" t="s">
        <v>1628</v>
      </c>
      <c r="X162" s="177" t="s">
        <v>1629</v>
      </c>
      <c r="Y162" s="234"/>
      <c r="Z162" s="234"/>
      <c r="AA162" s="234"/>
      <c r="AB162" s="234"/>
      <c r="AC162" s="234"/>
      <c r="AD162" s="234"/>
      <c r="AE162" s="234"/>
      <c r="AF162" s="234"/>
      <c r="AG162" s="234"/>
      <c r="AH162" s="234"/>
      <c r="AI162" s="313">
        <f>9000000+5100000</f>
        <v>14100000</v>
      </c>
      <c r="AJ162" s="234"/>
      <c r="AK162" s="234"/>
      <c r="AL162" s="234"/>
      <c r="AM162" s="218">
        <f>+Y162+Z162+AA162+AB162+AC162+AD162+AE162+AF162+AG162+AH162+AI162+AJ162+AK162</f>
        <v>14100000</v>
      </c>
      <c r="AN162" s="200" t="s">
        <v>1619</v>
      </c>
      <c r="AO162" s="188"/>
    </row>
    <row r="163" spans="1:41" s="26" customFormat="1" ht="122.25" customHeight="1" x14ac:dyDescent="0.2">
      <c r="A163" s="178">
        <v>314</v>
      </c>
      <c r="B163" s="177" t="s">
        <v>1592</v>
      </c>
      <c r="C163" s="174">
        <v>1</v>
      </c>
      <c r="D163" s="177" t="s">
        <v>1580</v>
      </c>
      <c r="E163" s="174">
        <v>22</v>
      </c>
      <c r="F163" s="232" t="s">
        <v>156</v>
      </c>
      <c r="G163" s="174">
        <v>2201</v>
      </c>
      <c r="H163" s="177" t="s">
        <v>277</v>
      </c>
      <c r="I163" s="174">
        <v>2201</v>
      </c>
      <c r="J163" s="177" t="s">
        <v>1553</v>
      </c>
      <c r="K163" s="177" t="s">
        <v>667</v>
      </c>
      <c r="L163" s="174">
        <v>2201048</v>
      </c>
      <c r="M163" s="177" t="s">
        <v>750</v>
      </c>
      <c r="N163" s="174">
        <v>2201048</v>
      </c>
      <c r="O163" s="177" t="s">
        <v>750</v>
      </c>
      <c r="P163" s="249">
        <v>220104801</v>
      </c>
      <c r="Q163" s="177" t="s">
        <v>751</v>
      </c>
      <c r="R163" s="249">
        <v>220104801</v>
      </c>
      <c r="S163" s="177" t="s">
        <v>751</v>
      </c>
      <c r="T163" s="191" t="s">
        <v>1635</v>
      </c>
      <c r="U163" s="52">
        <v>1</v>
      </c>
      <c r="V163" s="191" t="s">
        <v>748</v>
      </c>
      <c r="W163" s="175" t="s">
        <v>1628</v>
      </c>
      <c r="X163" s="177" t="s">
        <v>1629</v>
      </c>
      <c r="Y163" s="234"/>
      <c r="Z163" s="234"/>
      <c r="AA163" s="234"/>
      <c r="AB163" s="234"/>
      <c r="AC163" s="234"/>
      <c r="AD163" s="234"/>
      <c r="AE163" s="234"/>
      <c r="AF163" s="234"/>
      <c r="AG163" s="234"/>
      <c r="AH163" s="234"/>
      <c r="AI163" s="270">
        <f>9000000-9000000</f>
        <v>0</v>
      </c>
      <c r="AJ163" s="234"/>
      <c r="AK163" s="234"/>
      <c r="AL163" s="234"/>
      <c r="AM163" s="218">
        <f>+Y163+Z163+AA163+AB163+AC163+AD163+AE163+AF163+AG163+AH163+AI163+AJ163+AK163</f>
        <v>0</v>
      </c>
      <c r="AN163" s="200" t="s">
        <v>1619</v>
      </c>
      <c r="AO163" s="188"/>
    </row>
    <row r="164" spans="1:41" s="40" customFormat="1" ht="156" customHeight="1" x14ac:dyDescent="0.25">
      <c r="A164" s="178">
        <v>314</v>
      </c>
      <c r="B164" s="177" t="s">
        <v>1592</v>
      </c>
      <c r="C164" s="174">
        <v>1</v>
      </c>
      <c r="D164" s="177" t="s">
        <v>1580</v>
      </c>
      <c r="E164" s="174">
        <v>22</v>
      </c>
      <c r="F164" s="232" t="s">
        <v>156</v>
      </c>
      <c r="G164" s="174" t="s">
        <v>41</v>
      </c>
      <c r="H164" s="177" t="s">
        <v>1525</v>
      </c>
      <c r="I164" s="289">
        <v>2202</v>
      </c>
      <c r="J164" s="177" t="s">
        <v>1526</v>
      </c>
      <c r="K164" s="177" t="s">
        <v>752</v>
      </c>
      <c r="L164" s="174" t="s">
        <v>41</v>
      </c>
      <c r="M164" s="177" t="s">
        <v>753</v>
      </c>
      <c r="N164" s="174">
        <v>2202006</v>
      </c>
      <c r="O164" s="177" t="s">
        <v>753</v>
      </c>
      <c r="P164" s="174" t="s">
        <v>41</v>
      </c>
      <c r="Q164" s="177" t="s">
        <v>754</v>
      </c>
      <c r="R164" s="174">
        <v>220200604</v>
      </c>
      <c r="S164" s="177" t="s">
        <v>755</v>
      </c>
      <c r="T164" s="191" t="s">
        <v>1635</v>
      </c>
      <c r="U164" s="52">
        <v>2</v>
      </c>
      <c r="V164" s="191" t="s">
        <v>756</v>
      </c>
      <c r="W164" s="175" t="s">
        <v>757</v>
      </c>
      <c r="X164" s="177" t="s">
        <v>758</v>
      </c>
      <c r="Y164" s="234"/>
      <c r="Z164" s="234"/>
      <c r="AA164" s="234"/>
      <c r="AB164" s="235">
        <v>1818304</v>
      </c>
      <c r="AC164" s="234"/>
      <c r="AD164" s="234"/>
      <c r="AE164" s="266"/>
      <c r="AF164" s="266"/>
      <c r="AG164" s="234"/>
      <c r="AH164" s="234"/>
      <c r="AI164" s="309">
        <v>437239948</v>
      </c>
      <c r="AJ164" s="234"/>
      <c r="AK164" s="234"/>
      <c r="AL164" s="234"/>
      <c r="AM164" s="218">
        <f>+Y164+Z164+AA164+AB164+AC164+AD164+AE164+AF164+AG164+AH164+AI164+AJ164+AK164</f>
        <v>439058252</v>
      </c>
      <c r="AN164" s="200" t="s">
        <v>1619</v>
      </c>
      <c r="AO164" s="188"/>
    </row>
    <row r="165" spans="1:41" s="40" customFormat="1" ht="147.75" customHeight="1" x14ac:dyDescent="0.25">
      <c r="A165" s="178">
        <v>314</v>
      </c>
      <c r="B165" s="177" t="s">
        <v>1592</v>
      </c>
      <c r="C165" s="174">
        <v>2</v>
      </c>
      <c r="D165" s="177" t="s">
        <v>1587</v>
      </c>
      <c r="E165" s="174">
        <v>39</v>
      </c>
      <c r="F165" s="177" t="s">
        <v>1468</v>
      </c>
      <c r="G165" s="174">
        <v>3904</v>
      </c>
      <c r="H165" s="177" t="s">
        <v>1568</v>
      </c>
      <c r="I165" s="174">
        <v>3904</v>
      </c>
      <c r="J165" s="177" t="s">
        <v>1568</v>
      </c>
      <c r="K165" s="177" t="s">
        <v>760</v>
      </c>
      <c r="L165" s="174">
        <v>3904006</v>
      </c>
      <c r="M165" s="177" t="s">
        <v>761</v>
      </c>
      <c r="N165" s="174">
        <v>3904006</v>
      </c>
      <c r="O165" s="177" t="s">
        <v>761</v>
      </c>
      <c r="P165" s="237">
        <v>390400604</v>
      </c>
      <c r="Q165" s="256" t="s">
        <v>762</v>
      </c>
      <c r="R165" s="237">
        <v>390400604</v>
      </c>
      <c r="S165" s="256" t="s">
        <v>763</v>
      </c>
      <c r="T165" s="191" t="s">
        <v>1637</v>
      </c>
      <c r="U165" s="52">
        <v>18</v>
      </c>
      <c r="V165" s="289" t="s">
        <v>764</v>
      </c>
      <c r="W165" s="175" t="s">
        <v>765</v>
      </c>
      <c r="X165" s="177" t="s">
        <v>766</v>
      </c>
      <c r="Y165" s="234"/>
      <c r="Z165" s="234"/>
      <c r="AA165" s="234"/>
      <c r="AB165" s="216"/>
      <c r="AC165" s="234"/>
      <c r="AD165" s="234"/>
      <c r="AE165" s="266"/>
      <c r="AF165" s="266"/>
      <c r="AG165" s="234"/>
      <c r="AH165" s="234"/>
      <c r="AI165" s="239">
        <v>7500000</v>
      </c>
      <c r="AJ165" s="234"/>
      <c r="AK165" s="234"/>
      <c r="AL165" s="234"/>
      <c r="AM165" s="218">
        <f>+Y165+Z165+AA165+AB165+AC165+AD165+AE165+AF165+AG165+AH165+AI165+AJ165+AK165</f>
        <v>7500000</v>
      </c>
      <c r="AN165" s="200" t="s">
        <v>1619</v>
      </c>
      <c r="AO165" s="188"/>
    </row>
    <row r="166" spans="1:41" s="26" customFormat="1" ht="222.75" customHeight="1" x14ac:dyDescent="0.2">
      <c r="A166" s="178">
        <v>316</v>
      </c>
      <c r="B166" s="177" t="s">
        <v>1593</v>
      </c>
      <c r="C166" s="174">
        <v>1</v>
      </c>
      <c r="D166" s="177" t="s">
        <v>1580</v>
      </c>
      <c r="E166" s="174">
        <v>19</v>
      </c>
      <c r="F166" s="177" t="s">
        <v>147</v>
      </c>
      <c r="G166" s="174">
        <v>1905</v>
      </c>
      <c r="H166" s="177" t="s">
        <v>768</v>
      </c>
      <c r="I166" s="174">
        <v>1905</v>
      </c>
      <c r="J166" s="177" t="s">
        <v>1552</v>
      </c>
      <c r="K166" s="177" t="s">
        <v>769</v>
      </c>
      <c r="L166" s="249">
        <v>1905021</v>
      </c>
      <c r="M166" s="177" t="s">
        <v>770</v>
      </c>
      <c r="N166" s="249">
        <v>1905021</v>
      </c>
      <c r="O166" s="177" t="s">
        <v>770</v>
      </c>
      <c r="P166" s="249">
        <v>190502100</v>
      </c>
      <c r="Q166" s="177" t="s">
        <v>771</v>
      </c>
      <c r="R166" s="174">
        <v>190502100</v>
      </c>
      <c r="S166" s="177" t="s">
        <v>771</v>
      </c>
      <c r="T166" s="191" t="s">
        <v>1635</v>
      </c>
      <c r="U166" s="52">
        <v>12</v>
      </c>
      <c r="V166" s="191" t="s">
        <v>772</v>
      </c>
      <c r="W166" s="175" t="s">
        <v>773</v>
      </c>
      <c r="X166" s="177" t="s">
        <v>774</v>
      </c>
      <c r="Y166" s="234">
        <v>0</v>
      </c>
      <c r="Z166" s="234">
        <v>0</v>
      </c>
      <c r="AA166" s="234">
        <v>0</v>
      </c>
      <c r="AB166" s="234">
        <v>0</v>
      </c>
      <c r="AC166" s="234">
        <v>0</v>
      </c>
      <c r="AD166" s="234">
        <v>0</v>
      </c>
      <c r="AE166" s="234">
        <v>0</v>
      </c>
      <c r="AF166" s="234">
        <v>0</v>
      </c>
      <c r="AG166" s="234">
        <v>0</v>
      </c>
      <c r="AH166" s="234">
        <v>0</v>
      </c>
      <c r="AI166" s="239">
        <f>100000000+15386000</f>
        <v>115386000</v>
      </c>
      <c r="AJ166" s="234">
        <v>0</v>
      </c>
      <c r="AK166" s="234">
        <v>0</v>
      </c>
      <c r="AL166" s="234"/>
      <c r="AM166" s="218">
        <f>+Y166+Z166+AA166+AB166+AC166+AD166+AE166+AF166+AG166+AH166+AI166+AJ166+AK166</f>
        <v>115386000</v>
      </c>
      <c r="AN166" s="200" t="s">
        <v>1620</v>
      </c>
      <c r="AO166" s="188"/>
    </row>
    <row r="167" spans="1:41" s="26" customFormat="1" ht="186" customHeight="1" x14ac:dyDescent="0.2">
      <c r="A167" s="178">
        <v>316</v>
      </c>
      <c r="B167" s="177" t="s">
        <v>1593</v>
      </c>
      <c r="C167" s="174">
        <v>1</v>
      </c>
      <c r="D167" s="177" t="s">
        <v>1580</v>
      </c>
      <c r="E167" s="174">
        <v>19</v>
      </c>
      <c r="F167" s="177" t="s">
        <v>147</v>
      </c>
      <c r="G167" s="174">
        <v>1905</v>
      </c>
      <c r="H167" s="177" t="s">
        <v>768</v>
      </c>
      <c r="I167" s="174">
        <v>1905</v>
      </c>
      <c r="J167" s="177" t="s">
        <v>1552</v>
      </c>
      <c r="K167" s="177" t="s">
        <v>775</v>
      </c>
      <c r="L167" s="244">
        <v>1905022</v>
      </c>
      <c r="M167" s="243" t="s">
        <v>776</v>
      </c>
      <c r="N167" s="244">
        <v>1905022</v>
      </c>
      <c r="O167" s="243" t="s">
        <v>776</v>
      </c>
      <c r="P167" s="237">
        <v>190502200</v>
      </c>
      <c r="Q167" s="177" t="s">
        <v>777</v>
      </c>
      <c r="R167" s="237">
        <v>190502200</v>
      </c>
      <c r="S167" s="177" t="s">
        <v>777</v>
      </c>
      <c r="T167" s="191" t="s">
        <v>1635</v>
      </c>
      <c r="U167" s="52">
        <v>12</v>
      </c>
      <c r="V167" s="191" t="s">
        <v>772</v>
      </c>
      <c r="W167" s="175" t="s">
        <v>773</v>
      </c>
      <c r="X167" s="177" t="s">
        <v>774</v>
      </c>
      <c r="Y167" s="234">
        <v>0</v>
      </c>
      <c r="Z167" s="234"/>
      <c r="AA167" s="234"/>
      <c r="AB167" s="234"/>
      <c r="AC167" s="234"/>
      <c r="AD167" s="234"/>
      <c r="AE167" s="234"/>
      <c r="AF167" s="234"/>
      <c r="AG167" s="234"/>
      <c r="AH167" s="234"/>
      <c r="AI167" s="239">
        <f>75000000-15386000-5000000</f>
        <v>54614000</v>
      </c>
      <c r="AJ167" s="234"/>
      <c r="AK167" s="234"/>
      <c r="AL167" s="234"/>
      <c r="AM167" s="218">
        <f>+Y167+Z167+AA167+AB167+AC167+AD167+AE167+AF167+AG167+AH167+AI167+AJ167+AK167</f>
        <v>54614000</v>
      </c>
      <c r="AN167" s="200" t="s">
        <v>1620</v>
      </c>
      <c r="AO167" s="188"/>
    </row>
    <row r="168" spans="1:41" s="26" customFormat="1" ht="183" customHeight="1" x14ac:dyDescent="0.2">
      <c r="A168" s="178">
        <v>316</v>
      </c>
      <c r="B168" s="177" t="s">
        <v>1593</v>
      </c>
      <c r="C168" s="174">
        <v>1</v>
      </c>
      <c r="D168" s="177" t="s">
        <v>1580</v>
      </c>
      <c r="E168" s="174">
        <v>33</v>
      </c>
      <c r="F168" s="232" t="s">
        <v>166</v>
      </c>
      <c r="G168" s="174">
        <v>3301</v>
      </c>
      <c r="H168" s="177" t="s">
        <v>167</v>
      </c>
      <c r="I168" s="174">
        <v>3301</v>
      </c>
      <c r="J168" s="177" t="s">
        <v>1564</v>
      </c>
      <c r="K168" s="177" t="s">
        <v>778</v>
      </c>
      <c r="L168" s="249">
        <v>3301051</v>
      </c>
      <c r="M168" s="177" t="s">
        <v>779</v>
      </c>
      <c r="N168" s="249">
        <v>3301051</v>
      </c>
      <c r="O168" s="177" t="s">
        <v>779</v>
      </c>
      <c r="P168" s="249">
        <v>330105110</v>
      </c>
      <c r="Q168" s="177" t="s">
        <v>780</v>
      </c>
      <c r="R168" s="249">
        <v>330105110</v>
      </c>
      <c r="S168" s="177" t="s">
        <v>780</v>
      </c>
      <c r="T168" s="191" t="s">
        <v>1637</v>
      </c>
      <c r="U168" s="52">
        <v>250</v>
      </c>
      <c r="V168" s="191" t="s">
        <v>781</v>
      </c>
      <c r="W168" s="175" t="s">
        <v>782</v>
      </c>
      <c r="X168" s="177" t="s">
        <v>783</v>
      </c>
      <c r="Y168" s="234"/>
      <c r="Z168" s="234"/>
      <c r="AA168" s="234"/>
      <c r="AB168" s="234"/>
      <c r="AC168" s="234"/>
      <c r="AD168" s="234"/>
      <c r="AE168" s="234"/>
      <c r="AF168" s="234"/>
      <c r="AG168" s="234"/>
      <c r="AH168" s="234"/>
      <c r="AI168" s="239">
        <v>14250000</v>
      </c>
      <c r="AJ168" s="234"/>
      <c r="AK168" s="234"/>
      <c r="AL168" s="234"/>
      <c r="AM168" s="218">
        <f>+Y168+Z168+AA168+AB168+AC168+AD168+AE168+AF168+AG168+AH168+AI168+AJ168+AK168</f>
        <v>14250000</v>
      </c>
      <c r="AN168" s="200" t="s">
        <v>1620</v>
      </c>
      <c r="AO168" s="188"/>
    </row>
    <row r="169" spans="1:41" s="26" customFormat="1" ht="127.5" customHeight="1" x14ac:dyDescent="0.2">
      <c r="A169" s="178">
        <v>316</v>
      </c>
      <c r="B169" s="177" t="s">
        <v>1593</v>
      </c>
      <c r="C169" s="174">
        <v>1</v>
      </c>
      <c r="D169" s="177" t="s">
        <v>1580</v>
      </c>
      <c r="E169" s="174">
        <v>41</v>
      </c>
      <c r="F169" s="177" t="s">
        <v>784</v>
      </c>
      <c r="G169" s="174">
        <v>4102</v>
      </c>
      <c r="H169" s="177" t="s">
        <v>785</v>
      </c>
      <c r="I169" s="174">
        <v>4102</v>
      </c>
      <c r="J169" s="177" t="s">
        <v>1529</v>
      </c>
      <c r="K169" s="177" t="s">
        <v>786</v>
      </c>
      <c r="L169" s="174" t="s">
        <v>41</v>
      </c>
      <c r="M169" s="177" t="s">
        <v>787</v>
      </c>
      <c r="N169" s="249">
        <v>4102035</v>
      </c>
      <c r="O169" s="177" t="s">
        <v>84</v>
      </c>
      <c r="P169" s="174" t="s">
        <v>41</v>
      </c>
      <c r="Q169" s="177" t="s">
        <v>788</v>
      </c>
      <c r="R169" s="50">
        <v>410203500</v>
      </c>
      <c r="S169" s="177" t="s">
        <v>86</v>
      </c>
      <c r="T169" s="191" t="s">
        <v>1635</v>
      </c>
      <c r="U169" s="258">
        <v>1</v>
      </c>
      <c r="V169" s="191" t="s">
        <v>789</v>
      </c>
      <c r="W169" s="175" t="s">
        <v>1469</v>
      </c>
      <c r="X169" s="177" t="s">
        <v>790</v>
      </c>
      <c r="Y169" s="234"/>
      <c r="Z169" s="234"/>
      <c r="AA169" s="234"/>
      <c r="AB169" s="234"/>
      <c r="AC169" s="234"/>
      <c r="AD169" s="234"/>
      <c r="AE169" s="234"/>
      <c r="AF169" s="234"/>
      <c r="AG169" s="234"/>
      <c r="AH169" s="234"/>
      <c r="AI169" s="239">
        <f>20000000+30000000</f>
        <v>50000000</v>
      </c>
      <c r="AJ169" s="234"/>
      <c r="AK169" s="234"/>
      <c r="AL169" s="234"/>
      <c r="AM169" s="218">
        <f>+Y169+Z169+AA169+AB169+AC169+AD169+AE169+AF169+AG169+AH169+AI169+AJ169+AK169</f>
        <v>50000000</v>
      </c>
      <c r="AN169" s="200" t="s">
        <v>1620</v>
      </c>
      <c r="AO169" s="188"/>
    </row>
    <row r="170" spans="1:41" s="26" customFormat="1" ht="92.25" customHeight="1" x14ac:dyDescent="0.2">
      <c r="A170" s="178">
        <v>316</v>
      </c>
      <c r="B170" s="177" t="s">
        <v>1593</v>
      </c>
      <c r="C170" s="174">
        <v>1</v>
      </c>
      <c r="D170" s="177" t="s">
        <v>1580</v>
      </c>
      <c r="E170" s="174">
        <v>41</v>
      </c>
      <c r="F170" s="177" t="s">
        <v>784</v>
      </c>
      <c r="G170" s="174">
        <v>4102</v>
      </c>
      <c r="H170" s="177" t="s">
        <v>785</v>
      </c>
      <c r="I170" s="174">
        <v>4102</v>
      </c>
      <c r="J170" s="177" t="s">
        <v>1529</v>
      </c>
      <c r="K170" s="177" t="s">
        <v>791</v>
      </c>
      <c r="L170" s="174" t="s">
        <v>41</v>
      </c>
      <c r="M170" s="177" t="s">
        <v>792</v>
      </c>
      <c r="N170" s="249">
        <v>4102001</v>
      </c>
      <c r="O170" s="177" t="s">
        <v>793</v>
      </c>
      <c r="P170" s="174" t="s">
        <v>41</v>
      </c>
      <c r="Q170" s="256" t="s">
        <v>794</v>
      </c>
      <c r="R170" s="249">
        <v>410200100</v>
      </c>
      <c r="S170" s="256" t="s">
        <v>795</v>
      </c>
      <c r="T170" s="191" t="s">
        <v>1635</v>
      </c>
      <c r="U170" s="258">
        <v>12</v>
      </c>
      <c r="V170" s="191" t="s">
        <v>789</v>
      </c>
      <c r="W170" s="175" t="s">
        <v>1469</v>
      </c>
      <c r="X170" s="177" t="s">
        <v>790</v>
      </c>
      <c r="Y170" s="234"/>
      <c r="Z170" s="234"/>
      <c r="AA170" s="234"/>
      <c r="AB170" s="234"/>
      <c r="AC170" s="234"/>
      <c r="AD170" s="234"/>
      <c r="AE170" s="234"/>
      <c r="AF170" s="234"/>
      <c r="AG170" s="234"/>
      <c r="AH170" s="234"/>
      <c r="AI170" s="239">
        <f>50000000+1930000</f>
        <v>51930000</v>
      </c>
      <c r="AJ170" s="234"/>
      <c r="AK170" s="234"/>
      <c r="AL170" s="234"/>
      <c r="AM170" s="218">
        <f>+Y170+Z170+AA170+AB170+AC170+AD170+AE170+AF170+AG170+AH170+AI170+AJ170+AK170</f>
        <v>51930000</v>
      </c>
      <c r="AN170" s="200" t="s">
        <v>1620</v>
      </c>
      <c r="AO170" s="188"/>
    </row>
    <row r="171" spans="1:41" s="26" customFormat="1" ht="270.75" customHeight="1" x14ac:dyDescent="0.2">
      <c r="A171" s="178">
        <v>316</v>
      </c>
      <c r="B171" s="177" t="s">
        <v>1593</v>
      </c>
      <c r="C171" s="174">
        <v>1</v>
      </c>
      <c r="D171" s="177" t="s">
        <v>1580</v>
      </c>
      <c r="E171" s="174">
        <v>41</v>
      </c>
      <c r="F171" s="177" t="s">
        <v>784</v>
      </c>
      <c r="G171" s="174">
        <v>4102</v>
      </c>
      <c r="H171" s="177" t="s">
        <v>785</v>
      </c>
      <c r="I171" s="174">
        <v>4102</v>
      </c>
      <c r="J171" s="177" t="s">
        <v>1529</v>
      </c>
      <c r="K171" s="177" t="s">
        <v>796</v>
      </c>
      <c r="L171" s="174" t="s">
        <v>41</v>
      </c>
      <c r="M171" s="177" t="s">
        <v>797</v>
      </c>
      <c r="N171" s="217" t="s">
        <v>798</v>
      </c>
      <c r="O171" s="177" t="s">
        <v>799</v>
      </c>
      <c r="P171" s="174" t="s">
        <v>41</v>
      </c>
      <c r="Q171" s="177" t="s">
        <v>800</v>
      </c>
      <c r="R171" s="217" t="s">
        <v>801</v>
      </c>
      <c r="S171" s="256" t="s">
        <v>802</v>
      </c>
      <c r="T171" s="191" t="s">
        <v>1635</v>
      </c>
      <c r="U171" s="258">
        <v>1</v>
      </c>
      <c r="V171" s="191" t="s">
        <v>803</v>
      </c>
      <c r="W171" s="175" t="s">
        <v>804</v>
      </c>
      <c r="X171" s="177" t="s">
        <v>805</v>
      </c>
      <c r="Y171" s="234"/>
      <c r="Z171" s="234"/>
      <c r="AA171" s="234"/>
      <c r="AB171" s="234"/>
      <c r="AC171" s="234"/>
      <c r="AD171" s="234"/>
      <c r="AE171" s="234"/>
      <c r="AF171" s="234"/>
      <c r="AG171" s="234"/>
      <c r="AH171" s="234"/>
      <c r="AI171" s="239">
        <f>135000000-3000000</f>
        <v>132000000</v>
      </c>
      <c r="AJ171" s="234"/>
      <c r="AK171" s="234"/>
      <c r="AL171" s="234"/>
      <c r="AM171" s="218">
        <f>+Y171+Z171+AA171+AB171+AC171+AD171+AE171+AF171+AG171+AH171+AI171+AJ171+AK171</f>
        <v>132000000</v>
      </c>
      <c r="AN171" s="200" t="s">
        <v>1620</v>
      </c>
      <c r="AO171" s="188"/>
    </row>
    <row r="172" spans="1:41" s="26" customFormat="1" ht="237" customHeight="1" x14ac:dyDescent="0.2">
      <c r="A172" s="178">
        <v>316</v>
      </c>
      <c r="B172" s="177" t="s">
        <v>1593</v>
      </c>
      <c r="C172" s="174">
        <v>1</v>
      </c>
      <c r="D172" s="177" t="s">
        <v>1580</v>
      </c>
      <c r="E172" s="174">
        <v>41</v>
      </c>
      <c r="F172" s="177" t="s">
        <v>784</v>
      </c>
      <c r="G172" s="174">
        <v>4102</v>
      </c>
      <c r="H172" s="177" t="s">
        <v>785</v>
      </c>
      <c r="I172" s="174">
        <v>4102</v>
      </c>
      <c r="J172" s="177" t="s">
        <v>1529</v>
      </c>
      <c r="K172" s="177" t="s">
        <v>806</v>
      </c>
      <c r="L172" s="174" t="s">
        <v>41</v>
      </c>
      <c r="M172" s="177" t="s">
        <v>807</v>
      </c>
      <c r="N172" s="217" t="s">
        <v>808</v>
      </c>
      <c r="O172" s="177" t="s">
        <v>84</v>
      </c>
      <c r="P172" s="174" t="s">
        <v>41</v>
      </c>
      <c r="Q172" s="177" t="s">
        <v>809</v>
      </c>
      <c r="R172" s="249" t="s">
        <v>810</v>
      </c>
      <c r="S172" s="177" t="s">
        <v>811</v>
      </c>
      <c r="T172" s="191" t="s">
        <v>1637</v>
      </c>
      <c r="U172" s="258">
        <v>1</v>
      </c>
      <c r="V172" s="191" t="s">
        <v>812</v>
      </c>
      <c r="W172" s="175" t="s">
        <v>813</v>
      </c>
      <c r="X172" s="177" t="s">
        <v>814</v>
      </c>
      <c r="Y172" s="234"/>
      <c r="Z172" s="234"/>
      <c r="AA172" s="234"/>
      <c r="AB172" s="234"/>
      <c r="AC172" s="234"/>
      <c r="AD172" s="234"/>
      <c r="AE172" s="234"/>
      <c r="AF172" s="234"/>
      <c r="AG172" s="234"/>
      <c r="AH172" s="234"/>
      <c r="AI172" s="239">
        <f>36000000-12460000</f>
        <v>23540000</v>
      </c>
      <c r="AJ172" s="234"/>
      <c r="AK172" s="234"/>
      <c r="AL172" s="234"/>
      <c r="AM172" s="218">
        <f>+Y172+Z172+AA172+AB172+AC172+AD172+AE172+AF172+AG172+AH172+AI172+AJ172+AK172</f>
        <v>23540000</v>
      </c>
      <c r="AN172" s="200" t="s">
        <v>1620</v>
      </c>
      <c r="AO172" s="188"/>
    </row>
    <row r="173" spans="1:41" s="26" customFormat="1" ht="234" customHeight="1" x14ac:dyDescent="0.2">
      <c r="A173" s="178">
        <v>316</v>
      </c>
      <c r="B173" s="177" t="s">
        <v>1593</v>
      </c>
      <c r="C173" s="174">
        <v>1</v>
      </c>
      <c r="D173" s="177" t="s">
        <v>1580</v>
      </c>
      <c r="E173" s="174">
        <v>41</v>
      </c>
      <c r="F173" s="177" t="s">
        <v>784</v>
      </c>
      <c r="G173" s="174">
        <v>4102</v>
      </c>
      <c r="H173" s="177" t="s">
        <v>785</v>
      </c>
      <c r="I173" s="174">
        <v>4102</v>
      </c>
      <c r="J173" s="177" t="s">
        <v>1529</v>
      </c>
      <c r="K173" s="177" t="s">
        <v>806</v>
      </c>
      <c r="L173" s="174" t="s">
        <v>41</v>
      </c>
      <c r="M173" s="177" t="s">
        <v>815</v>
      </c>
      <c r="N173" s="217" t="s">
        <v>798</v>
      </c>
      <c r="O173" s="177" t="s">
        <v>816</v>
      </c>
      <c r="P173" s="174" t="s">
        <v>41</v>
      </c>
      <c r="Q173" s="177" t="s">
        <v>817</v>
      </c>
      <c r="R173" s="249">
        <v>410204301</v>
      </c>
      <c r="S173" s="177" t="s">
        <v>818</v>
      </c>
      <c r="T173" s="191" t="s">
        <v>1635</v>
      </c>
      <c r="U173" s="258">
        <v>1</v>
      </c>
      <c r="V173" s="191" t="s">
        <v>812</v>
      </c>
      <c r="W173" s="175" t="s">
        <v>813</v>
      </c>
      <c r="X173" s="177" t="s">
        <v>814</v>
      </c>
      <c r="Y173" s="234"/>
      <c r="Z173" s="234"/>
      <c r="AA173" s="234"/>
      <c r="AB173" s="234"/>
      <c r="AC173" s="234"/>
      <c r="AD173" s="234"/>
      <c r="AE173" s="234"/>
      <c r="AF173" s="234"/>
      <c r="AG173" s="234"/>
      <c r="AH173" s="234"/>
      <c r="AI173" s="239">
        <v>601107889</v>
      </c>
      <c r="AJ173" s="234"/>
      <c r="AK173" s="234"/>
      <c r="AL173" s="234"/>
      <c r="AM173" s="218">
        <f>+Y173+Z173+AA173+AB173+AC173+AD173+AE173+AF173+AG173+AH173+AI173+AJ173+AK173</f>
        <v>601107889</v>
      </c>
      <c r="AN173" s="200" t="s">
        <v>1620</v>
      </c>
      <c r="AO173" s="188"/>
    </row>
    <row r="174" spans="1:41" s="26" customFormat="1" ht="246.75" customHeight="1" x14ac:dyDescent="0.2">
      <c r="A174" s="178">
        <v>316</v>
      </c>
      <c r="B174" s="177" t="s">
        <v>1593</v>
      </c>
      <c r="C174" s="174">
        <v>1</v>
      </c>
      <c r="D174" s="177" t="s">
        <v>1580</v>
      </c>
      <c r="E174" s="174">
        <v>41</v>
      </c>
      <c r="F174" s="177" t="s">
        <v>784</v>
      </c>
      <c r="G174" s="174">
        <v>4102</v>
      </c>
      <c r="H174" s="177" t="s">
        <v>785</v>
      </c>
      <c r="I174" s="174">
        <v>4102</v>
      </c>
      <c r="J174" s="177" t="s">
        <v>1529</v>
      </c>
      <c r="K174" s="177" t="s">
        <v>819</v>
      </c>
      <c r="L174" s="174" t="s">
        <v>41</v>
      </c>
      <c r="M174" s="177" t="s">
        <v>820</v>
      </c>
      <c r="N174" s="249">
        <v>4102038</v>
      </c>
      <c r="O174" s="177" t="s">
        <v>821</v>
      </c>
      <c r="P174" s="174" t="s">
        <v>41</v>
      </c>
      <c r="Q174" s="177" t="s">
        <v>822</v>
      </c>
      <c r="R174" s="249">
        <v>410203800</v>
      </c>
      <c r="S174" s="177" t="s">
        <v>850</v>
      </c>
      <c r="T174" s="191" t="s">
        <v>1635</v>
      </c>
      <c r="U174" s="258">
        <v>1</v>
      </c>
      <c r="V174" s="191" t="s">
        <v>823</v>
      </c>
      <c r="W174" s="175" t="s">
        <v>824</v>
      </c>
      <c r="X174" s="177" t="s">
        <v>825</v>
      </c>
      <c r="Y174" s="234"/>
      <c r="Z174" s="234"/>
      <c r="AA174" s="234"/>
      <c r="AB174" s="234"/>
      <c r="AC174" s="234"/>
      <c r="AD174" s="234"/>
      <c r="AE174" s="234"/>
      <c r="AF174" s="234"/>
      <c r="AG174" s="234"/>
      <c r="AH174" s="234"/>
      <c r="AI174" s="239">
        <f>210000000-10000000</f>
        <v>200000000</v>
      </c>
      <c r="AJ174" s="234"/>
      <c r="AK174" s="234"/>
      <c r="AL174" s="234"/>
      <c r="AM174" s="218">
        <f>+Y174+Z174+AA174+AB174+AC174+AD174+AE174+AF174+AG174+AH174+AI174+AJ174+AK174</f>
        <v>200000000</v>
      </c>
      <c r="AN174" s="200" t="s">
        <v>1620</v>
      </c>
      <c r="AO174" s="188"/>
    </row>
    <row r="175" spans="1:41" s="26" customFormat="1" ht="189.75" customHeight="1" x14ac:dyDescent="0.2">
      <c r="A175" s="178">
        <v>316</v>
      </c>
      <c r="B175" s="177" t="s">
        <v>1593</v>
      </c>
      <c r="C175" s="174">
        <v>1</v>
      </c>
      <c r="D175" s="177" t="s">
        <v>1580</v>
      </c>
      <c r="E175" s="174">
        <v>41</v>
      </c>
      <c r="F175" s="177" t="s">
        <v>784</v>
      </c>
      <c r="G175" s="174">
        <v>4102</v>
      </c>
      <c r="H175" s="177" t="s">
        <v>785</v>
      </c>
      <c r="I175" s="174">
        <v>4102</v>
      </c>
      <c r="J175" s="177" t="s">
        <v>1529</v>
      </c>
      <c r="K175" s="177" t="s">
        <v>826</v>
      </c>
      <c r="L175" s="174" t="s">
        <v>41</v>
      </c>
      <c r="M175" s="177" t="s">
        <v>827</v>
      </c>
      <c r="N175" s="249">
        <v>4102042</v>
      </c>
      <c r="O175" s="177" t="s">
        <v>828</v>
      </c>
      <c r="P175" s="174" t="s">
        <v>41</v>
      </c>
      <c r="Q175" s="177" t="s">
        <v>829</v>
      </c>
      <c r="R175" s="249">
        <v>410204200</v>
      </c>
      <c r="S175" s="175" t="s">
        <v>830</v>
      </c>
      <c r="T175" s="191" t="s">
        <v>1635</v>
      </c>
      <c r="U175" s="258">
        <v>12</v>
      </c>
      <c r="V175" s="191" t="s">
        <v>831</v>
      </c>
      <c r="W175" s="290" t="s">
        <v>832</v>
      </c>
      <c r="X175" s="243" t="s">
        <v>833</v>
      </c>
      <c r="Y175" s="234"/>
      <c r="Z175" s="234"/>
      <c r="AA175" s="234"/>
      <c r="AB175" s="234"/>
      <c r="AC175" s="234"/>
      <c r="AD175" s="234"/>
      <c r="AE175" s="234"/>
      <c r="AF175" s="234"/>
      <c r="AG175" s="234"/>
      <c r="AH175" s="234"/>
      <c r="AI175" s="239">
        <f>18000000+10000000</f>
        <v>28000000</v>
      </c>
      <c r="AJ175" s="234"/>
      <c r="AK175" s="234"/>
      <c r="AL175" s="234"/>
      <c r="AM175" s="218">
        <f>+Y175+Z175+AA175+AB175+AC175+AD175+AE175+AF175+AG175+AH175+AI175+AJ175+AK175</f>
        <v>28000000</v>
      </c>
      <c r="AN175" s="200" t="s">
        <v>1620</v>
      </c>
      <c r="AO175" s="188"/>
    </row>
    <row r="176" spans="1:41" s="26" customFormat="1" ht="136.5" customHeight="1" x14ac:dyDescent="0.2">
      <c r="A176" s="178">
        <v>316</v>
      </c>
      <c r="B176" s="177" t="s">
        <v>1593</v>
      </c>
      <c r="C176" s="174">
        <v>1</v>
      </c>
      <c r="D176" s="177" t="s">
        <v>1580</v>
      </c>
      <c r="E176" s="174">
        <v>41</v>
      </c>
      <c r="F176" s="177" t="s">
        <v>784</v>
      </c>
      <c r="G176" s="174">
        <v>4102</v>
      </c>
      <c r="H176" s="177" t="s">
        <v>785</v>
      </c>
      <c r="I176" s="174">
        <v>4102</v>
      </c>
      <c r="J176" s="177" t="s">
        <v>1529</v>
      </c>
      <c r="K176" s="177" t="s">
        <v>834</v>
      </c>
      <c r="L176" s="174" t="s">
        <v>41</v>
      </c>
      <c r="M176" s="248" t="s">
        <v>835</v>
      </c>
      <c r="N176" s="249">
        <v>4102001</v>
      </c>
      <c r="O176" s="248" t="s">
        <v>836</v>
      </c>
      <c r="P176" s="174" t="s">
        <v>41</v>
      </c>
      <c r="Q176" s="177" t="s">
        <v>837</v>
      </c>
      <c r="R176" s="249">
        <v>410200100</v>
      </c>
      <c r="S176" s="177" t="s">
        <v>838</v>
      </c>
      <c r="T176" s="191" t="s">
        <v>1635</v>
      </c>
      <c r="U176" s="258">
        <v>1</v>
      </c>
      <c r="V176" s="191" t="s">
        <v>839</v>
      </c>
      <c r="W176" s="290" t="s">
        <v>840</v>
      </c>
      <c r="X176" s="243" t="s">
        <v>841</v>
      </c>
      <c r="Y176" s="234"/>
      <c r="Z176" s="234"/>
      <c r="AA176" s="234"/>
      <c r="AB176" s="234"/>
      <c r="AC176" s="234"/>
      <c r="AD176" s="234"/>
      <c r="AE176" s="234"/>
      <c r="AF176" s="234"/>
      <c r="AG176" s="234"/>
      <c r="AH176" s="234"/>
      <c r="AI176" s="239">
        <f>20000000+12985000</f>
        <v>32985000</v>
      </c>
      <c r="AJ176" s="234"/>
      <c r="AK176" s="234"/>
      <c r="AL176" s="234"/>
      <c r="AM176" s="218">
        <f>+Y176+Z176+AA176+AB176+AC176+AD176+AE176+AF176+AG176+AH176+AI176+AJ176+AK176</f>
        <v>32985000</v>
      </c>
      <c r="AN176" s="200" t="s">
        <v>1620</v>
      </c>
      <c r="AO176" s="188"/>
    </row>
    <row r="177" spans="1:41" s="26" customFormat="1" ht="248.25" customHeight="1" x14ac:dyDescent="0.2">
      <c r="A177" s="178">
        <v>316</v>
      </c>
      <c r="B177" s="177" t="s">
        <v>1593</v>
      </c>
      <c r="C177" s="174">
        <v>1</v>
      </c>
      <c r="D177" s="177" t="s">
        <v>1580</v>
      </c>
      <c r="E177" s="174">
        <v>41</v>
      </c>
      <c r="F177" s="177" t="s">
        <v>784</v>
      </c>
      <c r="G177" s="174">
        <v>4102</v>
      </c>
      <c r="H177" s="177" t="s">
        <v>785</v>
      </c>
      <c r="I177" s="174">
        <v>4102</v>
      </c>
      <c r="J177" s="177" t="s">
        <v>1529</v>
      </c>
      <c r="K177" s="177" t="s">
        <v>842</v>
      </c>
      <c r="L177" s="174">
        <v>4102022</v>
      </c>
      <c r="M177" s="243" t="s">
        <v>843</v>
      </c>
      <c r="N177" s="244">
        <v>4102046</v>
      </c>
      <c r="O177" s="243" t="s">
        <v>844</v>
      </c>
      <c r="P177" s="244" t="s">
        <v>845</v>
      </c>
      <c r="Q177" s="177" t="s">
        <v>846</v>
      </c>
      <c r="R177" s="244">
        <v>410204600</v>
      </c>
      <c r="S177" s="177" t="s">
        <v>847</v>
      </c>
      <c r="T177" s="191" t="s">
        <v>1637</v>
      </c>
      <c r="U177" s="258">
        <v>16</v>
      </c>
      <c r="V177" s="191" t="s">
        <v>839</v>
      </c>
      <c r="W177" s="290" t="s">
        <v>840</v>
      </c>
      <c r="X177" s="243" t="s">
        <v>841</v>
      </c>
      <c r="Y177" s="234"/>
      <c r="Z177" s="234"/>
      <c r="AA177" s="234"/>
      <c r="AB177" s="234"/>
      <c r="AC177" s="234"/>
      <c r="AD177" s="234"/>
      <c r="AE177" s="234"/>
      <c r="AF177" s="234"/>
      <c r="AG177" s="234"/>
      <c r="AH177" s="234"/>
      <c r="AI177" s="239">
        <v>18000000</v>
      </c>
      <c r="AJ177" s="234"/>
      <c r="AK177" s="234"/>
      <c r="AL177" s="234"/>
      <c r="AM177" s="218">
        <f>+Y177+Z177+AA177+AB177+AC177+AD177+AE177+AF177+AG177+AH177+AI177+AJ177+AK177</f>
        <v>18000000</v>
      </c>
      <c r="AN177" s="200" t="s">
        <v>1620</v>
      </c>
      <c r="AO177" s="188"/>
    </row>
    <row r="178" spans="1:41" s="26" customFormat="1" ht="174" customHeight="1" x14ac:dyDescent="0.2">
      <c r="A178" s="178">
        <v>316</v>
      </c>
      <c r="B178" s="177" t="s">
        <v>1593</v>
      </c>
      <c r="C178" s="174">
        <v>1</v>
      </c>
      <c r="D178" s="177" t="s">
        <v>1580</v>
      </c>
      <c r="E178" s="174">
        <v>41</v>
      </c>
      <c r="F178" s="177" t="s">
        <v>784</v>
      </c>
      <c r="G178" s="174">
        <v>4102</v>
      </c>
      <c r="H178" s="177" t="s">
        <v>785</v>
      </c>
      <c r="I178" s="174">
        <v>4102</v>
      </c>
      <c r="J178" s="177" t="s">
        <v>1529</v>
      </c>
      <c r="K178" s="177" t="s">
        <v>848</v>
      </c>
      <c r="L178" s="174">
        <v>4102038</v>
      </c>
      <c r="M178" s="177" t="s">
        <v>849</v>
      </c>
      <c r="N178" s="174">
        <v>4102038</v>
      </c>
      <c r="O178" s="177" t="s">
        <v>849</v>
      </c>
      <c r="P178" s="237">
        <v>410203800</v>
      </c>
      <c r="Q178" s="256" t="s">
        <v>850</v>
      </c>
      <c r="R178" s="237">
        <v>410203800</v>
      </c>
      <c r="S178" s="256" t="s">
        <v>850</v>
      </c>
      <c r="T178" s="191" t="s">
        <v>1637</v>
      </c>
      <c r="U178" s="258">
        <v>10</v>
      </c>
      <c r="V178" s="191" t="s">
        <v>851</v>
      </c>
      <c r="W178" s="290" t="s">
        <v>852</v>
      </c>
      <c r="X178" s="243" t="s">
        <v>853</v>
      </c>
      <c r="Y178" s="234"/>
      <c r="Z178" s="234"/>
      <c r="AA178" s="234"/>
      <c r="AB178" s="234"/>
      <c r="AC178" s="234"/>
      <c r="AD178" s="234"/>
      <c r="AE178" s="234"/>
      <c r="AF178" s="234"/>
      <c r="AG178" s="234"/>
      <c r="AH178" s="234"/>
      <c r="AI178" s="239">
        <v>37000000</v>
      </c>
      <c r="AJ178" s="234"/>
      <c r="AK178" s="234"/>
      <c r="AL178" s="234"/>
      <c r="AM178" s="218">
        <f>+Y178+Z178+AA178+AB178+AC178+AD178+AE178+AF178+AG178+AH178+AI178+AJ178+AK178</f>
        <v>37000000</v>
      </c>
      <c r="AN178" s="200" t="s">
        <v>1620</v>
      </c>
      <c r="AO178" s="188"/>
    </row>
    <row r="179" spans="1:41" s="26" customFormat="1" ht="141" customHeight="1" x14ac:dyDescent="0.2">
      <c r="A179" s="178">
        <v>316</v>
      </c>
      <c r="B179" s="177" t="s">
        <v>1593</v>
      </c>
      <c r="C179" s="174">
        <v>1</v>
      </c>
      <c r="D179" s="177" t="s">
        <v>1580</v>
      </c>
      <c r="E179" s="174">
        <v>41</v>
      </c>
      <c r="F179" s="177" t="s">
        <v>784</v>
      </c>
      <c r="G179" s="174">
        <v>4103</v>
      </c>
      <c r="H179" s="177" t="s">
        <v>302</v>
      </c>
      <c r="I179" s="174">
        <v>4103</v>
      </c>
      <c r="J179" s="177" t="s">
        <v>1572</v>
      </c>
      <c r="K179" s="177" t="s">
        <v>854</v>
      </c>
      <c r="L179" s="249">
        <v>4103059</v>
      </c>
      <c r="M179" s="177" t="s">
        <v>855</v>
      </c>
      <c r="N179" s="249">
        <v>4103059</v>
      </c>
      <c r="O179" s="177" t="s">
        <v>855</v>
      </c>
      <c r="P179" s="50">
        <v>410305900</v>
      </c>
      <c r="Q179" s="256" t="s">
        <v>856</v>
      </c>
      <c r="R179" s="50">
        <v>410305900</v>
      </c>
      <c r="S179" s="256" t="s">
        <v>856</v>
      </c>
      <c r="T179" s="191" t="s">
        <v>1637</v>
      </c>
      <c r="U179" s="52">
        <v>10</v>
      </c>
      <c r="V179" s="191" t="s">
        <v>857</v>
      </c>
      <c r="W179" s="177" t="s">
        <v>858</v>
      </c>
      <c r="X179" s="177" t="s">
        <v>859</v>
      </c>
      <c r="Y179" s="234"/>
      <c r="Z179" s="234"/>
      <c r="AA179" s="234"/>
      <c r="AB179" s="234"/>
      <c r="AC179" s="234"/>
      <c r="AD179" s="234"/>
      <c r="AE179" s="234"/>
      <c r="AF179" s="234"/>
      <c r="AG179" s="234"/>
      <c r="AH179" s="234"/>
      <c r="AI179" s="239">
        <v>15000000</v>
      </c>
      <c r="AJ179" s="234"/>
      <c r="AK179" s="234"/>
      <c r="AL179" s="234"/>
      <c r="AM179" s="218">
        <f>+Y179+Z179+AA179+AB179+AC179+AD179+AE179+AF179+AG179+AH179+AI179+AJ179+AK179</f>
        <v>15000000</v>
      </c>
      <c r="AN179" s="200" t="s">
        <v>1620</v>
      </c>
      <c r="AO179" s="188"/>
    </row>
    <row r="180" spans="1:41" s="26" customFormat="1" ht="150.75" customHeight="1" x14ac:dyDescent="0.2">
      <c r="A180" s="178">
        <v>316</v>
      </c>
      <c r="B180" s="177" t="s">
        <v>1593</v>
      </c>
      <c r="C180" s="174">
        <v>1</v>
      </c>
      <c r="D180" s="177" t="s">
        <v>1580</v>
      </c>
      <c r="E180" s="174">
        <v>41</v>
      </c>
      <c r="F180" s="177" t="s">
        <v>784</v>
      </c>
      <c r="G180" s="174">
        <v>4103</v>
      </c>
      <c r="H180" s="177" t="s">
        <v>302</v>
      </c>
      <c r="I180" s="174">
        <v>4103</v>
      </c>
      <c r="J180" s="177" t="s">
        <v>1572</v>
      </c>
      <c r="K180" s="177" t="s">
        <v>860</v>
      </c>
      <c r="L180" s="174">
        <v>4103052</v>
      </c>
      <c r="M180" s="177" t="s">
        <v>305</v>
      </c>
      <c r="N180" s="174">
        <v>4103052</v>
      </c>
      <c r="O180" s="177" t="s">
        <v>305</v>
      </c>
      <c r="P180" s="237">
        <v>410305202</v>
      </c>
      <c r="Q180" s="256" t="s">
        <v>861</v>
      </c>
      <c r="R180" s="237">
        <v>410305202</v>
      </c>
      <c r="S180" s="256" t="s">
        <v>861</v>
      </c>
      <c r="T180" s="191" t="s">
        <v>1635</v>
      </c>
      <c r="U180" s="52">
        <v>1</v>
      </c>
      <c r="V180" s="191" t="s">
        <v>862</v>
      </c>
      <c r="W180" s="177" t="s">
        <v>863</v>
      </c>
      <c r="X180" s="177" t="s">
        <v>864</v>
      </c>
      <c r="Y180" s="234"/>
      <c r="Z180" s="234"/>
      <c r="AA180" s="234"/>
      <c r="AB180" s="234"/>
      <c r="AC180" s="234"/>
      <c r="AD180" s="234"/>
      <c r="AE180" s="234"/>
      <c r="AF180" s="234"/>
      <c r="AG180" s="234"/>
      <c r="AH180" s="234"/>
      <c r="AI180" s="239">
        <v>20000000</v>
      </c>
      <c r="AJ180" s="234"/>
      <c r="AK180" s="234"/>
      <c r="AL180" s="234"/>
      <c r="AM180" s="218">
        <f>+Y180+Z180+AA180+AB180+AC180+AD180+AE180+AF180+AG180+AH180+AI180+AJ180+AK180</f>
        <v>20000000</v>
      </c>
      <c r="AN180" s="200" t="s">
        <v>1620</v>
      </c>
      <c r="AO180" s="188"/>
    </row>
    <row r="181" spans="1:41" s="26" customFormat="1" ht="271.5" customHeight="1" x14ac:dyDescent="0.2">
      <c r="A181" s="178">
        <v>316</v>
      </c>
      <c r="B181" s="177" t="s">
        <v>1593</v>
      </c>
      <c r="C181" s="174">
        <v>1</v>
      </c>
      <c r="D181" s="177" t="s">
        <v>1580</v>
      </c>
      <c r="E181" s="174">
        <v>41</v>
      </c>
      <c r="F181" s="177" t="s">
        <v>784</v>
      </c>
      <c r="G181" s="174">
        <v>4103</v>
      </c>
      <c r="H181" s="177" t="s">
        <v>302</v>
      </c>
      <c r="I181" s="174">
        <v>4103</v>
      </c>
      <c r="J181" s="177" t="s">
        <v>1572</v>
      </c>
      <c r="K181" s="177" t="s">
        <v>842</v>
      </c>
      <c r="L181" s="174">
        <v>4103050</v>
      </c>
      <c r="M181" s="177" t="s">
        <v>865</v>
      </c>
      <c r="N181" s="174">
        <v>4103050</v>
      </c>
      <c r="O181" s="177" t="s">
        <v>865</v>
      </c>
      <c r="P181" s="237">
        <v>410305001</v>
      </c>
      <c r="Q181" s="256" t="s">
        <v>866</v>
      </c>
      <c r="R181" s="237">
        <v>410305001</v>
      </c>
      <c r="S181" s="256" t="s">
        <v>866</v>
      </c>
      <c r="T181" s="191" t="s">
        <v>1635</v>
      </c>
      <c r="U181" s="52">
        <v>12</v>
      </c>
      <c r="V181" s="191" t="s">
        <v>867</v>
      </c>
      <c r="W181" s="177" t="s">
        <v>868</v>
      </c>
      <c r="X181" s="177" t="s">
        <v>869</v>
      </c>
      <c r="Y181" s="234"/>
      <c r="Z181" s="234"/>
      <c r="AA181" s="234"/>
      <c r="AB181" s="234"/>
      <c r="AC181" s="234"/>
      <c r="AD181" s="234"/>
      <c r="AE181" s="234"/>
      <c r="AF181" s="234"/>
      <c r="AG181" s="234"/>
      <c r="AH181" s="234"/>
      <c r="AI181" s="239">
        <v>25000000</v>
      </c>
      <c r="AJ181" s="234"/>
      <c r="AK181" s="234"/>
      <c r="AL181" s="234"/>
      <c r="AM181" s="218">
        <f>+Y181+Z181+AA181+AB181+AC181+AD181+AE181+AF181+AG181+AH181+AI181+AJ181+AK181</f>
        <v>25000000</v>
      </c>
      <c r="AN181" s="200" t="s">
        <v>1620</v>
      </c>
      <c r="AO181" s="188"/>
    </row>
    <row r="182" spans="1:41" s="26" customFormat="1" ht="149.25" customHeight="1" x14ac:dyDescent="0.2">
      <c r="A182" s="178">
        <v>316</v>
      </c>
      <c r="B182" s="177" t="s">
        <v>1593</v>
      </c>
      <c r="C182" s="174">
        <v>1</v>
      </c>
      <c r="D182" s="177" t="s">
        <v>1580</v>
      </c>
      <c r="E182" s="174">
        <v>41</v>
      </c>
      <c r="F182" s="177" t="s">
        <v>784</v>
      </c>
      <c r="G182" s="174">
        <v>4103</v>
      </c>
      <c r="H182" s="177" t="s">
        <v>302</v>
      </c>
      <c r="I182" s="174">
        <v>4103</v>
      </c>
      <c r="J182" s="177" t="s">
        <v>1572</v>
      </c>
      <c r="K182" s="177" t="s">
        <v>870</v>
      </c>
      <c r="L182" s="249">
        <v>4103058</v>
      </c>
      <c r="M182" s="177" t="s">
        <v>871</v>
      </c>
      <c r="N182" s="249">
        <v>4103058</v>
      </c>
      <c r="O182" s="177" t="s">
        <v>871</v>
      </c>
      <c r="P182" s="50">
        <v>410305800</v>
      </c>
      <c r="Q182" s="256" t="s">
        <v>872</v>
      </c>
      <c r="R182" s="50">
        <v>410305800</v>
      </c>
      <c r="S182" s="256" t="s">
        <v>872</v>
      </c>
      <c r="T182" s="191" t="s">
        <v>1637</v>
      </c>
      <c r="U182" s="52">
        <v>2</v>
      </c>
      <c r="V182" s="191" t="s">
        <v>873</v>
      </c>
      <c r="W182" s="177" t="s">
        <v>874</v>
      </c>
      <c r="X182" s="177" t="s">
        <v>875</v>
      </c>
      <c r="Y182" s="234"/>
      <c r="Z182" s="234"/>
      <c r="AA182" s="234"/>
      <c r="AB182" s="234"/>
      <c r="AC182" s="234"/>
      <c r="AD182" s="234"/>
      <c r="AE182" s="234"/>
      <c r="AF182" s="234"/>
      <c r="AG182" s="234"/>
      <c r="AH182" s="234"/>
      <c r="AI182" s="239">
        <f>28000000+47112368</f>
        <v>75112368</v>
      </c>
      <c r="AJ182" s="234"/>
      <c r="AK182" s="234"/>
      <c r="AL182" s="234"/>
      <c r="AM182" s="218">
        <f>+Y182+Z182+AA182+AB182+AC182+AD182+AE182+AF182+AG182+AH182+AI182+AJ182+AK182</f>
        <v>75112368</v>
      </c>
      <c r="AN182" s="200" t="s">
        <v>1620</v>
      </c>
      <c r="AO182" s="188"/>
    </row>
    <row r="183" spans="1:41" s="26" customFormat="1" ht="96" customHeight="1" x14ac:dyDescent="0.2">
      <c r="A183" s="178">
        <v>316</v>
      </c>
      <c r="B183" s="177" t="s">
        <v>1593</v>
      </c>
      <c r="C183" s="174">
        <v>1</v>
      </c>
      <c r="D183" s="177" t="s">
        <v>1580</v>
      </c>
      <c r="E183" s="174">
        <v>41</v>
      </c>
      <c r="F183" s="177" t="s">
        <v>784</v>
      </c>
      <c r="G183" s="174">
        <v>4103</v>
      </c>
      <c r="H183" s="177" t="s">
        <v>302</v>
      </c>
      <c r="I183" s="174">
        <v>4103</v>
      </c>
      <c r="J183" s="177" t="s">
        <v>1572</v>
      </c>
      <c r="K183" s="248" t="s">
        <v>876</v>
      </c>
      <c r="L183" s="174" t="s">
        <v>41</v>
      </c>
      <c r="M183" s="177" t="s">
        <v>877</v>
      </c>
      <c r="N183" s="249">
        <v>4103060</v>
      </c>
      <c r="O183" s="177" t="s">
        <v>878</v>
      </c>
      <c r="P183" s="174" t="s">
        <v>41</v>
      </c>
      <c r="Q183" s="256" t="s">
        <v>879</v>
      </c>
      <c r="R183" s="249">
        <v>410306000</v>
      </c>
      <c r="S183" s="256" t="s">
        <v>880</v>
      </c>
      <c r="T183" s="191" t="s">
        <v>1637</v>
      </c>
      <c r="U183" s="52">
        <v>5</v>
      </c>
      <c r="V183" s="191" t="s">
        <v>881</v>
      </c>
      <c r="W183" s="177" t="s">
        <v>882</v>
      </c>
      <c r="X183" s="177" t="s">
        <v>883</v>
      </c>
      <c r="Y183" s="234"/>
      <c r="Z183" s="234"/>
      <c r="AA183" s="234"/>
      <c r="AB183" s="234"/>
      <c r="AC183" s="234"/>
      <c r="AD183" s="234"/>
      <c r="AE183" s="234"/>
      <c r="AF183" s="234"/>
      <c r="AG183" s="234"/>
      <c r="AH183" s="234"/>
      <c r="AI183" s="239">
        <v>27000000</v>
      </c>
      <c r="AJ183" s="234"/>
      <c r="AK183" s="234"/>
      <c r="AL183" s="234"/>
      <c r="AM183" s="218">
        <f>+Y183+Z183+AA183+AB183+AC183+AD183+AE183+AF183+AG183+AH183+AI183+AJ183+AK183</f>
        <v>27000000</v>
      </c>
      <c r="AN183" s="200" t="s">
        <v>1620</v>
      </c>
      <c r="AO183" s="188"/>
    </row>
    <row r="184" spans="1:41" s="26" customFormat="1" ht="98.25" customHeight="1" x14ac:dyDescent="0.2">
      <c r="A184" s="178">
        <v>316</v>
      </c>
      <c r="B184" s="177" t="s">
        <v>1593</v>
      </c>
      <c r="C184" s="174">
        <v>1</v>
      </c>
      <c r="D184" s="177" t="s">
        <v>1580</v>
      </c>
      <c r="E184" s="174">
        <v>41</v>
      </c>
      <c r="F184" s="177" t="s">
        <v>784</v>
      </c>
      <c r="G184" s="174">
        <v>4103</v>
      </c>
      <c r="H184" s="177" t="s">
        <v>302</v>
      </c>
      <c r="I184" s="174">
        <v>4103</v>
      </c>
      <c r="J184" s="177" t="s">
        <v>1572</v>
      </c>
      <c r="K184" s="248" t="s">
        <v>884</v>
      </c>
      <c r="L184" s="174" t="s">
        <v>41</v>
      </c>
      <c r="M184" s="177" t="s">
        <v>885</v>
      </c>
      <c r="N184" s="249">
        <v>4103060</v>
      </c>
      <c r="O184" s="177" t="s">
        <v>878</v>
      </c>
      <c r="P184" s="174" t="s">
        <v>41</v>
      </c>
      <c r="Q184" s="177" t="s">
        <v>886</v>
      </c>
      <c r="R184" s="249">
        <v>410306000</v>
      </c>
      <c r="S184" s="177" t="s">
        <v>880</v>
      </c>
      <c r="T184" s="191" t="s">
        <v>1635</v>
      </c>
      <c r="U184" s="52">
        <v>2</v>
      </c>
      <c r="V184" s="191" t="s">
        <v>881</v>
      </c>
      <c r="W184" s="177" t="s">
        <v>882</v>
      </c>
      <c r="X184" s="177" t="s">
        <v>883</v>
      </c>
      <c r="Y184" s="234"/>
      <c r="Z184" s="234"/>
      <c r="AA184" s="234"/>
      <c r="AB184" s="234"/>
      <c r="AC184" s="234"/>
      <c r="AD184" s="234"/>
      <c r="AE184" s="234"/>
      <c r="AF184" s="234"/>
      <c r="AG184" s="234"/>
      <c r="AH184" s="234"/>
      <c r="AI184" s="239">
        <v>20000000</v>
      </c>
      <c r="AJ184" s="234"/>
      <c r="AK184" s="234"/>
      <c r="AL184" s="234"/>
      <c r="AM184" s="218">
        <f>+Y184+Z184+AA184+AB184+AC184+AD184+AE184+AF184+AG184+AH184+AI184+AJ184+AK184</f>
        <v>20000000</v>
      </c>
      <c r="AN184" s="200" t="s">
        <v>1620</v>
      </c>
      <c r="AO184" s="188"/>
    </row>
    <row r="185" spans="1:41" s="26" customFormat="1" ht="152.25" customHeight="1" x14ac:dyDescent="0.2">
      <c r="A185" s="178">
        <v>316</v>
      </c>
      <c r="B185" s="177" t="s">
        <v>1593</v>
      </c>
      <c r="C185" s="174">
        <v>1</v>
      </c>
      <c r="D185" s="177" t="s">
        <v>1580</v>
      </c>
      <c r="E185" s="174">
        <v>41</v>
      </c>
      <c r="F185" s="177" t="s">
        <v>784</v>
      </c>
      <c r="G185" s="174">
        <v>4103</v>
      </c>
      <c r="H185" s="177" t="s">
        <v>302</v>
      </c>
      <c r="I185" s="174">
        <v>4103</v>
      </c>
      <c r="J185" s="177" t="s">
        <v>1572</v>
      </c>
      <c r="K185" s="177" t="s">
        <v>887</v>
      </c>
      <c r="L185" s="174" t="s">
        <v>41</v>
      </c>
      <c r="M185" s="177" t="s">
        <v>888</v>
      </c>
      <c r="N185" s="249">
        <v>4103052</v>
      </c>
      <c r="O185" s="177" t="s">
        <v>305</v>
      </c>
      <c r="P185" s="174" t="s">
        <v>41</v>
      </c>
      <c r="Q185" s="256" t="s">
        <v>889</v>
      </c>
      <c r="R185" s="249">
        <v>410305202</v>
      </c>
      <c r="S185" s="256" t="s">
        <v>861</v>
      </c>
      <c r="T185" s="191" t="s">
        <v>1635</v>
      </c>
      <c r="U185" s="52">
        <v>1</v>
      </c>
      <c r="V185" s="191" t="s">
        <v>890</v>
      </c>
      <c r="W185" s="177" t="s">
        <v>891</v>
      </c>
      <c r="X185" s="177" t="s">
        <v>892</v>
      </c>
      <c r="Y185" s="234"/>
      <c r="Z185" s="234"/>
      <c r="AA185" s="234"/>
      <c r="AB185" s="234"/>
      <c r="AC185" s="234"/>
      <c r="AD185" s="234"/>
      <c r="AE185" s="234"/>
      <c r="AF185" s="234"/>
      <c r="AG185" s="234"/>
      <c r="AH185" s="234"/>
      <c r="AI185" s="239">
        <f>40000000+11681346</f>
        <v>51681346</v>
      </c>
      <c r="AJ185" s="234"/>
      <c r="AK185" s="234"/>
      <c r="AL185" s="234"/>
      <c r="AM185" s="218">
        <f>+Y185+Z185+AA185+AB185+AC185+AD185+AE185+AF185+AG185+AH185+AI185+AJ185+AK185</f>
        <v>51681346</v>
      </c>
      <c r="AN185" s="200" t="s">
        <v>1620</v>
      </c>
      <c r="AO185" s="188"/>
    </row>
    <row r="186" spans="1:41" s="26" customFormat="1" ht="152.25" customHeight="1" x14ac:dyDescent="0.2">
      <c r="A186" s="178">
        <v>316</v>
      </c>
      <c r="B186" s="177" t="s">
        <v>1593</v>
      </c>
      <c r="C186" s="174">
        <v>1</v>
      </c>
      <c r="D186" s="177" t="s">
        <v>1580</v>
      </c>
      <c r="E186" s="174">
        <v>41</v>
      </c>
      <c r="F186" s="177" t="s">
        <v>784</v>
      </c>
      <c r="G186" s="174">
        <v>4104</v>
      </c>
      <c r="H186" s="177" t="s">
        <v>893</v>
      </c>
      <c r="I186" s="174">
        <v>4104</v>
      </c>
      <c r="J186" s="177" t="s">
        <v>1573</v>
      </c>
      <c r="K186" s="177" t="s">
        <v>894</v>
      </c>
      <c r="L186" s="174">
        <v>4104035</v>
      </c>
      <c r="M186" s="177" t="s">
        <v>895</v>
      </c>
      <c r="N186" s="249">
        <v>4104020</v>
      </c>
      <c r="O186" s="177" t="s">
        <v>896</v>
      </c>
      <c r="P186" s="50">
        <v>410403500</v>
      </c>
      <c r="Q186" s="177" t="s">
        <v>897</v>
      </c>
      <c r="R186" s="249">
        <v>410402000</v>
      </c>
      <c r="S186" s="177" t="s">
        <v>898</v>
      </c>
      <c r="T186" s="191" t="s">
        <v>1637</v>
      </c>
      <c r="U186" s="52">
        <f>50+20</f>
        <v>70</v>
      </c>
      <c r="V186" s="191" t="s">
        <v>899</v>
      </c>
      <c r="W186" s="177" t="s">
        <v>900</v>
      </c>
      <c r="X186" s="177" t="s">
        <v>901</v>
      </c>
      <c r="Y186" s="234"/>
      <c r="Z186" s="234"/>
      <c r="AA186" s="234"/>
      <c r="AB186" s="234"/>
      <c r="AC186" s="234"/>
      <c r="AD186" s="234"/>
      <c r="AE186" s="234"/>
      <c r="AF186" s="234"/>
      <c r="AG186" s="234"/>
      <c r="AH186" s="234"/>
      <c r="AI186" s="239">
        <f>25000000+54000000-11540000</f>
        <v>67460000</v>
      </c>
      <c r="AJ186" s="234"/>
      <c r="AK186" s="234"/>
      <c r="AL186" s="234"/>
      <c r="AM186" s="218">
        <f>+Y186+Z186+AA186+AB186+AC186+AD186+AE186+AF186+AG186+AH186+AI186+AJ186+AK186</f>
        <v>67460000</v>
      </c>
      <c r="AN186" s="200" t="s">
        <v>1620</v>
      </c>
      <c r="AO186" s="188"/>
    </row>
    <row r="187" spans="1:41" s="26" customFormat="1" ht="134.25" customHeight="1" x14ac:dyDescent="0.2">
      <c r="A187" s="178">
        <v>316</v>
      </c>
      <c r="B187" s="177" t="s">
        <v>1593</v>
      </c>
      <c r="C187" s="174">
        <v>1</v>
      </c>
      <c r="D187" s="177" t="s">
        <v>1580</v>
      </c>
      <c r="E187" s="174">
        <v>41</v>
      </c>
      <c r="F187" s="177" t="s">
        <v>784</v>
      </c>
      <c r="G187" s="174">
        <v>4104</v>
      </c>
      <c r="H187" s="177" t="s">
        <v>893</v>
      </c>
      <c r="I187" s="174">
        <v>4104</v>
      </c>
      <c r="J187" s="177" t="s">
        <v>1573</v>
      </c>
      <c r="K187" s="177" t="s">
        <v>902</v>
      </c>
      <c r="L187" s="174">
        <v>4104035</v>
      </c>
      <c r="M187" s="177" t="s">
        <v>895</v>
      </c>
      <c r="N187" s="249">
        <v>4104020</v>
      </c>
      <c r="O187" s="177" t="s">
        <v>896</v>
      </c>
      <c r="P187" s="174" t="s">
        <v>41</v>
      </c>
      <c r="Q187" s="177" t="s">
        <v>903</v>
      </c>
      <c r="R187" s="249">
        <v>410402000</v>
      </c>
      <c r="S187" s="177" t="s">
        <v>898</v>
      </c>
      <c r="T187" s="191" t="s">
        <v>1635</v>
      </c>
      <c r="U187" s="52">
        <v>12</v>
      </c>
      <c r="V187" s="191" t="s">
        <v>899</v>
      </c>
      <c r="W187" s="177" t="s">
        <v>900</v>
      </c>
      <c r="X187" s="177" t="s">
        <v>901</v>
      </c>
      <c r="Y187" s="234"/>
      <c r="Z187" s="234"/>
      <c r="AA187" s="234"/>
      <c r="AB187" s="234"/>
      <c r="AC187" s="234"/>
      <c r="AD187" s="234"/>
      <c r="AE187" s="234"/>
      <c r="AF187" s="234"/>
      <c r="AG187" s="234"/>
      <c r="AH187" s="234"/>
      <c r="AI187" s="239">
        <f>19000000+4080000+11540000</f>
        <v>34620000</v>
      </c>
      <c r="AJ187" s="234"/>
      <c r="AK187" s="234"/>
      <c r="AL187" s="234"/>
      <c r="AM187" s="218">
        <f>+Y187+Z187+AA187+AB187+AC187+AD187+AE187+AF187+AG187+AH187+AI187+AJ187+AK187</f>
        <v>34620000</v>
      </c>
      <c r="AN187" s="200" t="s">
        <v>1620</v>
      </c>
      <c r="AO187" s="188"/>
    </row>
    <row r="188" spans="1:41" s="26" customFormat="1" ht="108.75" customHeight="1" x14ac:dyDescent="0.2">
      <c r="A188" s="178">
        <v>316</v>
      </c>
      <c r="B188" s="177" t="s">
        <v>1593</v>
      </c>
      <c r="C188" s="174">
        <v>1</v>
      </c>
      <c r="D188" s="177" t="s">
        <v>1580</v>
      </c>
      <c r="E188" s="174">
        <v>41</v>
      </c>
      <c r="F188" s="177" t="s">
        <v>784</v>
      </c>
      <c r="G188" s="174">
        <v>4104</v>
      </c>
      <c r="H188" s="177" t="s">
        <v>893</v>
      </c>
      <c r="I188" s="174">
        <v>4104</v>
      </c>
      <c r="J188" s="177" t="s">
        <v>1573</v>
      </c>
      <c r="K188" s="177" t="s">
        <v>904</v>
      </c>
      <c r="L188" s="50">
        <v>4104026</v>
      </c>
      <c r="M188" s="177" t="s">
        <v>905</v>
      </c>
      <c r="N188" s="249">
        <v>4104027</v>
      </c>
      <c r="O188" s="177" t="s">
        <v>906</v>
      </c>
      <c r="P188" s="174" t="s">
        <v>41</v>
      </c>
      <c r="Q188" s="177" t="s">
        <v>907</v>
      </c>
      <c r="R188" s="249">
        <v>410402700</v>
      </c>
      <c r="S188" s="177" t="s">
        <v>908</v>
      </c>
      <c r="T188" s="191" t="s">
        <v>1635</v>
      </c>
      <c r="U188" s="52">
        <v>12</v>
      </c>
      <c r="V188" s="191" t="s">
        <v>909</v>
      </c>
      <c r="W188" s="177" t="s">
        <v>910</v>
      </c>
      <c r="X188" s="177" t="s">
        <v>911</v>
      </c>
      <c r="Y188" s="234"/>
      <c r="Z188" s="234"/>
      <c r="AA188" s="234"/>
      <c r="AB188" s="234"/>
      <c r="AC188" s="234"/>
      <c r="AD188" s="234"/>
      <c r="AE188" s="234"/>
      <c r="AF188" s="234"/>
      <c r="AG188" s="234"/>
      <c r="AH188" s="234"/>
      <c r="AI188" s="239">
        <v>35000000</v>
      </c>
      <c r="AJ188" s="234"/>
      <c r="AK188" s="234"/>
      <c r="AL188" s="234"/>
      <c r="AM188" s="218">
        <f>+Y188+Z188+AA188+AB188+AC188+AD188+AE188+AF188+AG188+AH188+AI188+AJ188+AK188</f>
        <v>35000000</v>
      </c>
      <c r="AN188" s="200" t="s">
        <v>1620</v>
      </c>
      <c r="AO188" s="188"/>
    </row>
    <row r="189" spans="1:41" s="26" customFormat="1" ht="131.25" customHeight="1" x14ac:dyDescent="0.2">
      <c r="A189" s="178">
        <v>316</v>
      </c>
      <c r="B189" s="177" t="s">
        <v>1593</v>
      </c>
      <c r="C189" s="174">
        <v>1</v>
      </c>
      <c r="D189" s="177" t="s">
        <v>1580</v>
      </c>
      <c r="E189" s="174">
        <v>41</v>
      </c>
      <c r="F189" s="177" t="s">
        <v>784</v>
      </c>
      <c r="G189" s="174">
        <v>4104</v>
      </c>
      <c r="H189" s="177" t="s">
        <v>893</v>
      </c>
      <c r="I189" s="174">
        <v>4104</v>
      </c>
      <c r="J189" s="177" t="s">
        <v>1573</v>
      </c>
      <c r="K189" s="177" t="s">
        <v>912</v>
      </c>
      <c r="L189" s="249">
        <v>4104015</v>
      </c>
      <c r="M189" s="243" t="s">
        <v>913</v>
      </c>
      <c r="N189" s="249">
        <v>4104015</v>
      </c>
      <c r="O189" s="243" t="s">
        <v>914</v>
      </c>
      <c r="P189" s="50">
        <v>410401500</v>
      </c>
      <c r="Q189" s="256" t="s">
        <v>915</v>
      </c>
      <c r="R189" s="50">
        <v>410401500</v>
      </c>
      <c r="S189" s="256" t="s">
        <v>916</v>
      </c>
      <c r="T189" s="191" t="s">
        <v>1635</v>
      </c>
      <c r="U189" s="237">
        <v>7500</v>
      </c>
      <c r="V189" s="191" t="s">
        <v>917</v>
      </c>
      <c r="W189" s="177" t="s">
        <v>918</v>
      </c>
      <c r="X189" s="177" t="s">
        <v>919</v>
      </c>
      <c r="Y189" s="234"/>
      <c r="Z189" s="234"/>
      <c r="AA189" s="234"/>
      <c r="AB189" s="234"/>
      <c r="AC189" s="234"/>
      <c r="AD189" s="234"/>
      <c r="AE189" s="234"/>
      <c r="AF189" s="234"/>
      <c r="AG189" s="234"/>
      <c r="AH189" s="234"/>
      <c r="AI189" s="239">
        <f>20000000-1000000+11800000</f>
        <v>30800000</v>
      </c>
      <c r="AJ189" s="234"/>
      <c r="AK189" s="234"/>
      <c r="AL189" s="234"/>
      <c r="AM189" s="218">
        <f>+Y189+Z189+AA189+AB189+AC189+AD189+AE189+AF189+AG189+AH189+AI189+AJ189+AK189</f>
        <v>30800000</v>
      </c>
      <c r="AN189" s="200" t="s">
        <v>1620</v>
      </c>
      <c r="AO189" s="188"/>
    </row>
    <row r="190" spans="1:41" s="26" customFormat="1" ht="203.25" customHeight="1" x14ac:dyDescent="0.2">
      <c r="A190" s="178">
        <v>316</v>
      </c>
      <c r="B190" s="177" t="s">
        <v>1593</v>
      </c>
      <c r="C190" s="174">
        <v>1</v>
      </c>
      <c r="D190" s="177" t="s">
        <v>1580</v>
      </c>
      <c r="E190" s="174">
        <v>41</v>
      </c>
      <c r="F190" s="177" t="s">
        <v>784</v>
      </c>
      <c r="G190" s="174">
        <v>4104</v>
      </c>
      <c r="H190" s="177" t="s">
        <v>893</v>
      </c>
      <c r="I190" s="174">
        <v>4104</v>
      </c>
      <c r="J190" s="177" t="s">
        <v>1573</v>
      </c>
      <c r="K190" s="177" t="s">
        <v>920</v>
      </c>
      <c r="L190" s="174" t="s">
        <v>41</v>
      </c>
      <c r="M190" s="243" t="s">
        <v>921</v>
      </c>
      <c r="N190" s="174">
        <v>4104008</v>
      </c>
      <c r="O190" s="243" t="s">
        <v>922</v>
      </c>
      <c r="P190" s="174" t="s">
        <v>41</v>
      </c>
      <c r="Q190" s="291" t="s">
        <v>923</v>
      </c>
      <c r="R190" s="174">
        <v>410400800</v>
      </c>
      <c r="S190" s="291" t="s">
        <v>924</v>
      </c>
      <c r="T190" s="191" t="s">
        <v>1635</v>
      </c>
      <c r="U190" s="52">
        <v>12</v>
      </c>
      <c r="V190" s="191" t="s">
        <v>917</v>
      </c>
      <c r="W190" s="177" t="s">
        <v>918</v>
      </c>
      <c r="X190" s="177" t="s">
        <v>919</v>
      </c>
      <c r="Y190" s="315">
        <v>4621490244.0100002</v>
      </c>
      <c r="Z190" s="292"/>
      <c r="AA190" s="234"/>
      <c r="AB190" s="234"/>
      <c r="AC190" s="234"/>
      <c r="AD190" s="234"/>
      <c r="AE190" s="234"/>
      <c r="AF190" s="234"/>
      <c r="AG190" s="234"/>
      <c r="AH190" s="234"/>
      <c r="AI190" s="239">
        <v>0</v>
      </c>
      <c r="AJ190" s="234"/>
      <c r="AK190" s="234"/>
      <c r="AL190" s="234"/>
      <c r="AM190" s="218">
        <f>+Y190+Z190+AA190+AB190+AC190+AD190+AE190+AF190+AG190+AH190+AI190+AJ190+AK190</f>
        <v>4621490244.0100002</v>
      </c>
      <c r="AN190" s="200" t="s">
        <v>1620</v>
      </c>
      <c r="AO190" s="188"/>
    </row>
    <row r="191" spans="1:41" s="26" customFormat="1" ht="135" customHeight="1" x14ac:dyDescent="0.2">
      <c r="A191" s="178">
        <v>316</v>
      </c>
      <c r="B191" s="177" t="s">
        <v>1593</v>
      </c>
      <c r="C191" s="174">
        <v>2</v>
      </c>
      <c r="D191" s="177" t="s">
        <v>1587</v>
      </c>
      <c r="E191" s="174">
        <v>17</v>
      </c>
      <c r="F191" s="177" t="s">
        <v>451</v>
      </c>
      <c r="G191" s="174">
        <v>1702</v>
      </c>
      <c r="H191" s="177" t="s">
        <v>452</v>
      </c>
      <c r="I191" s="174">
        <v>1702</v>
      </c>
      <c r="J191" s="177" t="s">
        <v>1541</v>
      </c>
      <c r="K191" s="177" t="s">
        <v>925</v>
      </c>
      <c r="L191" s="249">
        <v>1702011</v>
      </c>
      <c r="M191" s="177" t="s">
        <v>926</v>
      </c>
      <c r="N191" s="249">
        <v>1702011</v>
      </c>
      <c r="O191" s="177" t="s">
        <v>926</v>
      </c>
      <c r="P191" s="50" t="s">
        <v>927</v>
      </c>
      <c r="Q191" s="256" t="s">
        <v>928</v>
      </c>
      <c r="R191" s="50" t="s">
        <v>927</v>
      </c>
      <c r="S191" s="256" t="s">
        <v>928</v>
      </c>
      <c r="T191" s="191" t="s">
        <v>1637</v>
      </c>
      <c r="U191" s="52">
        <v>4</v>
      </c>
      <c r="V191" s="191" t="s">
        <v>929</v>
      </c>
      <c r="W191" s="177" t="s">
        <v>930</v>
      </c>
      <c r="X191" s="177" t="s">
        <v>931</v>
      </c>
      <c r="Y191" s="234"/>
      <c r="Z191" s="234"/>
      <c r="AA191" s="234"/>
      <c r="AB191" s="234"/>
      <c r="AC191" s="234"/>
      <c r="AD191" s="234"/>
      <c r="AE191" s="234"/>
      <c r="AF191" s="234"/>
      <c r="AG191" s="234"/>
      <c r="AH191" s="234"/>
      <c r="AI191" s="239">
        <v>18000000</v>
      </c>
      <c r="AJ191" s="234"/>
      <c r="AK191" s="234"/>
      <c r="AL191" s="234"/>
      <c r="AM191" s="218">
        <f>+Y191+Z191+AA191+AB191+AC191+AD191+AE191+AF191+AG191+AH191+AI191+AJ191+AK191</f>
        <v>18000000</v>
      </c>
      <c r="AN191" s="200" t="s">
        <v>1620</v>
      </c>
      <c r="AO191" s="188"/>
    </row>
    <row r="192" spans="1:41" s="26" customFormat="1" ht="131.25" customHeight="1" x14ac:dyDescent="0.2">
      <c r="A192" s="178">
        <v>316</v>
      </c>
      <c r="B192" s="177" t="s">
        <v>1593</v>
      </c>
      <c r="C192" s="174">
        <v>2</v>
      </c>
      <c r="D192" s="177" t="s">
        <v>1587</v>
      </c>
      <c r="E192" s="174">
        <v>36</v>
      </c>
      <c r="F192" s="255" t="s">
        <v>433</v>
      </c>
      <c r="G192" s="174">
        <v>3604</v>
      </c>
      <c r="H192" s="177" t="s">
        <v>932</v>
      </c>
      <c r="I192" s="174">
        <v>3604</v>
      </c>
      <c r="J192" s="177" t="s">
        <v>1567</v>
      </c>
      <c r="K192" s="177" t="s">
        <v>933</v>
      </c>
      <c r="L192" s="174">
        <v>3604006</v>
      </c>
      <c r="M192" s="177" t="s">
        <v>934</v>
      </c>
      <c r="N192" s="174">
        <v>3604006</v>
      </c>
      <c r="O192" s="177" t="s">
        <v>934</v>
      </c>
      <c r="P192" s="50">
        <v>360400600</v>
      </c>
      <c r="Q192" s="236" t="s">
        <v>330</v>
      </c>
      <c r="R192" s="50">
        <v>360400600</v>
      </c>
      <c r="S192" s="236" t="s">
        <v>330</v>
      </c>
      <c r="T192" s="191" t="s">
        <v>1637</v>
      </c>
      <c r="U192" s="282">
        <v>200</v>
      </c>
      <c r="V192" s="191" t="s">
        <v>935</v>
      </c>
      <c r="W192" s="243" t="s">
        <v>936</v>
      </c>
      <c r="X192" s="243" t="s">
        <v>937</v>
      </c>
      <c r="Y192" s="234"/>
      <c r="Z192" s="234"/>
      <c r="AA192" s="234"/>
      <c r="AB192" s="234"/>
      <c r="AC192" s="234"/>
      <c r="AD192" s="234"/>
      <c r="AE192" s="234"/>
      <c r="AF192" s="234"/>
      <c r="AG192" s="234"/>
      <c r="AH192" s="234"/>
      <c r="AI192" s="239">
        <f>18000000+20195000</f>
        <v>38195000</v>
      </c>
      <c r="AJ192" s="234"/>
      <c r="AK192" s="234"/>
      <c r="AL192" s="234"/>
      <c r="AM192" s="218">
        <f>+Y192+Z192+AA192+AB192+AC192+AD192+AE192+AF192+AG192+AH192+AI192+AJ192+AK192</f>
        <v>38195000</v>
      </c>
      <c r="AN192" s="200" t="s">
        <v>1620</v>
      </c>
      <c r="AO192" s="188"/>
    </row>
    <row r="193" spans="1:42" s="26" customFormat="1" ht="122.25" customHeight="1" x14ac:dyDescent="0.2">
      <c r="A193" s="178">
        <v>316</v>
      </c>
      <c r="B193" s="177" t="s">
        <v>1593</v>
      </c>
      <c r="C193" s="174">
        <v>4</v>
      </c>
      <c r="D193" s="177" t="s">
        <v>1578</v>
      </c>
      <c r="E193" s="174">
        <v>45</v>
      </c>
      <c r="F193" s="177" t="s">
        <v>938</v>
      </c>
      <c r="G193" s="174">
        <v>4502</v>
      </c>
      <c r="H193" s="177" t="s">
        <v>1532</v>
      </c>
      <c r="I193" s="174">
        <v>4502</v>
      </c>
      <c r="J193" s="177" t="s">
        <v>1533</v>
      </c>
      <c r="K193" s="177" t="s">
        <v>939</v>
      </c>
      <c r="L193" s="249">
        <v>4502001</v>
      </c>
      <c r="M193" s="177" t="s">
        <v>72</v>
      </c>
      <c r="N193" s="249">
        <v>4502001</v>
      </c>
      <c r="O193" s="177" t="s">
        <v>72</v>
      </c>
      <c r="P193" s="174" t="s">
        <v>41</v>
      </c>
      <c r="Q193" s="256" t="s">
        <v>940</v>
      </c>
      <c r="R193" s="249">
        <v>450200108</v>
      </c>
      <c r="S193" s="256" t="s">
        <v>941</v>
      </c>
      <c r="T193" s="191" t="s">
        <v>1637</v>
      </c>
      <c r="U193" s="52">
        <v>1</v>
      </c>
      <c r="V193" s="191" t="s">
        <v>942</v>
      </c>
      <c r="W193" s="177" t="s">
        <v>943</v>
      </c>
      <c r="X193" s="177" t="s">
        <v>944</v>
      </c>
      <c r="Y193" s="234"/>
      <c r="Z193" s="234"/>
      <c r="AA193" s="234"/>
      <c r="AB193" s="234"/>
      <c r="AC193" s="234"/>
      <c r="AD193" s="234"/>
      <c r="AE193" s="234"/>
      <c r="AF193" s="234"/>
      <c r="AG193" s="234"/>
      <c r="AH193" s="234"/>
      <c r="AI193" s="239">
        <v>18000000</v>
      </c>
      <c r="AJ193" s="234"/>
      <c r="AK193" s="234"/>
      <c r="AL193" s="234"/>
      <c r="AM193" s="218">
        <f>+Y193+Z193+AA193+AB193+AC193+AD193+AE193+AF193+AG193+AH193+AI193+AJ193+AK193</f>
        <v>18000000</v>
      </c>
      <c r="AN193" s="200" t="s">
        <v>1620</v>
      </c>
      <c r="AO193" s="188"/>
    </row>
    <row r="194" spans="1:42" s="26" customFormat="1" ht="224.25" customHeight="1" x14ac:dyDescent="0.2">
      <c r="A194" s="178">
        <v>316</v>
      </c>
      <c r="B194" s="177" t="s">
        <v>1593</v>
      </c>
      <c r="C194" s="174">
        <v>4</v>
      </c>
      <c r="D194" s="177" t="s">
        <v>1578</v>
      </c>
      <c r="E194" s="174">
        <v>45</v>
      </c>
      <c r="F194" s="177" t="s">
        <v>938</v>
      </c>
      <c r="G194" s="174">
        <v>4502</v>
      </c>
      <c r="H194" s="177" t="s">
        <v>1532</v>
      </c>
      <c r="I194" s="174">
        <v>4502</v>
      </c>
      <c r="J194" s="177" t="s">
        <v>1533</v>
      </c>
      <c r="K194" s="177" t="s">
        <v>945</v>
      </c>
      <c r="L194" s="174" t="s">
        <v>41</v>
      </c>
      <c r="M194" s="177" t="s">
        <v>946</v>
      </c>
      <c r="N194" s="244">
        <v>4502038</v>
      </c>
      <c r="O194" s="177" t="s">
        <v>947</v>
      </c>
      <c r="P194" s="174" t="s">
        <v>41</v>
      </c>
      <c r="Q194" s="256" t="s">
        <v>948</v>
      </c>
      <c r="R194" s="237">
        <v>450203800</v>
      </c>
      <c r="S194" s="256" t="s">
        <v>949</v>
      </c>
      <c r="T194" s="191" t="s">
        <v>1635</v>
      </c>
      <c r="U194" s="52">
        <v>1</v>
      </c>
      <c r="V194" s="191" t="s">
        <v>950</v>
      </c>
      <c r="W194" s="177" t="s">
        <v>951</v>
      </c>
      <c r="X194" s="177" t="s">
        <v>952</v>
      </c>
      <c r="Y194" s="234"/>
      <c r="Z194" s="234"/>
      <c r="AA194" s="234"/>
      <c r="AB194" s="234"/>
      <c r="AC194" s="234"/>
      <c r="AD194" s="234"/>
      <c r="AE194" s="234"/>
      <c r="AF194" s="234"/>
      <c r="AG194" s="234"/>
      <c r="AH194" s="234"/>
      <c r="AI194" s="239">
        <f>95000000-18000000</f>
        <v>77000000</v>
      </c>
      <c r="AJ194" s="234"/>
      <c r="AK194" s="234"/>
      <c r="AL194" s="234"/>
      <c r="AM194" s="218">
        <f>+Y194+Z194+AA194+AB194+AC194+AD194+AE194+AF194+AG194+AH194+AI194+AJ194+AK194</f>
        <v>77000000</v>
      </c>
      <c r="AN194" s="200" t="s">
        <v>1620</v>
      </c>
      <c r="AO194" s="188"/>
    </row>
    <row r="195" spans="1:42" s="26" customFormat="1" ht="216" customHeight="1" x14ac:dyDescent="0.2">
      <c r="A195" s="178">
        <v>316</v>
      </c>
      <c r="B195" s="177" t="s">
        <v>1593</v>
      </c>
      <c r="C195" s="174">
        <v>4</v>
      </c>
      <c r="D195" s="177" t="s">
        <v>1578</v>
      </c>
      <c r="E195" s="174">
        <v>45</v>
      </c>
      <c r="F195" s="177" t="s">
        <v>938</v>
      </c>
      <c r="G195" s="174">
        <v>4502</v>
      </c>
      <c r="H195" s="177" t="s">
        <v>1532</v>
      </c>
      <c r="I195" s="174">
        <v>4502</v>
      </c>
      <c r="J195" s="177" t="s">
        <v>1533</v>
      </c>
      <c r="K195" s="177" t="s">
        <v>953</v>
      </c>
      <c r="L195" s="174" t="s">
        <v>41</v>
      </c>
      <c r="M195" s="177" t="s">
        <v>954</v>
      </c>
      <c r="N195" s="244">
        <v>4502038</v>
      </c>
      <c r="O195" s="177" t="s">
        <v>947</v>
      </c>
      <c r="P195" s="174" t="s">
        <v>41</v>
      </c>
      <c r="Q195" s="256" t="s">
        <v>955</v>
      </c>
      <c r="R195" s="237">
        <v>450203800</v>
      </c>
      <c r="S195" s="256" t="s">
        <v>949</v>
      </c>
      <c r="T195" s="191" t="s">
        <v>1635</v>
      </c>
      <c r="U195" s="52">
        <v>1</v>
      </c>
      <c r="V195" s="191" t="s">
        <v>956</v>
      </c>
      <c r="W195" s="177" t="s">
        <v>957</v>
      </c>
      <c r="X195" s="177" t="s">
        <v>958</v>
      </c>
      <c r="Y195" s="234"/>
      <c r="Z195" s="234"/>
      <c r="AA195" s="234"/>
      <c r="AB195" s="234"/>
      <c r="AC195" s="234"/>
      <c r="AD195" s="234"/>
      <c r="AE195" s="234"/>
      <c r="AF195" s="234"/>
      <c r="AG195" s="234"/>
      <c r="AH195" s="234"/>
      <c r="AI195" s="239">
        <v>90000000</v>
      </c>
      <c r="AJ195" s="234"/>
      <c r="AK195" s="234"/>
      <c r="AL195" s="234"/>
      <c r="AM195" s="218">
        <f>+Y195+Z195+AA195+AB195+AC195+AD195+AE195+AF195+AG195+AH195+AI195+AJ195+AK195</f>
        <v>90000000</v>
      </c>
      <c r="AN195" s="200" t="s">
        <v>1620</v>
      </c>
      <c r="AO195" s="188"/>
    </row>
    <row r="196" spans="1:42" s="26" customFormat="1" ht="180" customHeight="1" x14ac:dyDescent="0.2">
      <c r="A196" s="178">
        <v>316</v>
      </c>
      <c r="B196" s="177" t="s">
        <v>1593</v>
      </c>
      <c r="C196" s="174">
        <v>4</v>
      </c>
      <c r="D196" s="177" t="s">
        <v>1578</v>
      </c>
      <c r="E196" s="174">
        <v>45</v>
      </c>
      <c r="F196" s="177" t="s">
        <v>938</v>
      </c>
      <c r="G196" s="174">
        <v>4502</v>
      </c>
      <c r="H196" s="177" t="s">
        <v>1532</v>
      </c>
      <c r="I196" s="174">
        <v>4502</v>
      </c>
      <c r="J196" s="177" t="s">
        <v>1533</v>
      </c>
      <c r="K196" s="177" t="s">
        <v>959</v>
      </c>
      <c r="L196" s="249">
        <v>4501024</v>
      </c>
      <c r="M196" s="177" t="s">
        <v>341</v>
      </c>
      <c r="N196" s="249">
        <v>4502024</v>
      </c>
      <c r="O196" s="177" t="s">
        <v>341</v>
      </c>
      <c r="P196" s="174" t="s">
        <v>41</v>
      </c>
      <c r="Q196" s="177" t="s">
        <v>960</v>
      </c>
      <c r="R196" s="249">
        <v>450202401</v>
      </c>
      <c r="S196" s="177" t="s">
        <v>961</v>
      </c>
      <c r="T196" s="191" t="s">
        <v>1635</v>
      </c>
      <c r="U196" s="52">
        <v>1</v>
      </c>
      <c r="V196" s="191" t="s">
        <v>962</v>
      </c>
      <c r="W196" s="177" t="s">
        <v>963</v>
      </c>
      <c r="X196" s="177" t="s">
        <v>964</v>
      </c>
      <c r="Y196" s="234">
        <v>0</v>
      </c>
      <c r="Z196" s="234">
        <v>0</v>
      </c>
      <c r="AA196" s="234">
        <v>0</v>
      </c>
      <c r="AB196" s="234">
        <v>0</v>
      </c>
      <c r="AC196" s="234">
        <v>0</v>
      </c>
      <c r="AD196" s="234">
        <v>0</v>
      </c>
      <c r="AE196" s="234">
        <v>0</v>
      </c>
      <c r="AF196" s="234">
        <v>0</v>
      </c>
      <c r="AG196" s="234">
        <v>0</v>
      </c>
      <c r="AH196" s="234">
        <v>0</v>
      </c>
      <c r="AI196" s="239">
        <v>33000000</v>
      </c>
      <c r="AJ196" s="234"/>
      <c r="AK196" s="234"/>
      <c r="AL196" s="234"/>
      <c r="AM196" s="218">
        <f>+Y196+Z196+AA196+AB196+AC196+AD196+AE196+AF196+AG196+AH196+AI196+AJ196+AK196</f>
        <v>33000000</v>
      </c>
      <c r="AN196" s="200" t="s">
        <v>1620</v>
      </c>
      <c r="AO196" s="188"/>
    </row>
    <row r="197" spans="1:42" s="26" customFormat="1" ht="178.5" customHeight="1" x14ac:dyDescent="0.2">
      <c r="A197" s="178">
        <v>316</v>
      </c>
      <c r="B197" s="177" t="s">
        <v>1593</v>
      </c>
      <c r="C197" s="174">
        <v>4</v>
      </c>
      <c r="D197" s="177" t="s">
        <v>1578</v>
      </c>
      <c r="E197" s="174">
        <v>45</v>
      </c>
      <c r="F197" s="177" t="s">
        <v>938</v>
      </c>
      <c r="G197" s="174">
        <v>4502</v>
      </c>
      <c r="H197" s="177" t="s">
        <v>1532</v>
      </c>
      <c r="I197" s="174">
        <v>4502</v>
      </c>
      <c r="J197" s="177" t="s">
        <v>1533</v>
      </c>
      <c r="K197" s="177" t="s">
        <v>959</v>
      </c>
      <c r="L197" s="249">
        <v>4501024</v>
      </c>
      <c r="M197" s="177" t="s">
        <v>341</v>
      </c>
      <c r="N197" s="249">
        <v>4502024</v>
      </c>
      <c r="O197" s="177" t="s">
        <v>341</v>
      </c>
      <c r="P197" s="174" t="s">
        <v>41</v>
      </c>
      <c r="Q197" s="177" t="s">
        <v>965</v>
      </c>
      <c r="R197" s="249">
        <v>450202401</v>
      </c>
      <c r="S197" s="177" t="s">
        <v>961</v>
      </c>
      <c r="T197" s="191" t="s">
        <v>1635</v>
      </c>
      <c r="U197" s="52">
        <v>1</v>
      </c>
      <c r="V197" s="191" t="s">
        <v>966</v>
      </c>
      <c r="W197" s="177" t="s">
        <v>967</v>
      </c>
      <c r="X197" s="177" t="s">
        <v>968</v>
      </c>
      <c r="Y197" s="234"/>
      <c r="Z197" s="234"/>
      <c r="AA197" s="234"/>
      <c r="AB197" s="234"/>
      <c r="AC197" s="234"/>
      <c r="AD197" s="234"/>
      <c r="AE197" s="234"/>
      <c r="AF197" s="234"/>
      <c r="AG197" s="234"/>
      <c r="AH197" s="234"/>
      <c r="AI197" s="314">
        <f>33000000+15000000</f>
        <v>48000000</v>
      </c>
      <c r="AJ197" s="234"/>
      <c r="AK197" s="234"/>
      <c r="AL197" s="234"/>
      <c r="AM197" s="218">
        <f>+Y197+Z197+AA197+AB197+AC197+AD197+AE197+AF197+AG197+AH197+AI197+AJ197+AK197</f>
        <v>48000000</v>
      </c>
      <c r="AN197" s="200" t="s">
        <v>1620</v>
      </c>
      <c r="AO197" s="188"/>
    </row>
    <row r="198" spans="1:42" s="26" customFormat="1" ht="207" customHeight="1" x14ac:dyDescent="0.2">
      <c r="A198" s="178">
        <v>316</v>
      </c>
      <c r="B198" s="177" t="s">
        <v>1593</v>
      </c>
      <c r="C198" s="174">
        <v>4</v>
      </c>
      <c r="D198" s="177" t="s">
        <v>1578</v>
      </c>
      <c r="E198" s="174">
        <v>45</v>
      </c>
      <c r="F198" s="177" t="s">
        <v>938</v>
      </c>
      <c r="G198" s="174" t="s">
        <v>41</v>
      </c>
      <c r="H198" s="177" t="s">
        <v>1536</v>
      </c>
      <c r="I198" s="174">
        <v>4599</v>
      </c>
      <c r="J198" s="177" t="s">
        <v>1537</v>
      </c>
      <c r="K198" s="177" t="s">
        <v>969</v>
      </c>
      <c r="L198" s="174" t="s">
        <v>41</v>
      </c>
      <c r="M198" s="243" t="s">
        <v>970</v>
      </c>
      <c r="N198" s="293" t="s">
        <v>971</v>
      </c>
      <c r="O198" s="243" t="s">
        <v>356</v>
      </c>
      <c r="P198" s="174" t="s">
        <v>41</v>
      </c>
      <c r="Q198" s="291" t="s">
        <v>972</v>
      </c>
      <c r="R198" s="293" t="s">
        <v>973</v>
      </c>
      <c r="S198" s="291" t="s">
        <v>974</v>
      </c>
      <c r="T198" s="191" t="s">
        <v>1635</v>
      </c>
      <c r="U198" s="52">
        <v>1</v>
      </c>
      <c r="V198" s="191" t="s">
        <v>975</v>
      </c>
      <c r="W198" s="243" t="s">
        <v>1470</v>
      </c>
      <c r="X198" s="177" t="s">
        <v>1471</v>
      </c>
      <c r="Y198" s="234"/>
      <c r="Z198" s="234"/>
      <c r="AA198" s="234"/>
      <c r="AB198" s="234"/>
      <c r="AC198" s="234"/>
      <c r="AD198" s="234"/>
      <c r="AE198" s="234"/>
      <c r="AF198" s="234"/>
      <c r="AG198" s="234"/>
      <c r="AH198" s="234"/>
      <c r="AI198" s="239">
        <v>50000000</v>
      </c>
      <c r="AJ198" s="234"/>
      <c r="AK198" s="234"/>
      <c r="AL198" s="234"/>
      <c r="AM198" s="218">
        <f>+Y198+Z198+AA198+AB198+AC198+AD198+AE198+AF198+AG198+AH198+AI198+AJ198+AK198</f>
        <v>50000000</v>
      </c>
      <c r="AN198" s="200" t="s">
        <v>1620</v>
      </c>
      <c r="AO198" s="188"/>
    </row>
    <row r="199" spans="1:42" s="26" customFormat="1" ht="237" customHeight="1" x14ac:dyDescent="0.2">
      <c r="A199" s="178">
        <v>316</v>
      </c>
      <c r="B199" s="177" t="s">
        <v>1593</v>
      </c>
      <c r="C199" s="174">
        <v>4</v>
      </c>
      <c r="D199" s="177" t="s">
        <v>1578</v>
      </c>
      <c r="E199" s="174">
        <v>45</v>
      </c>
      <c r="F199" s="177" t="s">
        <v>938</v>
      </c>
      <c r="G199" s="174" t="s">
        <v>41</v>
      </c>
      <c r="H199" s="177" t="s">
        <v>1536</v>
      </c>
      <c r="I199" s="174">
        <v>4599</v>
      </c>
      <c r="J199" s="177" t="s">
        <v>1537</v>
      </c>
      <c r="K199" s="177" t="s">
        <v>945</v>
      </c>
      <c r="L199" s="174" t="s">
        <v>41</v>
      </c>
      <c r="M199" s="177" t="s">
        <v>976</v>
      </c>
      <c r="N199" s="293" t="s">
        <v>971</v>
      </c>
      <c r="O199" s="243" t="s">
        <v>356</v>
      </c>
      <c r="P199" s="174" t="s">
        <v>41</v>
      </c>
      <c r="Q199" s="256" t="s">
        <v>977</v>
      </c>
      <c r="R199" s="293" t="s">
        <v>973</v>
      </c>
      <c r="S199" s="291" t="s">
        <v>974</v>
      </c>
      <c r="T199" s="191" t="s">
        <v>1635</v>
      </c>
      <c r="U199" s="52">
        <v>1</v>
      </c>
      <c r="V199" s="191" t="s">
        <v>978</v>
      </c>
      <c r="W199" s="177" t="s">
        <v>979</v>
      </c>
      <c r="X199" s="177" t="s">
        <v>952</v>
      </c>
      <c r="Y199" s="234"/>
      <c r="Z199" s="234"/>
      <c r="AA199" s="234"/>
      <c r="AB199" s="234"/>
      <c r="AC199" s="234"/>
      <c r="AD199" s="234"/>
      <c r="AE199" s="234"/>
      <c r="AF199" s="234"/>
      <c r="AG199" s="234"/>
      <c r="AH199" s="234"/>
      <c r="AI199" s="239">
        <f>95000000-36000000-41000000</f>
        <v>18000000</v>
      </c>
      <c r="AJ199" s="234"/>
      <c r="AK199" s="234"/>
      <c r="AL199" s="234"/>
      <c r="AM199" s="218">
        <f>+Y199+Z199+AA199+AB199+AC199+AD199+AE199+AF199+AG199+AH199+AI199+AJ199+AK199</f>
        <v>18000000</v>
      </c>
      <c r="AN199" s="200" t="s">
        <v>1620</v>
      </c>
      <c r="AO199" s="188"/>
    </row>
    <row r="200" spans="1:42" s="26" customFormat="1" ht="189" customHeight="1" x14ac:dyDescent="0.2">
      <c r="A200" s="178">
        <v>316</v>
      </c>
      <c r="B200" s="177" t="s">
        <v>1593</v>
      </c>
      <c r="C200" s="174">
        <v>4</v>
      </c>
      <c r="D200" s="177" t="s">
        <v>1578</v>
      </c>
      <c r="E200" s="174">
        <v>45</v>
      </c>
      <c r="F200" s="177" t="s">
        <v>938</v>
      </c>
      <c r="G200" s="174" t="s">
        <v>41</v>
      </c>
      <c r="H200" s="177" t="s">
        <v>1536</v>
      </c>
      <c r="I200" s="174">
        <v>4599</v>
      </c>
      <c r="J200" s="177" t="s">
        <v>1537</v>
      </c>
      <c r="K200" s="177" t="s">
        <v>980</v>
      </c>
      <c r="L200" s="174" t="s">
        <v>41</v>
      </c>
      <c r="M200" s="243" t="s">
        <v>981</v>
      </c>
      <c r="N200" s="293" t="s">
        <v>971</v>
      </c>
      <c r="O200" s="243" t="s">
        <v>356</v>
      </c>
      <c r="P200" s="174" t="s">
        <v>41</v>
      </c>
      <c r="Q200" s="256" t="s">
        <v>982</v>
      </c>
      <c r="R200" s="293" t="s">
        <v>973</v>
      </c>
      <c r="S200" s="291" t="s">
        <v>974</v>
      </c>
      <c r="T200" s="191" t="s">
        <v>1635</v>
      </c>
      <c r="U200" s="52">
        <v>1</v>
      </c>
      <c r="V200" s="191" t="s">
        <v>983</v>
      </c>
      <c r="W200" s="177" t="s">
        <v>984</v>
      </c>
      <c r="X200" s="177" t="s">
        <v>985</v>
      </c>
      <c r="Y200" s="234"/>
      <c r="Z200" s="234"/>
      <c r="AA200" s="234"/>
      <c r="AB200" s="234"/>
      <c r="AC200" s="234"/>
      <c r="AD200" s="234"/>
      <c r="AE200" s="234"/>
      <c r="AF200" s="234"/>
      <c r="AG200" s="234"/>
      <c r="AH200" s="234"/>
      <c r="AI200" s="239">
        <f>36000000+109894503-2800000</f>
        <v>143094503</v>
      </c>
      <c r="AJ200" s="234"/>
      <c r="AK200" s="234"/>
      <c r="AL200" s="234"/>
      <c r="AM200" s="218">
        <f>+Y200+Z200+AA200+AB200+AC200+AD200+AE200+AF200+AG200+AH200+AI200+AJ200+AK200</f>
        <v>143094503</v>
      </c>
      <c r="AN200" s="200" t="s">
        <v>1620</v>
      </c>
      <c r="AO200" s="188"/>
    </row>
    <row r="201" spans="1:42" s="26" customFormat="1" ht="108" customHeight="1" x14ac:dyDescent="0.2">
      <c r="A201" s="178">
        <v>318</v>
      </c>
      <c r="B201" s="255" t="s">
        <v>1594</v>
      </c>
      <c r="C201" s="174">
        <v>1</v>
      </c>
      <c r="D201" s="232" t="s">
        <v>1580</v>
      </c>
      <c r="E201" s="174">
        <v>19</v>
      </c>
      <c r="F201" s="177" t="s">
        <v>147</v>
      </c>
      <c r="G201" s="174">
        <v>1903</v>
      </c>
      <c r="H201" s="177" t="s">
        <v>1550</v>
      </c>
      <c r="I201" s="174">
        <v>1903</v>
      </c>
      <c r="J201" s="177" t="s">
        <v>1551</v>
      </c>
      <c r="K201" s="177" t="s">
        <v>988</v>
      </c>
      <c r="L201" s="174">
        <v>1903009</v>
      </c>
      <c r="M201" s="177" t="s">
        <v>989</v>
      </c>
      <c r="N201" s="174">
        <v>1903009</v>
      </c>
      <c r="O201" s="177" t="s">
        <v>990</v>
      </c>
      <c r="P201" s="237">
        <v>190300900</v>
      </c>
      <c r="Q201" s="256" t="s">
        <v>991</v>
      </c>
      <c r="R201" s="237">
        <v>190300900</v>
      </c>
      <c r="S201" s="256" t="s">
        <v>1480</v>
      </c>
      <c r="T201" s="191" t="s">
        <v>1637</v>
      </c>
      <c r="U201" s="429">
        <f>600+28</f>
        <v>628</v>
      </c>
      <c r="V201" s="191" t="s">
        <v>992</v>
      </c>
      <c r="W201" s="177" t="s">
        <v>993</v>
      </c>
      <c r="X201" s="177" t="s">
        <v>994</v>
      </c>
      <c r="Y201" s="234"/>
      <c r="Z201" s="234"/>
      <c r="AA201" s="234"/>
      <c r="AB201" s="234"/>
      <c r="AC201" s="234">
        <v>65489500</v>
      </c>
      <c r="AD201" s="234"/>
      <c r="AE201" s="234"/>
      <c r="AF201" s="234"/>
      <c r="AG201" s="234"/>
      <c r="AH201" s="234"/>
      <c r="AI201" s="239">
        <f>40000000-40000000</f>
        <v>0</v>
      </c>
      <c r="AJ201" s="234"/>
      <c r="AK201" s="234"/>
      <c r="AL201" s="234"/>
      <c r="AM201" s="218">
        <f>+Y201+Z201+AA201+AB201+AC201+AD201+AE201+AF201+AG201+AH201+AI201+AJ201+AK201</f>
        <v>65489500</v>
      </c>
      <c r="AN201" s="200" t="s">
        <v>1621</v>
      </c>
      <c r="AO201" s="188"/>
      <c r="AP201" s="428"/>
    </row>
    <row r="202" spans="1:42" s="26" customFormat="1" ht="85.5" customHeight="1" x14ac:dyDescent="0.2">
      <c r="A202" s="178">
        <v>318</v>
      </c>
      <c r="B202" s="255" t="s">
        <v>1594</v>
      </c>
      <c r="C202" s="174">
        <v>1</v>
      </c>
      <c r="D202" s="232" t="s">
        <v>1580</v>
      </c>
      <c r="E202" s="174">
        <v>19</v>
      </c>
      <c r="F202" s="177" t="s">
        <v>147</v>
      </c>
      <c r="G202" s="174">
        <v>1903</v>
      </c>
      <c r="H202" s="177" t="s">
        <v>1550</v>
      </c>
      <c r="I202" s="174">
        <v>1903</v>
      </c>
      <c r="J202" s="177" t="s">
        <v>1551</v>
      </c>
      <c r="K202" s="177" t="s">
        <v>995</v>
      </c>
      <c r="L202" s="174">
        <v>1903031</v>
      </c>
      <c r="M202" s="177" t="s">
        <v>989</v>
      </c>
      <c r="N202" s="174">
        <v>1903031</v>
      </c>
      <c r="O202" s="177" t="s">
        <v>996</v>
      </c>
      <c r="P202" s="237">
        <v>190303100</v>
      </c>
      <c r="Q202" s="256" t="s">
        <v>997</v>
      </c>
      <c r="R202" s="237">
        <v>190303100</v>
      </c>
      <c r="S202" s="256" t="s">
        <v>997</v>
      </c>
      <c r="T202" s="191" t="s">
        <v>1635</v>
      </c>
      <c r="U202" s="52">
        <v>12</v>
      </c>
      <c r="V202" s="191" t="s">
        <v>992</v>
      </c>
      <c r="W202" s="177" t="s">
        <v>993</v>
      </c>
      <c r="X202" s="177" t="s">
        <v>994</v>
      </c>
      <c r="Y202" s="234"/>
      <c r="Z202" s="234"/>
      <c r="AA202" s="234"/>
      <c r="AB202" s="234"/>
      <c r="AC202" s="266">
        <v>74000000</v>
      </c>
      <c r="AD202" s="234"/>
      <c r="AE202" s="234"/>
      <c r="AF202" s="234"/>
      <c r="AG202" s="234"/>
      <c r="AH202" s="234"/>
      <c r="AI202" s="239"/>
      <c r="AJ202" s="234"/>
      <c r="AK202" s="234"/>
      <c r="AL202" s="234"/>
      <c r="AM202" s="218">
        <f>+Y202+Z202+AA202+AB202+AC202+AD202+AE202+AF202+AG202+AH202+AI202+AJ202+AK202</f>
        <v>74000000</v>
      </c>
      <c r="AN202" s="200" t="s">
        <v>1621</v>
      </c>
      <c r="AO202" s="188"/>
    </row>
    <row r="203" spans="1:42" s="26" customFormat="1" ht="83.25" customHeight="1" x14ac:dyDescent="0.2">
      <c r="A203" s="178">
        <v>318</v>
      </c>
      <c r="B203" s="255" t="s">
        <v>1594</v>
      </c>
      <c r="C203" s="174">
        <v>1</v>
      </c>
      <c r="D203" s="232" t="s">
        <v>1580</v>
      </c>
      <c r="E203" s="174">
        <v>19</v>
      </c>
      <c r="F203" s="177" t="s">
        <v>147</v>
      </c>
      <c r="G203" s="174">
        <v>1903</v>
      </c>
      <c r="H203" s="177" t="s">
        <v>1550</v>
      </c>
      <c r="I203" s="174">
        <v>1903</v>
      </c>
      <c r="J203" s="177" t="s">
        <v>1551</v>
      </c>
      <c r="K203" s="177" t="s">
        <v>998</v>
      </c>
      <c r="L203" s="174">
        <v>1903023</v>
      </c>
      <c r="M203" s="177" t="s">
        <v>989</v>
      </c>
      <c r="N203" s="174">
        <v>1903023</v>
      </c>
      <c r="O203" s="177" t="s">
        <v>999</v>
      </c>
      <c r="P203" s="237">
        <v>190302300</v>
      </c>
      <c r="Q203" s="177" t="s">
        <v>1000</v>
      </c>
      <c r="R203" s="237">
        <v>190302300</v>
      </c>
      <c r="S203" s="177" t="s">
        <v>1000</v>
      </c>
      <c r="T203" s="191" t="s">
        <v>1635</v>
      </c>
      <c r="U203" s="52">
        <v>12</v>
      </c>
      <c r="V203" s="191" t="s">
        <v>992</v>
      </c>
      <c r="W203" s="177" t="s">
        <v>993</v>
      </c>
      <c r="X203" s="177" t="s">
        <v>994</v>
      </c>
      <c r="Y203" s="234"/>
      <c r="Z203" s="234"/>
      <c r="AA203" s="234"/>
      <c r="AB203" s="234"/>
      <c r="AC203" s="266">
        <v>25676500</v>
      </c>
      <c r="AD203" s="234"/>
      <c r="AE203" s="234"/>
      <c r="AF203" s="234"/>
      <c r="AG203" s="234"/>
      <c r="AH203" s="234"/>
      <c r="AI203" s="294"/>
      <c r="AJ203" s="234"/>
      <c r="AK203" s="234"/>
      <c r="AL203" s="234"/>
      <c r="AM203" s="218">
        <f>+Y203+Z203+AA203+AB203+AC203+AD203+AE203+AF203+AG203+AH203+AI203+AJ203+AK203</f>
        <v>25676500</v>
      </c>
      <c r="AN203" s="200" t="s">
        <v>1621</v>
      </c>
      <c r="AO203" s="188"/>
    </row>
    <row r="204" spans="1:42" s="26" customFormat="1" ht="175.5" customHeight="1" x14ac:dyDescent="0.2">
      <c r="A204" s="178">
        <v>318</v>
      </c>
      <c r="B204" s="255" t="s">
        <v>1594</v>
      </c>
      <c r="C204" s="174">
        <v>1</v>
      </c>
      <c r="D204" s="232" t="s">
        <v>1580</v>
      </c>
      <c r="E204" s="174">
        <v>19</v>
      </c>
      <c r="F204" s="177" t="s">
        <v>147</v>
      </c>
      <c r="G204" s="174">
        <v>1903</v>
      </c>
      <c r="H204" s="177" t="s">
        <v>1550</v>
      </c>
      <c r="I204" s="174">
        <v>1903</v>
      </c>
      <c r="J204" s="177" t="s">
        <v>1551</v>
      </c>
      <c r="K204" s="177" t="s">
        <v>1001</v>
      </c>
      <c r="L204" s="174" t="s">
        <v>41</v>
      </c>
      <c r="M204" s="177" t="s">
        <v>989</v>
      </c>
      <c r="N204" s="174">
        <v>1903050</v>
      </c>
      <c r="O204" s="177" t="s">
        <v>1002</v>
      </c>
      <c r="P204" s="174" t="s">
        <v>41</v>
      </c>
      <c r="Q204" s="256" t="s">
        <v>1003</v>
      </c>
      <c r="R204" s="237">
        <v>190305000</v>
      </c>
      <c r="S204" s="256" t="s">
        <v>1004</v>
      </c>
      <c r="T204" s="191" t="s">
        <v>1635</v>
      </c>
      <c r="U204" s="52">
        <v>12</v>
      </c>
      <c r="V204" s="191" t="s">
        <v>992</v>
      </c>
      <c r="W204" s="177" t="s">
        <v>993</v>
      </c>
      <c r="X204" s="177" t="s">
        <v>994</v>
      </c>
      <c r="Y204" s="234"/>
      <c r="Z204" s="234"/>
      <c r="AA204" s="234"/>
      <c r="AB204" s="234"/>
      <c r="AC204" s="234">
        <v>27216500</v>
      </c>
      <c r="AD204" s="295"/>
      <c r="AE204" s="234"/>
      <c r="AF204" s="234"/>
      <c r="AG204" s="234"/>
      <c r="AH204" s="234"/>
      <c r="AI204" s="294"/>
      <c r="AJ204" s="234"/>
      <c r="AK204" s="234"/>
      <c r="AL204" s="234"/>
      <c r="AM204" s="218">
        <f>+Y204+Z204+AA204+AB204+AC204+AD204+AE204+AF204+AG204+AH204+AI204+AJ204+AK204</f>
        <v>27216500</v>
      </c>
      <c r="AN204" s="200" t="s">
        <v>1621</v>
      </c>
      <c r="AO204" s="188"/>
    </row>
    <row r="205" spans="1:42" s="26" customFormat="1" ht="144" customHeight="1" x14ac:dyDescent="0.2">
      <c r="A205" s="178">
        <v>318</v>
      </c>
      <c r="B205" s="255" t="s">
        <v>1594</v>
      </c>
      <c r="C205" s="174">
        <v>1</v>
      </c>
      <c r="D205" s="232" t="s">
        <v>1580</v>
      </c>
      <c r="E205" s="174">
        <v>19</v>
      </c>
      <c r="F205" s="177" t="s">
        <v>147</v>
      </c>
      <c r="G205" s="174">
        <v>1903</v>
      </c>
      <c r="H205" s="177" t="s">
        <v>1550</v>
      </c>
      <c r="I205" s="174">
        <v>1903</v>
      </c>
      <c r="J205" s="177" t="s">
        <v>1551</v>
      </c>
      <c r="K205" s="177" t="s">
        <v>988</v>
      </c>
      <c r="L205" s="174" t="s">
        <v>41</v>
      </c>
      <c r="M205" s="177" t="s">
        <v>989</v>
      </c>
      <c r="N205" s="174">
        <v>1903038</v>
      </c>
      <c r="O205" s="177" t="s">
        <v>1005</v>
      </c>
      <c r="P205" s="174" t="s">
        <v>41</v>
      </c>
      <c r="Q205" s="177" t="s">
        <v>1006</v>
      </c>
      <c r="R205" s="174">
        <v>190303801</v>
      </c>
      <c r="S205" s="177" t="s">
        <v>1007</v>
      </c>
      <c r="T205" s="191" t="s">
        <v>1635</v>
      </c>
      <c r="U205" s="174">
        <v>1</v>
      </c>
      <c r="V205" s="191" t="s">
        <v>992</v>
      </c>
      <c r="W205" s="177" t="s">
        <v>993</v>
      </c>
      <c r="X205" s="177" t="s">
        <v>994</v>
      </c>
      <c r="Y205" s="234"/>
      <c r="Z205" s="234"/>
      <c r="AA205" s="234"/>
      <c r="AB205" s="234"/>
      <c r="AC205" s="234">
        <f>48000000-47618500</f>
        <v>381500</v>
      </c>
      <c r="AD205" s="234"/>
      <c r="AE205" s="234"/>
      <c r="AF205" s="234"/>
      <c r="AG205" s="234"/>
      <c r="AH205" s="234"/>
      <c r="AI205" s="294"/>
      <c r="AJ205" s="234"/>
      <c r="AK205" s="194">
        <f>842700000+2000000+571581421.21</f>
        <v>1416281421.21</v>
      </c>
      <c r="AL205" s="194"/>
      <c r="AM205" s="218">
        <f>+Y205+Z205+AA205+AB205+AC205+AD205+AE205+AF205+AG205+AH205+AI205+AJ205+AK205</f>
        <v>1416662921.21</v>
      </c>
      <c r="AN205" s="200" t="s">
        <v>1621</v>
      </c>
      <c r="AO205" s="188"/>
    </row>
    <row r="206" spans="1:42" s="26" customFormat="1" ht="120.75" customHeight="1" x14ac:dyDescent="0.2">
      <c r="A206" s="178">
        <v>318</v>
      </c>
      <c r="B206" s="255" t="s">
        <v>1594</v>
      </c>
      <c r="C206" s="174">
        <v>1</v>
      </c>
      <c r="D206" s="232" t="s">
        <v>1580</v>
      </c>
      <c r="E206" s="174">
        <v>19</v>
      </c>
      <c r="F206" s="177" t="s">
        <v>147</v>
      </c>
      <c r="G206" s="174">
        <v>1903</v>
      </c>
      <c r="H206" s="177" t="s">
        <v>1550</v>
      </c>
      <c r="I206" s="174">
        <v>1903</v>
      </c>
      <c r="J206" s="177" t="s">
        <v>1551</v>
      </c>
      <c r="K206" s="177" t="s">
        <v>1008</v>
      </c>
      <c r="L206" s="174">
        <v>1903038</v>
      </c>
      <c r="M206" s="177" t="s">
        <v>989</v>
      </c>
      <c r="N206" s="174">
        <v>1903038</v>
      </c>
      <c r="O206" s="177" t="s">
        <v>1005</v>
      </c>
      <c r="P206" s="237">
        <v>190303801</v>
      </c>
      <c r="Q206" s="177" t="s">
        <v>1009</v>
      </c>
      <c r="R206" s="237">
        <v>190303801</v>
      </c>
      <c r="S206" s="177" t="s">
        <v>1009</v>
      </c>
      <c r="T206" s="191" t="s">
        <v>1635</v>
      </c>
      <c r="U206" s="52">
        <v>11</v>
      </c>
      <c r="V206" s="191" t="s">
        <v>992</v>
      </c>
      <c r="W206" s="177" t="s">
        <v>993</v>
      </c>
      <c r="X206" s="177" t="s">
        <v>994</v>
      </c>
      <c r="Y206" s="234"/>
      <c r="Z206" s="234"/>
      <c r="AA206" s="234"/>
      <c r="AB206" s="234"/>
      <c r="AC206" s="194">
        <v>28050000</v>
      </c>
      <c r="AD206" s="234"/>
      <c r="AE206" s="234"/>
      <c r="AF206" s="234"/>
      <c r="AG206" s="234"/>
      <c r="AH206" s="234"/>
      <c r="AI206" s="294"/>
      <c r="AJ206" s="234"/>
      <c r="AK206" s="234"/>
      <c r="AL206" s="234"/>
      <c r="AM206" s="218">
        <f>+Y206+Z206+AA206+AB206+AC206+AD206+AE206+AF206+AG206+AH206+AI206+AJ206+AK206</f>
        <v>28050000</v>
      </c>
      <c r="AN206" s="200" t="s">
        <v>1621</v>
      </c>
      <c r="AO206" s="188"/>
    </row>
    <row r="207" spans="1:42" s="26" customFormat="1" ht="78.75" customHeight="1" x14ac:dyDescent="0.2">
      <c r="A207" s="178">
        <v>318</v>
      </c>
      <c r="B207" s="255" t="s">
        <v>1594</v>
      </c>
      <c r="C207" s="174">
        <v>1</v>
      </c>
      <c r="D207" s="232" t="s">
        <v>1580</v>
      </c>
      <c r="E207" s="174">
        <v>19</v>
      </c>
      <c r="F207" s="177" t="s">
        <v>147</v>
      </c>
      <c r="G207" s="174">
        <v>1903</v>
      </c>
      <c r="H207" s="177" t="s">
        <v>1550</v>
      </c>
      <c r="I207" s="174">
        <v>1903</v>
      </c>
      <c r="J207" s="177" t="s">
        <v>1551</v>
      </c>
      <c r="K207" s="177" t="s">
        <v>995</v>
      </c>
      <c r="L207" s="174">
        <v>1903027</v>
      </c>
      <c r="M207" s="177" t="s">
        <v>989</v>
      </c>
      <c r="N207" s="174">
        <v>1903027</v>
      </c>
      <c r="O207" s="177" t="s">
        <v>1010</v>
      </c>
      <c r="P207" s="237">
        <v>190302700</v>
      </c>
      <c r="Q207" s="256" t="s">
        <v>1011</v>
      </c>
      <c r="R207" s="237">
        <v>190302700</v>
      </c>
      <c r="S207" s="177" t="s">
        <v>1011</v>
      </c>
      <c r="T207" s="191" t="s">
        <v>1635</v>
      </c>
      <c r="U207" s="52">
        <v>5</v>
      </c>
      <c r="V207" s="191" t="s">
        <v>992</v>
      </c>
      <c r="W207" s="177" t="s">
        <v>993</v>
      </c>
      <c r="X207" s="177" t="s">
        <v>994</v>
      </c>
      <c r="Y207" s="234"/>
      <c r="Z207" s="234"/>
      <c r="AA207" s="234"/>
      <c r="AB207" s="234"/>
      <c r="AC207" s="194">
        <f>19000000-7460000</f>
        <v>11540000</v>
      </c>
      <c r="AD207" s="234"/>
      <c r="AE207" s="234"/>
      <c r="AF207" s="234"/>
      <c r="AG207" s="234"/>
      <c r="AH207" s="234"/>
      <c r="AI207" s="294"/>
      <c r="AJ207" s="234"/>
      <c r="AK207" s="234"/>
      <c r="AL207" s="234"/>
      <c r="AM207" s="218">
        <f>+Y207+Z207+AA207+AB207+AC207+AD207+AE207+AF207+AG207+AH207+AI207+AJ207+AK207</f>
        <v>11540000</v>
      </c>
      <c r="AN207" s="200" t="s">
        <v>1621</v>
      </c>
      <c r="AO207" s="188"/>
    </row>
    <row r="208" spans="1:42" s="26" customFormat="1" ht="96.75" customHeight="1" x14ac:dyDescent="0.2">
      <c r="A208" s="178">
        <v>318</v>
      </c>
      <c r="B208" s="255" t="s">
        <v>1594</v>
      </c>
      <c r="C208" s="174">
        <v>1</v>
      </c>
      <c r="D208" s="232" t="s">
        <v>1580</v>
      </c>
      <c r="E208" s="174">
        <v>19</v>
      </c>
      <c r="F208" s="177" t="s">
        <v>147</v>
      </c>
      <c r="G208" s="174">
        <v>1903</v>
      </c>
      <c r="H208" s="177" t="s">
        <v>1550</v>
      </c>
      <c r="I208" s="174">
        <v>1903</v>
      </c>
      <c r="J208" s="177" t="s">
        <v>1551</v>
      </c>
      <c r="K208" s="177" t="s">
        <v>1012</v>
      </c>
      <c r="L208" s="174">
        <v>1903011</v>
      </c>
      <c r="M208" s="177" t="s">
        <v>989</v>
      </c>
      <c r="N208" s="174">
        <v>1903011</v>
      </c>
      <c r="O208" s="177" t="s">
        <v>1013</v>
      </c>
      <c r="P208" s="237">
        <v>190301100</v>
      </c>
      <c r="Q208" s="177" t="s">
        <v>1014</v>
      </c>
      <c r="R208" s="237">
        <v>190301100</v>
      </c>
      <c r="S208" s="177" t="s">
        <v>1015</v>
      </c>
      <c r="T208" s="191" t="s">
        <v>1635</v>
      </c>
      <c r="U208" s="52">
        <v>140</v>
      </c>
      <c r="V208" s="191" t="s">
        <v>992</v>
      </c>
      <c r="W208" s="177" t="s">
        <v>993</v>
      </c>
      <c r="X208" s="177" t="s">
        <v>994</v>
      </c>
      <c r="Y208" s="234"/>
      <c r="Z208" s="234"/>
      <c r="AA208" s="234"/>
      <c r="AB208" s="234"/>
      <c r="AC208" s="234">
        <v>40646000</v>
      </c>
      <c r="AD208" s="234"/>
      <c r="AE208" s="234"/>
      <c r="AF208" s="234"/>
      <c r="AG208" s="234"/>
      <c r="AH208" s="234"/>
      <c r="AI208" s="294"/>
      <c r="AJ208" s="234"/>
      <c r="AK208" s="234"/>
      <c r="AL208" s="234"/>
      <c r="AM208" s="218">
        <f>+Y208+Z208+AA208+AB208+AC208+AD208+AE208+AF208+AG208+AH208+AI208+AJ208+AK208</f>
        <v>40646000</v>
      </c>
      <c r="AN208" s="200" t="s">
        <v>1621</v>
      </c>
      <c r="AO208" s="188"/>
    </row>
    <row r="209" spans="1:41" s="26" customFormat="1" ht="110.25" customHeight="1" x14ac:dyDescent="0.2">
      <c r="A209" s="178">
        <v>318</v>
      </c>
      <c r="B209" s="255" t="s">
        <v>1594</v>
      </c>
      <c r="C209" s="174">
        <v>1</v>
      </c>
      <c r="D209" s="232" t="s">
        <v>1580</v>
      </c>
      <c r="E209" s="174">
        <v>19</v>
      </c>
      <c r="F209" s="177" t="s">
        <v>147</v>
      </c>
      <c r="G209" s="174">
        <v>1903</v>
      </c>
      <c r="H209" s="177" t="s">
        <v>1550</v>
      </c>
      <c r="I209" s="174">
        <v>1903</v>
      </c>
      <c r="J209" s="177" t="s">
        <v>1551</v>
      </c>
      <c r="K209" s="177" t="s">
        <v>1016</v>
      </c>
      <c r="L209" s="174">
        <v>1903001</v>
      </c>
      <c r="M209" s="177" t="s">
        <v>84</v>
      </c>
      <c r="N209" s="174">
        <v>1903001</v>
      </c>
      <c r="O209" s="177" t="s">
        <v>84</v>
      </c>
      <c r="P209" s="237">
        <v>190300100</v>
      </c>
      <c r="Q209" s="256" t="s">
        <v>1017</v>
      </c>
      <c r="R209" s="237">
        <v>190300100</v>
      </c>
      <c r="S209" s="256" t="s">
        <v>1017</v>
      </c>
      <c r="T209" s="191" t="s">
        <v>1635</v>
      </c>
      <c r="U209" s="52">
        <v>1</v>
      </c>
      <c r="V209" s="191" t="s">
        <v>1018</v>
      </c>
      <c r="W209" s="177" t="s">
        <v>1019</v>
      </c>
      <c r="X209" s="177" t="s">
        <v>1020</v>
      </c>
      <c r="Y209" s="234"/>
      <c r="Z209" s="234"/>
      <c r="AA209" s="234"/>
      <c r="AB209" s="234"/>
      <c r="AC209" s="234">
        <v>81470000</v>
      </c>
      <c r="AD209" s="234"/>
      <c r="AE209" s="234"/>
      <c r="AF209" s="234"/>
      <c r="AG209" s="234"/>
      <c r="AH209" s="234"/>
      <c r="AI209" s="239"/>
      <c r="AJ209" s="234"/>
      <c r="AK209" s="234"/>
      <c r="AL209" s="234"/>
      <c r="AM209" s="218">
        <f>+Y209+Z209+AA209+AB209+AC209+AD209+AE209+AF209+AG209+AH209+AI209+AJ209+AK209</f>
        <v>81470000</v>
      </c>
      <c r="AN209" s="200" t="s">
        <v>1621</v>
      </c>
      <c r="AO209" s="188"/>
    </row>
    <row r="210" spans="1:41" s="26" customFormat="1" ht="81.75" customHeight="1" x14ac:dyDescent="0.2">
      <c r="A210" s="178">
        <v>318</v>
      </c>
      <c r="B210" s="255" t="s">
        <v>1594</v>
      </c>
      <c r="C210" s="174">
        <v>1</v>
      </c>
      <c r="D210" s="232" t="s">
        <v>1580</v>
      </c>
      <c r="E210" s="174">
        <v>19</v>
      </c>
      <c r="F210" s="177" t="s">
        <v>147</v>
      </c>
      <c r="G210" s="174">
        <v>1903</v>
      </c>
      <c r="H210" s="177" t="s">
        <v>1550</v>
      </c>
      <c r="I210" s="174">
        <v>1903</v>
      </c>
      <c r="J210" s="177" t="s">
        <v>1551</v>
      </c>
      <c r="K210" s="177" t="s">
        <v>1021</v>
      </c>
      <c r="L210" s="174">
        <v>1903015</v>
      </c>
      <c r="M210" s="177" t="s">
        <v>1022</v>
      </c>
      <c r="N210" s="174">
        <v>1903015</v>
      </c>
      <c r="O210" s="177" t="s">
        <v>1022</v>
      </c>
      <c r="P210" s="237">
        <v>190301500</v>
      </c>
      <c r="Q210" s="177" t="s">
        <v>1023</v>
      </c>
      <c r="R210" s="237">
        <v>190301500</v>
      </c>
      <c r="S210" s="177" t="s">
        <v>1023</v>
      </c>
      <c r="T210" s="191" t="s">
        <v>1635</v>
      </c>
      <c r="U210" s="52">
        <v>12</v>
      </c>
      <c r="V210" s="191" t="s">
        <v>1018</v>
      </c>
      <c r="W210" s="177" t="s">
        <v>1019</v>
      </c>
      <c r="X210" s="177" t="s">
        <v>1020</v>
      </c>
      <c r="Y210" s="234"/>
      <c r="Z210" s="234"/>
      <c r="AA210" s="234"/>
      <c r="AB210" s="234"/>
      <c r="AC210" s="234">
        <v>211530000</v>
      </c>
      <c r="AD210" s="234"/>
      <c r="AE210" s="234"/>
      <c r="AF210" s="234"/>
      <c r="AG210" s="234"/>
      <c r="AH210" s="234"/>
      <c r="AI210" s="239"/>
      <c r="AJ210" s="234"/>
      <c r="AK210" s="234"/>
      <c r="AL210" s="234"/>
      <c r="AM210" s="218">
        <f>+Y210+Z210+AA210+AB210+AC210+AD210+AE210+AF210+AG210+AH210+AI210+AJ210+AK210</f>
        <v>211530000</v>
      </c>
      <c r="AN210" s="200" t="s">
        <v>1621</v>
      </c>
      <c r="AO210" s="188"/>
    </row>
    <row r="211" spans="1:41" s="26" customFormat="1" ht="134.25" customHeight="1" x14ac:dyDescent="0.2">
      <c r="A211" s="178">
        <v>318</v>
      </c>
      <c r="B211" s="255" t="s">
        <v>1594</v>
      </c>
      <c r="C211" s="174">
        <v>1</v>
      </c>
      <c r="D211" s="232" t="s">
        <v>1580</v>
      </c>
      <c r="E211" s="174">
        <v>19</v>
      </c>
      <c r="F211" s="177" t="s">
        <v>147</v>
      </c>
      <c r="G211" s="174">
        <v>1903</v>
      </c>
      <c r="H211" s="177" t="s">
        <v>1550</v>
      </c>
      <c r="I211" s="174">
        <v>1903</v>
      </c>
      <c r="J211" s="177" t="s">
        <v>1551</v>
      </c>
      <c r="K211" s="177" t="s">
        <v>1024</v>
      </c>
      <c r="L211" s="174">
        <v>1903012</v>
      </c>
      <c r="M211" s="177" t="s">
        <v>1025</v>
      </c>
      <c r="N211" s="174">
        <v>1903012</v>
      </c>
      <c r="O211" s="177" t="s">
        <v>1025</v>
      </c>
      <c r="P211" s="237">
        <v>190301200</v>
      </c>
      <c r="Q211" s="177" t="s">
        <v>1026</v>
      </c>
      <c r="R211" s="237">
        <v>190301200</v>
      </c>
      <c r="S211" s="177" t="s">
        <v>1026</v>
      </c>
      <c r="T211" s="191" t="s">
        <v>1635</v>
      </c>
      <c r="U211" s="52">
        <v>4000</v>
      </c>
      <c r="V211" s="191" t="s">
        <v>1027</v>
      </c>
      <c r="W211" s="177" t="s">
        <v>1028</v>
      </c>
      <c r="X211" s="177" t="s">
        <v>1029</v>
      </c>
      <c r="Y211" s="234"/>
      <c r="Z211" s="234"/>
      <c r="AA211" s="234"/>
      <c r="AB211" s="234">
        <f>100000000-100000000</f>
        <v>0</v>
      </c>
      <c r="AC211" s="266">
        <v>605090036</v>
      </c>
      <c r="AD211" s="266"/>
      <c r="AE211" s="234"/>
      <c r="AF211" s="234"/>
      <c r="AG211" s="234"/>
      <c r="AH211" s="234"/>
      <c r="AI211" s="239">
        <f>243062000-243062000+90734569</f>
        <v>90734569</v>
      </c>
      <c r="AJ211" s="234"/>
      <c r="AK211" s="190">
        <v>33078292</v>
      </c>
      <c r="AL211" s="190"/>
      <c r="AM211" s="218">
        <f>+Y211+Z211+AA211+AB211+AC211+AD211+AE211+AF211+AG211+AH211+AI211+AJ211+AK211</f>
        <v>728902897</v>
      </c>
      <c r="AN211" s="200" t="s">
        <v>1621</v>
      </c>
      <c r="AO211" s="188"/>
    </row>
    <row r="212" spans="1:41" s="26" customFormat="1" ht="77.25" customHeight="1" x14ac:dyDescent="0.2">
      <c r="A212" s="178">
        <v>318</v>
      </c>
      <c r="B212" s="255" t="s">
        <v>1594</v>
      </c>
      <c r="C212" s="174">
        <v>1</v>
      </c>
      <c r="D212" s="232" t="s">
        <v>1580</v>
      </c>
      <c r="E212" s="174">
        <v>19</v>
      </c>
      <c r="F212" s="177" t="s">
        <v>147</v>
      </c>
      <c r="G212" s="174">
        <v>1903</v>
      </c>
      <c r="H212" s="177" t="s">
        <v>1550</v>
      </c>
      <c r="I212" s="174">
        <v>1903</v>
      </c>
      <c r="J212" s="177" t="s">
        <v>1551</v>
      </c>
      <c r="K212" s="177" t="s">
        <v>1030</v>
      </c>
      <c r="L212" s="174">
        <v>1903016</v>
      </c>
      <c r="M212" s="177" t="s">
        <v>1031</v>
      </c>
      <c r="N212" s="174">
        <v>1903016</v>
      </c>
      <c r="O212" s="177" t="s">
        <v>1031</v>
      </c>
      <c r="P212" s="237">
        <v>190301600</v>
      </c>
      <c r="Q212" s="256" t="s">
        <v>1032</v>
      </c>
      <c r="R212" s="237">
        <v>190301600</v>
      </c>
      <c r="S212" s="256" t="s">
        <v>1032</v>
      </c>
      <c r="T212" s="191" t="s">
        <v>1635</v>
      </c>
      <c r="U212" s="52">
        <v>240</v>
      </c>
      <c r="V212" s="191" t="s">
        <v>1027</v>
      </c>
      <c r="W212" s="177" t="s">
        <v>1028</v>
      </c>
      <c r="X212" s="177" t="s">
        <v>1029</v>
      </c>
      <c r="Y212" s="234"/>
      <c r="Z212" s="234"/>
      <c r="AA212" s="234"/>
      <c r="AB212" s="234"/>
      <c r="AC212" s="266">
        <v>94000000</v>
      </c>
      <c r="AD212" s="234"/>
      <c r="AE212" s="234"/>
      <c r="AF212" s="234"/>
      <c r="AG212" s="234"/>
      <c r="AH212" s="234"/>
      <c r="AI212" s="239"/>
      <c r="AJ212" s="234"/>
      <c r="AK212" s="234"/>
      <c r="AL212" s="234"/>
      <c r="AM212" s="218">
        <f>+Y212+Z212+AA212+AB212+AC212+AD212+AE212+AF212+AG212+AH212+AI212+AJ212+AK212</f>
        <v>94000000</v>
      </c>
      <c r="AN212" s="200" t="s">
        <v>1621</v>
      </c>
      <c r="AO212" s="188"/>
    </row>
    <row r="213" spans="1:41" s="26" customFormat="1" ht="75" customHeight="1" x14ac:dyDescent="0.2">
      <c r="A213" s="178">
        <v>318</v>
      </c>
      <c r="B213" s="255" t="s">
        <v>1594</v>
      </c>
      <c r="C213" s="174">
        <v>1</v>
      </c>
      <c r="D213" s="232" t="s">
        <v>1580</v>
      </c>
      <c r="E213" s="174">
        <v>19</v>
      </c>
      <c r="F213" s="177" t="s">
        <v>147</v>
      </c>
      <c r="G213" s="174">
        <v>1903</v>
      </c>
      <c r="H213" s="177" t="s">
        <v>1550</v>
      </c>
      <c r="I213" s="174">
        <v>1903</v>
      </c>
      <c r="J213" s="177" t="s">
        <v>1551</v>
      </c>
      <c r="K213" s="177" t="s">
        <v>1012</v>
      </c>
      <c r="L213" s="174">
        <v>1903011</v>
      </c>
      <c r="M213" s="177" t="s">
        <v>1013</v>
      </c>
      <c r="N213" s="174">
        <v>1903011</v>
      </c>
      <c r="O213" s="177" t="s">
        <v>1013</v>
      </c>
      <c r="P213" s="237">
        <v>190301101</v>
      </c>
      <c r="Q213" s="177" t="s">
        <v>1033</v>
      </c>
      <c r="R213" s="237">
        <v>190301101</v>
      </c>
      <c r="S213" s="177" t="s">
        <v>1033</v>
      </c>
      <c r="T213" s="191" t="s">
        <v>1635</v>
      </c>
      <c r="U213" s="52">
        <v>12</v>
      </c>
      <c r="V213" s="191" t="s">
        <v>1027</v>
      </c>
      <c r="W213" s="177" t="s">
        <v>1028</v>
      </c>
      <c r="X213" s="177" t="s">
        <v>1029</v>
      </c>
      <c r="Y213" s="234"/>
      <c r="Z213" s="234"/>
      <c r="AA213" s="234"/>
      <c r="AB213" s="234"/>
      <c r="AC213" s="266">
        <v>124811412</v>
      </c>
      <c r="AD213" s="234"/>
      <c r="AE213" s="234"/>
      <c r="AF213" s="234"/>
      <c r="AG213" s="234"/>
      <c r="AH213" s="234"/>
      <c r="AI213" s="239"/>
      <c r="AJ213" s="234"/>
      <c r="AK213" s="234"/>
      <c r="AL213" s="234"/>
      <c r="AM213" s="218">
        <f>+Y213+Z213+AA213+AB213+AC213+AD213+AE213+AF213+AG213+AH213+AI213+AJ213+AK213</f>
        <v>124811412</v>
      </c>
      <c r="AN213" s="200" t="s">
        <v>1621</v>
      </c>
      <c r="AO213" s="188"/>
    </row>
    <row r="214" spans="1:41" s="26" customFormat="1" ht="86.25" customHeight="1" x14ac:dyDescent="0.2">
      <c r="A214" s="178">
        <v>318</v>
      </c>
      <c r="B214" s="255" t="s">
        <v>1594</v>
      </c>
      <c r="C214" s="174">
        <v>1</v>
      </c>
      <c r="D214" s="232" t="s">
        <v>1580</v>
      </c>
      <c r="E214" s="174">
        <v>19</v>
      </c>
      <c r="F214" s="177" t="s">
        <v>147</v>
      </c>
      <c r="G214" s="174">
        <v>1903</v>
      </c>
      <c r="H214" s="177" t="s">
        <v>1550</v>
      </c>
      <c r="I214" s="174">
        <v>1903</v>
      </c>
      <c r="J214" s="177" t="s">
        <v>1551</v>
      </c>
      <c r="K214" s="177" t="s">
        <v>1012</v>
      </c>
      <c r="L214" s="174">
        <v>1903034</v>
      </c>
      <c r="M214" s="177" t="s">
        <v>103</v>
      </c>
      <c r="N214" s="174">
        <v>1903034</v>
      </c>
      <c r="O214" s="177" t="s">
        <v>103</v>
      </c>
      <c r="P214" s="237">
        <v>190303400</v>
      </c>
      <c r="Q214" s="177" t="s">
        <v>1034</v>
      </c>
      <c r="R214" s="237">
        <v>190303400</v>
      </c>
      <c r="S214" s="177" t="s">
        <v>1034</v>
      </c>
      <c r="T214" s="191" t="s">
        <v>1635</v>
      </c>
      <c r="U214" s="52">
        <v>12</v>
      </c>
      <c r="V214" s="191" t="s">
        <v>1035</v>
      </c>
      <c r="W214" s="175" t="s">
        <v>1036</v>
      </c>
      <c r="X214" s="175" t="s">
        <v>1037</v>
      </c>
      <c r="Y214" s="234"/>
      <c r="Z214" s="234"/>
      <c r="AA214" s="234"/>
      <c r="AB214" s="234"/>
      <c r="AC214" s="234"/>
      <c r="AD214" s="266"/>
      <c r="AE214" s="234"/>
      <c r="AF214" s="234"/>
      <c r="AG214" s="234"/>
      <c r="AH214" s="234"/>
      <c r="AI214" s="239">
        <v>96954000</v>
      </c>
      <c r="AJ214" s="234"/>
      <c r="AK214" s="234"/>
      <c r="AL214" s="234"/>
      <c r="AM214" s="218">
        <f>+Y214+Z214+AA214+AB214+AC214+AD214+AE214+AF214+AG214+AH214+AI214+AJ214+AK214</f>
        <v>96954000</v>
      </c>
      <c r="AN214" s="200" t="s">
        <v>1621</v>
      </c>
      <c r="AO214" s="188"/>
    </row>
    <row r="215" spans="1:41" s="26" customFormat="1" ht="75" customHeight="1" x14ac:dyDescent="0.2">
      <c r="A215" s="178">
        <v>318</v>
      </c>
      <c r="B215" s="255" t="s">
        <v>1594</v>
      </c>
      <c r="C215" s="174">
        <v>1</v>
      </c>
      <c r="D215" s="232" t="s">
        <v>1580</v>
      </c>
      <c r="E215" s="174">
        <v>19</v>
      </c>
      <c r="F215" s="177" t="s">
        <v>147</v>
      </c>
      <c r="G215" s="174">
        <v>1903</v>
      </c>
      <c r="H215" s="177" t="s">
        <v>1550</v>
      </c>
      <c r="I215" s="174">
        <v>1903</v>
      </c>
      <c r="J215" s="177" t="s">
        <v>1551</v>
      </c>
      <c r="K215" s="177" t="s">
        <v>1038</v>
      </c>
      <c r="L215" s="174">
        <v>1903045</v>
      </c>
      <c r="M215" s="177" t="s">
        <v>1039</v>
      </c>
      <c r="N215" s="174">
        <v>1903045</v>
      </c>
      <c r="O215" s="177" t="s">
        <v>1039</v>
      </c>
      <c r="P215" s="237">
        <v>190304500</v>
      </c>
      <c r="Q215" s="256" t="s">
        <v>1040</v>
      </c>
      <c r="R215" s="237">
        <v>190304500</v>
      </c>
      <c r="S215" s="256" t="s">
        <v>1040</v>
      </c>
      <c r="T215" s="191" t="s">
        <v>1637</v>
      </c>
      <c r="U215" s="52">
        <f>725+3</f>
        <v>728</v>
      </c>
      <c r="V215" s="191" t="s">
        <v>1041</v>
      </c>
      <c r="W215" s="175" t="s">
        <v>1042</v>
      </c>
      <c r="X215" s="175" t="s">
        <v>1043</v>
      </c>
      <c r="Y215" s="234"/>
      <c r="Z215" s="234"/>
      <c r="AA215" s="234"/>
      <c r="AB215" s="234"/>
      <c r="AC215" s="234"/>
      <c r="AD215" s="266"/>
      <c r="AE215" s="234"/>
      <c r="AF215" s="234"/>
      <c r="AG215" s="234"/>
      <c r="AH215" s="234"/>
      <c r="AI215" s="239">
        <v>19636000</v>
      </c>
      <c r="AJ215" s="234"/>
      <c r="AK215" s="234"/>
      <c r="AL215" s="234"/>
      <c r="AM215" s="218">
        <f>+Y215+Z215+AA215+AB215+AC215+AD215+AE215+AF215+AG215+AH215+AI215+AJ215+AK215</f>
        <v>19636000</v>
      </c>
      <c r="AN215" s="200" t="s">
        <v>1621</v>
      </c>
      <c r="AO215" s="188"/>
    </row>
    <row r="216" spans="1:41" s="26" customFormat="1" ht="95.25" customHeight="1" x14ac:dyDescent="0.2">
      <c r="A216" s="178">
        <v>318</v>
      </c>
      <c r="B216" s="255" t="s">
        <v>1594</v>
      </c>
      <c r="C216" s="174">
        <v>1</v>
      </c>
      <c r="D216" s="232" t="s">
        <v>1580</v>
      </c>
      <c r="E216" s="174">
        <v>19</v>
      </c>
      <c r="F216" s="177" t="s">
        <v>147</v>
      </c>
      <c r="G216" s="174">
        <v>1903</v>
      </c>
      <c r="H216" s="177" t="s">
        <v>1550</v>
      </c>
      <c r="I216" s="174">
        <v>1903</v>
      </c>
      <c r="J216" s="177" t="s">
        <v>1551</v>
      </c>
      <c r="K216" s="177" t="s">
        <v>1016</v>
      </c>
      <c r="L216" s="174">
        <v>1903001</v>
      </c>
      <c r="M216" s="177" t="s">
        <v>84</v>
      </c>
      <c r="N216" s="174">
        <v>1903001</v>
      </c>
      <c r="O216" s="177" t="s">
        <v>84</v>
      </c>
      <c r="P216" s="237">
        <v>190300100</v>
      </c>
      <c r="Q216" s="256" t="s">
        <v>1017</v>
      </c>
      <c r="R216" s="237">
        <v>190300100</v>
      </c>
      <c r="S216" s="256" t="s">
        <v>1017</v>
      </c>
      <c r="T216" s="191" t="s">
        <v>1635</v>
      </c>
      <c r="U216" s="174">
        <v>1</v>
      </c>
      <c r="V216" s="191" t="s">
        <v>1041</v>
      </c>
      <c r="W216" s="175" t="s">
        <v>1042</v>
      </c>
      <c r="X216" s="175" t="s">
        <v>1043</v>
      </c>
      <c r="Y216" s="234"/>
      <c r="Z216" s="234"/>
      <c r="AA216" s="234"/>
      <c r="AB216" s="234"/>
      <c r="AC216" s="234"/>
      <c r="AD216" s="266"/>
      <c r="AE216" s="234"/>
      <c r="AF216" s="234"/>
      <c r="AG216" s="234"/>
      <c r="AH216" s="234"/>
      <c r="AI216" s="239">
        <v>15000000</v>
      </c>
      <c r="AJ216" s="234"/>
      <c r="AK216" s="234"/>
      <c r="AL216" s="234"/>
      <c r="AM216" s="218">
        <f>+Y216+Z216+AA216+AB216+AC216+AD216+AE216+AF216+AG216+AH216+AI216+AJ216+AK216</f>
        <v>15000000</v>
      </c>
      <c r="AN216" s="200" t="s">
        <v>1621</v>
      </c>
      <c r="AO216" s="188"/>
    </row>
    <row r="217" spans="1:41" s="26" customFormat="1" ht="71.25" customHeight="1" x14ac:dyDescent="0.2">
      <c r="A217" s="178">
        <v>318</v>
      </c>
      <c r="B217" s="255" t="s">
        <v>1594</v>
      </c>
      <c r="C217" s="174">
        <v>1</v>
      </c>
      <c r="D217" s="232" t="s">
        <v>1580</v>
      </c>
      <c r="E217" s="174">
        <v>19</v>
      </c>
      <c r="F217" s="177" t="s">
        <v>147</v>
      </c>
      <c r="G217" s="174">
        <v>1903</v>
      </c>
      <c r="H217" s="177" t="s">
        <v>1550</v>
      </c>
      <c r="I217" s="174">
        <v>1903</v>
      </c>
      <c r="J217" s="177" t="s">
        <v>1551</v>
      </c>
      <c r="K217" s="256" t="s">
        <v>1044</v>
      </c>
      <c r="L217" s="237">
        <v>1903010</v>
      </c>
      <c r="M217" s="296" t="s">
        <v>1045</v>
      </c>
      <c r="N217" s="237">
        <v>1903010</v>
      </c>
      <c r="O217" s="296" t="s">
        <v>1045</v>
      </c>
      <c r="P217" s="237">
        <v>190301000</v>
      </c>
      <c r="Q217" s="256" t="s">
        <v>1046</v>
      </c>
      <c r="R217" s="237">
        <v>190301000</v>
      </c>
      <c r="S217" s="256" t="s">
        <v>1046</v>
      </c>
      <c r="T217" s="191" t="s">
        <v>1635</v>
      </c>
      <c r="U217" s="52">
        <v>12</v>
      </c>
      <c r="V217" s="191" t="s">
        <v>1041</v>
      </c>
      <c r="W217" s="175" t="s">
        <v>1042</v>
      </c>
      <c r="X217" s="175" t="s">
        <v>1043</v>
      </c>
      <c r="Y217" s="234"/>
      <c r="Z217" s="234"/>
      <c r="AA217" s="234"/>
      <c r="AB217" s="234"/>
      <c r="AC217" s="234"/>
      <c r="AD217" s="266"/>
      <c r="AE217" s="234"/>
      <c r="AF217" s="234"/>
      <c r="AG217" s="234"/>
      <c r="AH217" s="234"/>
      <c r="AI217" s="239">
        <v>15000000</v>
      </c>
      <c r="AJ217" s="234"/>
      <c r="AK217" s="234"/>
      <c r="AL217" s="234"/>
      <c r="AM217" s="218">
        <f>+Y217+Z217+AA217+AB217+AC217+AD217+AE217+AF217+AG217+AH217+AI217+AJ217+AK217</f>
        <v>15000000</v>
      </c>
      <c r="AN217" s="200" t="s">
        <v>1621</v>
      </c>
      <c r="AO217" s="188"/>
    </row>
    <row r="218" spans="1:41" s="26" customFormat="1" ht="76.5" customHeight="1" x14ac:dyDescent="0.2">
      <c r="A218" s="178">
        <v>318</v>
      </c>
      <c r="B218" s="255" t="s">
        <v>1594</v>
      </c>
      <c r="C218" s="174">
        <v>1</v>
      </c>
      <c r="D218" s="232" t="s">
        <v>1580</v>
      </c>
      <c r="E218" s="174">
        <v>19</v>
      </c>
      <c r="F218" s="177" t="s">
        <v>147</v>
      </c>
      <c r="G218" s="174">
        <v>1903</v>
      </c>
      <c r="H218" s="177" t="s">
        <v>1550</v>
      </c>
      <c r="I218" s="174">
        <v>1903</v>
      </c>
      <c r="J218" s="177" t="s">
        <v>1551</v>
      </c>
      <c r="K218" s="177" t="s">
        <v>1047</v>
      </c>
      <c r="L218" s="174">
        <v>1903011</v>
      </c>
      <c r="M218" s="177" t="s">
        <v>1013</v>
      </c>
      <c r="N218" s="174">
        <v>1903011</v>
      </c>
      <c r="O218" s="177" t="s">
        <v>1013</v>
      </c>
      <c r="P218" s="237">
        <v>190301101</v>
      </c>
      <c r="Q218" s="177" t="s">
        <v>1033</v>
      </c>
      <c r="R218" s="237">
        <v>190301101</v>
      </c>
      <c r="S218" s="177" t="s">
        <v>1033</v>
      </c>
      <c r="T218" s="191" t="s">
        <v>1635</v>
      </c>
      <c r="U218" s="52">
        <v>12</v>
      </c>
      <c r="V218" s="191" t="s">
        <v>1041</v>
      </c>
      <c r="W218" s="175" t="s">
        <v>1042</v>
      </c>
      <c r="X218" s="175" t="s">
        <v>1043</v>
      </c>
      <c r="Y218" s="234"/>
      <c r="Z218" s="234"/>
      <c r="AA218" s="234"/>
      <c r="AB218" s="234"/>
      <c r="AC218" s="234"/>
      <c r="AD218" s="266"/>
      <c r="AE218" s="234"/>
      <c r="AF218" s="234"/>
      <c r="AG218" s="234"/>
      <c r="AH218" s="234"/>
      <c r="AI218" s="239">
        <v>15000000</v>
      </c>
      <c r="AJ218" s="234"/>
      <c r="AK218" s="234"/>
      <c r="AL218" s="234"/>
      <c r="AM218" s="218">
        <f>+Y218+Z218+AA218+AB218+AC218+AD218+AE218+AF218+AG218+AH218+AI218+AJ218+AK218</f>
        <v>15000000</v>
      </c>
      <c r="AN218" s="200" t="s">
        <v>1621</v>
      </c>
      <c r="AO218" s="188"/>
    </row>
    <row r="219" spans="1:41" s="26" customFormat="1" ht="58.5" customHeight="1" x14ac:dyDescent="0.2">
      <c r="A219" s="178">
        <v>318</v>
      </c>
      <c r="B219" s="255" t="s">
        <v>1594</v>
      </c>
      <c r="C219" s="174">
        <v>1</v>
      </c>
      <c r="D219" s="232" t="s">
        <v>1580</v>
      </c>
      <c r="E219" s="174">
        <v>19</v>
      </c>
      <c r="F219" s="177" t="s">
        <v>147</v>
      </c>
      <c r="G219" s="174">
        <v>1903</v>
      </c>
      <c r="H219" s="177" t="s">
        <v>1550</v>
      </c>
      <c r="I219" s="174">
        <v>1903</v>
      </c>
      <c r="J219" s="177" t="s">
        <v>1551</v>
      </c>
      <c r="K219" s="177" t="s">
        <v>1048</v>
      </c>
      <c r="L219" s="174">
        <v>1903047</v>
      </c>
      <c r="M219" s="177" t="s">
        <v>1049</v>
      </c>
      <c r="N219" s="174">
        <v>1903047</v>
      </c>
      <c r="O219" s="177" t="s">
        <v>1049</v>
      </c>
      <c r="P219" s="237">
        <v>190304701</v>
      </c>
      <c r="Q219" s="256" t="s">
        <v>1050</v>
      </c>
      <c r="R219" s="237">
        <v>190304701</v>
      </c>
      <c r="S219" s="256" t="s">
        <v>1050</v>
      </c>
      <c r="T219" s="191" t="s">
        <v>1635</v>
      </c>
      <c r="U219" s="52">
        <v>1</v>
      </c>
      <c r="V219" s="191" t="s">
        <v>1051</v>
      </c>
      <c r="W219" s="175" t="s">
        <v>1052</v>
      </c>
      <c r="X219" s="175" t="s">
        <v>1053</v>
      </c>
      <c r="Y219" s="234"/>
      <c r="Z219" s="234"/>
      <c r="AA219" s="234"/>
      <c r="AB219" s="234"/>
      <c r="AC219" s="234"/>
      <c r="AD219" s="211">
        <v>10000000</v>
      </c>
      <c r="AE219" s="234"/>
      <c r="AF219" s="234"/>
      <c r="AG219" s="234"/>
      <c r="AH219" s="234"/>
      <c r="AI219" s="239"/>
      <c r="AJ219" s="234"/>
      <c r="AK219" s="234"/>
      <c r="AL219" s="234"/>
      <c r="AM219" s="218">
        <f>+Y219+Z219+AA219+AB219+AC219+AD219+AE219+AF219+AG219+AH219+AI219+AJ219+AK219</f>
        <v>10000000</v>
      </c>
      <c r="AN219" s="200" t="s">
        <v>1621</v>
      </c>
      <c r="AO219" s="188"/>
    </row>
    <row r="220" spans="1:41" s="26" customFormat="1" ht="90.75" customHeight="1" x14ac:dyDescent="0.2">
      <c r="A220" s="178">
        <v>318</v>
      </c>
      <c r="B220" s="255" t="s">
        <v>1594</v>
      </c>
      <c r="C220" s="174">
        <v>1</v>
      </c>
      <c r="D220" s="232" t="s">
        <v>1580</v>
      </c>
      <c r="E220" s="174">
        <v>19</v>
      </c>
      <c r="F220" s="177" t="s">
        <v>147</v>
      </c>
      <c r="G220" s="174">
        <v>1903</v>
      </c>
      <c r="H220" s="177" t="s">
        <v>1550</v>
      </c>
      <c r="I220" s="174">
        <v>1903</v>
      </c>
      <c r="J220" s="177" t="s">
        <v>1551</v>
      </c>
      <c r="K220" s="177" t="s">
        <v>1054</v>
      </c>
      <c r="L220" s="174">
        <v>1903019</v>
      </c>
      <c r="M220" s="177" t="s">
        <v>1055</v>
      </c>
      <c r="N220" s="174">
        <v>1903019</v>
      </c>
      <c r="O220" s="177" t="s">
        <v>1055</v>
      </c>
      <c r="P220" s="237">
        <v>190301900</v>
      </c>
      <c r="Q220" s="177" t="s">
        <v>1056</v>
      </c>
      <c r="R220" s="237">
        <v>190301900</v>
      </c>
      <c r="S220" s="177" t="s">
        <v>1056</v>
      </c>
      <c r="T220" s="191" t="s">
        <v>1635</v>
      </c>
      <c r="U220" s="52">
        <v>75</v>
      </c>
      <c r="V220" s="191" t="s">
        <v>1051</v>
      </c>
      <c r="W220" s="175" t="s">
        <v>1052</v>
      </c>
      <c r="X220" s="175" t="s">
        <v>1053</v>
      </c>
      <c r="Y220" s="234"/>
      <c r="Z220" s="234"/>
      <c r="AA220" s="234"/>
      <c r="AB220" s="234"/>
      <c r="AC220" s="234"/>
      <c r="AD220" s="194">
        <f>55000000-27918995</f>
        <v>27081005</v>
      </c>
      <c r="AE220" s="298"/>
      <c r="AF220" s="234"/>
      <c r="AG220" s="234"/>
      <c r="AH220" s="234"/>
      <c r="AI220" s="239"/>
      <c r="AJ220" s="234"/>
      <c r="AK220" s="234"/>
      <c r="AL220" s="234"/>
      <c r="AM220" s="218">
        <f>+Y220+Z220+AA220+AB220+AC220+AD220+AE220+AF220+AG220+AH220+AI220+AJ220+AK220</f>
        <v>27081005</v>
      </c>
      <c r="AN220" s="200" t="s">
        <v>1621</v>
      </c>
      <c r="AO220" s="188"/>
    </row>
    <row r="221" spans="1:41" s="26" customFormat="1" ht="88.5" customHeight="1" x14ac:dyDescent="0.2">
      <c r="A221" s="178">
        <v>318</v>
      </c>
      <c r="B221" s="255" t="s">
        <v>1594</v>
      </c>
      <c r="C221" s="174">
        <v>1</v>
      </c>
      <c r="D221" s="232" t="s">
        <v>1580</v>
      </c>
      <c r="E221" s="174">
        <v>19</v>
      </c>
      <c r="F221" s="177" t="s">
        <v>147</v>
      </c>
      <c r="G221" s="174">
        <v>1903</v>
      </c>
      <c r="H221" s="177" t="s">
        <v>1550</v>
      </c>
      <c r="I221" s="174">
        <v>1903</v>
      </c>
      <c r="J221" s="177" t="s">
        <v>1551</v>
      </c>
      <c r="K221" s="177" t="s">
        <v>1057</v>
      </c>
      <c r="L221" s="174">
        <v>1903028</v>
      </c>
      <c r="M221" s="177" t="s">
        <v>1058</v>
      </c>
      <c r="N221" s="174">
        <v>1903028</v>
      </c>
      <c r="O221" s="177" t="s">
        <v>1058</v>
      </c>
      <c r="P221" s="237">
        <v>190302800</v>
      </c>
      <c r="Q221" s="177" t="s">
        <v>1059</v>
      </c>
      <c r="R221" s="237">
        <v>190302800</v>
      </c>
      <c r="S221" s="177" t="s">
        <v>1059</v>
      </c>
      <c r="T221" s="191" t="s">
        <v>1635</v>
      </c>
      <c r="U221" s="52">
        <v>250</v>
      </c>
      <c r="V221" s="191" t="s">
        <v>1051</v>
      </c>
      <c r="W221" s="175" t="s">
        <v>1052</v>
      </c>
      <c r="X221" s="175" t="s">
        <v>1053</v>
      </c>
      <c r="Y221" s="234"/>
      <c r="Z221" s="234"/>
      <c r="AA221" s="234"/>
      <c r="AB221" s="234"/>
      <c r="AC221" s="234"/>
      <c r="AD221" s="194">
        <v>14000000</v>
      </c>
      <c r="AE221" s="234"/>
      <c r="AF221" s="234"/>
      <c r="AG221" s="234"/>
      <c r="AH221" s="234"/>
      <c r="AI221" s="239"/>
      <c r="AJ221" s="234"/>
      <c r="AK221" s="234"/>
      <c r="AL221" s="234"/>
      <c r="AM221" s="218">
        <f>+Y221+Z221+AA221+AB221+AC221+AD221+AE221+AF221+AG221+AH221+AI221+AJ221+AK221</f>
        <v>14000000</v>
      </c>
      <c r="AN221" s="200" t="s">
        <v>1621</v>
      </c>
      <c r="AO221" s="188"/>
    </row>
    <row r="222" spans="1:41" s="26" customFormat="1" ht="85.5" customHeight="1" x14ac:dyDescent="0.2">
      <c r="A222" s="178">
        <v>318</v>
      </c>
      <c r="B222" s="255" t="s">
        <v>1594</v>
      </c>
      <c r="C222" s="174">
        <v>1</v>
      </c>
      <c r="D222" s="232" t="s">
        <v>1580</v>
      </c>
      <c r="E222" s="174">
        <v>19</v>
      </c>
      <c r="F222" s="177" t="s">
        <v>147</v>
      </c>
      <c r="G222" s="174">
        <v>1903</v>
      </c>
      <c r="H222" s="177" t="s">
        <v>1550</v>
      </c>
      <c r="I222" s="174">
        <v>1903</v>
      </c>
      <c r="J222" s="177" t="s">
        <v>1551</v>
      </c>
      <c r="K222" s="177" t="s">
        <v>1021</v>
      </c>
      <c r="L222" s="174">
        <v>1903025</v>
      </c>
      <c r="M222" s="194" t="s">
        <v>1060</v>
      </c>
      <c r="N222" s="174">
        <v>1903025</v>
      </c>
      <c r="O222" s="177" t="s">
        <v>1060</v>
      </c>
      <c r="P222" s="237">
        <v>190302500</v>
      </c>
      <c r="Q222" s="194" t="s">
        <v>1061</v>
      </c>
      <c r="R222" s="237">
        <v>190302500</v>
      </c>
      <c r="S222" s="177" t="s">
        <v>1061</v>
      </c>
      <c r="T222" s="191" t="s">
        <v>1635</v>
      </c>
      <c r="U222" s="52">
        <v>12</v>
      </c>
      <c r="V222" s="191" t="s">
        <v>1051</v>
      </c>
      <c r="W222" s="175" t="s">
        <v>1052</v>
      </c>
      <c r="X222" s="175" t="s">
        <v>1053</v>
      </c>
      <c r="Y222" s="234"/>
      <c r="Z222" s="234"/>
      <c r="AA222" s="234"/>
      <c r="AB222" s="194"/>
      <c r="AC222" s="194"/>
      <c r="AD222" s="194">
        <v>40000000</v>
      </c>
      <c r="AE222" s="234"/>
      <c r="AF222" s="234"/>
      <c r="AG222" s="234"/>
      <c r="AH222" s="234"/>
      <c r="AI222" s="239"/>
      <c r="AJ222" s="234"/>
      <c r="AK222" s="234"/>
      <c r="AL222" s="234"/>
      <c r="AM222" s="218">
        <f>+Y222+Z222+AA222+AB222+AC222+AD222+AE222+AF222+AG222+AH222+AI222+AJ222+AK222</f>
        <v>40000000</v>
      </c>
      <c r="AN222" s="200" t="s">
        <v>1621</v>
      </c>
      <c r="AO222" s="188"/>
    </row>
    <row r="223" spans="1:41" s="26" customFormat="1" ht="159.75" customHeight="1" x14ac:dyDescent="0.2">
      <c r="A223" s="178">
        <v>318</v>
      </c>
      <c r="B223" s="255" t="s">
        <v>1594</v>
      </c>
      <c r="C223" s="174">
        <v>1</v>
      </c>
      <c r="D223" s="232" t="s">
        <v>1580</v>
      </c>
      <c r="E223" s="174">
        <v>19</v>
      </c>
      <c r="F223" s="177" t="s">
        <v>147</v>
      </c>
      <c r="G223" s="174">
        <v>1905</v>
      </c>
      <c r="H223" s="177" t="s">
        <v>768</v>
      </c>
      <c r="I223" s="174">
        <v>1905</v>
      </c>
      <c r="J223" s="177" t="s">
        <v>1552</v>
      </c>
      <c r="K223" s="177" t="s">
        <v>998</v>
      </c>
      <c r="L223" s="174">
        <v>1905028</v>
      </c>
      <c r="M223" s="177" t="s">
        <v>1062</v>
      </c>
      <c r="N223" s="174">
        <v>1905028</v>
      </c>
      <c r="O223" s="177" t="s">
        <v>1062</v>
      </c>
      <c r="P223" s="237">
        <v>190502800</v>
      </c>
      <c r="Q223" s="177" t="s">
        <v>1063</v>
      </c>
      <c r="R223" s="237">
        <v>190502800</v>
      </c>
      <c r="S223" s="177" t="s">
        <v>1063</v>
      </c>
      <c r="T223" s="191" t="s">
        <v>1635</v>
      </c>
      <c r="U223" s="52">
        <v>12</v>
      </c>
      <c r="V223" s="191" t="s">
        <v>1064</v>
      </c>
      <c r="W223" s="175" t="s">
        <v>1065</v>
      </c>
      <c r="X223" s="175" t="s">
        <v>1066</v>
      </c>
      <c r="Y223" s="234"/>
      <c r="Z223" s="234"/>
      <c r="AA223" s="234"/>
      <c r="AB223" s="234"/>
      <c r="AC223" s="234">
        <v>38000000</v>
      </c>
      <c r="AD223" s="234"/>
      <c r="AE223" s="234"/>
      <c r="AF223" s="234"/>
      <c r="AG223" s="234"/>
      <c r="AH223" s="234"/>
      <c r="AI223" s="239"/>
      <c r="AJ223" s="234"/>
      <c r="AK223" s="234"/>
      <c r="AL223" s="234"/>
      <c r="AM223" s="218">
        <f>+Y223+Z223+AA223+AB223+AC223+AD223+AE223+AF223+AG223+AH223+AI223+AJ223+AK223</f>
        <v>38000000</v>
      </c>
      <c r="AN223" s="200" t="s">
        <v>1621</v>
      </c>
      <c r="AO223" s="188"/>
    </row>
    <row r="224" spans="1:41" s="26" customFormat="1" ht="114.75" customHeight="1" x14ac:dyDescent="0.2">
      <c r="A224" s="178">
        <v>318</v>
      </c>
      <c r="B224" s="255" t="s">
        <v>1594</v>
      </c>
      <c r="C224" s="174">
        <v>1</v>
      </c>
      <c r="D224" s="232" t="s">
        <v>1580</v>
      </c>
      <c r="E224" s="174">
        <v>19</v>
      </c>
      <c r="F224" s="177" t="s">
        <v>147</v>
      </c>
      <c r="G224" s="174">
        <v>1905</v>
      </c>
      <c r="H224" s="177" t="s">
        <v>768</v>
      </c>
      <c r="I224" s="174">
        <v>1905</v>
      </c>
      <c r="J224" s="177" t="s">
        <v>1552</v>
      </c>
      <c r="K224" s="177" t="s">
        <v>998</v>
      </c>
      <c r="L224" s="174">
        <v>1905031</v>
      </c>
      <c r="M224" s="177" t="s">
        <v>1067</v>
      </c>
      <c r="N224" s="174">
        <v>1905031</v>
      </c>
      <c r="O224" s="177" t="s">
        <v>1067</v>
      </c>
      <c r="P224" s="174">
        <v>190503100</v>
      </c>
      <c r="Q224" s="177" t="s">
        <v>1068</v>
      </c>
      <c r="R224" s="174">
        <v>190503100</v>
      </c>
      <c r="S224" s="177" t="s">
        <v>1068</v>
      </c>
      <c r="T224" s="191" t="s">
        <v>1635</v>
      </c>
      <c r="U224" s="52">
        <v>12</v>
      </c>
      <c r="V224" s="191" t="s">
        <v>1064</v>
      </c>
      <c r="W224" s="175" t="s">
        <v>1065</v>
      </c>
      <c r="X224" s="175" t="s">
        <v>1066</v>
      </c>
      <c r="Y224" s="234"/>
      <c r="Z224" s="234"/>
      <c r="AA224" s="234"/>
      <c r="AB224" s="234"/>
      <c r="AC224" s="234">
        <v>38000000</v>
      </c>
      <c r="AD224" s="234"/>
      <c r="AE224" s="234"/>
      <c r="AF224" s="234"/>
      <c r="AG224" s="234"/>
      <c r="AH224" s="234"/>
      <c r="AI224" s="239"/>
      <c r="AJ224" s="234"/>
      <c r="AK224" s="234"/>
      <c r="AL224" s="234"/>
      <c r="AM224" s="218">
        <f>+Y224+Z224+AA224+AB224+AC224+AD224+AE224+AF224+AG224+AH224+AI224+AJ224+AK224</f>
        <v>38000000</v>
      </c>
      <c r="AN224" s="200" t="s">
        <v>1621</v>
      </c>
      <c r="AO224" s="188"/>
    </row>
    <row r="225" spans="1:41" s="26" customFormat="1" ht="73.5" customHeight="1" x14ac:dyDescent="0.2">
      <c r="A225" s="178">
        <v>318</v>
      </c>
      <c r="B225" s="255" t="s">
        <v>1594</v>
      </c>
      <c r="C225" s="174">
        <v>1</v>
      </c>
      <c r="D225" s="232" t="s">
        <v>1580</v>
      </c>
      <c r="E225" s="174">
        <v>19</v>
      </c>
      <c r="F225" s="177" t="s">
        <v>147</v>
      </c>
      <c r="G225" s="174">
        <v>1905</v>
      </c>
      <c r="H225" s="177" t="s">
        <v>768</v>
      </c>
      <c r="I225" s="174">
        <v>1905</v>
      </c>
      <c r="J225" s="177" t="s">
        <v>1552</v>
      </c>
      <c r="K225" s="177" t="s">
        <v>1069</v>
      </c>
      <c r="L225" s="174">
        <v>1905019</v>
      </c>
      <c r="M225" s="177" t="s">
        <v>1070</v>
      </c>
      <c r="N225" s="174">
        <v>1905019</v>
      </c>
      <c r="O225" s="177" t="s">
        <v>1070</v>
      </c>
      <c r="P225" s="174">
        <v>190501900</v>
      </c>
      <c r="Q225" s="177" t="s">
        <v>330</v>
      </c>
      <c r="R225" s="174">
        <v>190501900</v>
      </c>
      <c r="S225" s="177" t="s">
        <v>330</v>
      </c>
      <c r="T225" s="191" t="s">
        <v>1635</v>
      </c>
      <c r="U225" s="52">
        <v>60</v>
      </c>
      <c r="V225" s="191" t="s">
        <v>1071</v>
      </c>
      <c r="W225" s="175" t="s">
        <v>1072</v>
      </c>
      <c r="X225" s="175" t="s">
        <v>1073</v>
      </c>
      <c r="Y225" s="234"/>
      <c r="Z225" s="234"/>
      <c r="AA225" s="234"/>
      <c r="AB225" s="234"/>
      <c r="AC225" s="299">
        <v>20000000</v>
      </c>
      <c r="AD225" s="234"/>
      <c r="AE225" s="234"/>
      <c r="AF225" s="234"/>
      <c r="AG225" s="234"/>
      <c r="AH225" s="234"/>
      <c r="AI225" s="239"/>
      <c r="AJ225" s="234"/>
      <c r="AK225" s="234"/>
      <c r="AL225" s="234"/>
      <c r="AM225" s="218">
        <f>+Y225+Z225+AA225+AB225+AC225+AD225+AE225+AF225+AG225+AH225+AI225+AJ225+AK225</f>
        <v>20000000</v>
      </c>
      <c r="AN225" s="200" t="s">
        <v>1621</v>
      </c>
      <c r="AO225" s="188"/>
    </row>
    <row r="226" spans="1:41" s="26" customFormat="1" ht="152.25" customHeight="1" x14ac:dyDescent="0.2">
      <c r="A226" s="178">
        <v>318</v>
      </c>
      <c r="B226" s="255" t="s">
        <v>1594</v>
      </c>
      <c r="C226" s="174">
        <v>1</v>
      </c>
      <c r="D226" s="232" t="s">
        <v>1580</v>
      </c>
      <c r="E226" s="174">
        <v>19</v>
      </c>
      <c r="F226" s="177" t="s">
        <v>147</v>
      </c>
      <c r="G226" s="174">
        <v>1905</v>
      </c>
      <c r="H226" s="177" t="s">
        <v>768</v>
      </c>
      <c r="I226" s="174">
        <v>1905</v>
      </c>
      <c r="J226" s="177" t="s">
        <v>1552</v>
      </c>
      <c r="K226" s="177" t="s">
        <v>1074</v>
      </c>
      <c r="L226" s="174" t="s">
        <v>1075</v>
      </c>
      <c r="M226" s="177" t="s">
        <v>1076</v>
      </c>
      <c r="N226" s="174">
        <v>1905031</v>
      </c>
      <c r="O226" s="177" t="s">
        <v>1077</v>
      </c>
      <c r="P226" s="174" t="s">
        <v>41</v>
      </c>
      <c r="Q226" s="177" t="s">
        <v>1078</v>
      </c>
      <c r="R226" s="174">
        <v>190503100</v>
      </c>
      <c r="S226" s="177" t="s">
        <v>1641</v>
      </c>
      <c r="T226" s="191" t="s">
        <v>1635</v>
      </c>
      <c r="U226" s="52">
        <v>11</v>
      </c>
      <c r="V226" s="191" t="s">
        <v>1071</v>
      </c>
      <c r="W226" s="175" t="s">
        <v>1072</v>
      </c>
      <c r="X226" s="175" t="s">
        <v>1073</v>
      </c>
      <c r="Y226" s="234"/>
      <c r="Z226" s="234"/>
      <c r="AA226" s="234"/>
      <c r="AB226" s="234"/>
      <c r="AC226" s="299">
        <v>20000000</v>
      </c>
      <c r="AD226" s="234"/>
      <c r="AE226" s="234"/>
      <c r="AF226" s="234"/>
      <c r="AG226" s="234"/>
      <c r="AH226" s="234"/>
      <c r="AI226" s="239"/>
      <c r="AJ226" s="234"/>
      <c r="AK226" s="234"/>
      <c r="AL226" s="234"/>
      <c r="AM226" s="218">
        <f>+Y226+Z226+AA226+AB226+AC226+AD226+AE226+AF226+AG226+AH226+AI226+AJ226+AK226</f>
        <v>20000000</v>
      </c>
      <c r="AN226" s="200" t="s">
        <v>1621</v>
      </c>
      <c r="AO226" s="188"/>
    </row>
    <row r="227" spans="1:41" s="26" customFormat="1" ht="112.5" customHeight="1" x14ac:dyDescent="0.2">
      <c r="A227" s="178">
        <v>318</v>
      </c>
      <c r="B227" s="255" t="s">
        <v>1594</v>
      </c>
      <c r="C227" s="174">
        <v>1</v>
      </c>
      <c r="D227" s="232" t="s">
        <v>1580</v>
      </c>
      <c r="E227" s="174">
        <v>19</v>
      </c>
      <c r="F227" s="177" t="s">
        <v>147</v>
      </c>
      <c r="G227" s="174">
        <v>1905</v>
      </c>
      <c r="H227" s="177" t="s">
        <v>768</v>
      </c>
      <c r="I227" s="174">
        <v>1905</v>
      </c>
      <c r="J227" s="177" t="s">
        <v>1552</v>
      </c>
      <c r="K227" s="177" t="s">
        <v>1079</v>
      </c>
      <c r="L227" s="174" t="s">
        <v>41</v>
      </c>
      <c r="M227" s="177" t="s">
        <v>1634</v>
      </c>
      <c r="N227" s="174">
        <v>1905015</v>
      </c>
      <c r="O227" s="177" t="s">
        <v>233</v>
      </c>
      <c r="P227" s="174" t="s">
        <v>41</v>
      </c>
      <c r="Q227" s="177" t="s">
        <v>1080</v>
      </c>
      <c r="R227" s="174">
        <v>190501500</v>
      </c>
      <c r="S227" s="177" t="s">
        <v>235</v>
      </c>
      <c r="T227" s="191" t="s">
        <v>1635</v>
      </c>
      <c r="U227" s="52">
        <v>1</v>
      </c>
      <c r="V227" s="191" t="s">
        <v>1071</v>
      </c>
      <c r="W227" s="175" t="s">
        <v>1072</v>
      </c>
      <c r="X227" s="175" t="s">
        <v>1073</v>
      </c>
      <c r="Y227" s="234"/>
      <c r="Z227" s="234"/>
      <c r="AA227" s="234"/>
      <c r="AB227" s="234"/>
      <c r="AC227" s="299">
        <v>20000000</v>
      </c>
      <c r="AD227" s="234"/>
      <c r="AE227" s="234"/>
      <c r="AF227" s="234"/>
      <c r="AG227" s="234"/>
      <c r="AH227" s="234"/>
      <c r="AI227" s="239"/>
      <c r="AJ227" s="234"/>
      <c r="AK227" s="234"/>
      <c r="AL227" s="234"/>
      <c r="AM227" s="218">
        <f>+Y227+Z227+AA227+AB227+AC227+AD227+AE227+AF227+AG227+AH227+AI227+AJ227+AK227</f>
        <v>20000000</v>
      </c>
      <c r="AN227" s="200" t="s">
        <v>1621</v>
      </c>
      <c r="AO227" s="188"/>
    </row>
    <row r="228" spans="1:41" s="26" customFormat="1" ht="120.75" customHeight="1" x14ac:dyDescent="0.2">
      <c r="A228" s="178">
        <v>318</v>
      </c>
      <c r="B228" s="255" t="s">
        <v>1594</v>
      </c>
      <c r="C228" s="174">
        <v>1</v>
      </c>
      <c r="D228" s="232" t="s">
        <v>1580</v>
      </c>
      <c r="E228" s="174">
        <v>19</v>
      </c>
      <c r="F228" s="177" t="s">
        <v>147</v>
      </c>
      <c r="G228" s="174">
        <v>1905</v>
      </c>
      <c r="H228" s="177" t="s">
        <v>768</v>
      </c>
      <c r="I228" s="174">
        <v>1905</v>
      </c>
      <c r="J228" s="177" t="s">
        <v>1552</v>
      </c>
      <c r="K228" s="177" t="s">
        <v>1001</v>
      </c>
      <c r="L228" s="174" t="s">
        <v>41</v>
      </c>
      <c r="M228" s="177" t="s">
        <v>1081</v>
      </c>
      <c r="N228" s="174">
        <v>1905024</v>
      </c>
      <c r="O228" s="177" t="s">
        <v>1082</v>
      </c>
      <c r="P228" s="174" t="s">
        <v>41</v>
      </c>
      <c r="Q228" s="177" t="s">
        <v>1083</v>
      </c>
      <c r="R228" s="174">
        <v>190502400</v>
      </c>
      <c r="S228" s="256" t="s">
        <v>1084</v>
      </c>
      <c r="T228" s="191" t="s">
        <v>1637</v>
      </c>
      <c r="U228" s="52">
        <f>3</f>
        <v>3</v>
      </c>
      <c r="V228" s="191" t="s">
        <v>1071</v>
      </c>
      <c r="W228" s="175" t="s">
        <v>1072</v>
      </c>
      <c r="X228" s="175" t="s">
        <v>1073</v>
      </c>
      <c r="Y228" s="234"/>
      <c r="Z228" s="234"/>
      <c r="AA228" s="234"/>
      <c r="AB228" s="234"/>
      <c r="AC228" s="299">
        <f>64000000+17000000</f>
        <v>81000000</v>
      </c>
      <c r="AD228" s="234"/>
      <c r="AE228" s="234"/>
      <c r="AF228" s="234"/>
      <c r="AG228" s="234"/>
      <c r="AH228" s="234"/>
      <c r="AI228" s="239"/>
      <c r="AJ228" s="234"/>
      <c r="AK228" s="234"/>
      <c r="AL228" s="234"/>
      <c r="AM228" s="218">
        <f>+Y228+Z228+AA228+AB228+AC228+AD228+AE228+AF228+AG228+AH228+AI228+AJ228+AK228</f>
        <v>81000000</v>
      </c>
      <c r="AN228" s="200" t="s">
        <v>1621</v>
      </c>
      <c r="AO228" s="188"/>
    </row>
    <row r="229" spans="1:41" s="26" customFormat="1" ht="78" customHeight="1" x14ac:dyDescent="0.2">
      <c r="A229" s="178">
        <v>318</v>
      </c>
      <c r="B229" s="255" t="s">
        <v>1594</v>
      </c>
      <c r="C229" s="174">
        <v>1</v>
      </c>
      <c r="D229" s="232" t="s">
        <v>1580</v>
      </c>
      <c r="E229" s="174">
        <v>19</v>
      </c>
      <c r="F229" s="177" t="s">
        <v>147</v>
      </c>
      <c r="G229" s="174">
        <v>1905</v>
      </c>
      <c r="H229" s="177" t="s">
        <v>768</v>
      </c>
      <c r="I229" s="174">
        <v>1905</v>
      </c>
      <c r="J229" s="177" t="s">
        <v>1552</v>
      </c>
      <c r="K229" s="177" t="s">
        <v>1085</v>
      </c>
      <c r="L229" s="174" t="s">
        <v>41</v>
      </c>
      <c r="M229" s="177" t="s">
        <v>1086</v>
      </c>
      <c r="N229" s="174">
        <v>1905015</v>
      </c>
      <c r="O229" s="177" t="s">
        <v>233</v>
      </c>
      <c r="P229" s="174" t="s">
        <v>41</v>
      </c>
      <c r="Q229" s="177" t="s">
        <v>1087</v>
      </c>
      <c r="R229" s="174">
        <v>190501500</v>
      </c>
      <c r="S229" s="256" t="s">
        <v>235</v>
      </c>
      <c r="T229" s="191" t="s">
        <v>1637</v>
      </c>
      <c r="U229" s="52">
        <v>4</v>
      </c>
      <c r="V229" s="191" t="s">
        <v>1071</v>
      </c>
      <c r="W229" s="175" t="s">
        <v>1072</v>
      </c>
      <c r="X229" s="175" t="s">
        <v>1073</v>
      </c>
      <c r="Y229" s="234"/>
      <c r="Z229" s="234"/>
      <c r="AA229" s="234"/>
      <c r="AB229" s="234"/>
      <c r="AC229" s="299">
        <f>20000000-17000000</f>
        <v>3000000</v>
      </c>
      <c r="AD229" s="234"/>
      <c r="AE229" s="234"/>
      <c r="AF229" s="234"/>
      <c r="AG229" s="234"/>
      <c r="AH229" s="234"/>
      <c r="AI229" s="239"/>
      <c r="AJ229" s="234"/>
      <c r="AK229" s="234"/>
      <c r="AL229" s="234"/>
      <c r="AM229" s="218">
        <f>+Y229+Z229+AA229+AB229+AC229+AD229+AE229+AF229+AG229+AH229+AI229+AJ229+AK229</f>
        <v>3000000</v>
      </c>
      <c r="AN229" s="200" t="s">
        <v>1621</v>
      </c>
      <c r="AO229" s="188"/>
    </row>
    <row r="230" spans="1:41" s="26" customFormat="1" ht="126.75" customHeight="1" x14ac:dyDescent="0.2">
      <c r="A230" s="178">
        <v>318</v>
      </c>
      <c r="B230" s="255" t="s">
        <v>1594</v>
      </c>
      <c r="C230" s="174">
        <v>1</v>
      </c>
      <c r="D230" s="232" t="s">
        <v>1580</v>
      </c>
      <c r="E230" s="174">
        <v>19</v>
      </c>
      <c r="F230" s="177" t="s">
        <v>147</v>
      </c>
      <c r="G230" s="174">
        <v>1905</v>
      </c>
      <c r="H230" s="177" t="s">
        <v>768</v>
      </c>
      <c r="I230" s="174">
        <v>1905</v>
      </c>
      <c r="J230" s="177" t="s">
        <v>1552</v>
      </c>
      <c r="K230" s="177" t="s">
        <v>1001</v>
      </c>
      <c r="L230" s="174" t="s">
        <v>41</v>
      </c>
      <c r="M230" s="177" t="s">
        <v>1088</v>
      </c>
      <c r="N230" s="174">
        <v>1905024</v>
      </c>
      <c r="O230" s="177" t="s">
        <v>1082</v>
      </c>
      <c r="P230" s="174" t="s">
        <v>41</v>
      </c>
      <c r="Q230" s="256" t="s">
        <v>1089</v>
      </c>
      <c r="R230" s="237">
        <v>190502400</v>
      </c>
      <c r="S230" s="256" t="s">
        <v>1084</v>
      </c>
      <c r="T230" s="191" t="s">
        <v>1635</v>
      </c>
      <c r="U230" s="52">
        <v>12</v>
      </c>
      <c r="V230" s="191" t="s">
        <v>1071</v>
      </c>
      <c r="W230" s="175" t="s">
        <v>1072</v>
      </c>
      <c r="X230" s="175" t="s">
        <v>1073</v>
      </c>
      <c r="Y230" s="234"/>
      <c r="Z230" s="234"/>
      <c r="AA230" s="234"/>
      <c r="AB230" s="234"/>
      <c r="AC230" s="299">
        <v>28000000</v>
      </c>
      <c r="AD230" s="234"/>
      <c r="AE230" s="234"/>
      <c r="AF230" s="234"/>
      <c r="AG230" s="234"/>
      <c r="AH230" s="234"/>
      <c r="AI230" s="239"/>
      <c r="AJ230" s="234"/>
      <c r="AK230" s="234"/>
      <c r="AL230" s="234"/>
      <c r="AM230" s="218">
        <f>+Y230+Z230+AA230+AB230+AC230+AD230+AE230+AF230+AG230+AH230+AI230+AJ230+AK230</f>
        <v>28000000</v>
      </c>
      <c r="AN230" s="200" t="s">
        <v>1621</v>
      </c>
      <c r="AO230" s="188"/>
    </row>
    <row r="231" spans="1:41" s="26" customFormat="1" ht="127.5" customHeight="1" x14ac:dyDescent="0.2">
      <c r="A231" s="178">
        <v>318</v>
      </c>
      <c r="B231" s="255" t="s">
        <v>1594</v>
      </c>
      <c r="C231" s="174">
        <v>1</v>
      </c>
      <c r="D231" s="232" t="s">
        <v>1580</v>
      </c>
      <c r="E231" s="174">
        <v>19</v>
      </c>
      <c r="F231" s="177" t="s">
        <v>147</v>
      </c>
      <c r="G231" s="174">
        <v>1905</v>
      </c>
      <c r="H231" s="177" t="s">
        <v>768</v>
      </c>
      <c r="I231" s="174">
        <v>1905</v>
      </c>
      <c r="J231" s="177" t="s">
        <v>1552</v>
      </c>
      <c r="K231" s="177" t="s">
        <v>1038</v>
      </c>
      <c r="L231" s="174" t="s">
        <v>41</v>
      </c>
      <c r="M231" s="177" t="s">
        <v>1090</v>
      </c>
      <c r="N231" s="174">
        <v>1905024</v>
      </c>
      <c r="O231" s="177" t="s">
        <v>1082</v>
      </c>
      <c r="P231" s="174" t="s">
        <v>41</v>
      </c>
      <c r="Q231" s="256" t="s">
        <v>1091</v>
      </c>
      <c r="R231" s="237">
        <v>190502401</v>
      </c>
      <c r="S231" s="256" t="s">
        <v>1092</v>
      </c>
      <c r="T231" s="191" t="s">
        <v>1637</v>
      </c>
      <c r="U231" s="52">
        <v>4</v>
      </c>
      <c r="V231" s="191" t="s">
        <v>1071</v>
      </c>
      <c r="W231" s="175" t="s">
        <v>1072</v>
      </c>
      <c r="X231" s="175" t="s">
        <v>1073</v>
      </c>
      <c r="Y231" s="234"/>
      <c r="Z231" s="234"/>
      <c r="AA231" s="234"/>
      <c r="AB231" s="234"/>
      <c r="AC231" s="299">
        <v>28000000</v>
      </c>
      <c r="AD231" s="234"/>
      <c r="AE231" s="234"/>
      <c r="AF231" s="234"/>
      <c r="AG231" s="234"/>
      <c r="AH231" s="234"/>
      <c r="AI231" s="239"/>
      <c r="AJ231" s="234"/>
      <c r="AK231" s="234"/>
      <c r="AL231" s="234"/>
      <c r="AM231" s="218">
        <f>+Y231+Z231+AA231+AB231+AC231+AD231+AE231+AF231+AG231+AH231+AI231+AJ231+AK231</f>
        <v>28000000</v>
      </c>
      <c r="AN231" s="200" t="s">
        <v>1621</v>
      </c>
      <c r="AO231" s="188"/>
    </row>
    <row r="232" spans="1:41" s="26" customFormat="1" ht="171" customHeight="1" x14ac:dyDescent="0.2">
      <c r="A232" s="178">
        <v>318</v>
      </c>
      <c r="B232" s="255" t="s">
        <v>1594</v>
      </c>
      <c r="C232" s="174">
        <v>1</v>
      </c>
      <c r="D232" s="232" t="s">
        <v>1580</v>
      </c>
      <c r="E232" s="174">
        <v>19</v>
      </c>
      <c r="F232" s="177" t="s">
        <v>147</v>
      </c>
      <c r="G232" s="174">
        <v>1905</v>
      </c>
      <c r="H232" s="177" t="s">
        <v>768</v>
      </c>
      <c r="I232" s="174">
        <v>1905</v>
      </c>
      <c r="J232" s="177" t="s">
        <v>1552</v>
      </c>
      <c r="K232" s="177" t="s">
        <v>769</v>
      </c>
      <c r="L232" s="174">
        <v>1905021</v>
      </c>
      <c r="M232" s="177" t="s">
        <v>770</v>
      </c>
      <c r="N232" s="174">
        <v>1905021</v>
      </c>
      <c r="O232" s="177" t="s">
        <v>770</v>
      </c>
      <c r="P232" s="237">
        <v>190502100</v>
      </c>
      <c r="Q232" s="256" t="s">
        <v>771</v>
      </c>
      <c r="R232" s="237">
        <v>190502100</v>
      </c>
      <c r="S232" s="256" t="s">
        <v>771</v>
      </c>
      <c r="T232" s="191" t="s">
        <v>1635</v>
      </c>
      <c r="U232" s="52">
        <v>12</v>
      </c>
      <c r="V232" s="191" t="s">
        <v>1093</v>
      </c>
      <c r="W232" s="175" t="s">
        <v>1094</v>
      </c>
      <c r="X232" s="175" t="s">
        <v>1095</v>
      </c>
      <c r="Y232" s="234"/>
      <c r="Z232" s="234"/>
      <c r="AA232" s="234"/>
      <c r="AB232" s="234"/>
      <c r="AC232" s="299">
        <v>105000000</v>
      </c>
      <c r="AD232" s="234"/>
      <c r="AE232" s="234"/>
      <c r="AF232" s="234"/>
      <c r="AG232" s="234"/>
      <c r="AH232" s="234"/>
      <c r="AI232" s="239"/>
      <c r="AJ232" s="234"/>
      <c r="AK232" s="234"/>
      <c r="AL232" s="234"/>
      <c r="AM232" s="218">
        <f>+Y232+Z232+AA232+AB232+AC232+AD232+AE232+AF232+AG232+AH232+AI232+AJ232+AK232</f>
        <v>105000000</v>
      </c>
      <c r="AN232" s="200" t="s">
        <v>1621</v>
      </c>
      <c r="AO232" s="188"/>
    </row>
    <row r="233" spans="1:41" s="26" customFormat="1" ht="156" customHeight="1" x14ac:dyDescent="0.2">
      <c r="A233" s="178">
        <v>318</v>
      </c>
      <c r="B233" s="255" t="s">
        <v>1594</v>
      </c>
      <c r="C233" s="174">
        <v>1</v>
      </c>
      <c r="D233" s="232" t="s">
        <v>1580</v>
      </c>
      <c r="E233" s="174">
        <v>19</v>
      </c>
      <c r="F233" s="177" t="s">
        <v>147</v>
      </c>
      <c r="G233" s="174">
        <v>1905</v>
      </c>
      <c r="H233" s="177" t="s">
        <v>768</v>
      </c>
      <c r="I233" s="174">
        <v>1905</v>
      </c>
      <c r="J233" s="177" t="s">
        <v>1552</v>
      </c>
      <c r="K233" s="177" t="s">
        <v>1074</v>
      </c>
      <c r="L233" s="174" t="s">
        <v>41</v>
      </c>
      <c r="M233" s="177" t="s">
        <v>1096</v>
      </c>
      <c r="N233" s="174">
        <v>1905021</v>
      </c>
      <c r="O233" s="177" t="s">
        <v>1097</v>
      </c>
      <c r="P233" s="174" t="s">
        <v>41</v>
      </c>
      <c r="Q233" s="177" t="s">
        <v>1078</v>
      </c>
      <c r="R233" s="174">
        <v>190502100</v>
      </c>
      <c r="S233" s="177" t="s">
        <v>1098</v>
      </c>
      <c r="T233" s="191" t="s">
        <v>1635</v>
      </c>
      <c r="U233" s="52">
        <v>11</v>
      </c>
      <c r="V233" s="191" t="s">
        <v>1093</v>
      </c>
      <c r="W233" s="175" t="s">
        <v>1094</v>
      </c>
      <c r="X233" s="175" t="s">
        <v>1095</v>
      </c>
      <c r="Y233" s="234"/>
      <c r="Z233" s="234"/>
      <c r="AA233" s="234"/>
      <c r="AB233" s="234"/>
      <c r="AC233" s="299">
        <v>56000000</v>
      </c>
      <c r="AD233" s="234"/>
      <c r="AE233" s="234"/>
      <c r="AF233" s="234"/>
      <c r="AG233" s="234"/>
      <c r="AH233" s="234"/>
      <c r="AI233" s="239"/>
      <c r="AJ233" s="234"/>
      <c r="AK233" s="234"/>
      <c r="AL233" s="234"/>
      <c r="AM233" s="218">
        <f>+Y233+Z233+AA233+AB233+AC233+AD233+AE233+AF233+AG233+AH233+AI233+AJ233+AK233</f>
        <v>56000000</v>
      </c>
      <c r="AN233" s="200" t="s">
        <v>1621</v>
      </c>
      <c r="AO233" s="188"/>
    </row>
    <row r="234" spans="1:41" s="26" customFormat="1" ht="129.75" customHeight="1" x14ac:dyDescent="0.2">
      <c r="A234" s="178">
        <v>318</v>
      </c>
      <c r="B234" s="255" t="s">
        <v>1594</v>
      </c>
      <c r="C234" s="174">
        <v>1</v>
      </c>
      <c r="D234" s="232" t="s">
        <v>1580</v>
      </c>
      <c r="E234" s="174">
        <v>19</v>
      </c>
      <c r="F234" s="177" t="s">
        <v>147</v>
      </c>
      <c r="G234" s="174">
        <v>1905</v>
      </c>
      <c r="H234" s="177" t="s">
        <v>768</v>
      </c>
      <c r="I234" s="174">
        <v>1905</v>
      </c>
      <c r="J234" s="177" t="s">
        <v>1552</v>
      </c>
      <c r="K234" s="177" t="s">
        <v>1021</v>
      </c>
      <c r="L234" s="178">
        <v>1905020</v>
      </c>
      <c r="M234" s="177" t="s">
        <v>1099</v>
      </c>
      <c r="N234" s="178">
        <v>1905020</v>
      </c>
      <c r="O234" s="177" t="s">
        <v>1099</v>
      </c>
      <c r="P234" s="237">
        <v>190502000</v>
      </c>
      <c r="Q234" s="177" t="s">
        <v>1100</v>
      </c>
      <c r="R234" s="237">
        <v>190502000</v>
      </c>
      <c r="S234" s="177" t="s">
        <v>1100</v>
      </c>
      <c r="T234" s="191" t="s">
        <v>1635</v>
      </c>
      <c r="U234" s="52">
        <v>12</v>
      </c>
      <c r="V234" s="191" t="s">
        <v>1101</v>
      </c>
      <c r="W234" s="175" t="s">
        <v>1102</v>
      </c>
      <c r="X234" s="175" t="s">
        <v>1103</v>
      </c>
      <c r="Y234" s="234"/>
      <c r="Z234" s="234"/>
      <c r="AA234" s="234"/>
      <c r="AB234" s="234"/>
      <c r="AC234" s="300">
        <v>38000000</v>
      </c>
      <c r="AD234" s="234"/>
      <c r="AE234" s="234"/>
      <c r="AF234" s="234"/>
      <c r="AG234" s="234"/>
      <c r="AH234" s="234"/>
      <c r="AI234" s="239"/>
      <c r="AJ234" s="234"/>
      <c r="AK234" s="234">
        <v>548597644</v>
      </c>
      <c r="AL234" s="234"/>
      <c r="AM234" s="218">
        <f>+Y234+Z234+AA234+AB234+AC234+AD234+AE234+AF234+AG234+AH234+AI234+AJ234+AK234</f>
        <v>586597644</v>
      </c>
      <c r="AN234" s="200" t="s">
        <v>1621</v>
      </c>
      <c r="AO234" s="188"/>
    </row>
    <row r="235" spans="1:41" s="26" customFormat="1" ht="183" customHeight="1" x14ac:dyDescent="0.2">
      <c r="A235" s="178">
        <v>318</v>
      </c>
      <c r="B235" s="255" t="s">
        <v>1594</v>
      </c>
      <c r="C235" s="174">
        <v>1</v>
      </c>
      <c r="D235" s="232" t="s">
        <v>1580</v>
      </c>
      <c r="E235" s="174">
        <v>19</v>
      </c>
      <c r="F235" s="177" t="s">
        <v>147</v>
      </c>
      <c r="G235" s="174">
        <v>1905</v>
      </c>
      <c r="H235" s="177" t="s">
        <v>768</v>
      </c>
      <c r="I235" s="174">
        <v>1905</v>
      </c>
      <c r="J235" s="177" t="s">
        <v>1552</v>
      </c>
      <c r="K235" s="177" t="s">
        <v>775</v>
      </c>
      <c r="L235" s="178">
        <v>1905022</v>
      </c>
      <c r="M235" s="177" t="s">
        <v>776</v>
      </c>
      <c r="N235" s="178">
        <v>1905022</v>
      </c>
      <c r="O235" s="177" t="s">
        <v>776</v>
      </c>
      <c r="P235" s="237">
        <v>190502200</v>
      </c>
      <c r="Q235" s="256" t="s">
        <v>777</v>
      </c>
      <c r="R235" s="237">
        <v>190502200</v>
      </c>
      <c r="S235" s="256" t="s">
        <v>777</v>
      </c>
      <c r="T235" s="191" t="s">
        <v>1635</v>
      </c>
      <c r="U235" s="52">
        <v>12</v>
      </c>
      <c r="V235" s="191" t="s">
        <v>1101</v>
      </c>
      <c r="W235" s="175" t="s">
        <v>1102</v>
      </c>
      <c r="X235" s="175" t="s">
        <v>1103</v>
      </c>
      <c r="Y235" s="234"/>
      <c r="Z235" s="234"/>
      <c r="AA235" s="234"/>
      <c r="AB235" s="234"/>
      <c r="AC235" s="300">
        <f>57000000+9700000</f>
        <v>66700000</v>
      </c>
      <c r="AD235" s="234"/>
      <c r="AE235" s="234"/>
      <c r="AF235" s="234"/>
      <c r="AG235" s="234"/>
      <c r="AH235" s="234"/>
      <c r="AI235" s="239"/>
      <c r="AJ235" s="234"/>
      <c r="AK235" s="234"/>
      <c r="AL235" s="234"/>
      <c r="AM235" s="218">
        <f>+Y235+Z235+AA235+AB235+AC235+AD235+AE235+AF235+AG235+AH235+AI235+AJ235+AK235</f>
        <v>66700000</v>
      </c>
      <c r="AN235" s="200" t="s">
        <v>1621</v>
      </c>
      <c r="AO235" s="188"/>
    </row>
    <row r="236" spans="1:41" s="26" customFormat="1" ht="96" customHeight="1" x14ac:dyDescent="0.2">
      <c r="A236" s="178">
        <v>318</v>
      </c>
      <c r="B236" s="255" t="s">
        <v>1594</v>
      </c>
      <c r="C236" s="174">
        <v>1</v>
      </c>
      <c r="D236" s="232" t="s">
        <v>1580</v>
      </c>
      <c r="E236" s="174">
        <v>19</v>
      </c>
      <c r="F236" s="177" t="s">
        <v>147</v>
      </c>
      <c r="G236" s="174">
        <v>1905</v>
      </c>
      <c r="H236" s="177" t="s">
        <v>768</v>
      </c>
      <c r="I236" s="174">
        <v>1905</v>
      </c>
      <c r="J236" s="177" t="s">
        <v>1552</v>
      </c>
      <c r="K236" s="177" t="s">
        <v>1021</v>
      </c>
      <c r="L236" s="174" t="s">
        <v>41</v>
      </c>
      <c r="M236" s="177" t="s">
        <v>1104</v>
      </c>
      <c r="N236" s="174">
        <v>1905015</v>
      </c>
      <c r="O236" s="177" t="s">
        <v>233</v>
      </c>
      <c r="P236" s="174" t="s">
        <v>41</v>
      </c>
      <c r="Q236" s="256" t="s">
        <v>1105</v>
      </c>
      <c r="R236" s="174" t="s">
        <v>1106</v>
      </c>
      <c r="S236" s="256" t="s">
        <v>1107</v>
      </c>
      <c r="T236" s="191" t="s">
        <v>1635</v>
      </c>
      <c r="U236" s="52">
        <v>1</v>
      </c>
      <c r="V236" s="191" t="s">
        <v>1101</v>
      </c>
      <c r="W236" s="175" t="s">
        <v>1102</v>
      </c>
      <c r="X236" s="175" t="s">
        <v>1103</v>
      </c>
      <c r="Y236" s="234"/>
      <c r="Z236" s="234"/>
      <c r="AA236" s="234"/>
      <c r="AB236" s="234">
        <f>100000000-100000000</f>
        <v>0</v>
      </c>
      <c r="AC236" s="300">
        <f>58000000-9700000</f>
        <v>48300000</v>
      </c>
      <c r="AD236" s="234"/>
      <c r="AE236" s="234"/>
      <c r="AF236" s="234"/>
      <c r="AG236" s="234"/>
      <c r="AH236" s="234"/>
      <c r="AI236" s="239"/>
      <c r="AJ236" s="234"/>
      <c r="AK236" s="234"/>
      <c r="AL236" s="234"/>
      <c r="AM236" s="218">
        <f>+Y236+Z236+AA236+AB236+AC236+AD236+AE236+AF236+AG236+AH236+AI236+AJ236+AK236</f>
        <v>48300000</v>
      </c>
      <c r="AN236" s="200" t="s">
        <v>1621</v>
      </c>
      <c r="AO236" s="188"/>
    </row>
    <row r="237" spans="1:41" s="26" customFormat="1" ht="120" customHeight="1" x14ac:dyDescent="0.2">
      <c r="A237" s="178">
        <v>318</v>
      </c>
      <c r="B237" s="255" t="s">
        <v>1594</v>
      </c>
      <c r="C237" s="174">
        <v>1</v>
      </c>
      <c r="D237" s="232" t="s">
        <v>1580</v>
      </c>
      <c r="E237" s="174">
        <v>19</v>
      </c>
      <c r="F237" s="177" t="s">
        <v>147</v>
      </c>
      <c r="G237" s="174">
        <v>1905</v>
      </c>
      <c r="H237" s="177" t="s">
        <v>768</v>
      </c>
      <c r="I237" s="174">
        <v>1905</v>
      </c>
      <c r="J237" s="177" t="s">
        <v>1552</v>
      </c>
      <c r="K237" s="177" t="s">
        <v>1108</v>
      </c>
      <c r="L237" s="174">
        <v>1905023</v>
      </c>
      <c r="M237" s="177" t="s">
        <v>1109</v>
      </c>
      <c r="N237" s="174">
        <v>1905023</v>
      </c>
      <c r="O237" s="177" t="s">
        <v>1109</v>
      </c>
      <c r="P237" s="237">
        <v>190502300</v>
      </c>
      <c r="Q237" s="256" t="s">
        <v>1110</v>
      </c>
      <c r="R237" s="237">
        <v>190502300</v>
      </c>
      <c r="S237" s="256" t="s">
        <v>1110</v>
      </c>
      <c r="T237" s="191" t="s">
        <v>1635</v>
      </c>
      <c r="U237" s="52">
        <v>12</v>
      </c>
      <c r="V237" s="191" t="s">
        <v>1111</v>
      </c>
      <c r="W237" s="175" t="s">
        <v>1112</v>
      </c>
      <c r="X237" s="175" t="s">
        <v>1113</v>
      </c>
      <c r="Y237" s="234"/>
      <c r="Z237" s="234"/>
      <c r="AA237" s="234"/>
      <c r="AB237" s="234"/>
      <c r="AC237" s="300">
        <v>105000000</v>
      </c>
      <c r="AD237" s="234"/>
      <c r="AE237" s="234"/>
      <c r="AF237" s="234"/>
      <c r="AG237" s="234"/>
      <c r="AH237" s="234"/>
      <c r="AI237" s="239"/>
      <c r="AJ237" s="234"/>
      <c r="AK237" s="234"/>
      <c r="AL237" s="234"/>
      <c r="AM237" s="218">
        <f>+Y237+Z237+AA237+AB237+AC237+AD237+AE237+AF237+AG237+AH237+AI237+AJ237+AK237</f>
        <v>105000000</v>
      </c>
      <c r="AN237" s="200" t="s">
        <v>1621</v>
      </c>
      <c r="AO237" s="188"/>
    </row>
    <row r="238" spans="1:41" s="26" customFormat="1" ht="134.25" customHeight="1" x14ac:dyDescent="0.2">
      <c r="A238" s="178">
        <v>318</v>
      </c>
      <c r="B238" s="255" t="s">
        <v>1594</v>
      </c>
      <c r="C238" s="174">
        <v>1</v>
      </c>
      <c r="D238" s="232" t="s">
        <v>1580</v>
      </c>
      <c r="E238" s="174">
        <v>19</v>
      </c>
      <c r="F238" s="177" t="s">
        <v>147</v>
      </c>
      <c r="G238" s="174">
        <v>1905</v>
      </c>
      <c r="H238" s="177" t="s">
        <v>768</v>
      </c>
      <c r="I238" s="174">
        <v>1905</v>
      </c>
      <c r="J238" s="177" t="s">
        <v>1552</v>
      </c>
      <c r="K238" s="177" t="s">
        <v>998</v>
      </c>
      <c r="L238" s="174">
        <v>1905031</v>
      </c>
      <c r="M238" s="177" t="s">
        <v>1067</v>
      </c>
      <c r="N238" s="174">
        <v>1905031</v>
      </c>
      <c r="O238" s="177" t="s">
        <v>1067</v>
      </c>
      <c r="P238" s="174">
        <v>190503100</v>
      </c>
      <c r="Q238" s="175" t="s">
        <v>1068</v>
      </c>
      <c r="R238" s="174">
        <v>190503100</v>
      </c>
      <c r="S238" s="175" t="s">
        <v>1068</v>
      </c>
      <c r="T238" s="191" t="s">
        <v>1635</v>
      </c>
      <c r="U238" s="52">
        <v>12</v>
      </c>
      <c r="V238" s="191" t="s">
        <v>1111</v>
      </c>
      <c r="W238" s="175" t="s">
        <v>1112</v>
      </c>
      <c r="X238" s="175" t="s">
        <v>1113</v>
      </c>
      <c r="Y238" s="234"/>
      <c r="Z238" s="234"/>
      <c r="AA238" s="234"/>
      <c r="AB238" s="234"/>
      <c r="AC238" s="300">
        <v>76000000</v>
      </c>
      <c r="AD238" s="234"/>
      <c r="AE238" s="234"/>
      <c r="AF238" s="234"/>
      <c r="AG238" s="234"/>
      <c r="AH238" s="234"/>
      <c r="AI238" s="239"/>
      <c r="AJ238" s="234"/>
      <c r="AK238" s="234"/>
      <c r="AL238" s="234"/>
      <c r="AM238" s="218">
        <f>+Y238+Z238+AA238+AB238+AC238+AD238+AE238+AF238+AG238+AH238+AI238+AJ238+AK238</f>
        <v>76000000</v>
      </c>
      <c r="AN238" s="200" t="s">
        <v>1621</v>
      </c>
      <c r="AO238" s="188"/>
    </row>
    <row r="239" spans="1:41" s="26" customFormat="1" ht="122.25" customHeight="1" x14ac:dyDescent="0.2">
      <c r="A239" s="178">
        <v>318</v>
      </c>
      <c r="B239" s="255" t="s">
        <v>1594</v>
      </c>
      <c r="C239" s="174">
        <v>1</v>
      </c>
      <c r="D239" s="232" t="s">
        <v>1580</v>
      </c>
      <c r="E239" s="174">
        <v>19</v>
      </c>
      <c r="F239" s="177" t="s">
        <v>147</v>
      </c>
      <c r="G239" s="174">
        <v>1905</v>
      </c>
      <c r="H239" s="177" t="s">
        <v>768</v>
      </c>
      <c r="I239" s="174">
        <v>1905</v>
      </c>
      <c r="J239" s="177" t="s">
        <v>1552</v>
      </c>
      <c r="K239" s="177" t="s">
        <v>1114</v>
      </c>
      <c r="L239" s="174">
        <v>1905012</v>
      </c>
      <c r="M239" s="177" t="s">
        <v>1115</v>
      </c>
      <c r="N239" s="174">
        <v>1905012</v>
      </c>
      <c r="O239" s="177" t="s">
        <v>1115</v>
      </c>
      <c r="P239" s="237">
        <v>190501200</v>
      </c>
      <c r="Q239" s="175" t="s">
        <v>1115</v>
      </c>
      <c r="R239" s="237">
        <v>190501200</v>
      </c>
      <c r="S239" s="256" t="s">
        <v>1115</v>
      </c>
      <c r="T239" s="191" t="s">
        <v>1635</v>
      </c>
      <c r="U239" s="52">
        <v>1</v>
      </c>
      <c r="V239" s="191" t="s">
        <v>1116</v>
      </c>
      <c r="W239" s="175" t="s">
        <v>1117</v>
      </c>
      <c r="X239" s="175" t="s">
        <v>1118</v>
      </c>
      <c r="Y239" s="234"/>
      <c r="Z239" s="234"/>
      <c r="AA239" s="234"/>
      <c r="AB239" s="234"/>
      <c r="AC239" s="234">
        <f>20000000+1146584216.27</f>
        <v>1166584216.27</v>
      </c>
      <c r="AD239" s="234"/>
      <c r="AE239" s="234"/>
      <c r="AF239" s="234"/>
      <c r="AG239" s="234"/>
      <c r="AH239" s="234"/>
      <c r="AI239" s="239"/>
      <c r="AJ239" s="234"/>
      <c r="AK239" s="267"/>
      <c r="AL239" s="267"/>
      <c r="AM239" s="218">
        <f>+Y239+Z239+AA239+AB239+AC239+AD239+AE239+AF239+AG239+AH239+AI239+AJ239+AK239</f>
        <v>1166584216.27</v>
      </c>
      <c r="AN239" s="200" t="s">
        <v>1621</v>
      </c>
      <c r="AO239" s="188"/>
    </row>
    <row r="240" spans="1:41" s="26" customFormat="1" ht="180" customHeight="1" x14ac:dyDescent="0.2">
      <c r="A240" s="178">
        <v>318</v>
      </c>
      <c r="B240" s="255" t="s">
        <v>1594</v>
      </c>
      <c r="C240" s="174">
        <v>1</v>
      </c>
      <c r="D240" s="232" t="s">
        <v>1580</v>
      </c>
      <c r="E240" s="174">
        <v>19</v>
      </c>
      <c r="F240" s="177" t="s">
        <v>147</v>
      </c>
      <c r="G240" s="174">
        <v>1905</v>
      </c>
      <c r="H240" s="177" t="s">
        <v>768</v>
      </c>
      <c r="I240" s="174">
        <v>1905</v>
      </c>
      <c r="J240" s="177" t="s">
        <v>1552</v>
      </c>
      <c r="K240" s="177" t="s">
        <v>1119</v>
      </c>
      <c r="L240" s="174">
        <v>1905026</v>
      </c>
      <c r="M240" s="177" t="s">
        <v>1120</v>
      </c>
      <c r="N240" s="174">
        <v>1905026</v>
      </c>
      <c r="O240" s="177" t="s">
        <v>1120</v>
      </c>
      <c r="P240" s="237">
        <v>190502600</v>
      </c>
      <c r="Q240" s="256" t="s">
        <v>1121</v>
      </c>
      <c r="R240" s="237">
        <v>190502600</v>
      </c>
      <c r="S240" s="256" t="s">
        <v>1121</v>
      </c>
      <c r="T240" s="191" t="s">
        <v>1635</v>
      </c>
      <c r="U240" s="52">
        <v>12</v>
      </c>
      <c r="V240" s="191" t="s">
        <v>1116</v>
      </c>
      <c r="W240" s="175" t="s">
        <v>1117</v>
      </c>
      <c r="X240" s="175" t="s">
        <v>1118</v>
      </c>
      <c r="Y240" s="234"/>
      <c r="Z240" s="234"/>
      <c r="AA240" s="234"/>
      <c r="AB240" s="234"/>
      <c r="AC240" s="234">
        <v>58000000</v>
      </c>
      <c r="AD240" s="234"/>
      <c r="AE240" s="234"/>
      <c r="AF240" s="234"/>
      <c r="AG240" s="234"/>
      <c r="AH240" s="234"/>
      <c r="AI240" s="239"/>
      <c r="AJ240" s="234"/>
      <c r="AK240" s="267"/>
      <c r="AL240" s="267"/>
      <c r="AM240" s="218">
        <f>+Y240+Z240+AA240+AB240+AC240+AD240+AE240+AF240+AG240+AH240+AI240+AJ240+AK240</f>
        <v>58000000</v>
      </c>
      <c r="AN240" s="200" t="s">
        <v>1621</v>
      </c>
      <c r="AO240" s="188"/>
    </row>
    <row r="241" spans="1:41" s="26" customFormat="1" ht="150" customHeight="1" x14ac:dyDescent="0.2">
      <c r="A241" s="178">
        <v>318</v>
      </c>
      <c r="B241" s="255" t="s">
        <v>1594</v>
      </c>
      <c r="C241" s="174">
        <v>1</v>
      </c>
      <c r="D241" s="232" t="s">
        <v>1580</v>
      </c>
      <c r="E241" s="174">
        <v>19</v>
      </c>
      <c r="F241" s="177" t="s">
        <v>147</v>
      </c>
      <c r="G241" s="174">
        <v>1905</v>
      </c>
      <c r="H241" s="177" t="s">
        <v>768</v>
      </c>
      <c r="I241" s="174">
        <v>1905</v>
      </c>
      <c r="J241" s="177" t="s">
        <v>1552</v>
      </c>
      <c r="K241" s="177" t="s">
        <v>1114</v>
      </c>
      <c r="L241" s="174">
        <v>1905027</v>
      </c>
      <c r="M241" s="177" t="s">
        <v>1122</v>
      </c>
      <c r="N241" s="174">
        <v>1905027</v>
      </c>
      <c r="O241" s="177" t="s">
        <v>1122</v>
      </c>
      <c r="P241" s="237">
        <v>190502700</v>
      </c>
      <c r="Q241" s="175" t="s">
        <v>1123</v>
      </c>
      <c r="R241" s="237">
        <v>190502700</v>
      </c>
      <c r="S241" s="175" t="s">
        <v>1123</v>
      </c>
      <c r="T241" s="191" t="s">
        <v>1635</v>
      </c>
      <c r="U241" s="52">
        <v>12</v>
      </c>
      <c r="V241" s="191" t="s">
        <v>1116</v>
      </c>
      <c r="W241" s="175" t="s">
        <v>1117</v>
      </c>
      <c r="X241" s="175" t="s">
        <v>1118</v>
      </c>
      <c r="Y241" s="234"/>
      <c r="Z241" s="234"/>
      <c r="AA241" s="234"/>
      <c r="AB241" s="234"/>
      <c r="AC241" s="234">
        <v>75000000</v>
      </c>
      <c r="AD241" s="242"/>
      <c r="AE241" s="234"/>
      <c r="AF241" s="234"/>
      <c r="AG241" s="234"/>
      <c r="AH241" s="234"/>
      <c r="AI241" s="239">
        <f>20000000-13438000-6562000</f>
        <v>0</v>
      </c>
      <c r="AJ241" s="234"/>
      <c r="AK241" s="234"/>
      <c r="AL241" s="234"/>
      <c r="AM241" s="218">
        <f>+Y241+Z241+AA241+AB241+AC241+AD241+AE241+AF241+AG241+AH241+AI241+AJ241+AK241</f>
        <v>75000000</v>
      </c>
      <c r="AN241" s="200" t="s">
        <v>1621</v>
      </c>
      <c r="AO241" s="188"/>
    </row>
    <row r="242" spans="1:41" s="26" customFormat="1" ht="108.75" customHeight="1" x14ac:dyDescent="0.2">
      <c r="A242" s="178">
        <v>318</v>
      </c>
      <c r="B242" s="255" t="s">
        <v>1594</v>
      </c>
      <c r="C242" s="174">
        <v>1</v>
      </c>
      <c r="D242" s="232" t="s">
        <v>1580</v>
      </c>
      <c r="E242" s="174">
        <v>19</v>
      </c>
      <c r="F242" s="177" t="s">
        <v>147</v>
      </c>
      <c r="G242" s="174">
        <v>1905</v>
      </c>
      <c r="H242" s="177" t="s">
        <v>768</v>
      </c>
      <c r="I242" s="174">
        <v>1905</v>
      </c>
      <c r="J242" s="177" t="s">
        <v>1552</v>
      </c>
      <c r="K242" s="177" t="s">
        <v>1124</v>
      </c>
      <c r="L242" s="174" t="s">
        <v>41</v>
      </c>
      <c r="M242" s="177" t="s">
        <v>1086</v>
      </c>
      <c r="N242" s="174" t="s">
        <v>1125</v>
      </c>
      <c r="O242" s="177" t="s">
        <v>356</v>
      </c>
      <c r="P242" s="174" t="s">
        <v>41</v>
      </c>
      <c r="Q242" s="175" t="s">
        <v>1087</v>
      </c>
      <c r="R242" s="237">
        <v>190501500</v>
      </c>
      <c r="S242" s="256" t="s">
        <v>235</v>
      </c>
      <c r="T242" s="191" t="s">
        <v>1637</v>
      </c>
      <c r="U242" s="52">
        <v>4</v>
      </c>
      <c r="V242" s="191" t="s">
        <v>1126</v>
      </c>
      <c r="W242" s="175" t="s">
        <v>1127</v>
      </c>
      <c r="X242" s="175" t="s">
        <v>1128</v>
      </c>
      <c r="Y242" s="234"/>
      <c r="Z242" s="234"/>
      <c r="AA242" s="234"/>
      <c r="AB242" s="234"/>
      <c r="AC242" s="234">
        <v>95000000</v>
      </c>
      <c r="AD242" s="234"/>
      <c r="AE242" s="234"/>
      <c r="AF242" s="234"/>
      <c r="AG242" s="234"/>
      <c r="AH242" s="234"/>
      <c r="AI242" s="239"/>
      <c r="AJ242" s="234"/>
      <c r="AK242" s="234"/>
      <c r="AL242" s="234"/>
      <c r="AM242" s="218">
        <f>+Y242+Z242+AA242+AB242+AC242+AD242+AE242+AF242+AG242+AH242+AI242+AJ242+AK242</f>
        <v>95000000</v>
      </c>
      <c r="AN242" s="200" t="s">
        <v>1621</v>
      </c>
      <c r="AO242" s="188"/>
    </row>
    <row r="243" spans="1:41" s="26" customFormat="1" ht="187.5" customHeight="1" x14ac:dyDescent="0.2">
      <c r="A243" s="178">
        <v>318</v>
      </c>
      <c r="B243" s="255" t="s">
        <v>1594</v>
      </c>
      <c r="C243" s="174">
        <v>1</v>
      </c>
      <c r="D243" s="232" t="s">
        <v>1580</v>
      </c>
      <c r="E243" s="174">
        <v>19</v>
      </c>
      <c r="F243" s="177" t="s">
        <v>147</v>
      </c>
      <c r="G243" s="174">
        <v>1905</v>
      </c>
      <c r="H243" s="177" t="s">
        <v>768</v>
      </c>
      <c r="I243" s="174">
        <v>1905</v>
      </c>
      <c r="J243" s="177" t="s">
        <v>1552</v>
      </c>
      <c r="K243" s="177" t="s">
        <v>1119</v>
      </c>
      <c r="L243" s="174">
        <v>1905026</v>
      </c>
      <c r="M243" s="177" t="s">
        <v>1120</v>
      </c>
      <c r="N243" s="174">
        <v>1905026</v>
      </c>
      <c r="O243" s="177" t="s">
        <v>1120</v>
      </c>
      <c r="P243" s="237">
        <v>190502600</v>
      </c>
      <c r="Q243" s="175" t="s">
        <v>1121</v>
      </c>
      <c r="R243" s="237">
        <v>190502600</v>
      </c>
      <c r="S243" s="256" t="s">
        <v>1121</v>
      </c>
      <c r="T243" s="191" t="s">
        <v>1635</v>
      </c>
      <c r="U243" s="174">
        <v>12</v>
      </c>
      <c r="V243" s="191" t="s">
        <v>1126</v>
      </c>
      <c r="W243" s="175" t="s">
        <v>1127</v>
      </c>
      <c r="X243" s="175" t="s">
        <v>1128</v>
      </c>
      <c r="Y243" s="234"/>
      <c r="Z243" s="234"/>
      <c r="AA243" s="234"/>
      <c r="AB243" s="234"/>
      <c r="AC243" s="234">
        <v>96000000</v>
      </c>
      <c r="AD243" s="234"/>
      <c r="AE243" s="242"/>
      <c r="AF243" s="234"/>
      <c r="AG243" s="234"/>
      <c r="AH243" s="234"/>
      <c r="AI243" s="234">
        <v>130000000</v>
      </c>
      <c r="AJ243" s="234"/>
      <c r="AK243" s="234">
        <f>210707393+12219756</f>
        <v>222927149</v>
      </c>
      <c r="AL243" s="234"/>
      <c r="AM243" s="218">
        <f>+Y243+Z243+AA243+AB243+AC243+AD243+AE243+AF243+AG243+AH243+AI243+AJ243+AK243</f>
        <v>448927149</v>
      </c>
      <c r="AN243" s="200" t="s">
        <v>1621</v>
      </c>
      <c r="AO243" s="188"/>
    </row>
    <row r="244" spans="1:41" s="26" customFormat="1" ht="79.5" customHeight="1" x14ac:dyDescent="0.2">
      <c r="A244" s="178">
        <v>318</v>
      </c>
      <c r="B244" s="255" t="s">
        <v>1594</v>
      </c>
      <c r="C244" s="174">
        <v>1</v>
      </c>
      <c r="D244" s="232" t="s">
        <v>1580</v>
      </c>
      <c r="E244" s="174">
        <v>19</v>
      </c>
      <c r="F244" s="177" t="s">
        <v>147</v>
      </c>
      <c r="G244" s="174">
        <v>1905</v>
      </c>
      <c r="H244" s="177" t="s">
        <v>768</v>
      </c>
      <c r="I244" s="174">
        <v>1905</v>
      </c>
      <c r="J244" s="177" t="s">
        <v>1552</v>
      </c>
      <c r="K244" s="177" t="s">
        <v>1001</v>
      </c>
      <c r="L244" s="174">
        <v>1905014</v>
      </c>
      <c r="M244" s="177" t="s">
        <v>84</v>
      </c>
      <c r="N244" s="174">
        <v>1905014</v>
      </c>
      <c r="O244" s="177" t="s">
        <v>84</v>
      </c>
      <c r="P244" s="174">
        <v>190501400</v>
      </c>
      <c r="Q244" s="175" t="s">
        <v>532</v>
      </c>
      <c r="R244" s="174">
        <v>190501400</v>
      </c>
      <c r="S244" s="175" t="s">
        <v>532</v>
      </c>
      <c r="T244" s="191" t="s">
        <v>1635</v>
      </c>
      <c r="U244" s="52">
        <v>12</v>
      </c>
      <c r="V244" s="191" t="s">
        <v>1129</v>
      </c>
      <c r="W244" s="175" t="s">
        <v>1130</v>
      </c>
      <c r="X244" s="175" t="s">
        <v>1131</v>
      </c>
      <c r="Y244" s="234"/>
      <c r="Z244" s="234"/>
      <c r="AA244" s="234"/>
      <c r="AB244" s="234"/>
      <c r="AC244" s="234">
        <v>43000000</v>
      </c>
      <c r="AD244" s="234"/>
      <c r="AE244" s="234"/>
      <c r="AF244" s="234"/>
      <c r="AG244" s="234"/>
      <c r="AH244" s="234"/>
      <c r="AI244" s="239"/>
      <c r="AJ244" s="234"/>
      <c r="AK244" s="234"/>
      <c r="AL244" s="234"/>
      <c r="AM244" s="218">
        <f>+Y244+Z244+AA244+AB244+AC244+AD244+AE244+AF244+AG244+AH244+AI244+AJ244+AK244</f>
        <v>43000000</v>
      </c>
      <c r="AN244" s="200" t="s">
        <v>1621</v>
      </c>
      <c r="AO244" s="188"/>
    </row>
    <row r="245" spans="1:41" s="26" customFormat="1" ht="166.5" customHeight="1" x14ac:dyDescent="0.2">
      <c r="A245" s="178">
        <v>318</v>
      </c>
      <c r="B245" s="255" t="s">
        <v>1594</v>
      </c>
      <c r="C245" s="174">
        <v>1</v>
      </c>
      <c r="D245" s="232" t="s">
        <v>1580</v>
      </c>
      <c r="E245" s="174">
        <v>19</v>
      </c>
      <c r="F245" s="177" t="s">
        <v>147</v>
      </c>
      <c r="G245" s="174">
        <v>1905</v>
      </c>
      <c r="H245" s="177" t="s">
        <v>768</v>
      </c>
      <c r="I245" s="174">
        <v>1905</v>
      </c>
      <c r="J245" s="177" t="s">
        <v>1552</v>
      </c>
      <c r="K245" s="177" t="s">
        <v>1119</v>
      </c>
      <c r="L245" s="237">
        <v>1905026</v>
      </c>
      <c r="M245" s="177" t="s">
        <v>1120</v>
      </c>
      <c r="N245" s="174">
        <v>1905026</v>
      </c>
      <c r="O245" s="177" t="s">
        <v>1132</v>
      </c>
      <c r="P245" s="237">
        <v>190502600</v>
      </c>
      <c r="Q245" s="175" t="s">
        <v>1121</v>
      </c>
      <c r="R245" s="237">
        <v>190502600</v>
      </c>
      <c r="S245" s="256" t="s">
        <v>1121</v>
      </c>
      <c r="T245" s="191" t="s">
        <v>1635</v>
      </c>
      <c r="U245" s="174">
        <v>12</v>
      </c>
      <c r="V245" s="191" t="s">
        <v>1129</v>
      </c>
      <c r="W245" s="175" t="s">
        <v>1130</v>
      </c>
      <c r="X245" s="175" t="s">
        <v>1131</v>
      </c>
      <c r="Y245" s="234"/>
      <c r="Z245" s="234"/>
      <c r="AA245" s="234"/>
      <c r="AB245" s="234"/>
      <c r="AC245" s="234"/>
      <c r="AD245" s="234"/>
      <c r="AE245" s="234"/>
      <c r="AF245" s="234"/>
      <c r="AG245" s="234"/>
      <c r="AH245" s="234"/>
      <c r="AI245" s="239"/>
      <c r="AJ245" s="234"/>
      <c r="AK245" s="239">
        <v>179424239</v>
      </c>
      <c r="AL245" s="239"/>
      <c r="AM245" s="218">
        <f>+Y245+Z245+AA245+AB245+AC245+AD245+AE245+AF245+AG245+AH245+AI245+AJ245+AK245</f>
        <v>179424239</v>
      </c>
      <c r="AN245" s="200" t="s">
        <v>1621</v>
      </c>
      <c r="AO245" s="188"/>
    </row>
    <row r="246" spans="1:41" s="26" customFormat="1" ht="188.25" customHeight="1" x14ac:dyDescent="0.2">
      <c r="A246" s="178">
        <v>318</v>
      </c>
      <c r="B246" s="255" t="s">
        <v>1594</v>
      </c>
      <c r="C246" s="174">
        <v>1</v>
      </c>
      <c r="D246" s="232" t="s">
        <v>1580</v>
      </c>
      <c r="E246" s="174">
        <v>19</v>
      </c>
      <c r="F246" s="177" t="s">
        <v>147</v>
      </c>
      <c r="G246" s="174">
        <v>1905</v>
      </c>
      <c r="H246" s="177" t="s">
        <v>768</v>
      </c>
      <c r="I246" s="174">
        <v>1905</v>
      </c>
      <c r="J246" s="177" t="s">
        <v>1552</v>
      </c>
      <c r="K246" s="177" t="s">
        <v>1119</v>
      </c>
      <c r="L246" s="174">
        <v>1905026</v>
      </c>
      <c r="M246" s="177" t="s">
        <v>1120</v>
      </c>
      <c r="N246" s="174">
        <v>1905026</v>
      </c>
      <c r="O246" s="177" t="s">
        <v>1120</v>
      </c>
      <c r="P246" s="237">
        <v>190502600</v>
      </c>
      <c r="Q246" s="256" t="s">
        <v>1121</v>
      </c>
      <c r="R246" s="237">
        <v>190502600</v>
      </c>
      <c r="S246" s="256" t="s">
        <v>1121</v>
      </c>
      <c r="T246" s="191" t="s">
        <v>1635</v>
      </c>
      <c r="U246" s="174">
        <v>12</v>
      </c>
      <c r="V246" s="191" t="s">
        <v>1133</v>
      </c>
      <c r="W246" s="175" t="s">
        <v>1134</v>
      </c>
      <c r="X246" s="175" t="s">
        <v>1135</v>
      </c>
      <c r="Y246" s="234"/>
      <c r="Z246" s="234"/>
      <c r="AA246" s="234"/>
      <c r="AB246" s="234"/>
      <c r="AC246" s="234"/>
      <c r="AD246" s="297"/>
      <c r="AE246" s="234"/>
      <c r="AF246" s="234"/>
      <c r="AG246" s="234"/>
      <c r="AH246" s="234"/>
      <c r="AI246" s="239">
        <v>1100000000</v>
      </c>
      <c r="AJ246" s="234"/>
      <c r="AK246" s="234"/>
      <c r="AL246" s="234"/>
      <c r="AM246" s="218">
        <f>+Y246+Z246+AA246+AB246+AC246+AD246+AE246+AF246+AG246+AH246+AI246+AJ246+AK246</f>
        <v>1100000000</v>
      </c>
      <c r="AN246" s="200" t="s">
        <v>1621</v>
      </c>
      <c r="AO246" s="188"/>
    </row>
    <row r="247" spans="1:41" s="26" customFormat="1" ht="120" customHeight="1" x14ac:dyDescent="0.2">
      <c r="A247" s="178">
        <v>318</v>
      </c>
      <c r="B247" s="255" t="s">
        <v>1594</v>
      </c>
      <c r="C247" s="174">
        <v>1</v>
      </c>
      <c r="D247" s="232" t="s">
        <v>1580</v>
      </c>
      <c r="E247" s="174">
        <v>19</v>
      </c>
      <c r="F247" s="177" t="s">
        <v>147</v>
      </c>
      <c r="G247" s="174">
        <v>1905</v>
      </c>
      <c r="H247" s="177" t="s">
        <v>768</v>
      </c>
      <c r="I247" s="174">
        <v>1905</v>
      </c>
      <c r="J247" s="177" t="s">
        <v>1552</v>
      </c>
      <c r="K247" s="177" t="s">
        <v>1008</v>
      </c>
      <c r="L247" s="174">
        <v>1905029</v>
      </c>
      <c r="M247" s="177" t="s">
        <v>1136</v>
      </c>
      <c r="N247" s="174">
        <v>1905030</v>
      </c>
      <c r="O247" s="177" t="s">
        <v>1137</v>
      </c>
      <c r="P247" s="52">
        <v>190502900</v>
      </c>
      <c r="Q247" s="256" t="s">
        <v>1138</v>
      </c>
      <c r="R247" s="237">
        <v>190503000</v>
      </c>
      <c r="S247" s="256" t="s">
        <v>1138</v>
      </c>
      <c r="T247" s="191" t="s">
        <v>1635</v>
      </c>
      <c r="U247" s="52">
        <v>60</v>
      </c>
      <c r="V247" s="191" t="s">
        <v>1139</v>
      </c>
      <c r="W247" s="175" t="s">
        <v>1140</v>
      </c>
      <c r="X247" s="175" t="s">
        <v>1141</v>
      </c>
      <c r="Y247" s="234"/>
      <c r="Z247" s="234"/>
      <c r="AA247" s="234"/>
      <c r="AB247" s="234"/>
      <c r="AC247" s="234">
        <v>20000000</v>
      </c>
      <c r="AD247" s="234"/>
      <c r="AE247" s="234"/>
      <c r="AF247" s="234"/>
      <c r="AG247" s="234"/>
      <c r="AH247" s="234"/>
      <c r="AI247" s="239"/>
      <c r="AJ247" s="234"/>
      <c r="AK247" s="234"/>
      <c r="AL247" s="234"/>
      <c r="AM247" s="218">
        <f>+Y247+Z247+AA247+AB247+AC247+AD247+AE247+AF247+AG247+AH247+AI247+AJ247+AK247</f>
        <v>20000000</v>
      </c>
      <c r="AN247" s="200" t="s">
        <v>1621</v>
      </c>
      <c r="AO247" s="188"/>
    </row>
    <row r="248" spans="1:41" s="26" customFormat="1" ht="93.75" customHeight="1" x14ac:dyDescent="0.2">
      <c r="A248" s="178">
        <v>318</v>
      </c>
      <c r="B248" s="255" t="s">
        <v>1594</v>
      </c>
      <c r="C248" s="174">
        <v>1</v>
      </c>
      <c r="D248" s="232" t="s">
        <v>1580</v>
      </c>
      <c r="E248" s="174">
        <v>19</v>
      </c>
      <c r="F248" s="177" t="s">
        <v>147</v>
      </c>
      <c r="G248" s="174">
        <v>1905</v>
      </c>
      <c r="H248" s="177" t="s">
        <v>768</v>
      </c>
      <c r="I248" s="174">
        <v>1905</v>
      </c>
      <c r="J248" s="177" t="s">
        <v>1552</v>
      </c>
      <c r="K248" s="177" t="s">
        <v>1048</v>
      </c>
      <c r="L248" s="174">
        <v>1905025</v>
      </c>
      <c r="M248" s="177" t="s">
        <v>1142</v>
      </c>
      <c r="N248" s="174">
        <v>1905025</v>
      </c>
      <c r="O248" s="177" t="s">
        <v>1142</v>
      </c>
      <c r="P248" s="237">
        <v>190502500</v>
      </c>
      <c r="Q248" s="256" t="s">
        <v>1143</v>
      </c>
      <c r="R248" s="237">
        <v>190502500</v>
      </c>
      <c r="S248" s="256" t="s">
        <v>1143</v>
      </c>
      <c r="T248" s="191" t="s">
        <v>1635</v>
      </c>
      <c r="U248" s="52">
        <v>12</v>
      </c>
      <c r="V248" s="191" t="s">
        <v>1144</v>
      </c>
      <c r="W248" s="175" t="s">
        <v>1145</v>
      </c>
      <c r="X248" s="175" t="s">
        <v>1146</v>
      </c>
      <c r="Y248" s="234"/>
      <c r="Z248" s="234"/>
      <c r="AA248" s="234"/>
      <c r="AB248" s="234"/>
      <c r="AC248" s="234">
        <v>84414100</v>
      </c>
      <c r="AD248" s="234"/>
      <c r="AE248" s="234"/>
      <c r="AF248" s="234"/>
      <c r="AG248" s="234"/>
      <c r="AH248" s="234"/>
      <c r="AI248" s="239"/>
      <c r="AJ248" s="234"/>
      <c r="AK248" s="234"/>
      <c r="AL248" s="234"/>
      <c r="AM248" s="218">
        <f>+Y248+Z248+AA248+AB248+AC248+AD248+AE248+AF248+AG248+AH248+AI248+AJ248+AK248</f>
        <v>84414100</v>
      </c>
      <c r="AN248" s="200" t="s">
        <v>1621</v>
      </c>
      <c r="AO248" s="188"/>
    </row>
    <row r="249" spans="1:41" s="26" customFormat="1" ht="86.25" customHeight="1" x14ac:dyDescent="0.2">
      <c r="A249" s="178">
        <v>318</v>
      </c>
      <c r="B249" s="255" t="s">
        <v>1594</v>
      </c>
      <c r="C249" s="174">
        <v>1</v>
      </c>
      <c r="D249" s="232" t="s">
        <v>1580</v>
      </c>
      <c r="E249" s="174">
        <v>19</v>
      </c>
      <c r="F249" s="177" t="s">
        <v>147</v>
      </c>
      <c r="G249" s="174">
        <v>1905</v>
      </c>
      <c r="H249" s="177" t="s">
        <v>768</v>
      </c>
      <c r="I249" s="174">
        <v>1905</v>
      </c>
      <c r="J249" s="177" t="s">
        <v>1552</v>
      </c>
      <c r="K249" s="177" t="s">
        <v>1012</v>
      </c>
      <c r="L249" s="174">
        <v>1905015</v>
      </c>
      <c r="M249" s="177" t="s">
        <v>233</v>
      </c>
      <c r="N249" s="174">
        <v>1905015</v>
      </c>
      <c r="O249" s="177" t="s">
        <v>233</v>
      </c>
      <c r="P249" s="174">
        <v>190501503</v>
      </c>
      <c r="Q249" s="175" t="s">
        <v>1147</v>
      </c>
      <c r="R249" s="174">
        <v>190501503</v>
      </c>
      <c r="S249" s="175" t="s">
        <v>1147</v>
      </c>
      <c r="T249" s="191" t="s">
        <v>1635</v>
      </c>
      <c r="U249" s="52">
        <v>15</v>
      </c>
      <c r="V249" s="191" t="s">
        <v>1148</v>
      </c>
      <c r="W249" s="175" t="s">
        <v>1149</v>
      </c>
      <c r="X249" s="175" t="s">
        <v>1150</v>
      </c>
      <c r="Y249" s="234"/>
      <c r="Z249" s="234"/>
      <c r="AA249" s="234"/>
      <c r="AB249" s="234">
        <f>100000000-100000000</f>
        <v>0</v>
      </c>
      <c r="AC249" s="266">
        <v>320000000</v>
      </c>
      <c r="AD249" s="234"/>
      <c r="AE249" s="234"/>
      <c r="AF249" s="234"/>
      <c r="AG249" s="234"/>
      <c r="AH249" s="234"/>
      <c r="AI249" s="239"/>
      <c r="AJ249" s="234"/>
      <c r="AK249" s="234"/>
      <c r="AL249" s="234"/>
      <c r="AM249" s="218">
        <f>+Y249+Z249+AA249+AB249+AC249+AD249+AE249+AF249+AG249+AH249+AI249+AJ249+AK249</f>
        <v>320000000</v>
      </c>
      <c r="AN249" s="200" t="s">
        <v>1621</v>
      </c>
      <c r="AO249" s="188"/>
    </row>
    <row r="250" spans="1:41" s="26" customFormat="1" ht="63.75" customHeight="1" x14ac:dyDescent="0.2">
      <c r="A250" s="178">
        <v>318</v>
      </c>
      <c r="B250" s="255" t="s">
        <v>1594</v>
      </c>
      <c r="C250" s="174">
        <v>1</v>
      </c>
      <c r="D250" s="232" t="s">
        <v>1580</v>
      </c>
      <c r="E250" s="174">
        <v>19</v>
      </c>
      <c r="F250" s="177" t="s">
        <v>147</v>
      </c>
      <c r="G250" s="174">
        <v>1905</v>
      </c>
      <c r="H250" s="177" t="s">
        <v>768</v>
      </c>
      <c r="I250" s="174">
        <v>1905</v>
      </c>
      <c r="J250" s="177" t="s">
        <v>1552</v>
      </c>
      <c r="K250" s="177" t="s">
        <v>1151</v>
      </c>
      <c r="L250" s="174" t="s">
        <v>41</v>
      </c>
      <c r="M250" s="177" t="s">
        <v>1152</v>
      </c>
      <c r="N250" s="174" t="s">
        <v>1153</v>
      </c>
      <c r="O250" s="177" t="s">
        <v>1154</v>
      </c>
      <c r="P250" s="174" t="s">
        <v>41</v>
      </c>
      <c r="Q250" s="175" t="s">
        <v>1155</v>
      </c>
      <c r="R250" s="174" t="s">
        <v>1156</v>
      </c>
      <c r="S250" s="175" t="s">
        <v>1157</v>
      </c>
      <c r="T250" s="191" t="s">
        <v>1635</v>
      </c>
      <c r="U250" s="52">
        <v>1</v>
      </c>
      <c r="V250" s="191" t="s">
        <v>1158</v>
      </c>
      <c r="W250" s="175" t="s">
        <v>1159</v>
      </c>
      <c r="X250" s="175" t="s">
        <v>1160</v>
      </c>
      <c r="Y250" s="234"/>
      <c r="Z250" s="234"/>
      <c r="AA250" s="234"/>
      <c r="AB250" s="234"/>
      <c r="AC250" s="234"/>
      <c r="AD250" s="299"/>
      <c r="AE250" s="234"/>
      <c r="AF250" s="234"/>
      <c r="AG250" s="234"/>
      <c r="AH250" s="234"/>
      <c r="AI250" s="239">
        <v>321904376</v>
      </c>
      <c r="AJ250" s="234"/>
      <c r="AK250" s="234"/>
      <c r="AL250" s="234"/>
      <c r="AM250" s="218">
        <f>+Y250+Z250+AA250+AB250+AC250+AD250+AE250+AF250+AG250+AH250+AI250+AJ250+AK250</f>
        <v>321904376</v>
      </c>
      <c r="AN250" s="200" t="s">
        <v>1621</v>
      </c>
      <c r="AO250" s="188"/>
    </row>
    <row r="251" spans="1:41" s="26" customFormat="1" ht="88.5" customHeight="1" x14ac:dyDescent="0.2">
      <c r="A251" s="178">
        <v>318</v>
      </c>
      <c r="B251" s="255" t="s">
        <v>1594</v>
      </c>
      <c r="C251" s="174">
        <v>1</v>
      </c>
      <c r="D251" s="232" t="s">
        <v>1580</v>
      </c>
      <c r="E251" s="174">
        <v>19</v>
      </c>
      <c r="F251" s="177" t="s">
        <v>147</v>
      </c>
      <c r="G251" s="174">
        <v>1905</v>
      </c>
      <c r="H251" s="177" t="s">
        <v>768</v>
      </c>
      <c r="I251" s="174">
        <v>1905</v>
      </c>
      <c r="J251" s="177" t="s">
        <v>1552</v>
      </c>
      <c r="K251" s="177" t="s">
        <v>995</v>
      </c>
      <c r="L251" s="178">
        <v>1905031</v>
      </c>
      <c r="M251" s="177" t="s">
        <v>1067</v>
      </c>
      <c r="N251" s="178">
        <v>1905031</v>
      </c>
      <c r="O251" s="177" t="s">
        <v>1067</v>
      </c>
      <c r="P251" s="178">
        <v>190503100</v>
      </c>
      <c r="Q251" s="175" t="s">
        <v>1068</v>
      </c>
      <c r="R251" s="174">
        <v>190503100</v>
      </c>
      <c r="S251" s="175" t="s">
        <v>1068</v>
      </c>
      <c r="T251" s="191" t="s">
        <v>1635</v>
      </c>
      <c r="U251" s="52">
        <v>12</v>
      </c>
      <c r="V251" s="191" t="s">
        <v>1161</v>
      </c>
      <c r="W251" s="175" t="s">
        <v>1162</v>
      </c>
      <c r="X251" s="175" t="s">
        <v>1163</v>
      </c>
      <c r="Y251" s="234"/>
      <c r="Z251" s="234"/>
      <c r="AA251" s="234"/>
      <c r="AB251" s="234"/>
      <c r="AC251" s="234">
        <f>1263850000+433334276.49+63682049</f>
        <v>1760866325.49</v>
      </c>
      <c r="AD251" s="234"/>
      <c r="AE251" s="234"/>
      <c r="AF251" s="234"/>
      <c r="AG251" s="234"/>
      <c r="AH251" s="234"/>
      <c r="AI251" s="239"/>
      <c r="AJ251" s="234"/>
      <c r="AK251" s="234"/>
      <c r="AL251" s="234"/>
      <c r="AM251" s="218">
        <f>+Y251+Z251+AA251+AB251+AC251+AD251+AE251+AF251+AG251+AH251+AI251+AJ251+AK251</f>
        <v>1760866325.49</v>
      </c>
      <c r="AN251" s="200" t="s">
        <v>1621</v>
      </c>
      <c r="AO251" s="188"/>
    </row>
    <row r="252" spans="1:41" s="26" customFormat="1" ht="93" customHeight="1" x14ac:dyDescent="0.2">
      <c r="A252" s="178">
        <v>318</v>
      </c>
      <c r="B252" s="255" t="s">
        <v>1594</v>
      </c>
      <c r="C252" s="174">
        <v>1</v>
      </c>
      <c r="D252" s="232" t="s">
        <v>1580</v>
      </c>
      <c r="E252" s="174">
        <v>19</v>
      </c>
      <c r="F252" s="177" t="s">
        <v>147</v>
      </c>
      <c r="G252" s="174">
        <v>1906</v>
      </c>
      <c r="H252" s="177" t="s">
        <v>1523</v>
      </c>
      <c r="I252" s="174">
        <v>1906</v>
      </c>
      <c r="J252" s="177" t="s">
        <v>1524</v>
      </c>
      <c r="K252" s="177" t="s">
        <v>1048</v>
      </c>
      <c r="L252" s="174">
        <v>1906032</v>
      </c>
      <c r="M252" s="177" t="s">
        <v>1164</v>
      </c>
      <c r="N252" s="174">
        <v>1906032</v>
      </c>
      <c r="O252" s="177" t="s">
        <v>1164</v>
      </c>
      <c r="P252" s="237">
        <v>190603200</v>
      </c>
      <c r="Q252" s="175" t="s">
        <v>1165</v>
      </c>
      <c r="R252" s="237">
        <v>190603200</v>
      </c>
      <c r="S252" s="177" t="s">
        <v>1165</v>
      </c>
      <c r="T252" s="191" t="s">
        <v>1637</v>
      </c>
      <c r="U252" s="52">
        <v>1500</v>
      </c>
      <c r="V252" s="191" t="s">
        <v>1166</v>
      </c>
      <c r="W252" s="175" t="s">
        <v>1167</v>
      </c>
      <c r="X252" s="175" t="s">
        <v>1168</v>
      </c>
      <c r="Y252" s="234"/>
      <c r="Z252" s="234"/>
      <c r="AA252" s="234"/>
      <c r="AB252" s="234"/>
      <c r="AC252" s="234"/>
      <c r="AD252" s="266">
        <v>0</v>
      </c>
      <c r="AE252" s="234"/>
      <c r="AF252" s="234"/>
      <c r="AG252" s="234"/>
      <c r="AH252" s="234"/>
      <c r="AI252" s="239"/>
      <c r="AJ252" s="234"/>
      <c r="AK252" s="234"/>
      <c r="AL252" s="234"/>
      <c r="AM252" s="218">
        <f>+Y252+Z252+AA252+AB252+AC252+AD252+AE252+AF252+AG252+AH252+AI252+AJ252+AK252</f>
        <v>0</v>
      </c>
      <c r="AN252" s="200" t="s">
        <v>1621</v>
      </c>
      <c r="AO252" s="188"/>
    </row>
    <row r="253" spans="1:41" s="26" customFormat="1" ht="87.75" customHeight="1" x14ac:dyDescent="0.2">
      <c r="A253" s="178">
        <v>318</v>
      </c>
      <c r="B253" s="255" t="s">
        <v>1594</v>
      </c>
      <c r="C253" s="174">
        <v>1</v>
      </c>
      <c r="D253" s="232" t="s">
        <v>1580</v>
      </c>
      <c r="E253" s="174">
        <v>19</v>
      </c>
      <c r="F253" s="177" t="s">
        <v>147</v>
      </c>
      <c r="G253" s="174">
        <v>1906</v>
      </c>
      <c r="H253" s="177" t="s">
        <v>1523</v>
      </c>
      <c r="I253" s="174">
        <v>1906</v>
      </c>
      <c r="J253" s="177" t="s">
        <v>1524</v>
      </c>
      <c r="K253" s="177" t="s">
        <v>1169</v>
      </c>
      <c r="L253" s="174" t="s">
        <v>41</v>
      </c>
      <c r="M253" s="177" t="s">
        <v>1170</v>
      </c>
      <c r="N253" s="174">
        <v>1906023</v>
      </c>
      <c r="O253" s="177" t="s">
        <v>1171</v>
      </c>
      <c r="P253" s="174" t="s">
        <v>41</v>
      </c>
      <c r="Q253" s="175" t="s">
        <v>1172</v>
      </c>
      <c r="R253" s="174">
        <v>190602300</v>
      </c>
      <c r="S253" s="177" t="s">
        <v>1173</v>
      </c>
      <c r="T253" s="191" t="s">
        <v>1635</v>
      </c>
      <c r="U253" s="52">
        <v>19899</v>
      </c>
      <c r="V253" s="191" t="s">
        <v>1166</v>
      </c>
      <c r="W253" s="175" t="s">
        <v>1167</v>
      </c>
      <c r="X253" s="175" t="s">
        <v>1168</v>
      </c>
      <c r="Y253" s="234"/>
      <c r="Z253" s="234"/>
      <c r="AA253" s="234"/>
      <c r="AB253" s="234"/>
      <c r="AC253" s="234"/>
      <c r="AD253" s="266">
        <f>31408028135-56769013+473448217.47+3249295760.63</f>
        <v>35074003100.099998</v>
      </c>
      <c r="AE253" s="234"/>
      <c r="AF253" s="234"/>
      <c r="AG253" s="234"/>
      <c r="AH253" s="234"/>
      <c r="AI253" s="239">
        <v>0</v>
      </c>
      <c r="AJ253" s="234"/>
      <c r="AK253" s="234"/>
      <c r="AL253" s="234"/>
      <c r="AM253" s="218">
        <f>+Y253+Z253+AA253+AB253+AC253+AD253+AE253+AF253+AG253+AH253+AI253+AJ253+AK253</f>
        <v>35074003100.099998</v>
      </c>
      <c r="AN253" s="200" t="s">
        <v>1621</v>
      </c>
      <c r="AO253" s="188"/>
    </row>
    <row r="254" spans="1:41" s="26" customFormat="1" ht="83.25" customHeight="1" x14ac:dyDescent="0.2">
      <c r="A254" s="178">
        <v>318</v>
      </c>
      <c r="B254" s="255" t="s">
        <v>1594</v>
      </c>
      <c r="C254" s="174">
        <v>1</v>
      </c>
      <c r="D254" s="232" t="s">
        <v>1580</v>
      </c>
      <c r="E254" s="174">
        <v>19</v>
      </c>
      <c r="F254" s="177" t="s">
        <v>147</v>
      </c>
      <c r="G254" s="174">
        <v>1906</v>
      </c>
      <c r="H254" s="177" t="s">
        <v>1523</v>
      </c>
      <c r="I254" s="174">
        <v>1906</v>
      </c>
      <c r="J254" s="177" t="s">
        <v>1524</v>
      </c>
      <c r="K254" s="177" t="s">
        <v>1169</v>
      </c>
      <c r="L254" s="174" t="s">
        <v>41</v>
      </c>
      <c r="M254" s="177" t="s">
        <v>1174</v>
      </c>
      <c r="N254" s="174">
        <v>1906023</v>
      </c>
      <c r="O254" s="177" t="s">
        <v>1171</v>
      </c>
      <c r="P254" s="174" t="s">
        <v>41</v>
      </c>
      <c r="Q254" s="175" t="s">
        <v>1175</v>
      </c>
      <c r="R254" s="237">
        <v>190602301</v>
      </c>
      <c r="S254" s="256" t="s">
        <v>1176</v>
      </c>
      <c r="T254" s="191" t="s">
        <v>1635</v>
      </c>
      <c r="U254" s="52">
        <v>60</v>
      </c>
      <c r="V254" s="191" t="s">
        <v>1177</v>
      </c>
      <c r="W254" s="175" t="s">
        <v>1626</v>
      </c>
      <c r="X254" s="175" t="s">
        <v>1178</v>
      </c>
      <c r="Y254" s="234"/>
      <c r="Z254" s="234"/>
      <c r="AA254" s="234"/>
      <c r="AB254" s="234"/>
      <c r="AC254" s="234"/>
      <c r="AD254" s="266">
        <f>115688008-54899687</f>
        <v>60788321</v>
      </c>
      <c r="AE254" s="234"/>
      <c r="AF254" s="234"/>
      <c r="AG254" s="234"/>
      <c r="AH254" s="234"/>
      <c r="AI254" s="239">
        <v>1449459132</v>
      </c>
      <c r="AJ254" s="234"/>
      <c r="AK254" s="234">
        <f>1361612640+709077292</f>
        <v>2070689932</v>
      </c>
      <c r="AL254" s="234"/>
      <c r="AM254" s="218">
        <f>+Y254+Z254+AA254+AB254+AC254+AD254+AE254+AF254+AG254+AH254+AI254+AJ254+AK254</f>
        <v>3580937385</v>
      </c>
      <c r="AN254" s="200" t="s">
        <v>1621</v>
      </c>
      <c r="AO254" s="188"/>
    </row>
    <row r="255" spans="1:41" s="26" customFormat="1" ht="147" customHeight="1" x14ac:dyDescent="0.2">
      <c r="A255" s="178">
        <v>318</v>
      </c>
      <c r="B255" s="255" t="s">
        <v>1594</v>
      </c>
      <c r="C255" s="174">
        <v>1</v>
      </c>
      <c r="D255" s="232" t="s">
        <v>1580</v>
      </c>
      <c r="E255" s="174">
        <v>19</v>
      </c>
      <c r="F255" s="177" t="s">
        <v>147</v>
      </c>
      <c r="G255" s="174">
        <v>1906</v>
      </c>
      <c r="H255" s="177" t="s">
        <v>1523</v>
      </c>
      <c r="I255" s="174">
        <v>1906</v>
      </c>
      <c r="J255" s="177" t="s">
        <v>1524</v>
      </c>
      <c r="K255" s="177" t="s">
        <v>1169</v>
      </c>
      <c r="L255" s="174" t="s">
        <v>41</v>
      </c>
      <c r="M255" s="177" t="s">
        <v>1179</v>
      </c>
      <c r="N255" s="174">
        <v>1906025</v>
      </c>
      <c r="O255" s="177" t="s">
        <v>1180</v>
      </c>
      <c r="P255" s="174" t="s">
        <v>41</v>
      </c>
      <c r="Q255" s="175" t="s">
        <v>1181</v>
      </c>
      <c r="R255" s="174">
        <v>190602500</v>
      </c>
      <c r="S255" s="177" t="s">
        <v>1182</v>
      </c>
      <c r="T255" s="191" t="s">
        <v>1635</v>
      </c>
      <c r="U255" s="52">
        <v>100</v>
      </c>
      <c r="V255" s="191" t="s">
        <v>1177</v>
      </c>
      <c r="W255" s="175" t="s">
        <v>1626</v>
      </c>
      <c r="X255" s="175" t="s">
        <v>1178</v>
      </c>
      <c r="Y255" s="234"/>
      <c r="Z255" s="234"/>
      <c r="AA255" s="234"/>
      <c r="AB255" s="316">
        <f>100000000+300000000+400000000-400000000-400000000</f>
        <v>0</v>
      </c>
      <c r="AC255" s="234">
        <f>2224028029+3434211.2+3039348.21-3434211.2-3039348.21-489634735</f>
        <v>1734393294</v>
      </c>
      <c r="AD255" s="270"/>
      <c r="AE255" s="234"/>
      <c r="AF255" s="234"/>
      <c r="AG255" s="234"/>
      <c r="AH255" s="234"/>
      <c r="AI255" s="239"/>
      <c r="AJ255" s="234"/>
      <c r="AK255" s="234"/>
      <c r="AL255" s="234"/>
      <c r="AM255" s="218">
        <f>+Y255+Z255+AA255+AB255+AC255+AD255+AE255+AF255+AG255+AH255+AI255+AJ255+AK255</f>
        <v>1734393294</v>
      </c>
      <c r="AN255" s="200" t="s">
        <v>1621</v>
      </c>
      <c r="AO255" s="188"/>
    </row>
    <row r="256" spans="1:41" s="26" customFormat="1" ht="95.25" customHeight="1" x14ac:dyDescent="0.2">
      <c r="A256" s="178">
        <v>318</v>
      </c>
      <c r="B256" s="255" t="s">
        <v>1594</v>
      </c>
      <c r="C256" s="174">
        <v>1</v>
      </c>
      <c r="D256" s="232" t="s">
        <v>1580</v>
      </c>
      <c r="E256" s="174">
        <v>19</v>
      </c>
      <c r="F256" s="177" t="s">
        <v>147</v>
      </c>
      <c r="G256" s="174">
        <v>1906</v>
      </c>
      <c r="H256" s="177" t="s">
        <v>1523</v>
      </c>
      <c r="I256" s="174">
        <v>1906</v>
      </c>
      <c r="J256" s="177" t="s">
        <v>1524</v>
      </c>
      <c r="K256" s="177" t="s">
        <v>1169</v>
      </c>
      <c r="L256" s="174" t="s">
        <v>41</v>
      </c>
      <c r="M256" s="177" t="s">
        <v>1183</v>
      </c>
      <c r="N256" s="174">
        <v>1906025</v>
      </c>
      <c r="O256" s="177" t="s">
        <v>1180</v>
      </c>
      <c r="P256" s="174" t="s">
        <v>41</v>
      </c>
      <c r="Q256" s="175" t="s">
        <v>1184</v>
      </c>
      <c r="R256" s="174">
        <v>190602500</v>
      </c>
      <c r="S256" s="256" t="s">
        <v>1182</v>
      </c>
      <c r="T256" s="191" t="s">
        <v>1635</v>
      </c>
      <c r="U256" s="52">
        <v>100</v>
      </c>
      <c r="V256" s="191" t="s">
        <v>1177</v>
      </c>
      <c r="W256" s="175" t="s">
        <v>1626</v>
      </c>
      <c r="X256" s="175" t="s">
        <v>1178</v>
      </c>
      <c r="Y256" s="234"/>
      <c r="Z256" s="234"/>
      <c r="AA256" s="234"/>
      <c r="AB256" s="316">
        <f>400000000+400000000</f>
        <v>800000000</v>
      </c>
      <c r="AC256" s="234">
        <f>3434211.2+3039348.21</f>
        <v>6473559.4100000001</v>
      </c>
      <c r="AD256" s="266">
        <f>3684809425+33937548.72+1216600524.1+22221326.62+712647104.86+2028035496</f>
        <v>7698251425.2999992</v>
      </c>
      <c r="AE256" s="234"/>
      <c r="AF256" s="234"/>
      <c r="AG256" s="234"/>
      <c r="AH256" s="234"/>
      <c r="AI256" s="309">
        <v>4720000000</v>
      </c>
      <c r="AJ256" s="234"/>
      <c r="AK256" s="316">
        <v>8702487605</v>
      </c>
      <c r="AL256" s="234"/>
      <c r="AM256" s="218">
        <f>+Y256+Z256+AA256+AB256+AC256+AD256+AE256+AF256+AG256+AH256+AI256+AJ256+AK256</f>
        <v>21927212589.709999</v>
      </c>
      <c r="AN256" s="200" t="s">
        <v>1621</v>
      </c>
      <c r="AO256" s="188"/>
    </row>
    <row r="257" spans="1:41" s="26" customFormat="1" ht="95.25" customHeight="1" x14ac:dyDescent="0.2">
      <c r="A257" s="178">
        <v>318</v>
      </c>
      <c r="B257" s="255" t="s">
        <v>1594</v>
      </c>
      <c r="C257" s="174">
        <v>1</v>
      </c>
      <c r="D257" s="232" t="s">
        <v>1580</v>
      </c>
      <c r="E257" s="174">
        <v>19</v>
      </c>
      <c r="F257" s="177" t="s">
        <v>147</v>
      </c>
      <c r="G257" s="174">
        <v>1906</v>
      </c>
      <c r="H257" s="177" t="s">
        <v>1523</v>
      </c>
      <c r="I257" s="174">
        <v>1906</v>
      </c>
      <c r="J257" s="177" t="s">
        <v>1524</v>
      </c>
      <c r="K257" s="177" t="s">
        <v>1185</v>
      </c>
      <c r="L257" s="174">
        <v>1906029</v>
      </c>
      <c r="M257" s="177" t="s">
        <v>1186</v>
      </c>
      <c r="N257" s="174">
        <v>1906029</v>
      </c>
      <c r="O257" s="177" t="s">
        <v>1186</v>
      </c>
      <c r="P257" s="237">
        <v>190602900</v>
      </c>
      <c r="Q257" s="175" t="s">
        <v>1187</v>
      </c>
      <c r="R257" s="237">
        <v>190602900</v>
      </c>
      <c r="S257" s="256" t="s">
        <v>1187</v>
      </c>
      <c r="T257" s="191" t="s">
        <v>1635</v>
      </c>
      <c r="U257" s="52">
        <v>40</v>
      </c>
      <c r="V257" s="191" t="s">
        <v>1188</v>
      </c>
      <c r="W257" s="175" t="s">
        <v>1189</v>
      </c>
      <c r="X257" s="175" t="s">
        <v>1190</v>
      </c>
      <c r="Y257" s="234"/>
      <c r="Z257" s="234"/>
      <c r="AA257" s="234"/>
      <c r="AB257" s="234"/>
      <c r="AC257" s="234"/>
      <c r="AD257" s="266">
        <v>468599154.12</v>
      </c>
      <c r="AE257" s="234"/>
      <c r="AF257" s="234"/>
      <c r="AG257" s="234"/>
      <c r="AH257" s="234"/>
      <c r="AI257" s="309">
        <f>150390000+74000000+100000000+1014540868+473184457.21</f>
        <v>1812115325.21</v>
      </c>
      <c r="AJ257" s="234"/>
      <c r="AK257" s="234">
        <v>308966733</v>
      </c>
      <c r="AL257" s="234"/>
      <c r="AM257" s="218">
        <f>+Y257+Z257+AA257+AB257+AC257+AD257+AE257+AF257+AG257+AH257+AI257+AJ257+AK257</f>
        <v>2589681212.3299999</v>
      </c>
      <c r="AN257" s="200" t="s">
        <v>1621</v>
      </c>
      <c r="AO257" s="188"/>
    </row>
    <row r="258" spans="1:41" s="26" customFormat="1" ht="87.75" customHeight="1" x14ac:dyDescent="0.2">
      <c r="A258" s="178">
        <v>318</v>
      </c>
      <c r="B258" s="255" t="s">
        <v>1594</v>
      </c>
      <c r="C258" s="174">
        <v>1</v>
      </c>
      <c r="D258" s="232" t="s">
        <v>1580</v>
      </c>
      <c r="E258" s="174">
        <v>19</v>
      </c>
      <c r="F258" s="177" t="s">
        <v>147</v>
      </c>
      <c r="G258" s="174">
        <v>1906</v>
      </c>
      <c r="H258" s="177" t="s">
        <v>1523</v>
      </c>
      <c r="I258" s="174">
        <v>1906</v>
      </c>
      <c r="J258" s="177" t="s">
        <v>1524</v>
      </c>
      <c r="K258" s="177" t="s">
        <v>1048</v>
      </c>
      <c r="L258" s="174">
        <v>1906032</v>
      </c>
      <c r="M258" s="177" t="s">
        <v>1164</v>
      </c>
      <c r="N258" s="174">
        <v>1906032</v>
      </c>
      <c r="O258" s="177" t="s">
        <v>1164</v>
      </c>
      <c r="P258" s="237">
        <v>190603200</v>
      </c>
      <c r="Q258" s="175" t="s">
        <v>1165</v>
      </c>
      <c r="R258" s="237">
        <v>190603200</v>
      </c>
      <c r="S258" s="177" t="s">
        <v>1165</v>
      </c>
      <c r="T258" s="191" t="s">
        <v>1637</v>
      </c>
      <c r="U258" s="52">
        <v>1500</v>
      </c>
      <c r="V258" s="191" t="s">
        <v>1188</v>
      </c>
      <c r="W258" s="175" t="s">
        <v>1189</v>
      </c>
      <c r="X258" s="175" t="s">
        <v>1190</v>
      </c>
      <c r="Y258" s="234"/>
      <c r="Z258" s="234"/>
      <c r="AA258" s="234"/>
      <c r="AB258" s="234"/>
      <c r="AC258" s="234"/>
      <c r="AD258" s="266"/>
      <c r="AE258" s="234"/>
      <c r="AF258" s="234"/>
      <c r="AG258" s="234"/>
      <c r="AH258" s="234"/>
      <c r="AI258" s="239">
        <v>20000000</v>
      </c>
      <c r="AJ258" s="234"/>
      <c r="AK258" s="234"/>
      <c r="AL258" s="234"/>
      <c r="AM258" s="218">
        <f>+Y258+Z258+AA258+AB258+AC258+AD258+AE258+AF258+AG258+AH258+AI258+AJ258+AK258</f>
        <v>20000000</v>
      </c>
      <c r="AN258" s="200" t="s">
        <v>1621</v>
      </c>
      <c r="AO258" s="188"/>
    </row>
    <row r="259" spans="1:41" s="26" customFormat="1" ht="119.25" customHeight="1" x14ac:dyDescent="0.2">
      <c r="A259" s="178">
        <v>318</v>
      </c>
      <c r="B259" s="255" t="s">
        <v>1594</v>
      </c>
      <c r="C259" s="174">
        <v>1</v>
      </c>
      <c r="D259" s="232" t="s">
        <v>1580</v>
      </c>
      <c r="E259" s="174">
        <v>19</v>
      </c>
      <c r="F259" s="177" t="s">
        <v>147</v>
      </c>
      <c r="G259" s="174">
        <v>1906</v>
      </c>
      <c r="H259" s="177" t="s">
        <v>1523</v>
      </c>
      <c r="I259" s="174">
        <v>1906</v>
      </c>
      <c r="J259" s="177" t="s">
        <v>1524</v>
      </c>
      <c r="K259" s="177" t="s">
        <v>1191</v>
      </c>
      <c r="L259" s="174">
        <v>1906005</v>
      </c>
      <c r="M259" s="177" t="s">
        <v>1192</v>
      </c>
      <c r="N259" s="174">
        <v>1906005</v>
      </c>
      <c r="O259" s="177" t="s">
        <v>1192</v>
      </c>
      <c r="P259" s="237">
        <v>190600500</v>
      </c>
      <c r="Q259" s="175" t="s">
        <v>1192</v>
      </c>
      <c r="R259" s="237">
        <v>190600500</v>
      </c>
      <c r="S259" s="256" t="s">
        <v>1192</v>
      </c>
      <c r="T259" s="191" t="s">
        <v>1637</v>
      </c>
      <c r="U259" s="52">
        <v>2</v>
      </c>
      <c r="V259" s="191" t="s">
        <v>1188</v>
      </c>
      <c r="W259" s="175" t="s">
        <v>1189</v>
      </c>
      <c r="X259" s="175" t="s">
        <v>1190</v>
      </c>
      <c r="Y259" s="234"/>
      <c r="Z259" s="234"/>
      <c r="AA259" s="234"/>
      <c r="AB259" s="234"/>
      <c r="AC259" s="234"/>
      <c r="AD259" s="266"/>
      <c r="AE259" s="234"/>
      <c r="AF259" s="234"/>
      <c r="AG259" s="234"/>
      <c r="AH259" s="234"/>
      <c r="AI259" s="239">
        <v>20000000</v>
      </c>
      <c r="AJ259" s="234"/>
      <c r="AK259" s="234"/>
      <c r="AL259" s="234"/>
      <c r="AM259" s="218">
        <f>+Y259+Z259+AA259+AB259+AC259+AD259+AE259+AF259+AG259+AH259+AI259+AJ259+AK259</f>
        <v>20000000</v>
      </c>
      <c r="AN259" s="200" t="s">
        <v>1621</v>
      </c>
      <c r="AO259" s="188"/>
    </row>
    <row r="260" spans="1:41" s="26" customFormat="1" ht="96.75" customHeight="1" x14ac:dyDescent="0.2">
      <c r="A260" s="178">
        <v>318</v>
      </c>
      <c r="B260" s="255" t="s">
        <v>1594</v>
      </c>
      <c r="C260" s="174">
        <v>1</v>
      </c>
      <c r="D260" s="232" t="s">
        <v>1580</v>
      </c>
      <c r="E260" s="174">
        <v>19</v>
      </c>
      <c r="F260" s="177" t="s">
        <v>147</v>
      </c>
      <c r="G260" s="174">
        <v>1906</v>
      </c>
      <c r="H260" s="177" t="s">
        <v>1523</v>
      </c>
      <c r="I260" s="174">
        <v>1906</v>
      </c>
      <c r="J260" s="177" t="s">
        <v>1524</v>
      </c>
      <c r="K260" s="177" t="s">
        <v>995</v>
      </c>
      <c r="L260" s="174">
        <v>1906022</v>
      </c>
      <c r="M260" s="177" t="s">
        <v>1193</v>
      </c>
      <c r="N260" s="174">
        <v>1906022</v>
      </c>
      <c r="O260" s="177" t="s">
        <v>1193</v>
      </c>
      <c r="P260" s="237">
        <v>190602200</v>
      </c>
      <c r="Q260" s="175" t="s">
        <v>1194</v>
      </c>
      <c r="R260" s="237">
        <v>190602200</v>
      </c>
      <c r="S260" s="256" t="s">
        <v>1194</v>
      </c>
      <c r="T260" s="191" t="s">
        <v>1637</v>
      </c>
      <c r="U260" s="52">
        <v>1</v>
      </c>
      <c r="V260" s="191" t="s">
        <v>1188</v>
      </c>
      <c r="W260" s="175" t="s">
        <v>1189</v>
      </c>
      <c r="X260" s="175" t="s">
        <v>1190</v>
      </c>
      <c r="Y260" s="234"/>
      <c r="Z260" s="234"/>
      <c r="AA260" s="234"/>
      <c r="AB260" s="234"/>
      <c r="AC260" s="234"/>
      <c r="AD260" s="266"/>
      <c r="AE260" s="234"/>
      <c r="AF260" s="234"/>
      <c r="AG260" s="234"/>
      <c r="AH260" s="234"/>
      <c r="AI260" s="239">
        <v>20000000</v>
      </c>
      <c r="AJ260" s="234"/>
      <c r="AK260" s="234"/>
      <c r="AL260" s="234"/>
      <c r="AM260" s="218">
        <f>+Y260+Z260+AA260+AB260+AC260+AD260+AE260+AF260+AG260+AH260+AI260+AJ260+AK260</f>
        <v>20000000</v>
      </c>
      <c r="AN260" s="200" t="s">
        <v>1621</v>
      </c>
      <c r="AO260" s="188"/>
    </row>
    <row r="261" spans="1:41" s="26" customFormat="1" ht="94.5" customHeight="1" x14ac:dyDescent="0.2">
      <c r="A261" s="178">
        <v>318</v>
      </c>
      <c r="B261" s="255" t="s">
        <v>1594</v>
      </c>
      <c r="C261" s="174">
        <v>1</v>
      </c>
      <c r="D261" s="232" t="s">
        <v>1580</v>
      </c>
      <c r="E261" s="174">
        <v>19</v>
      </c>
      <c r="F261" s="177" t="s">
        <v>147</v>
      </c>
      <c r="G261" s="174">
        <v>1906</v>
      </c>
      <c r="H261" s="177" t="s">
        <v>1523</v>
      </c>
      <c r="I261" s="174">
        <v>1906</v>
      </c>
      <c r="J261" s="177" t="s">
        <v>1524</v>
      </c>
      <c r="K261" s="177" t="s">
        <v>1169</v>
      </c>
      <c r="L261" s="174" t="s">
        <v>41</v>
      </c>
      <c r="M261" s="177" t="s">
        <v>1174</v>
      </c>
      <c r="N261" s="174">
        <v>1906023</v>
      </c>
      <c r="O261" s="177" t="s">
        <v>1195</v>
      </c>
      <c r="P261" s="174" t="s">
        <v>41</v>
      </c>
      <c r="Q261" s="175" t="s">
        <v>1196</v>
      </c>
      <c r="R261" s="237">
        <v>190602301</v>
      </c>
      <c r="S261" s="256" t="s">
        <v>1176</v>
      </c>
      <c r="T261" s="191" t="s">
        <v>1635</v>
      </c>
      <c r="U261" s="52">
        <v>40</v>
      </c>
      <c r="V261" s="191" t="s">
        <v>1188</v>
      </c>
      <c r="W261" s="175" t="s">
        <v>1189</v>
      </c>
      <c r="X261" s="175" t="s">
        <v>1190</v>
      </c>
      <c r="Y261" s="234"/>
      <c r="Z261" s="234"/>
      <c r="AA261" s="234"/>
      <c r="AB261" s="234"/>
      <c r="AC261" s="234"/>
      <c r="AD261" s="266"/>
      <c r="AE261" s="234"/>
      <c r="AF261" s="234"/>
      <c r="AG261" s="234"/>
      <c r="AH261" s="234"/>
      <c r="AI261" s="239">
        <v>20000000</v>
      </c>
      <c r="AJ261" s="234"/>
      <c r="AK261" s="234"/>
      <c r="AL261" s="234"/>
      <c r="AM261" s="218">
        <f>+Y261+Z261+AA261+AB261+AC261+AD261+AE261+AF261+AG261+AH261+AI261+AJ261+AK261</f>
        <v>20000000</v>
      </c>
      <c r="AN261" s="200" t="s">
        <v>1621</v>
      </c>
      <c r="AO261" s="188"/>
    </row>
    <row r="262" spans="1:41" s="26" customFormat="1" ht="75" customHeight="1" x14ac:dyDescent="0.2">
      <c r="A262" s="178">
        <v>324</v>
      </c>
      <c r="B262" s="232" t="s">
        <v>1625</v>
      </c>
      <c r="C262" s="174">
        <v>1</v>
      </c>
      <c r="D262" s="232" t="s">
        <v>1580</v>
      </c>
      <c r="E262" s="174">
        <v>23</v>
      </c>
      <c r="F262" s="177" t="s">
        <v>1198</v>
      </c>
      <c r="G262" s="174">
        <v>2301</v>
      </c>
      <c r="H262" s="177" t="s">
        <v>1527</v>
      </c>
      <c r="I262" s="174">
        <v>2301</v>
      </c>
      <c r="J262" s="177" t="s">
        <v>1528</v>
      </c>
      <c r="K262" s="177" t="s">
        <v>1200</v>
      </c>
      <c r="L262" s="174">
        <v>2301024</v>
      </c>
      <c r="M262" s="301" t="s">
        <v>1201</v>
      </c>
      <c r="N262" s="174">
        <v>2301024</v>
      </c>
      <c r="O262" s="301" t="s">
        <v>1201</v>
      </c>
      <c r="P262" s="237">
        <v>230102401</v>
      </c>
      <c r="Q262" s="177" t="s">
        <v>1202</v>
      </c>
      <c r="R262" s="237">
        <v>230102401</v>
      </c>
      <c r="S262" s="177" t="s">
        <v>1202</v>
      </c>
      <c r="T262" s="191" t="s">
        <v>1635</v>
      </c>
      <c r="U262" s="52">
        <v>15</v>
      </c>
      <c r="V262" s="191" t="s">
        <v>1203</v>
      </c>
      <c r="W262" s="175" t="s">
        <v>1204</v>
      </c>
      <c r="X262" s="175" t="s">
        <v>1205</v>
      </c>
      <c r="Y262" s="234"/>
      <c r="Z262" s="234"/>
      <c r="AA262" s="234"/>
      <c r="AB262" s="218"/>
      <c r="AC262" s="218"/>
      <c r="AD262" s="218"/>
      <c r="AE262" s="218"/>
      <c r="AF262" s="218"/>
      <c r="AG262" s="218"/>
      <c r="AH262" s="218"/>
      <c r="AI262" s="218">
        <v>18000000</v>
      </c>
      <c r="AJ262" s="218"/>
      <c r="AK262" s="218"/>
      <c r="AL262" s="218"/>
      <c r="AM262" s="218">
        <f>+Y262+Z262+AA262+AB262+AC262+AD262+AE262+AF262+AG262+AH262+AI262+AJ262+AK262</f>
        <v>18000000</v>
      </c>
      <c r="AN262" s="200" t="s">
        <v>1622</v>
      </c>
      <c r="AO262" s="188"/>
    </row>
    <row r="263" spans="1:41" s="26" customFormat="1" ht="75" customHeight="1" x14ac:dyDescent="0.2">
      <c r="A263" s="178">
        <v>324</v>
      </c>
      <c r="B263" s="232" t="s">
        <v>1625</v>
      </c>
      <c r="C263" s="174">
        <v>1</v>
      </c>
      <c r="D263" s="232" t="s">
        <v>1580</v>
      </c>
      <c r="E263" s="174">
        <v>23</v>
      </c>
      <c r="F263" s="177" t="s">
        <v>1198</v>
      </c>
      <c r="G263" s="174">
        <v>2301</v>
      </c>
      <c r="H263" s="177" t="s">
        <v>1527</v>
      </c>
      <c r="I263" s="174">
        <v>2301</v>
      </c>
      <c r="J263" s="177" t="s">
        <v>1528</v>
      </c>
      <c r="K263" s="177" t="s">
        <v>1200</v>
      </c>
      <c r="L263" s="174">
        <v>2301024</v>
      </c>
      <c r="M263" s="301" t="s">
        <v>1201</v>
      </c>
      <c r="N263" s="174">
        <v>2301024</v>
      </c>
      <c r="O263" s="301" t="s">
        <v>1201</v>
      </c>
      <c r="P263" s="237">
        <v>230102404</v>
      </c>
      <c r="Q263" s="177" t="s">
        <v>1206</v>
      </c>
      <c r="R263" s="237">
        <v>230102404</v>
      </c>
      <c r="S263" s="177" t="s">
        <v>1206</v>
      </c>
      <c r="T263" s="191" t="s">
        <v>1637</v>
      </c>
      <c r="U263" s="52">
        <v>3</v>
      </c>
      <c r="V263" s="191" t="s">
        <v>1203</v>
      </c>
      <c r="W263" s="175" t="s">
        <v>1204</v>
      </c>
      <c r="X263" s="175" t="s">
        <v>1205</v>
      </c>
      <c r="Y263" s="234"/>
      <c r="Z263" s="234"/>
      <c r="AA263" s="234"/>
      <c r="AB263" s="218"/>
      <c r="AC263" s="218"/>
      <c r="AD263" s="218"/>
      <c r="AE263" s="218"/>
      <c r="AF263" s="218"/>
      <c r="AG263" s="218"/>
      <c r="AH263" s="218"/>
      <c r="AI263" s="218">
        <f>100000000+77460000+50000000+80000000</f>
        <v>307460000</v>
      </c>
      <c r="AJ263" s="218"/>
      <c r="AK263" s="218"/>
      <c r="AL263" s="218"/>
      <c r="AM263" s="218">
        <f>+Y263+Z263+AA263+AB263+AC263+AD263+AE263+AF263+AG263+AH263+AI263+AJ263+AK263</f>
        <v>307460000</v>
      </c>
      <c r="AN263" s="200" t="s">
        <v>1622</v>
      </c>
      <c r="AO263" s="188"/>
    </row>
    <row r="264" spans="1:41" s="26" customFormat="1" ht="103.5" customHeight="1" x14ac:dyDescent="0.2">
      <c r="A264" s="178">
        <v>324</v>
      </c>
      <c r="B264" s="232" t="s">
        <v>1625</v>
      </c>
      <c r="C264" s="174">
        <v>1</v>
      </c>
      <c r="D264" s="232" t="s">
        <v>1580</v>
      </c>
      <c r="E264" s="174">
        <v>23</v>
      </c>
      <c r="F264" s="177" t="s">
        <v>1198</v>
      </c>
      <c r="G264" s="174">
        <v>2301</v>
      </c>
      <c r="H264" s="177" t="s">
        <v>1527</v>
      </c>
      <c r="I264" s="174">
        <v>2301</v>
      </c>
      <c r="J264" s="177" t="s">
        <v>1528</v>
      </c>
      <c r="K264" s="177" t="s">
        <v>1200</v>
      </c>
      <c r="L264" s="52">
        <v>2301012</v>
      </c>
      <c r="M264" s="177" t="s">
        <v>1207</v>
      </c>
      <c r="N264" s="174">
        <v>2301079</v>
      </c>
      <c r="O264" s="177" t="s">
        <v>1208</v>
      </c>
      <c r="P264" s="52">
        <v>230101204</v>
      </c>
      <c r="Q264" s="177" t="s">
        <v>1209</v>
      </c>
      <c r="R264" s="237">
        <v>230107902</v>
      </c>
      <c r="S264" s="177" t="s">
        <v>1210</v>
      </c>
      <c r="T264" s="191" t="s">
        <v>1637</v>
      </c>
      <c r="U264" s="52">
        <v>13</v>
      </c>
      <c r="V264" s="191" t="s">
        <v>1203</v>
      </c>
      <c r="W264" s="175" t="s">
        <v>1204</v>
      </c>
      <c r="X264" s="175" t="s">
        <v>1205</v>
      </c>
      <c r="Y264" s="234"/>
      <c r="Z264" s="234"/>
      <c r="AA264" s="234"/>
      <c r="AB264" s="218"/>
      <c r="AC264" s="218"/>
      <c r="AD264" s="218"/>
      <c r="AE264" s="218"/>
      <c r="AF264" s="218"/>
      <c r="AG264" s="218"/>
      <c r="AH264" s="218"/>
      <c r="AI264" s="218">
        <f>80000000-80000000</f>
        <v>0</v>
      </c>
      <c r="AJ264" s="218"/>
      <c r="AK264" s="218"/>
      <c r="AL264" s="218"/>
      <c r="AM264" s="218">
        <f>+Y264+Z264+AA264+AB264+AC264+AD264+AE264+AF264+AG264+AH264+AI264+AJ264+AK264</f>
        <v>0</v>
      </c>
      <c r="AN264" s="200" t="s">
        <v>1622</v>
      </c>
      <c r="AO264" s="188"/>
    </row>
    <row r="265" spans="1:41" s="26" customFormat="1" ht="96.75" customHeight="1" x14ac:dyDescent="0.2">
      <c r="A265" s="178">
        <v>324</v>
      </c>
      <c r="B265" s="232" t="s">
        <v>1625</v>
      </c>
      <c r="C265" s="174">
        <v>1</v>
      </c>
      <c r="D265" s="232" t="s">
        <v>1580</v>
      </c>
      <c r="E265" s="174">
        <v>23</v>
      </c>
      <c r="F265" s="177" t="s">
        <v>1198</v>
      </c>
      <c r="G265" s="174">
        <v>2301</v>
      </c>
      <c r="H265" s="177" t="s">
        <v>1527</v>
      </c>
      <c r="I265" s="174">
        <v>2301</v>
      </c>
      <c r="J265" s="177" t="s">
        <v>1528</v>
      </c>
      <c r="K265" s="177" t="s">
        <v>1200</v>
      </c>
      <c r="L265" s="174">
        <v>2301062</v>
      </c>
      <c r="M265" s="177" t="s">
        <v>1211</v>
      </c>
      <c r="N265" s="174">
        <v>2301062</v>
      </c>
      <c r="O265" s="177" t="s">
        <v>1211</v>
      </c>
      <c r="P265" s="237">
        <v>230106201</v>
      </c>
      <c r="Q265" s="177" t="s">
        <v>1212</v>
      </c>
      <c r="R265" s="237">
        <v>230106201</v>
      </c>
      <c r="S265" s="177" t="s">
        <v>1212</v>
      </c>
      <c r="T265" s="191" t="s">
        <v>1627</v>
      </c>
      <c r="U265" s="52">
        <v>9</v>
      </c>
      <c r="V265" s="191" t="s">
        <v>1203</v>
      </c>
      <c r="W265" s="175" t="s">
        <v>1204</v>
      </c>
      <c r="X265" s="175" t="s">
        <v>1205</v>
      </c>
      <c r="Y265" s="234"/>
      <c r="Z265" s="234"/>
      <c r="AA265" s="234"/>
      <c r="AB265" s="218"/>
      <c r="AC265" s="218"/>
      <c r="AD265" s="218"/>
      <c r="AE265" s="218"/>
      <c r="AF265" s="218"/>
      <c r="AG265" s="218"/>
      <c r="AH265" s="218"/>
      <c r="AI265" s="218">
        <v>0</v>
      </c>
      <c r="AJ265" s="218"/>
      <c r="AK265" s="218"/>
      <c r="AL265" s="218"/>
      <c r="AM265" s="218">
        <f>+Y265+Z265+AA265+AB265+AC265+AD265+AE265+AF265+AG265+AH265+AI265+AJ265+AK265</f>
        <v>0</v>
      </c>
      <c r="AN265" s="200" t="s">
        <v>1622</v>
      </c>
      <c r="AO265" s="188"/>
    </row>
    <row r="266" spans="1:41" s="26" customFormat="1" ht="102" customHeight="1" x14ac:dyDescent="0.2">
      <c r="A266" s="178">
        <v>324</v>
      </c>
      <c r="B266" s="232" t="s">
        <v>1625</v>
      </c>
      <c r="C266" s="174">
        <v>1</v>
      </c>
      <c r="D266" s="232" t="s">
        <v>1580</v>
      </c>
      <c r="E266" s="174">
        <v>23</v>
      </c>
      <c r="F266" s="177" t="s">
        <v>1198</v>
      </c>
      <c r="G266" s="174">
        <v>2301</v>
      </c>
      <c r="H266" s="177" t="s">
        <v>1527</v>
      </c>
      <c r="I266" s="174">
        <v>2301</v>
      </c>
      <c r="J266" s="177" t="s">
        <v>1528</v>
      </c>
      <c r="K266" s="177" t="s">
        <v>1213</v>
      </c>
      <c r="L266" s="174">
        <v>2301030</v>
      </c>
      <c r="M266" s="177" t="s">
        <v>1214</v>
      </c>
      <c r="N266" s="174">
        <v>2301030</v>
      </c>
      <c r="O266" s="177" t="s">
        <v>1214</v>
      </c>
      <c r="P266" s="237">
        <v>230103000</v>
      </c>
      <c r="Q266" s="177" t="s">
        <v>1215</v>
      </c>
      <c r="R266" s="237">
        <v>230103000</v>
      </c>
      <c r="S266" s="177" t="s">
        <v>1215</v>
      </c>
      <c r="T266" s="191" t="s">
        <v>1637</v>
      </c>
      <c r="U266" s="52">
        <v>2500</v>
      </c>
      <c r="V266" s="268" t="s">
        <v>1216</v>
      </c>
      <c r="W266" s="175" t="s">
        <v>1217</v>
      </c>
      <c r="X266" s="264" t="s">
        <v>1218</v>
      </c>
      <c r="Y266" s="234"/>
      <c r="Z266" s="234"/>
      <c r="AA266" s="234"/>
      <c r="AB266" s="218"/>
      <c r="AC266" s="218"/>
      <c r="AD266" s="218"/>
      <c r="AE266" s="218"/>
      <c r="AF266" s="218"/>
      <c r="AG266" s="218"/>
      <c r="AH266" s="218"/>
      <c r="AI266" s="218">
        <f>36000000+222540000</f>
        <v>258540000</v>
      </c>
      <c r="AJ266" s="218"/>
      <c r="AK266" s="218"/>
      <c r="AL266" s="218"/>
      <c r="AM266" s="218">
        <f>+Y266+Z266+AA266+AB266+AC266+AD266+AE266+AF266+AG266+AH266+AI266+AJ266+AK266</f>
        <v>258540000</v>
      </c>
      <c r="AN266" s="200" t="s">
        <v>1622</v>
      </c>
      <c r="AO266" s="188"/>
    </row>
    <row r="267" spans="1:41" s="26" customFormat="1" ht="91.5" customHeight="1" x14ac:dyDescent="0.2">
      <c r="A267" s="178">
        <v>324</v>
      </c>
      <c r="B267" s="232" t="s">
        <v>1625</v>
      </c>
      <c r="C267" s="174">
        <v>1</v>
      </c>
      <c r="D267" s="232" t="s">
        <v>1580</v>
      </c>
      <c r="E267" s="174">
        <v>23</v>
      </c>
      <c r="F267" s="177" t="s">
        <v>1198</v>
      </c>
      <c r="G267" s="174">
        <v>2301</v>
      </c>
      <c r="H267" s="177" t="s">
        <v>1527</v>
      </c>
      <c r="I267" s="174">
        <v>2301</v>
      </c>
      <c r="J267" s="177" t="s">
        <v>1528</v>
      </c>
      <c r="K267" s="177" t="s">
        <v>1213</v>
      </c>
      <c r="L267" s="174">
        <v>2301015</v>
      </c>
      <c r="M267" s="177" t="s">
        <v>1219</v>
      </c>
      <c r="N267" s="174">
        <v>2301015</v>
      </c>
      <c r="O267" s="177" t="s">
        <v>1219</v>
      </c>
      <c r="P267" s="237">
        <v>230101500</v>
      </c>
      <c r="Q267" s="177" t="s">
        <v>1220</v>
      </c>
      <c r="R267" s="237">
        <v>230101500</v>
      </c>
      <c r="S267" s="177" t="s">
        <v>1220</v>
      </c>
      <c r="T267" s="191" t="s">
        <v>1635</v>
      </c>
      <c r="U267" s="52">
        <v>3</v>
      </c>
      <c r="V267" s="268" t="s">
        <v>1216</v>
      </c>
      <c r="W267" s="175" t="s">
        <v>1217</v>
      </c>
      <c r="X267" s="264" t="s">
        <v>1218</v>
      </c>
      <c r="Y267" s="234"/>
      <c r="Z267" s="234"/>
      <c r="AA267" s="234"/>
      <c r="AB267" s="218"/>
      <c r="AC267" s="218"/>
      <c r="AD267" s="218"/>
      <c r="AE267" s="218"/>
      <c r="AF267" s="218"/>
      <c r="AG267" s="218"/>
      <c r="AH267" s="218"/>
      <c r="AI267" s="218">
        <v>18000000</v>
      </c>
      <c r="AJ267" s="218"/>
      <c r="AK267" s="218"/>
      <c r="AL267" s="218"/>
      <c r="AM267" s="218">
        <f>+Y267+Z267+AA267+AB267+AC267+AD267+AE267+AF267+AG267+AH267+AI267+AJ267+AK267</f>
        <v>18000000</v>
      </c>
      <c r="AN267" s="200" t="s">
        <v>1622</v>
      </c>
      <c r="AO267" s="188"/>
    </row>
    <row r="268" spans="1:41" s="26" customFormat="1" ht="99.75" customHeight="1" x14ac:dyDescent="0.2">
      <c r="A268" s="178">
        <v>324</v>
      </c>
      <c r="B268" s="232" t="s">
        <v>1625</v>
      </c>
      <c r="C268" s="174">
        <v>1</v>
      </c>
      <c r="D268" s="232" t="s">
        <v>1580</v>
      </c>
      <c r="E268" s="174">
        <v>23</v>
      </c>
      <c r="F268" s="177" t="s">
        <v>1198</v>
      </c>
      <c r="G268" s="174">
        <v>2301</v>
      </c>
      <c r="H268" s="177" t="s">
        <v>1527</v>
      </c>
      <c r="I268" s="174">
        <v>2301</v>
      </c>
      <c r="J268" s="177" t="s">
        <v>1528</v>
      </c>
      <c r="K268" s="177" t="s">
        <v>1213</v>
      </c>
      <c r="L268" s="174">
        <v>2301004</v>
      </c>
      <c r="M268" s="177" t="s">
        <v>233</v>
      </c>
      <c r="N268" s="174">
        <v>2301004</v>
      </c>
      <c r="O268" s="177" t="s">
        <v>233</v>
      </c>
      <c r="P268" s="52">
        <v>230200400</v>
      </c>
      <c r="Q268" s="177" t="s">
        <v>235</v>
      </c>
      <c r="R268" s="237">
        <v>230100400</v>
      </c>
      <c r="S268" s="177" t="s">
        <v>235</v>
      </c>
      <c r="T268" s="191" t="s">
        <v>1635</v>
      </c>
      <c r="U268" s="52">
        <v>1</v>
      </c>
      <c r="V268" s="268" t="s">
        <v>1216</v>
      </c>
      <c r="W268" s="175" t="s">
        <v>1217</v>
      </c>
      <c r="X268" s="264" t="s">
        <v>1218</v>
      </c>
      <c r="Y268" s="234"/>
      <c r="Z268" s="234"/>
      <c r="AA268" s="234"/>
      <c r="AB268" s="218"/>
      <c r="AC268" s="218"/>
      <c r="AD268" s="218"/>
      <c r="AE268" s="218"/>
      <c r="AF268" s="218"/>
      <c r="AG268" s="218"/>
      <c r="AH268" s="218"/>
      <c r="AI268" s="218">
        <v>18000000</v>
      </c>
      <c r="AJ268" s="218"/>
      <c r="AK268" s="218"/>
      <c r="AL268" s="218"/>
      <c r="AM268" s="218">
        <f>+Y268+Z268+AA268+AB268+AC268+AD268+AE268+AF268+AG268+AH268+AI268+AJ268+AK268</f>
        <v>18000000</v>
      </c>
      <c r="AN268" s="200" t="s">
        <v>1622</v>
      </c>
      <c r="AO268" s="188"/>
    </row>
    <row r="269" spans="1:41" s="26" customFormat="1" ht="103.5" customHeight="1" x14ac:dyDescent="0.2">
      <c r="A269" s="178">
        <v>324</v>
      </c>
      <c r="B269" s="232" t="s">
        <v>1625</v>
      </c>
      <c r="C269" s="174">
        <v>1</v>
      </c>
      <c r="D269" s="232" t="s">
        <v>1580</v>
      </c>
      <c r="E269" s="174">
        <v>23</v>
      </c>
      <c r="F269" s="177" t="s">
        <v>1198</v>
      </c>
      <c r="G269" s="174">
        <v>2301</v>
      </c>
      <c r="H269" s="177" t="s">
        <v>1527</v>
      </c>
      <c r="I269" s="174">
        <v>2301</v>
      </c>
      <c r="J269" s="177" t="s">
        <v>1528</v>
      </c>
      <c r="K269" s="177" t="s">
        <v>1213</v>
      </c>
      <c r="L269" s="174">
        <v>2301035</v>
      </c>
      <c r="M269" s="177" t="s">
        <v>1221</v>
      </c>
      <c r="N269" s="174">
        <v>2301035</v>
      </c>
      <c r="O269" s="177" t="s">
        <v>1221</v>
      </c>
      <c r="P269" s="237">
        <v>230103500</v>
      </c>
      <c r="Q269" s="177" t="s">
        <v>1222</v>
      </c>
      <c r="R269" s="237">
        <v>230103500</v>
      </c>
      <c r="S269" s="177" t="s">
        <v>1222</v>
      </c>
      <c r="T269" s="191" t="s">
        <v>1637</v>
      </c>
      <c r="U269" s="52">
        <v>20</v>
      </c>
      <c r="V269" s="268" t="s">
        <v>1216</v>
      </c>
      <c r="W269" s="175" t="s">
        <v>1217</v>
      </c>
      <c r="X269" s="264" t="s">
        <v>1218</v>
      </c>
      <c r="Y269" s="234"/>
      <c r="Z269" s="234"/>
      <c r="AA269" s="234"/>
      <c r="AB269" s="218"/>
      <c r="AC269" s="218"/>
      <c r="AD269" s="218"/>
      <c r="AE269" s="218"/>
      <c r="AF269" s="218"/>
      <c r="AG269" s="218"/>
      <c r="AH269" s="218"/>
      <c r="AI269" s="218">
        <v>36000000</v>
      </c>
      <c r="AJ269" s="218"/>
      <c r="AK269" s="218"/>
      <c r="AL269" s="218"/>
      <c r="AM269" s="218">
        <f>+Y269+Z269+AA269+AB269+AC269+AD269+AE269+AF269+AG269+AH269+AI269+AJ269+AK269</f>
        <v>36000000</v>
      </c>
      <c r="AN269" s="200" t="s">
        <v>1622</v>
      </c>
      <c r="AO269" s="188"/>
    </row>
    <row r="270" spans="1:41" s="26" customFormat="1" ht="103.5" customHeight="1" x14ac:dyDescent="0.2">
      <c r="A270" s="178">
        <v>324</v>
      </c>
      <c r="B270" s="232" t="s">
        <v>1625</v>
      </c>
      <c r="C270" s="174">
        <v>1</v>
      </c>
      <c r="D270" s="232" t="s">
        <v>1580</v>
      </c>
      <c r="E270" s="174">
        <v>23</v>
      </c>
      <c r="F270" s="177" t="s">
        <v>1198</v>
      </c>
      <c r="G270" s="174">
        <v>2301</v>
      </c>
      <c r="H270" s="177" t="s">
        <v>1527</v>
      </c>
      <c r="I270" s="174">
        <v>2301</v>
      </c>
      <c r="J270" s="177" t="s">
        <v>1528</v>
      </c>
      <c r="K270" s="177" t="s">
        <v>1213</v>
      </c>
      <c r="L270" s="174">
        <v>2301042</v>
      </c>
      <c r="M270" s="177" t="s">
        <v>1223</v>
      </c>
      <c r="N270" s="174">
        <v>2301042</v>
      </c>
      <c r="O270" s="177" t="s">
        <v>1223</v>
      </c>
      <c r="P270" s="237">
        <v>230104201</v>
      </c>
      <c r="Q270" s="177" t="s">
        <v>1224</v>
      </c>
      <c r="R270" s="237">
        <v>230104201</v>
      </c>
      <c r="S270" s="177" t="s">
        <v>1224</v>
      </c>
      <c r="T270" s="191" t="s">
        <v>1635</v>
      </c>
      <c r="U270" s="52">
        <v>1</v>
      </c>
      <c r="V270" s="268" t="s">
        <v>1216</v>
      </c>
      <c r="W270" s="175" t="s">
        <v>1217</v>
      </c>
      <c r="X270" s="264" t="s">
        <v>1218</v>
      </c>
      <c r="Y270" s="234"/>
      <c r="Z270" s="234"/>
      <c r="AA270" s="234"/>
      <c r="AB270" s="218"/>
      <c r="AC270" s="218"/>
      <c r="AD270" s="218"/>
      <c r="AE270" s="218"/>
      <c r="AF270" s="218"/>
      <c r="AG270" s="218"/>
      <c r="AH270" s="218"/>
      <c r="AI270" s="218">
        <v>18000000</v>
      </c>
      <c r="AJ270" s="218"/>
      <c r="AK270" s="218"/>
      <c r="AL270" s="218"/>
      <c r="AM270" s="218">
        <f>+Y270+Z270+AA270+AB270+AC270+AD270+AE270+AF270+AG270+AH270+AI270+AJ270+AK270</f>
        <v>18000000</v>
      </c>
      <c r="AN270" s="200" t="s">
        <v>1622</v>
      </c>
      <c r="AO270" s="188"/>
    </row>
    <row r="271" spans="1:41" s="26" customFormat="1" ht="104.25" customHeight="1" x14ac:dyDescent="0.2">
      <c r="A271" s="178">
        <v>324</v>
      </c>
      <c r="B271" s="232" t="s">
        <v>1625</v>
      </c>
      <c r="C271" s="174">
        <v>1</v>
      </c>
      <c r="D271" s="232" t="s">
        <v>1580</v>
      </c>
      <c r="E271" s="174">
        <v>23</v>
      </c>
      <c r="F271" s="177" t="s">
        <v>1198</v>
      </c>
      <c r="G271" s="174">
        <v>2302</v>
      </c>
      <c r="H271" s="177" t="s">
        <v>1554</v>
      </c>
      <c r="I271" s="174">
        <v>2302</v>
      </c>
      <c r="J271" s="177" t="s">
        <v>1555</v>
      </c>
      <c r="K271" s="177" t="s">
        <v>1200</v>
      </c>
      <c r="L271" s="174">
        <v>2302042</v>
      </c>
      <c r="M271" s="177" t="s">
        <v>1225</v>
      </c>
      <c r="N271" s="174">
        <v>2302042</v>
      </c>
      <c r="O271" s="177" t="s">
        <v>1225</v>
      </c>
      <c r="P271" s="237">
        <v>230204200</v>
      </c>
      <c r="Q271" s="177" t="s">
        <v>1226</v>
      </c>
      <c r="R271" s="237">
        <v>230204200</v>
      </c>
      <c r="S271" s="177" t="s">
        <v>1226</v>
      </c>
      <c r="T271" s="191" t="s">
        <v>1637</v>
      </c>
      <c r="U271" s="52">
        <v>1</v>
      </c>
      <c r="V271" s="268" t="s">
        <v>1227</v>
      </c>
      <c r="W271" s="175" t="s">
        <v>1228</v>
      </c>
      <c r="X271" s="264" t="s">
        <v>1229</v>
      </c>
      <c r="Y271" s="234"/>
      <c r="Z271" s="234"/>
      <c r="AA271" s="234"/>
      <c r="AB271" s="218"/>
      <c r="AC271" s="218"/>
      <c r="AD271" s="218"/>
      <c r="AE271" s="218"/>
      <c r="AF271" s="218"/>
      <c r="AG271" s="218"/>
      <c r="AH271" s="218"/>
      <c r="AI271" s="218">
        <v>20000000</v>
      </c>
      <c r="AJ271" s="218"/>
      <c r="AK271" s="218"/>
      <c r="AL271" s="218"/>
      <c r="AM271" s="218">
        <f>+Y271+Z271+AA271+AB271+AC271+AD271+AE271+AF271+AG271+AH271+AI271+AJ271+AK271</f>
        <v>20000000</v>
      </c>
      <c r="AN271" s="200" t="s">
        <v>1622</v>
      </c>
      <c r="AO271" s="188"/>
    </row>
    <row r="272" spans="1:41" s="26" customFormat="1" ht="103.5" customHeight="1" x14ac:dyDescent="0.2">
      <c r="A272" s="178">
        <v>324</v>
      </c>
      <c r="B272" s="232" t="s">
        <v>1625</v>
      </c>
      <c r="C272" s="174">
        <v>1</v>
      </c>
      <c r="D272" s="232" t="s">
        <v>1580</v>
      </c>
      <c r="E272" s="174">
        <v>23</v>
      </c>
      <c r="F272" s="177" t="s">
        <v>1198</v>
      </c>
      <c r="G272" s="174">
        <v>2302</v>
      </c>
      <c r="H272" s="177" t="s">
        <v>1554</v>
      </c>
      <c r="I272" s="174">
        <v>2302</v>
      </c>
      <c r="J272" s="177" t="s">
        <v>1555</v>
      </c>
      <c r="K272" s="177" t="s">
        <v>1200</v>
      </c>
      <c r="L272" s="174">
        <v>2302022</v>
      </c>
      <c r="M272" s="177" t="s">
        <v>1230</v>
      </c>
      <c r="N272" s="174">
        <v>2302022</v>
      </c>
      <c r="O272" s="177" t="s">
        <v>1230</v>
      </c>
      <c r="P272" s="237">
        <v>230202200</v>
      </c>
      <c r="Q272" s="177" t="s">
        <v>1231</v>
      </c>
      <c r="R272" s="237">
        <v>230202200</v>
      </c>
      <c r="S272" s="177" t="s">
        <v>1231</v>
      </c>
      <c r="T272" s="191" t="s">
        <v>1637</v>
      </c>
      <c r="U272" s="52">
        <v>20</v>
      </c>
      <c r="V272" s="268" t="s">
        <v>1227</v>
      </c>
      <c r="W272" s="175" t="s">
        <v>1228</v>
      </c>
      <c r="X272" s="264" t="s">
        <v>1229</v>
      </c>
      <c r="Y272" s="234"/>
      <c r="Z272" s="234"/>
      <c r="AA272" s="234"/>
      <c r="AB272" s="218"/>
      <c r="AC272" s="218"/>
      <c r="AD272" s="218"/>
      <c r="AE272" s="218"/>
      <c r="AF272" s="218"/>
      <c r="AG272" s="218"/>
      <c r="AH272" s="218"/>
      <c r="AI272" s="218">
        <v>36000000</v>
      </c>
      <c r="AJ272" s="218"/>
      <c r="AK272" s="218"/>
      <c r="AL272" s="218"/>
      <c r="AM272" s="218">
        <f>+Y272+Z272+AA272+AB272+AC272+AD272+AE272+AF272+AG272+AH272+AI272+AJ272+AK272</f>
        <v>36000000</v>
      </c>
      <c r="AN272" s="200" t="s">
        <v>1622</v>
      </c>
      <c r="AO272" s="188"/>
    </row>
    <row r="273" spans="1:41" s="26" customFormat="1" ht="84" customHeight="1" x14ac:dyDescent="0.2">
      <c r="A273" s="178">
        <v>324</v>
      </c>
      <c r="B273" s="232" t="s">
        <v>1625</v>
      </c>
      <c r="C273" s="174">
        <v>1</v>
      </c>
      <c r="D273" s="232" t="s">
        <v>1580</v>
      </c>
      <c r="E273" s="174">
        <v>23</v>
      </c>
      <c r="F273" s="177" t="s">
        <v>1198</v>
      </c>
      <c r="G273" s="174">
        <v>2302</v>
      </c>
      <c r="H273" s="177" t="s">
        <v>1554</v>
      </c>
      <c r="I273" s="174">
        <v>2302</v>
      </c>
      <c r="J273" s="177" t="s">
        <v>1555</v>
      </c>
      <c r="K273" s="177" t="s">
        <v>1213</v>
      </c>
      <c r="L273" s="174">
        <v>2302021</v>
      </c>
      <c r="M273" s="177" t="s">
        <v>1232</v>
      </c>
      <c r="N273" s="174">
        <v>2302021</v>
      </c>
      <c r="O273" s="177" t="s">
        <v>1232</v>
      </c>
      <c r="P273" s="237">
        <v>230202100</v>
      </c>
      <c r="Q273" s="177" t="s">
        <v>1233</v>
      </c>
      <c r="R273" s="237">
        <v>230202100</v>
      </c>
      <c r="S273" s="177" t="s">
        <v>1233</v>
      </c>
      <c r="T273" s="191" t="s">
        <v>1637</v>
      </c>
      <c r="U273" s="52">
        <v>8</v>
      </c>
      <c r="V273" s="268" t="s">
        <v>1227</v>
      </c>
      <c r="W273" s="175" t="s">
        <v>1228</v>
      </c>
      <c r="X273" s="264" t="s">
        <v>1229</v>
      </c>
      <c r="Y273" s="234"/>
      <c r="Z273" s="234"/>
      <c r="AA273" s="234"/>
      <c r="AB273" s="218"/>
      <c r="AC273" s="218"/>
      <c r="AD273" s="218"/>
      <c r="AE273" s="218"/>
      <c r="AF273" s="218"/>
      <c r="AG273" s="218"/>
      <c r="AH273" s="218"/>
      <c r="AI273" s="218">
        <v>50000000</v>
      </c>
      <c r="AJ273" s="218"/>
      <c r="AK273" s="218"/>
      <c r="AL273" s="218"/>
      <c r="AM273" s="218">
        <f>+Y273+Z273+AA273+AB273+AC273+AD273+AE273+AF273+AG273+AH273+AI273+AJ273+AK273</f>
        <v>50000000</v>
      </c>
      <c r="AN273" s="200" t="s">
        <v>1622</v>
      </c>
      <c r="AO273" s="188"/>
    </row>
    <row r="274" spans="1:41" s="26" customFormat="1" ht="114" customHeight="1" x14ac:dyDescent="0.2">
      <c r="A274" s="178">
        <v>324</v>
      </c>
      <c r="B274" s="232" t="s">
        <v>1625</v>
      </c>
      <c r="C274" s="174">
        <v>1</v>
      </c>
      <c r="D274" s="232" t="s">
        <v>1580</v>
      </c>
      <c r="E274" s="174">
        <v>23</v>
      </c>
      <c r="F274" s="177" t="s">
        <v>1198</v>
      </c>
      <c r="G274" s="174">
        <v>2302</v>
      </c>
      <c r="H274" s="177" t="s">
        <v>1554</v>
      </c>
      <c r="I274" s="174">
        <v>2302</v>
      </c>
      <c r="J274" s="177" t="s">
        <v>1555</v>
      </c>
      <c r="K274" s="177" t="s">
        <v>1234</v>
      </c>
      <c r="L274" s="174">
        <v>2302058</v>
      </c>
      <c r="M274" s="177" t="s">
        <v>1235</v>
      </c>
      <c r="N274" s="174">
        <v>2302058</v>
      </c>
      <c r="O274" s="177" t="s">
        <v>1235</v>
      </c>
      <c r="P274" s="237">
        <v>230205800</v>
      </c>
      <c r="Q274" s="177" t="s">
        <v>1236</v>
      </c>
      <c r="R274" s="237">
        <v>230205800</v>
      </c>
      <c r="S274" s="177" t="s">
        <v>1236</v>
      </c>
      <c r="T274" s="191" t="s">
        <v>1637</v>
      </c>
      <c r="U274" s="52">
        <v>300</v>
      </c>
      <c r="V274" s="268" t="s">
        <v>1227</v>
      </c>
      <c r="W274" s="175" t="s">
        <v>1228</v>
      </c>
      <c r="X274" s="264" t="s">
        <v>1229</v>
      </c>
      <c r="Y274" s="234"/>
      <c r="Z274" s="234"/>
      <c r="AA274" s="234"/>
      <c r="AB274" s="218"/>
      <c r="AC274" s="218"/>
      <c r="AD274" s="218"/>
      <c r="AE274" s="218"/>
      <c r="AF274" s="218"/>
      <c r="AG274" s="218"/>
      <c r="AH274" s="218"/>
      <c r="AI274" s="218">
        <v>20000000</v>
      </c>
      <c r="AJ274" s="218"/>
      <c r="AK274" s="218"/>
      <c r="AL274" s="218"/>
      <c r="AM274" s="218">
        <f>+Y274+Z274+AA274+AB274+AC274+AD274+AE274+AF274+AG274+AH274+AI274+AJ274+AK274</f>
        <v>20000000</v>
      </c>
      <c r="AN274" s="200" t="s">
        <v>1622</v>
      </c>
      <c r="AO274" s="188"/>
    </row>
    <row r="275" spans="1:41" s="26" customFormat="1" ht="112.5" customHeight="1" x14ac:dyDescent="0.2">
      <c r="A275" s="178">
        <v>324</v>
      </c>
      <c r="B275" s="232" t="s">
        <v>1625</v>
      </c>
      <c r="C275" s="174">
        <v>1</v>
      </c>
      <c r="D275" s="232" t="s">
        <v>1580</v>
      </c>
      <c r="E275" s="174">
        <v>23</v>
      </c>
      <c r="F275" s="177" t="s">
        <v>1198</v>
      </c>
      <c r="G275" s="174">
        <v>2302</v>
      </c>
      <c r="H275" s="177" t="s">
        <v>1554</v>
      </c>
      <c r="I275" s="174">
        <v>2302</v>
      </c>
      <c r="J275" s="177" t="s">
        <v>1555</v>
      </c>
      <c r="K275" s="177" t="s">
        <v>1234</v>
      </c>
      <c r="L275" s="174">
        <v>2302068</v>
      </c>
      <c r="M275" s="177" t="s">
        <v>1237</v>
      </c>
      <c r="N275" s="174">
        <v>2302068</v>
      </c>
      <c r="O275" s="177" t="s">
        <v>1237</v>
      </c>
      <c r="P275" s="237">
        <v>230206800</v>
      </c>
      <c r="Q275" s="177" t="s">
        <v>1238</v>
      </c>
      <c r="R275" s="237">
        <v>230206800</v>
      </c>
      <c r="S275" s="177" t="s">
        <v>1238</v>
      </c>
      <c r="T275" s="191" t="s">
        <v>1637</v>
      </c>
      <c r="U275" s="52">
        <v>60</v>
      </c>
      <c r="V275" s="268" t="s">
        <v>1227</v>
      </c>
      <c r="W275" s="175" t="s">
        <v>1228</v>
      </c>
      <c r="X275" s="264" t="s">
        <v>1229</v>
      </c>
      <c r="Y275" s="234"/>
      <c r="Z275" s="234"/>
      <c r="AA275" s="234"/>
      <c r="AB275" s="218"/>
      <c r="AC275" s="218"/>
      <c r="AD275" s="218"/>
      <c r="AE275" s="218"/>
      <c r="AF275" s="218"/>
      <c r="AG275" s="218"/>
      <c r="AH275" s="218"/>
      <c r="AI275" s="218">
        <v>20000000</v>
      </c>
      <c r="AJ275" s="218"/>
      <c r="AK275" s="218"/>
      <c r="AL275" s="218"/>
      <c r="AM275" s="218">
        <f>+Y275+Z275+AA275+AB275+AC275+AD275+AE275+AF275+AG275+AH275+AI275+AJ275+AK275</f>
        <v>20000000</v>
      </c>
      <c r="AN275" s="200" t="s">
        <v>1622</v>
      </c>
      <c r="AO275" s="188"/>
    </row>
    <row r="276" spans="1:41" s="26" customFormat="1" ht="69.75" customHeight="1" x14ac:dyDescent="0.2">
      <c r="A276" s="178">
        <v>324</v>
      </c>
      <c r="B276" s="232" t="s">
        <v>1625</v>
      </c>
      <c r="C276" s="174">
        <v>2</v>
      </c>
      <c r="D276" s="177" t="s">
        <v>1587</v>
      </c>
      <c r="E276" s="174">
        <v>39</v>
      </c>
      <c r="F276" s="256" t="s">
        <v>1468</v>
      </c>
      <c r="G276" s="174">
        <v>3903</v>
      </c>
      <c r="H276" s="256" t="s">
        <v>1240</v>
      </c>
      <c r="I276" s="174">
        <v>3903</v>
      </c>
      <c r="J276" s="256" t="s">
        <v>1240</v>
      </c>
      <c r="K276" s="256" t="s">
        <v>1241</v>
      </c>
      <c r="L276" s="50">
        <v>3903005</v>
      </c>
      <c r="M276" s="256" t="s">
        <v>1242</v>
      </c>
      <c r="N276" s="50">
        <v>3903005</v>
      </c>
      <c r="O276" s="256" t="s">
        <v>1242</v>
      </c>
      <c r="P276" s="50" t="s">
        <v>1243</v>
      </c>
      <c r="Q276" s="256" t="s">
        <v>1244</v>
      </c>
      <c r="R276" s="50" t="s">
        <v>1243</v>
      </c>
      <c r="S276" s="256" t="s">
        <v>1244</v>
      </c>
      <c r="T276" s="191" t="s">
        <v>1635</v>
      </c>
      <c r="U276" s="52">
        <v>1</v>
      </c>
      <c r="V276" s="268" t="s">
        <v>1245</v>
      </c>
      <c r="W276" s="175" t="s">
        <v>1246</v>
      </c>
      <c r="X276" s="264" t="s">
        <v>1247</v>
      </c>
      <c r="Y276" s="234"/>
      <c r="Z276" s="234"/>
      <c r="AA276" s="234"/>
      <c r="AB276" s="218"/>
      <c r="AC276" s="218"/>
      <c r="AD276" s="218"/>
      <c r="AE276" s="218"/>
      <c r="AF276" s="218"/>
      <c r="AG276" s="218"/>
      <c r="AH276" s="218"/>
      <c r="AI276" s="218">
        <f>20000000-10000000</f>
        <v>10000000</v>
      </c>
      <c r="AJ276" s="218"/>
      <c r="AK276" s="218"/>
      <c r="AL276" s="218"/>
      <c r="AM276" s="218">
        <f>+Y276+Z276+AA276+AB276+AC276+AD276+AE276+AF276+AG276+AH276+AI276+AJ276+AK276</f>
        <v>10000000</v>
      </c>
      <c r="AN276" s="200" t="s">
        <v>1622</v>
      </c>
      <c r="AO276" s="188"/>
    </row>
    <row r="277" spans="1:41" s="26" customFormat="1" ht="69.75" customHeight="1" x14ac:dyDescent="0.2">
      <c r="A277" s="178">
        <v>324</v>
      </c>
      <c r="B277" s="232" t="s">
        <v>1625</v>
      </c>
      <c r="C277" s="174">
        <v>2</v>
      </c>
      <c r="D277" s="177" t="s">
        <v>1587</v>
      </c>
      <c r="E277" s="174">
        <v>39</v>
      </c>
      <c r="F277" s="256" t="s">
        <v>1468</v>
      </c>
      <c r="G277" s="174">
        <v>3903</v>
      </c>
      <c r="H277" s="256" t="s">
        <v>1240</v>
      </c>
      <c r="I277" s="174">
        <v>3903</v>
      </c>
      <c r="J277" s="256" t="s">
        <v>1240</v>
      </c>
      <c r="K277" s="256" t="s">
        <v>1241</v>
      </c>
      <c r="L277" s="50">
        <v>3903005</v>
      </c>
      <c r="M277" s="256" t="s">
        <v>1242</v>
      </c>
      <c r="N277" s="50">
        <v>3903005</v>
      </c>
      <c r="O277" s="256" t="s">
        <v>1242</v>
      </c>
      <c r="P277" s="50" t="s">
        <v>1248</v>
      </c>
      <c r="Q277" s="177" t="s">
        <v>1249</v>
      </c>
      <c r="R277" s="50" t="s">
        <v>1248</v>
      </c>
      <c r="S277" s="177" t="s">
        <v>1249</v>
      </c>
      <c r="T277" s="191" t="s">
        <v>1637</v>
      </c>
      <c r="U277" s="52">
        <v>50</v>
      </c>
      <c r="V277" s="268" t="s">
        <v>1245</v>
      </c>
      <c r="W277" s="175" t="s">
        <v>1246</v>
      </c>
      <c r="X277" s="264" t="s">
        <v>1247</v>
      </c>
      <c r="Y277" s="234"/>
      <c r="Z277" s="234"/>
      <c r="AA277" s="234"/>
      <c r="AB277" s="218"/>
      <c r="AC277" s="218"/>
      <c r="AD277" s="218"/>
      <c r="AE277" s="218"/>
      <c r="AF277" s="218"/>
      <c r="AG277" s="218"/>
      <c r="AH277" s="218"/>
      <c r="AI277" s="218">
        <f>20000000+10000000</f>
        <v>30000000</v>
      </c>
      <c r="AJ277" s="218"/>
      <c r="AK277" s="218"/>
      <c r="AL277" s="218"/>
      <c r="AM277" s="218">
        <f>+Y277+Z277+AA277+AB277+AC277+AD277+AE277+AF277+AG277+AH277+AI277+AJ277+AK277</f>
        <v>30000000</v>
      </c>
      <c r="AN277" s="200" t="s">
        <v>1622</v>
      </c>
      <c r="AO277" s="188"/>
    </row>
    <row r="278" spans="1:41" s="26" customFormat="1" ht="78" customHeight="1" x14ac:dyDescent="0.2">
      <c r="A278" s="178">
        <v>324</v>
      </c>
      <c r="B278" s="232" t="s">
        <v>1625</v>
      </c>
      <c r="C278" s="174">
        <v>2</v>
      </c>
      <c r="D278" s="177" t="s">
        <v>1587</v>
      </c>
      <c r="E278" s="174">
        <v>39</v>
      </c>
      <c r="F278" s="256" t="s">
        <v>1468</v>
      </c>
      <c r="G278" s="174">
        <v>3903</v>
      </c>
      <c r="H278" s="256" t="s">
        <v>1240</v>
      </c>
      <c r="I278" s="174">
        <v>3903</v>
      </c>
      <c r="J278" s="256" t="s">
        <v>1240</v>
      </c>
      <c r="K278" s="256" t="s">
        <v>1241</v>
      </c>
      <c r="L278" s="50">
        <v>3903005</v>
      </c>
      <c r="M278" s="256" t="s">
        <v>1242</v>
      </c>
      <c r="N278" s="50">
        <v>3903005</v>
      </c>
      <c r="O278" s="256" t="s">
        <v>1242</v>
      </c>
      <c r="P278" s="50" t="s">
        <v>1250</v>
      </c>
      <c r="Q278" s="256" t="s">
        <v>1251</v>
      </c>
      <c r="R278" s="50" t="s">
        <v>1250</v>
      </c>
      <c r="S278" s="256" t="s">
        <v>1251</v>
      </c>
      <c r="T278" s="191" t="s">
        <v>1637</v>
      </c>
      <c r="U278" s="52">
        <v>50</v>
      </c>
      <c r="V278" s="268" t="s">
        <v>1245</v>
      </c>
      <c r="W278" s="175" t="s">
        <v>1246</v>
      </c>
      <c r="X278" s="264" t="s">
        <v>1247</v>
      </c>
      <c r="Y278" s="234"/>
      <c r="Z278" s="234"/>
      <c r="AA278" s="234"/>
      <c r="AB278" s="218"/>
      <c r="AC278" s="218"/>
      <c r="AD278" s="218"/>
      <c r="AE278" s="218"/>
      <c r="AF278" s="218"/>
      <c r="AG278" s="218"/>
      <c r="AH278" s="218"/>
      <c r="AI278" s="218">
        <v>20000000</v>
      </c>
      <c r="AJ278" s="218"/>
      <c r="AK278" s="218"/>
      <c r="AL278" s="218"/>
      <c r="AM278" s="218">
        <f>+Y278+Z278+AA278+AB278+AC278+AD278+AE278+AF278+AG278+AH278+AI278+AJ278+AK278</f>
        <v>20000000</v>
      </c>
      <c r="AN278" s="200" t="s">
        <v>1622</v>
      </c>
      <c r="AO278" s="188"/>
    </row>
    <row r="279" spans="1:41" s="26" customFormat="1" ht="94.5" customHeight="1" x14ac:dyDescent="0.2">
      <c r="A279" s="178">
        <v>324</v>
      </c>
      <c r="B279" s="232" t="s">
        <v>1625</v>
      </c>
      <c r="C279" s="174">
        <v>2</v>
      </c>
      <c r="D279" s="177" t="s">
        <v>1587</v>
      </c>
      <c r="E279" s="174">
        <v>39</v>
      </c>
      <c r="F279" s="256" t="s">
        <v>1468</v>
      </c>
      <c r="G279" s="174">
        <v>3904</v>
      </c>
      <c r="H279" s="177" t="s">
        <v>1568</v>
      </c>
      <c r="I279" s="174">
        <v>3904</v>
      </c>
      <c r="J279" s="177" t="s">
        <v>1568</v>
      </c>
      <c r="K279" s="177" t="s">
        <v>1252</v>
      </c>
      <c r="L279" s="174">
        <v>3904018</v>
      </c>
      <c r="M279" s="177" t="s">
        <v>1253</v>
      </c>
      <c r="N279" s="174">
        <v>3904018</v>
      </c>
      <c r="O279" s="177" t="s">
        <v>1253</v>
      </c>
      <c r="P279" s="50">
        <v>390401809</v>
      </c>
      <c r="Q279" s="177" t="s">
        <v>1254</v>
      </c>
      <c r="R279" s="50">
        <v>390401809</v>
      </c>
      <c r="S279" s="177" t="s">
        <v>1254</v>
      </c>
      <c r="T279" s="191" t="s">
        <v>1637</v>
      </c>
      <c r="U279" s="52">
        <f>6+1</f>
        <v>7</v>
      </c>
      <c r="V279" s="268" t="s">
        <v>1255</v>
      </c>
      <c r="W279" s="175" t="s">
        <v>1256</v>
      </c>
      <c r="X279" s="175" t="s">
        <v>1257</v>
      </c>
      <c r="Y279" s="234"/>
      <c r="Z279" s="234"/>
      <c r="AA279" s="234"/>
      <c r="AB279" s="218"/>
      <c r="AC279" s="218"/>
      <c r="AD279" s="218"/>
      <c r="AE279" s="218"/>
      <c r="AF279" s="218"/>
      <c r="AG279" s="218"/>
      <c r="AH279" s="218"/>
      <c r="AI279" s="218">
        <v>18000000</v>
      </c>
      <c r="AJ279" s="218"/>
      <c r="AK279" s="218"/>
      <c r="AL279" s="218"/>
      <c r="AM279" s="218">
        <f>+Y279+Z279+AA279+AB279+AC279+AD279+AE279+AF279+AG279+AH279+AI279+AJ279+AK279</f>
        <v>18000000</v>
      </c>
      <c r="AN279" s="200" t="s">
        <v>1622</v>
      </c>
      <c r="AO279" s="188"/>
    </row>
    <row r="280" spans="1:41" s="26" customFormat="1" ht="109.5" customHeight="1" x14ac:dyDescent="0.2">
      <c r="A280" s="178">
        <v>324</v>
      </c>
      <c r="B280" s="232" t="s">
        <v>1625</v>
      </c>
      <c r="C280" s="174">
        <v>4</v>
      </c>
      <c r="D280" s="177" t="s">
        <v>1578</v>
      </c>
      <c r="E280" s="174">
        <v>23</v>
      </c>
      <c r="F280" s="177" t="s">
        <v>1198</v>
      </c>
      <c r="G280" s="174">
        <v>2302</v>
      </c>
      <c r="H280" s="177" t="s">
        <v>1554</v>
      </c>
      <c r="I280" s="174">
        <v>2302</v>
      </c>
      <c r="J280" s="177" t="s">
        <v>1555</v>
      </c>
      <c r="K280" s="177" t="s">
        <v>1258</v>
      </c>
      <c r="L280" s="174">
        <v>2302003</v>
      </c>
      <c r="M280" s="177" t="s">
        <v>1259</v>
      </c>
      <c r="N280" s="174">
        <v>2302003</v>
      </c>
      <c r="O280" s="177" t="s">
        <v>1259</v>
      </c>
      <c r="P280" s="50">
        <v>230200300</v>
      </c>
      <c r="Q280" s="177" t="s">
        <v>1260</v>
      </c>
      <c r="R280" s="50">
        <v>230200300</v>
      </c>
      <c r="S280" s="177" t="s">
        <v>1260</v>
      </c>
      <c r="T280" s="191" t="s">
        <v>1637</v>
      </c>
      <c r="U280" s="52">
        <v>2</v>
      </c>
      <c r="V280" s="268" t="s">
        <v>1261</v>
      </c>
      <c r="W280" s="175" t="s">
        <v>1262</v>
      </c>
      <c r="X280" s="175" t="s">
        <v>1263</v>
      </c>
      <c r="Y280" s="234"/>
      <c r="Z280" s="234"/>
      <c r="AA280" s="234"/>
      <c r="AB280" s="218"/>
      <c r="AC280" s="218"/>
      <c r="AD280" s="218"/>
      <c r="AE280" s="218"/>
      <c r="AF280" s="218"/>
      <c r="AG280" s="218"/>
      <c r="AH280" s="218"/>
      <c r="AI280" s="218">
        <v>120000000</v>
      </c>
      <c r="AJ280" s="218"/>
      <c r="AK280" s="218"/>
      <c r="AL280" s="218"/>
      <c r="AM280" s="218">
        <f>+Y280+Z280+AA280+AB280+AC280+AD280+AE280+AF280+AG280+AH280+AI280+AJ280+AK280</f>
        <v>120000000</v>
      </c>
      <c r="AN280" s="200" t="s">
        <v>1622</v>
      </c>
      <c r="AO280" s="188"/>
    </row>
    <row r="281" spans="1:41" s="26" customFormat="1" ht="93" customHeight="1" x14ac:dyDescent="0.2">
      <c r="A281" s="178">
        <v>324</v>
      </c>
      <c r="B281" s="232" t="s">
        <v>1625</v>
      </c>
      <c r="C281" s="174">
        <v>4</v>
      </c>
      <c r="D281" s="177" t="s">
        <v>1578</v>
      </c>
      <c r="E281" s="174">
        <v>23</v>
      </c>
      <c r="F281" s="177" t="s">
        <v>1198</v>
      </c>
      <c r="G281" s="174">
        <v>2302</v>
      </c>
      <c r="H281" s="177" t="s">
        <v>1554</v>
      </c>
      <c r="I281" s="174">
        <v>2302</v>
      </c>
      <c r="J281" s="177" t="s">
        <v>1555</v>
      </c>
      <c r="K281" s="177" t="s">
        <v>1258</v>
      </c>
      <c r="L281" s="174">
        <v>2302033</v>
      </c>
      <c r="M281" s="177" t="s">
        <v>1264</v>
      </c>
      <c r="N281" s="174">
        <v>2302033</v>
      </c>
      <c r="O281" s="177" t="s">
        <v>1264</v>
      </c>
      <c r="P281" s="50">
        <v>230203300</v>
      </c>
      <c r="Q281" s="177" t="s">
        <v>1265</v>
      </c>
      <c r="R281" s="50">
        <v>230203300</v>
      </c>
      <c r="S281" s="177" t="s">
        <v>1265</v>
      </c>
      <c r="T281" s="191" t="s">
        <v>1635</v>
      </c>
      <c r="U281" s="52">
        <v>100</v>
      </c>
      <c r="V281" s="268" t="s">
        <v>1261</v>
      </c>
      <c r="W281" s="175" t="s">
        <v>1262</v>
      </c>
      <c r="X281" s="175" t="s">
        <v>1263</v>
      </c>
      <c r="Y281" s="234"/>
      <c r="Z281" s="234"/>
      <c r="AA281" s="234"/>
      <c r="AB281" s="218"/>
      <c r="AC281" s="218"/>
      <c r="AD281" s="218"/>
      <c r="AE281" s="218"/>
      <c r="AF281" s="218"/>
      <c r="AG281" s="218"/>
      <c r="AH281" s="218"/>
      <c r="AI281" s="218">
        <v>50000000</v>
      </c>
      <c r="AJ281" s="218"/>
      <c r="AK281" s="218"/>
      <c r="AL281" s="218"/>
      <c r="AM281" s="218">
        <f>+Y281+Z281+AA281+AB281+AC281+AD281+AE281+AF281+AG281+AH281+AI281+AJ281+AK281</f>
        <v>50000000</v>
      </c>
      <c r="AN281" s="200" t="s">
        <v>1622</v>
      </c>
      <c r="AO281" s="188"/>
    </row>
    <row r="282" spans="1:41" s="26" customFormat="1" ht="132" customHeight="1" x14ac:dyDescent="0.2">
      <c r="A282" s="178">
        <v>324</v>
      </c>
      <c r="B282" s="232" t="s">
        <v>1625</v>
      </c>
      <c r="C282" s="174">
        <v>4</v>
      </c>
      <c r="D282" s="177" t="s">
        <v>1578</v>
      </c>
      <c r="E282" s="174">
        <v>23</v>
      </c>
      <c r="F282" s="177" t="s">
        <v>1198</v>
      </c>
      <c r="G282" s="174">
        <v>2302</v>
      </c>
      <c r="H282" s="177" t="s">
        <v>1554</v>
      </c>
      <c r="I282" s="174">
        <v>2302</v>
      </c>
      <c r="J282" s="177" t="s">
        <v>1555</v>
      </c>
      <c r="K282" s="177" t="s">
        <v>1258</v>
      </c>
      <c r="L282" s="174">
        <v>2302066</v>
      </c>
      <c r="M282" s="177" t="s">
        <v>1266</v>
      </c>
      <c r="N282" s="174">
        <v>2302066</v>
      </c>
      <c r="O282" s="177" t="s">
        <v>1266</v>
      </c>
      <c r="P282" s="50">
        <v>230206600</v>
      </c>
      <c r="Q282" s="177" t="s">
        <v>1267</v>
      </c>
      <c r="R282" s="50">
        <v>230206600</v>
      </c>
      <c r="S282" s="177" t="s">
        <v>1267</v>
      </c>
      <c r="T282" s="191" t="s">
        <v>1637</v>
      </c>
      <c r="U282" s="52">
        <v>50</v>
      </c>
      <c r="V282" s="268" t="s">
        <v>1261</v>
      </c>
      <c r="W282" s="175" t="s">
        <v>1262</v>
      </c>
      <c r="X282" s="175" t="s">
        <v>1263</v>
      </c>
      <c r="Y282" s="234"/>
      <c r="Z282" s="234"/>
      <c r="AA282" s="234"/>
      <c r="AB282" s="218"/>
      <c r="AC282" s="218"/>
      <c r="AD282" s="218"/>
      <c r="AE282" s="218"/>
      <c r="AF282" s="218"/>
      <c r="AG282" s="218"/>
      <c r="AH282" s="218"/>
      <c r="AI282" s="218">
        <v>60000000</v>
      </c>
      <c r="AJ282" s="218"/>
      <c r="AK282" s="218"/>
      <c r="AL282" s="218"/>
      <c r="AM282" s="218">
        <f>+Y282+Z282+AA282+AB282+AC282+AD282+AE282+AF282+AG282+AH282+AI282+AJ282+AK282</f>
        <v>60000000</v>
      </c>
      <c r="AN282" s="200" t="s">
        <v>1622</v>
      </c>
      <c r="AO282" s="188"/>
    </row>
    <row r="283" spans="1:41" s="26" customFormat="1" ht="108" customHeight="1" x14ac:dyDescent="0.2">
      <c r="A283" s="178">
        <v>324</v>
      </c>
      <c r="B283" s="232" t="s">
        <v>1625</v>
      </c>
      <c r="C283" s="174">
        <v>4</v>
      </c>
      <c r="D283" s="177" t="s">
        <v>1578</v>
      </c>
      <c r="E283" s="174">
        <v>23</v>
      </c>
      <c r="F283" s="177" t="s">
        <v>1198</v>
      </c>
      <c r="G283" s="174">
        <v>2302</v>
      </c>
      <c r="H283" s="177" t="s">
        <v>1554</v>
      </c>
      <c r="I283" s="174">
        <v>2302</v>
      </c>
      <c r="J283" s="177" t="s">
        <v>1555</v>
      </c>
      <c r="K283" s="177" t="s">
        <v>1258</v>
      </c>
      <c r="L283" s="174">
        <v>2302004</v>
      </c>
      <c r="M283" s="177" t="s">
        <v>1268</v>
      </c>
      <c r="N283" s="174">
        <v>2302004</v>
      </c>
      <c r="O283" s="177" t="s">
        <v>1268</v>
      </c>
      <c r="P283" s="50">
        <v>230200403</v>
      </c>
      <c r="Q283" s="177" t="s">
        <v>1269</v>
      </c>
      <c r="R283" s="50">
        <v>230200403</v>
      </c>
      <c r="S283" s="177" t="s">
        <v>1269</v>
      </c>
      <c r="T283" s="191" t="s">
        <v>1637</v>
      </c>
      <c r="U283" s="52">
        <v>1</v>
      </c>
      <c r="V283" s="268" t="s">
        <v>1261</v>
      </c>
      <c r="W283" s="175" t="s">
        <v>1262</v>
      </c>
      <c r="X283" s="175" t="s">
        <v>1263</v>
      </c>
      <c r="Y283" s="234"/>
      <c r="Z283" s="234"/>
      <c r="AA283" s="234"/>
      <c r="AB283" s="218"/>
      <c r="AC283" s="218"/>
      <c r="AD283" s="218"/>
      <c r="AE283" s="218"/>
      <c r="AF283" s="218"/>
      <c r="AG283" s="218"/>
      <c r="AH283" s="218"/>
      <c r="AI283" s="218">
        <v>25000000</v>
      </c>
      <c r="AJ283" s="218"/>
      <c r="AK283" s="218"/>
      <c r="AL283" s="218"/>
      <c r="AM283" s="218">
        <f>+Y283+Z283+AA283+AB283+AC283+AD283+AE283+AF283+AG283+AH283+AI283+AJ283+AK283</f>
        <v>25000000</v>
      </c>
      <c r="AN283" s="200" t="s">
        <v>1622</v>
      </c>
      <c r="AO283" s="188"/>
    </row>
    <row r="284" spans="1:41" s="26" customFormat="1" ht="105" customHeight="1" x14ac:dyDescent="0.2">
      <c r="A284" s="178">
        <v>324</v>
      </c>
      <c r="B284" s="232" t="s">
        <v>1625</v>
      </c>
      <c r="C284" s="174">
        <v>4</v>
      </c>
      <c r="D284" s="177" t="s">
        <v>1578</v>
      </c>
      <c r="E284" s="174">
        <v>23</v>
      </c>
      <c r="F284" s="177" t="s">
        <v>1198</v>
      </c>
      <c r="G284" s="174">
        <v>2302</v>
      </c>
      <c r="H284" s="177" t="s">
        <v>1554</v>
      </c>
      <c r="I284" s="174">
        <v>2302</v>
      </c>
      <c r="J284" s="177" t="s">
        <v>1555</v>
      </c>
      <c r="K284" s="177" t="s">
        <v>1258</v>
      </c>
      <c r="L284" s="50">
        <v>2302007</v>
      </c>
      <c r="M284" s="177" t="s">
        <v>1270</v>
      </c>
      <c r="N284" s="174">
        <v>2302007</v>
      </c>
      <c r="O284" s="177" t="s">
        <v>1270</v>
      </c>
      <c r="P284" s="50">
        <v>230200701</v>
      </c>
      <c r="Q284" s="177" t="s">
        <v>1271</v>
      </c>
      <c r="R284" s="50">
        <v>230200701</v>
      </c>
      <c r="S284" s="177" t="s">
        <v>1271</v>
      </c>
      <c r="T284" s="191" t="s">
        <v>1637</v>
      </c>
      <c r="U284" s="52">
        <v>1</v>
      </c>
      <c r="V284" s="268" t="s">
        <v>1261</v>
      </c>
      <c r="W284" s="175" t="s">
        <v>1262</v>
      </c>
      <c r="X284" s="175" t="s">
        <v>1263</v>
      </c>
      <c r="Y284" s="234"/>
      <c r="Z284" s="234"/>
      <c r="AA284" s="234"/>
      <c r="AB284" s="218"/>
      <c r="AC284" s="218"/>
      <c r="AD284" s="218"/>
      <c r="AE284" s="218"/>
      <c r="AF284" s="218"/>
      <c r="AG284" s="218"/>
      <c r="AH284" s="218"/>
      <c r="AI284" s="218">
        <v>25000000</v>
      </c>
      <c r="AJ284" s="218"/>
      <c r="AK284" s="218"/>
      <c r="AL284" s="218"/>
      <c r="AM284" s="218">
        <f>+Y284+Z284+AA284+AB284+AC284+AD284+AE284+AF284+AG284+AH284+AI284+AJ284+AK284</f>
        <v>25000000</v>
      </c>
      <c r="AN284" s="200" t="s">
        <v>1622</v>
      </c>
      <c r="AO284" s="188"/>
    </row>
    <row r="285" spans="1:41" s="26" customFormat="1" ht="97.5" customHeight="1" x14ac:dyDescent="0.2">
      <c r="A285" s="178">
        <v>324</v>
      </c>
      <c r="B285" s="232" t="s">
        <v>1625</v>
      </c>
      <c r="C285" s="174">
        <v>4</v>
      </c>
      <c r="D285" s="177" t="s">
        <v>1578</v>
      </c>
      <c r="E285" s="174">
        <v>23</v>
      </c>
      <c r="F285" s="177" t="s">
        <v>1198</v>
      </c>
      <c r="G285" s="174">
        <v>2302</v>
      </c>
      <c r="H285" s="177" t="s">
        <v>1554</v>
      </c>
      <c r="I285" s="174">
        <v>2302</v>
      </c>
      <c r="J285" s="177" t="s">
        <v>1555</v>
      </c>
      <c r="K285" s="177" t="s">
        <v>1258</v>
      </c>
      <c r="L285" s="174">
        <v>2302083</v>
      </c>
      <c r="M285" s="177" t="s">
        <v>84</v>
      </c>
      <c r="N285" s="174">
        <v>2302083</v>
      </c>
      <c r="O285" s="177" t="s">
        <v>84</v>
      </c>
      <c r="P285" s="50">
        <v>230208300</v>
      </c>
      <c r="Q285" s="177" t="s">
        <v>532</v>
      </c>
      <c r="R285" s="50">
        <v>230208300</v>
      </c>
      <c r="S285" s="177" t="s">
        <v>532</v>
      </c>
      <c r="T285" s="191" t="s">
        <v>1637</v>
      </c>
      <c r="U285" s="52">
        <v>1</v>
      </c>
      <c r="V285" s="268" t="s">
        <v>1261</v>
      </c>
      <c r="W285" s="175" t="s">
        <v>1262</v>
      </c>
      <c r="X285" s="175" t="s">
        <v>1263</v>
      </c>
      <c r="Y285" s="234"/>
      <c r="Z285" s="234"/>
      <c r="AA285" s="234"/>
      <c r="AB285" s="218"/>
      <c r="AC285" s="218"/>
      <c r="AD285" s="218"/>
      <c r="AE285" s="218"/>
      <c r="AF285" s="218"/>
      <c r="AG285" s="218"/>
      <c r="AH285" s="218"/>
      <c r="AI285" s="218">
        <v>18000000</v>
      </c>
      <c r="AJ285" s="218"/>
      <c r="AK285" s="218"/>
      <c r="AL285" s="218"/>
      <c r="AM285" s="218">
        <f>+Y285+Z285+AA285+AB285+AC285+AD285+AE285+AF285+AG285+AH285+AI285+AJ285+AK285</f>
        <v>18000000</v>
      </c>
      <c r="AN285" s="200" t="s">
        <v>1622</v>
      </c>
      <c r="AO285" s="188"/>
    </row>
    <row r="286" spans="1:41" s="26" customFormat="1" ht="140.25" customHeight="1" x14ac:dyDescent="0.2">
      <c r="A286" s="178">
        <v>319</v>
      </c>
      <c r="B286" s="256" t="s">
        <v>1595</v>
      </c>
      <c r="C286" s="174">
        <v>1</v>
      </c>
      <c r="D286" s="232" t="s">
        <v>1580</v>
      </c>
      <c r="E286" s="174">
        <v>43</v>
      </c>
      <c r="F286" s="177" t="s">
        <v>176</v>
      </c>
      <c r="G286" s="174">
        <v>4301</v>
      </c>
      <c r="H286" s="256" t="s">
        <v>1530</v>
      </c>
      <c r="I286" s="174">
        <v>4301</v>
      </c>
      <c r="J286" s="256" t="s">
        <v>1531</v>
      </c>
      <c r="K286" s="256" t="s">
        <v>1274</v>
      </c>
      <c r="L286" s="174">
        <v>4301007</v>
      </c>
      <c r="M286" s="177" t="s">
        <v>1275</v>
      </c>
      <c r="N286" s="174">
        <v>4301007</v>
      </c>
      <c r="O286" s="177" t="s">
        <v>1275</v>
      </c>
      <c r="P286" s="174">
        <v>430100701</v>
      </c>
      <c r="Q286" s="177" t="s">
        <v>1276</v>
      </c>
      <c r="R286" s="174">
        <v>430100701</v>
      </c>
      <c r="S286" s="177" t="s">
        <v>1276</v>
      </c>
      <c r="T286" s="191" t="s">
        <v>1635</v>
      </c>
      <c r="U286" s="52">
        <v>12</v>
      </c>
      <c r="V286" s="306">
        <v>2020003630009</v>
      </c>
      <c r="W286" s="175" t="s">
        <v>1277</v>
      </c>
      <c r="X286" s="264" t="s">
        <v>1278</v>
      </c>
      <c r="Y286" s="190">
        <v>42000000</v>
      </c>
      <c r="Z286" s="234"/>
      <c r="AA286" s="234"/>
      <c r="AB286" s="234"/>
      <c r="AC286" s="234"/>
      <c r="AD286" s="302"/>
      <c r="AE286" s="234"/>
      <c r="AF286" s="234"/>
      <c r="AG286" s="234"/>
      <c r="AH286" s="234"/>
      <c r="AI286" s="190"/>
      <c r="AJ286" s="190">
        <f>843746501.24+460056673.81</f>
        <v>1303803175.05</v>
      </c>
      <c r="AK286" s="234">
        <f>240000000-121800000</f>
        <v>118200000</v>
      </c>
      <c r="AL286" s="234"/>
      <c r="AM286" s="218">
        <f>+Y286+Z286+AA286+AB286+AC286+AD286+AE286+AF286+AG286+AH286+AI286+AJ286+AK286</f>
        <v>1464003175.05</v>
      </c>
      <c r="AN286" s="200" t="s">
        <v>1623</v>
      </c>
      <c r="AO286" s="188"/>
    </row>
    <row r="287" spans="1:41" s="26" customFormat="1" ht="140.25" customHeight="1" x14ac:dyDescent="0.2">
      <c r="A287" s="178">
        <v>319</v>
      </c>
      <c r="B287" s="256" t="s">
        <v>1595</v>
      </c>
      <c r="C287" s="174">
        <v>1</v>
      </c>
      <c r="D287" s="232" t="s">
        <v>1580</v>
      </c>
      <c r="E287" s="174">
        <v>43</v>
      </c>
      <c r="F287" s="177" t="s">
        <v>176</v>
      </c>
      <c r="G287" s="174">
        <v>4301</v>
      </c>
      <c r="H287" s="256" t="s">
        <v>1530</v>
      </c>
      <c r="I287" s="174">
        <v>4301</v>
      </c>
      <c r="J287" s="256" t="s">
        <v>1531</v>
      </c>
      <c r="K287" s="256" t="s">
        <v>1274</v>
      </c>
      <c r="L287" s="174">
        <v>4301037</v>
      </c>
      <c r="M287" s="177" t="s">
        <v>1279</v>
      </c>
      <c r="N287" s="174">
        <v>4301037</v>
      </c>
      <c r="O287" s="177" t="s">
        <v>1279</v>
      </c>
      <c r="P287" s="174">
        <v>430103701</v>
      </c>
      <c r="Q287" s="177" t="s">
        <v>1280</v>
      </c>
      <c r="R287" s="174">
        <v>430103701</v>
      </c>
      <c r="S287" s="177" t="s">
        <v>1280</v>
      </c>
      <c r="T287" s="191" t="s">
        <v>1635</v>
      </c>
      <c r="U287" s="52">
        <v>12</v>
      </c>
      <c r="V287" s="306">
        <v>2020003630009</v>
      </c>
      <c r="W287" s="175" t="s">
        <v>1277</v>
      </c>
      <c r="X287" s="264" t="s">
        <v>1278</v>
      </c>
      <c r="Y287" s="234"/>
      <c r="Z287" s="234"/>
      <c r="AA287" s="234"/>
      <c r="AB287" s="234"/>
      <c r="AC287" s="234"/>
      <c r="AD287" s="234"/>
      <c r="AE287" s="234"/>
      <c r="AF287" s="234"/>
      <c r="AG287" s="234"/>
      <c r="AH287" s="234"/>
      <c r="AI287" s="190"/>
      <c r="AJ287" s="190">
        <f>176820060+40000000+94205491.84</f>
        <v>311025551.84000003</v>
      </c>
      <c r="AK287" s="234">
        <f>165000000-20000000-20000000</f>
        <v>125000000</v>
      </c>
      <c r="AL287" s="303"/>
      <c r="AM287" s="218">
        <f>+Y287+Z287+AA287+AB287+AC287+AD287+AE287+AF287+AG287+AH287+AI287+AJ287+AK287</f>
        <v>436025551.84000003</v>
      </c>
      <c r="AN287" s="200" t="s">
        <v>1623</v>
      </c>
      <c r="AO287" s="188"/>
    </row>
    <row r="288" spans="1:41" s="26" customFormat="1" ht="129" customHeight="1" x14ac:dyDescent="0.2">
      <c r="A288" s="178">
        <v>319</v>
      </c>
      <c r="B288" s="256" t="s">
        <v>1595</v>
      </c>
      <c r="C288" s="174">
        <v>1</v>
      </c>
      <c r="D288" s="232" t="s">
        <v>1580</v>
      </c>
      <c r="E288" s="174">
        <v>43</v>
      </c>
      <c r="F288" s="177" t="s">
        <v>176</v>
      </c>
      <c r="G288" s="174">
        <v>4301</v>
      </c>
      <c r="H288" s="256" t="s">
        <v>1530</v>
      </c>
      <c r="I288" s="174">
        <v>4301</v>
      </c>
      <c r="J288" s="256" t="s">
        <v>1531</v>
      </c>
      <c r="K288" s="256" t="s">
        <v>1274</v>
      </c>
      <c r="L288" s="174">
        <v>4301037</v>
      </c>
      <c r="M288" s="177" t="s">
        <v>1279</v>
      </c>
      <c r="N288" s="174">
        <v>4301037</v>
      </c>
      <c r="O288" s="177" t="s">
        <v>1279</v>
      </c>
      <c r="P288" s="174" t="s">
        <v>1281</v>
      </c>
      <c r="Q288" s="177" t="s">
        <v>1282</v>
      </c>
      <c r="R288" s="174" t="s">
        <v>1281</v>
      </c>
      <c r="S288" s="177" t="s">
        <v>1282</v>
      </c>
      <c r="T288" s="191" t="s">
        <v>1635</v>
      </c>
      <c r="U288" s="52">
        <v>12</v>
      </c>
      <c r="V288" s="306">
        <v>2020003630009</v>
      </c>
      <c r="W288" s="175" t="s">
        <v>1277</v>
      </c>
      <c r="X288" s="264" t="s">
        <v>1278</v>
      </c>
      <c r="Y288" s="234">
        <f>1000000000-859200000</f>
        <v>140800000</v>
      </c>
      <c r="Z288" s="234"/>
      <c r="AA288" s="234"/>
      <c r="AB288" s="234"/>
      <c r="AC288" s="234"/>
      <c r="AD288" s="234"/>
      <c r="AE288" s="234"/>
      <c r="AF288" s="234"/>
      <c r="AG288" s="234"/>
      <c r="AH288" s="234"/>
      <c r="AI288" s="190">
        <f>63455402+72672234+600000000+150000000+250000000-1000000000</f>
        <v>136127636</v>
      </c>
      <c r="AJ288" s="190">
        <f>253377194+128617531.11</f>
        <v>381994725.11000001</v>
      </c>
      <c r="AK288" s="234">
        <f>595000000-70000000-55000000-30000000-227842116</f>
        <v>212157884</v>
      </c>
      <c r="AL288" s="234"/>
      <c r="AM288" s="218">
        <f>+Y288+Z288+AA288+AB288+AC288+AD288+AE288+AF288+AG288+AH288+AI288+AJ288+AK288</f>
        <v>871080245.11000001</v>
      </c>
      <c r="AN288" s="200" t="s">
        <v>1623</v>
      </c>
      <c r="AO288" s="188"/>
    </row>
    <row r="289" spans="1:41" s="26" customFormat="1" ht="166.5" customHeight="1" x14ac:dyDescent="0.2">
      <c r="A289" s="178">
        <v>319</v>
      </c>
      <c r="B289" s="256" t="s">
        <v>1595</v>
      </c>
      <c r="C289" s="174">
        <v>1</v>
      </c>
      <c r="D289" s="232" t="s">
        <v>1580</v>
      </c>
      <c r="E289" s="174">
        <v>43</v>
      </c>
      <c r="F289" s="177" t="s">
        <v>176</v>
      </c>
      <c r="G289" s="174">
        <v>4301</v>
      </c>
      <c r="H289" s="256" t="s">
        <v>1530</v>
      </c>
      <c r="I289" s="174">
        <v>4301</v>
      </c>
      <c r="J289" s="256" t="s">
        <v>1531</v>
      </c>
      <c r="K289" s="256" t="s">
        <v>1274</v>
      </c>
      <c r="L289" s="52" t="s">
        <v>41</v>
      </c>
      <c r="M289" s="177" t="s">
        <v>1283</v>
      </c>
      <c r="N289" s="174">
        <v>4301006</v>
      </c>
      <c r="O289" s="177" t="s">
        <v>1284</v>
      </c>
      <c r="P289" s="52" t="s">
        <v>41</v>
      </c>
      <c r="Q289" s="177" t="s">
        <v>1285</v>
      </c>
      <c r="R289" s="174">
        <v>430100600</v>
      </c>
      <c r="S289" s="177" t="s">
        <v>1286</v>
      </c>
      <c r="T289" s="191" t="s">
        <v>1635</v>
      </c>
      <c r="U289" s="52">
        <v>1</v>
      </c>
      <c r="V289" s="306">
        <v>2020003630009</v>
      </c>
      <c r="W289" s="175" t="s">
        <v>1277</v>
      </c>
      <c r="X289" s="264" t="s">
        <v>1278</v>
      </c>
      <c r="Y289" s="234"/>
      <c r="Z289" s="234"/>
      <c r="AA289" s="234"/>
      <c r="AB289" s="234"/>
      <c r="AC289" s="234"/>
      <c r="AD289" s="234"/>
      <c r="AE289" s="234"/>
      <c r="AF289" s="234"/>
      <c r="AG289" s="234"/>
      <c r="AH289" s="234"/>
      <c r="AI289" s="235"/>
      <c r="AJ289" s="238">
        <v>76178126.980000004</v>
      </c>
      <c r="AK289" s="304"/>
      <c r="AL289" s="304"/>
      <c r="AM289" s="218">
        <f>+Y289+Z289+AA289+AB289+AC289+AD289+AE289+AF289+AG289+AH289+AI289+AJ289+AK289</f>
        <v>76178126.980000004</v>
      </c>
      <c r="AN289" s="200" t="s">
        <v>1623</v>
      </c>
      <c r="AO289" s="188"/>
    </row>
    <row r="290" spans="1:41" s="26" customFormat="1" ht="151.5" customHeight="1" x14ac:dyDescent="0.2">
      <c r="A290" s="178">
        <v>319</v>
      </c>
      <c r="B290" s="256" t="s">
        <v>1595</v>
      </c>
      <c r="C290" s="174">
        <v>1</v>
      </c>
      <c r="D290" s="232" t="s">
        <v>1580</v>
      </c>
      <c r="E290" s="174">
        <v>43</v>
      </c>
      <c r="F290" s="177" t="s">
        <v>176</v>
      </c>
      <c r="G290" s="174">
        <v>4302</v>
      </c>
      <c r="H290" s="256" t="s">
        <v>1287</v>
      </c>
      <c r="I290" s="174">
        <v>4302</v>
      </c>
      <c r="J290" s="256" t="s">
        <v>1574</v>
      </c>
      <c r="K290" s="256" t="s">
        <v>1288</v>
      </c>
      <c r="L290" s="305">
        <v>4302075</v>
      </c>
      <c r="M290" s="177" t="s">
        <v>1289</v>
      </c>
      <c r="N290" s="305">
        <v>4302075</v>
      </c>
      <c r="O290" s="177" t="s">
        <v>1289</v>
      </c>
      <c r="P290" s="237">
        <v>430207500</v>
      </c>
      <c r="Q290" s="256" t="s">
        <v>1290</v>
      </c>
      <c r="R290" s="237">
        <v>430207500</v>
      </c>
      <c r="S290" s="256" t="s">
        <v>1290</v>
      </c>
      <c r="T290" s="191" t="s">
        <v>1635</v>
      </c>
      <c r="U290" s="52">
        <v>25</v>
      </c>
      <c r="V290" s="306">
        <v>2020003630010</v>
      </c>
      <c r="W290" s="307" t="s">
        <v>1291</v>
      </c>
      <c r="X290" s="307" t="s">
        <v>1292</v>
      </c>
      <c r="Y290" s="328">
        <f>4533873991-3465057531</f>
        <v>1068816460</v>
      </c>
      <c r="Z290" s="234"/>
      <c r="AA290" s="234"/>
      <c r="AB290" s="234"/>
      <c r="AC290" s="234"/>
      <c r="AD290" s="234"/>
      <c r="AE290" s="234"/>
      <c r="AF290" s="234"/>
      <c r="AG290" s="234"/>
      <c r="AH290" s="234"/>
      <c r="AI290" s="276">
        <f>684120550+100000000</f>
        <v>784120550</v>
      </c>
      <c r="AJ290" s="276">
        <f>288360186+2044951320.41</f>
        <v>2333311506.4099998</v>
      </c>
      <c r="AK290" s="234"/>
      <c r="AL290" s="234"/>
      <c r="AM290" s="218">
        <f>+Y290+Z290+AA290+AB290+AC290+AD290+AE290+AF290+AG290+AH290+AI290+AJ290+AK290</f>
        <v>4186248516.4099998</v>
      </c>
      <c r="AN290" s="200" t="s">
        <v>1623</v>
      </c>
      <c r="AO290" s="188"/>
    </row>
    <row r="291" spans="1:41" s="26" customFormat="1" ht="147" customHeight="1" x14ac:dyDescent="0.2">
      <c r="A291" s="178">
        <v>319</v>
      </c>
      <c r="B291" s="256" t="s">
        <v>1595</v>
      </c>
      <c r="C291" s="174">
        <v>1</v>
      </c>
      <c r="D291" s="232" t="s">
        <v>1580</v>
      </c>
      <c r="E291" s="174">
        <v>43</v>
      </c>
      <c r="F291" s="177" t="s">
        <v>176</v>
      </c>
      <c r="G291" s="174">
        <v>4302</v>
      </c>
      <c r="H291" s="256" t="s">
        <v>1287</v>
      </c>
      <c r="I291" s="174">
        <v>4302</v>
      </c>
      <c r="J291" s="256" t="s">
        <v>1574</v>
      </c>
      <c r="K291" s="256" t="s">
        <v>1293</v>
      </c>
      <c r="L291" s="305">
        <v>4302075</v>
      </c>
      <c r="M291" s="177" t="s">
        <v>1289</v>
      </c>
      <c r="N291" s="305">
        <v>4302004</v>
      </c>
      <c r="O291" s="177" t="s">
        <v>1294</v>
      </c>
      <c r="P291" s="52" t="s">
        <v>41</v>
      </c>
      <c r="Q291" s="177" t="s">
        <v>1295</v>
      </c>
      <c r="R291" s="178">
        <v>430200401</v>
      </c>
      <c r="S291" s="177" t="s">
        <v>1296</v>
      </c>
      <c r="T291" s="191" t="s">
        <v>1635</v>
      </c>
      <c r="U291" s="52">
        <v>1</v>
      </c>
      <c r="V291" s="306">
        <v>2020003630013</v>
      </c>
      <c r="W291" s="175" t="s">
        <v>1297</v>
      </c>
      <c r="X291" s="177" t="s">
        <v>1298</v>
      </c>
      <c r="Y291" s="234"/>
      <c r="Z291" s="234"/>
      <c r="AA291" s="234"/>
      <c r="AB291" s="234"/>
      <c r="AC291" s="234"/>
      <c r="AD291" s="234"/>
      <c r="AE291" s="234"/>
      <c r="AF291" s="234"/>
      <c r="AG291" s="234"/>
      <c r="AH291" s="234"/>
      <c r="AI291" s="194">
        <f>35000000+91882074.64</f>
        <v>126882074.64</v>
      </c>
      <c r="AJ291" s="190"/>
      <c r="AK291" s="234"/>
      <c r="AL291" s="234"/>
      <c r="AM291" s="218">
        <f>+Y291+Z291+AA291+AB291+AC291+AD291+AE291+AF291+AG291+AH291+AI291+AJ291+AK291</f>
        <v>126882074.64</v>
      </c>
      <c r="AN291" s="200" t="s">
        <v>1623</v>
      </c>
      <c r="AO291" s="188"/>
    </row>
    <row r="292" spans="1:41" s="26" customFormat="1" ht="175.5" customHeight="1" x14ac:dyDescent="0.2">
      <c r="A292" s="178">
        <v>320</v>
      </c>
      <c r="B292" s="256" t="s">
        <v>1596</v>
      </c>
      <c r="C292" s="174">
        <v>1</v>
      </c>
      <c r="D292" s="232" t="s">
        <v>1580</v>
      </c>
      <c r="E292" s="174">
        <v>43</v>
      </c>
      <c r="F292" s="177" t="s">
        <v>176</v>
      </c>
      <c r="G292" s="174">
        <v>4301</v>
      </c>
      <c r="H292" s="256" t="s">
        <v>1530</v>
      </c>
      <c r="I292" s="174">
        <v>4301</v>
      </c>
      <c r="J292" s="256" t="s">
        <v>1531</v>
      </c>
      <c r="K292" s="177" t="s">
        <v>178</v>
      </c>
      <c r="L292" s="52" t="s">
        <v>41</v>
      </c>
      <c r="M292" s="248" t="s">
        <v>1300</v>
      </c>
      <c r="N292" s="174">
        <v>4301004</v>
      </c>
      <c r="O292" s="248" t="s">
        <v>180</v>
      </c>
      <c r="P292" s="52" t="s">
        <v>41</v>
      </c>
      <c r="Q292" s="248" t="s">
        <v>1301</v>
      </c>
      <c r="R292" s="249">
        <v>430100401</v>
      </c>
      <c r="S292" s="248" t="s">
        <v>182</v>
      </c>
      <c r="T292" s="191" t="s">
        <v>1637</v>
      </c>
      <c r="U292" s="52">
        <v>3</v>
      </c>
      <c r="V292" s="268" t="s">
        <v>1302</v>
      </c>
      <c r="W292" s="248" t="s">
        <v>1303</v>
      </c>
      <c r="X292" s="248" t="s">
        <v>1304</v>
      </c>
      <c r="Y292" s="257">
        <f>308302422.9+382161654.86</f>
        <v>690464077.75999999</v>
      </c>
      <c r="Z292" s="234"/>
      <c r="AA292" s="234"/>
      <c r="AB292" s="234"/>
      <c r="AC292" s="234"/>
      <c r="AD292" s="234"/>
      <c r="AE292" s="234"/>
      <c r="AF292" s="234"/>
      <c r="AG292" s="234"/>
      <c r="AH292" s="234"/>
      <c r="AI292" s="266"/>
      <c r="AJ292" s="259"/>
      <c r="AK292" s="234"/>
      <c r="AL292" s="234"/>
      <c r="AM292" s="218">
        <f>+Y292+Z292+AA292+AB292+AC292+AD292+AE292+AF292+AG292+AH292+AI292+AJ292+AK292</f>
        <v>690464077.75999999</v>
      </c>
      <c r="AN292" s="200" t="s">
        <v>1624</v>
      </c>
      <c r="AO292" s="188"/>
    </row>
    <row r="293" spans="1:41" s="26" customFormat="1" ht="131.25" customHeight="1" x14ac:dyDescent="0.2">
      <c r="A293" s="178">
        <v>320</v>
      </c>
      <c r="B293" s="256" t="s">
        <v>1596</v>
      </c>
      <c r="C293" s="174">
        <v>1</v>
      </c>
      <c r="D293" s="232" t="s">
        <v>1580</v>
      </c>
      <c r="E293" s="174">
        <v>22</v>
      </c>
      <c r="F293" s="255" t="s">
        <v>156</v>
      </c>
      <c r="G293" s="174">
        <v>2201</v>
      </c>
      <c r="H293" s="177" t="s">
        <v>277</v>
      </c>
      <c r="I293" s="174">
        <v>2201</v>
      </c>
      <c r="J293" s="177" t="s">
        <v>1553</v>
      </c>
      <c r="K293" s="177" t="s">
        <v>158</v>
      </c>
      <c r="L293" s="52" t="s">
        <v>41</v>
      </c>
      <c r="M293" s="177" t="s">
        <v>674</v>
      </c>
      <c r="N293" s="249">
        <v>2201062</v>
      </c>
      <c r="O293" s="177" t="s">
        <v>160</v>
      </c>
      <c r="P293" s="52" t="s">
        <v>41</v>
      </c>
      <c r="Q293" s="177" t="s">
        <v>161</v>
      </c>
      <c r="R293" s="174">
        <v>220106200</v>
      </c>
      <c r="S293" s="177" t="s">
        <v>162</v>
      </c>
      <c r="T293" s="191" t="s">
        <v>1637</v>
      </c>
      <c r="U293" s="52">
        <v>15</v>
      </c>
      <c r="V293" s="268" t="s">
        <v>1305</v>
      </c>
      <c r="W293" s="248" t="s">
        <v>1306</v>
      </c>
      <c r="X293" s="248" t="s">
        <v>1307</v>
      </c>
      <c r="Y293" s="257">
        <f>308302422.9+20706441.05</f>
        <v>329008863.94999999</v>
      </c>
      <c r="Z293" s="234"/>
      <c r="AA293" s="234"/>
      <c r="AB293" s="234"/>
      <c r="AC293" s="234"/>
      <c r="AD293" s="234"/>
      <c r="AE293" s="234"/>
      <c r="AF293" s="234"/>
      <c r="AG293" s="234"/>
      <c r="AH293" s="234"/>
      <c r="AI293" s="266"/>
      <c r="AJ293" s="234"/>
      <c r="AK293" s="251"/>
      <c r="AL293" s="251"/>
      <c r="AM293" s="218">
        <f>+Y293+Z293+AA293+AB293+AC293+AD293+AE293+AF293+AG293+AH293+AI293+AJ293+AK293</f>
        <v>329008863.94999999</v>
      </c>
      <c r="AN293" s="200" t="s">
        <v>1624</v>
      </c>
      <c r="AO293" s="188"/>
    </row>
    <row r="294" spans="1:41" s="26" customFormat="1" ht="132" customHeight="1" x14ac:dyDescent="0.2">
      <c r="A294" s="178">
        <v>320</v>
      </c>
      <c r="B294" s="256" t="s">
        <v>1596</v>
      </c>
      <c r="C294" s="178">
        <v>3</v>
      </c>
      <c r="D294" s="248" t="s">
        <v>1597</v>
      </c>
      <c r="E294" s="178">
        <v>24</v>
      </c>
      <c r="F294" s="178" t="s">
        <v>187</v>
      </c>
      <c r="G294" s="174">
        <v>2402</v>
      </c>
      <c r="H294" s="248" t="s">
        <v>188</v>
      </c>
      <c r="I294" s="174">
        <v>2402</v>
      </c>
      <c r="J294" s="248" t="s">
        <v>1556</v>
      </c>
      <c r="K294" s="248" t="s">
        <v>1308</v>
      </c>
      <c r="L294" s="52" t="s">
        <v>41</v>
      </c>
      <c r="M294" s="177" t="s">
        <v>196</v>
      </c>
      <c r="N294" s="249">
        <v>2402041</v>
      </c>
      <c r="O294" s="177" t="s">
        <v>197</v>
      </c>
      <c r="P294" s="52" t="s">
        <v>41</v>
      </c>
      <c r="Q294" s="177" t="s">
        <v>198</v>
      </c>
      <c r="R294" s="249">
        <v>240204100</v>
      </c>
      <c r="S294" s="177" t="s">
        <v>199</v>
      </c>
      <c r="T294" s="191" t="s">
        <v>1635</v>
      </c>
      <c r="U294" s="258">
        <v>130</v>
      </c>
      <c r="V294" s="268" t="s">
        <v>1309</v>
      </c>
      <c r="W294" s="308" t="s">
        <v>1310</v>
      </c>
      <c r="X294" s="177" t="s">
        <v>1311</v>
      </c>
      <c r="Y294" s="234"/>
      <c r="Z294" s="234"/>
      <c r="AA294" s="266"/>
      <c r="AB294" s="234"/>
      <c r="AC294" s="234"/>
      <c r="AD294" s="234"/>
      <c r="AE294" s="234"/>
      <c r="AF294" s="234"/>
      <c r="AG294" s="234"/>
      <c r="AH294" s="234"/>
      <c r="AI294" s="266"/>
      <c r="AJ294" s="259">
        <f>199461691.2+149435040</f>
        <v>348896731.19999999</v>
      </c>
      <c r="AK294" s="234"/>
      <c r="AL294" s="234"/>
      <c r="AM294" s="218">
        <f>+Y294+Z294+AA294+AB294+AC294+AD294+AE294+AF294+AG294+AH294+AI294+AJ294+AK294</f>
        <v>348896731.19999999</v>
      </c>
      <c r="AN294" s="200" t="s">
        <v>1624</v>
      </c>
      <c r="AO294" s="188"/>
    </row>
    <row r="295" spans="1:41" s="26" customFormat="1" ht="105" customHeight="1" x14ac:dyDescent="0.2">
      <c r="A295" s="178">
        <v>320</v>
      </c>
      <c r="B295" s="256" t="s">
        <v>1596</v>
      </c>
      <c r="C295" s="178">
        <v>3</v>
      </c>
      <c r="D295" s="248" t="s">
        <v>1597</v>
      </c>
      <c r="E295" s="174">
        <v>40</v>
      </c>
      <c r="F295" s="177" t="s">
        <v>221</v>
      </c>
      <c r="G295" s="215">
        <v>4001</v>
      </c>
      <c r="H295" s="177" t="s">
        <v>222</v>
      </c>
      <c r="I295" s="215">
        <v>4001</v>
      </c>
      <c r="J295" s="177" t="s">
        <v>1569</v>
      </c>
      <c r="K295" s="177" t="s">
        <v>223</v>
      </c>
      <c r="L295" s="215">
        <v>4001001</v>
      </c>
      <c r="M295" s="177" t="s">
        <v>1312</v>
      </c>
      <c r="N295" s="215">
        <v>4001001</v>
      </c>
      <c r="O295" s="177" t="s">
        <v>1312</v>
      </c>
      <c r="P295" s="237" t="s">
        <v>1313</v>
      </c>
      <c r="Q295" s="256" t="s">
        <v>1314</v>
      </c>
      <c r="R295" s="237" t="s">
        <v>1313</v>
      </c>
      <c r="S295" s="256" t="s">
        <v>1314</v>
      </c>
      <c r="T295" s="191" t="s">
        <v>1637</v>
      </c>
      <c r="U295" s="52">
        <v>3</v>
      </c>
      <c r="V295" s="268" t="s">
        <v>1315</v>
      </c>
      <c r="W295" s="308" t="s">
        <v>1316</v>
      </c>
      <c r="X295" s="177" t="s">
        <v>1317</v>
      </c>
      <c r="Y295" s="257">
        <v>0</v>
      </c>
      <c r="Z295" s="234"/>
      <c r="AA295" s="234"/>
      <c r="AB295" s="234"/>
      <c r="AC295" s="234"/>
      <c r="AD295" s="234"/>
      <c r="AE295" s="234"/>
      <c r="AF295" s="234"/>
      <c r="AG295" s="234"/>
      <c r="AH295" s="234"/>
      <c r="AI295" s="266"/>
      <c r="AJ295" s="234">
        <f>9973084.56-9973084.56</f>
        <v>0</v>
      </c>
      <c r="AK295" s="251"/>
      <c r="AL295" s="251"/>
      <c r="AM295" s="218">
        <f>+Y295+Z295+AA295+AB295+AC295+AD295+AE295+AF295+AG295+AH295+AI295+AJ295+AK295</f>
        <v>0</v>
      </c>
      <c r="AN295" s="200" t="s">
        <v>1624</v>
      </c>
      <c r="AO295" s="188"/>
    </row>
    <row r="296" spans="1:41" s="26" customFormat="1" ht="90" customHeight="1" x14ac:dyDescent="0.2">
      <c r="A296" s="178">
        <v>320</v>
      </c>
      <c r="B296" s="256" t="s">
        <v>1596</v>
      </c>
      <c r="C296" s="178">
        <v>3</v>
      </c>
      <c r="D296" s="248" t="s">
        <v>1597</v>
      </c>
      <c r="E296" s="174">
        <v>40</v>
      </c>
      <c r="F296" s="177" t="s">
        <v>221</v>
      </c>
      <c r="G296" s="215">
        <v>4001</v>
      </c>
      <c r="H296" s="177" t="s">
        <v>222</v>
      </c>
      <c r="I296" s="215">
        <v>4001</v>
      </c>
      <c r="J296" s="177" t="s">
        <v>1569</v>
      </c>
      <c r="K296" s="177" t="s">
        <v>1318</v>
      </c>
      <c r="L296" s="215">
        <v>4001017</v>
      </c>
      <c r="M296" s="177" t="s">
        <v>1319</v>
      </c>
      <c r="N296" s="215">
        <v>4001017</v>
      </c>
      <c r="O296" s="177" t="s">
        <v>1319</v>
      </c>
      <c r="P296" s="237" t="s">
        <v>1320</v>
      </c>
      <c r="Q296" s="256" t="s">
        <v>1321</v>
      </c>
      <c r="R296" s="237" t="s">
        <v>1320</v>
      </c>
      <c r="S296" s="256" t="s">
        <v>1321</v>
      </c>
      <c r="T296" s="191" t="s">
        <v>1637</v>
      </c>
      <c r="U296" s="52">
        <v>25</v>
      </c>
      <c r="V296" s="268" t="s">
        <v>1315</v>
      </c>
      <c r="W296" s="308" t="s">
        <v>1316</v>
      </c>
      <c r="X296" s="177" t="s">
        <v>1317</v>
      </c>
      <c r="Y296" s="257">
        <f>51383737.16+62209722.85+22290833.34</f>
        <v>135884293.34999999</v>
      </c>
      <c r="Z296" s="234"/>
      <c r="AA296" s="234"/>
      <c r="AB296" s="234"/>
      <c r="AC296" s="234"/>
      <c r="AD296" s="234"/>
      <c r="AE296" s="234"/>
      <c r="AF296" s="234"/>
      <c r="AG296" s="234"/>
      <c r="AH296" s="234"/>
      <c r="AI296" s="266"/>
      <c r="AJ296" s="234">
        <f>29919253.68+27767253.39+12918750+7031749.71</f>
        <v>77637006.779999986</v>
      </c>
      <c r="AK296" s="251"/>
      <c r="AL296" s="251"/>
      <c r="AM296" s="218">
        <f>+Y296+Z296+AA296+AB296+AC296+AD296+AE296+AF296+AG296+AH296+AI296+AJ296+AK296</f>
        <v>213521300.13</v>
      </c>
      <c r="AN296" s="200" t="s">
        <v>1624</v>
      </c>
      <c r="AO296" s="188"/>
    </row>
    <row r="297" spans="1:41" s="26" customFormat="1" ht="96" customHeight="1" x14ac:dyDescent="0.2">
      <c r="A297" s="178">
        <v>320</v>
      </c>
      <c r="B297" s="256" t="s">
        <v>1596</v>
      </c>
      <c r="C297" s="178">
        <v>3</v>
      </c>
      <c r="D297" s="248" t="s">
        <v>1597</v>
      </c>
      <c r="E297" s="174">
        <v>40</v>
      </c>
      <c r="F297" s="177" t="s">
        <v>221</v>
      </c>
      <c r="G297" s="215">
        <v>4001</v>
      </c>
      <c r="H297" s="177" t="s">
        <v>222</v>
      </c>
      <c r="I297" s="215">
        <v>4001</v>
      </c>
      <c r="J297" s="177" t="s">
        <v>1569</v>
      </c>
      <c r="K297" s="177" t="s">
        <v>223</v>
      </c>
      <c r="L297" s="215">
        <v>4001018</v>
      </c>
      <c r="M297" s="177" t="s">
        <v>1322</v>
      </c>
      <c r="N297" s="215">
        <v>4001018</v>
      </c>
      <c r="O297" s="177" t="s">
        <v>1322</v>
      </c>
      <c r="P297" s="237" t="s">
        <v>1323</v>
      </c>
      <c r="Q297" s="256" t="s">
        <v>1324</v>
      </c>
      <c r="R297" s="237" t="s">
        <v>1323</v>
      </c>
      <c r="S297" s="256" t="s">
        <v>1324</v>
      </c>
      <c r="T297" s="191" t="s">
        <v>1637</v>
      </c>
      <c r="U297" s="52">
        <v>75</v>
      </c>
      <c r="V297" s="268" t="s">
        <v>1315</v>
      </c>
      <c r="W297" s="308" t="s">
        <v>1316</v>
      </c>
      <c r="X297" s="177" t="s">
        <v>1317</v>
      </c>
      <c r="Y297" s="257">
        <f>143874464.02-70555072.61-38000000</f>
        <v>35319391.410000011</v>
      </c>
      <c r="Z297" s="234"/>
      <c r="AA297" s="234"/>
      <c r="AB297" s="234"/>
      <c r="AC297" s="234"/>
      <c r="AD297" s="234"/>
      <c r="AE297" s="234"/>
      <c r="AF297" s="234"/>
      <c r="AG297" s="234"/>
      <c r="AH297" s="234"/>
      <c r="AI297" s="266"/>
      <c r="AJ297" s="234">
        <f>59838507.38-8822723.33-49193298.55</f>
        <v>1822485.5000000075</v>
      </c>
      <c r="AK297" s="251"/>
      <c r="AL297" s="251"/>
      <c r="AM297" s="218">
        <f>+Y297+Z297+AA297+AB297+AC297+AD297+AE297+AF297+AG297+AH297+AI297+AJ297+AK297</f>
        <v>37141876.910000019</v>
      </c>
      <c r="AN297" s="200" t="s">
        <v>1624</v>
      </c>
      <c r="AO297" s="188"/>
    </row>
    <row r="298" spans="1:41" s="26" customFormat="1" ht="97.5" customHeight="1" x14ac:dyDescent="0.2">
      <c r="A298" s="178">
        <v>320</v>
      </c>
      <c r="B298" s="256" t="s">
        <v>1596</v>
      </c>
      <c r="C298" s="178">
        <v>3</v>
      </c>
      <c r="D298" s="248" t="s">
        <v>1597</v>
      </c>
      <c r="E298" s="174">
        <v>40</v>
      </c>
      <c r="F298" s="177" t="s">
        <v>221</v>
      </c>
      <c r="G298" s="215">
        <v>4001</v>
      </c>
      <c r="H298" s="177" t="s">
        <v>222</v>
      </c>
      <c r="I298" s="215">
        <v>4001</v>
      </c>
      <c r="J298" s="177" t="s">
        <v>1569</v>
      </c>
      <c r="K298" s="177" t="s">
        <v>223</v>
      </c>
      <c r="L298" s="215">
        <v>4001030</v>
      </c>
      <c r="M298" s="177" t="s">
        <v>1325</v>
      </c>
      <c r="N298" s="215">
        <v>4001030</v>
      </c>
      <c r="O298" s="177" t="s">
        <v>1325</v>
      </c>
      <c r="P298" s="237" t="s">
        <v>1326</v>
      </c>
      <c r="Q298" s="256" t="s">
        <v>247</v>
      </c>
      <c r="R298" s="237" t="s">
        <v>1326</v>
      </c>
      <c r="S298" s="256" t="s">
        <v>247</v>
      </c>
      <c r="T298" s="191" t="s">
        <v>1637</v>
      </c>
      <c r="U298" s="52">
        <v>3</v>
      </c>
      <c r="V298" s="268" t="s">
        <v>1315</v>
      </c>
      <c r="W298" s="308" t="s">
        <v>1316</v>
      </c>
      <c r="X298" s="177" t="s">
        <v>1317</v>
      </c>
      <c r="Y298" s="257">
        <v>0</v>
      </c>
      <c r="Z298" s="234"/>
      <c r="AA298" s="234"/>
      <c r="AB298" s="234"/>
      <c r="AC298" s="234"/>
      <c r="AD298" s="234"/>
      <c r="AE298" s="234"/>
      <c r="AF298" s="234"/>
      <c r="AG298" s="234"/>
      <c r="AH298" s="234"/>
      <c r="AI298" s="259"/>
      <c r="AJ298" s="234">
        <v>9973084.5600000005</v>
      </c>
      <c r="AK298" s="251"/>
      <c r="AL298" s="251"/>
      <c r="AM298" s="218">
        <f>+Y298+Z298+AA298+AB298+AC298+AD298+AE298+AF298+AG298+AH298+AI298+AJ298+AK298</f>
        <v>9973084.5600000005</v>
      </c>
      <c r="AN298" s="200" t="s">
        <v>1624</v>
      </c>
      <c r="AO298" s="188"/>
    </row>
    <row r="299" spans="1:41" s="26" customFormat="1" ht="97.5" customHeight="1" x14ac:dyDescent="0.2">
      <c r="A299" s="178">
        <v>320</v>
      </c>
      <c r="B299" s="256" t="s">
        <v>1596</v>
      </c>
      <c r="C299" s="178">
        <v>3</v>
      </c>
      <c r="D299" s="248" t="s">
        <v>1597</v>
      </c>
      <c r="E299" s="174">
        <v>40</v>
      </c>
      <c r="F299" s="177" t="s">
        <v>221</v>
      </c>
      <c r="G299" s="215">
        <v>4001</v>
      </c>
      <c r="H299" s="177" t="s">
        <v>222</v>
      </c>
      <c r="I299" s="215">
        <v>4001</v>
      </c>
      <c r="J299" s="177" t="s">
        <v>1569</v>
      </c>
      <c r="K299" s="177" t="s">
        <v>223</v>
      </c>
      <c r="L299" s="215">
        <v>4001031</v>
      </c>
      <c r="M299" s="177" t="s">
        <v>1327</v>
      </c>
      <c r="N299" s="215">
        <v>4001031</v>
      </c>
      <c r="O299" s="177" t="s">
        <v>1327</v>
      </c>
      <c r="P299" s="237">
        <v>400103103</v>
      </c>
      <c r="Q299" s="177" t="s">
        <v>1328</v>
      </c>
      <c r="R299" s="237">
        <v>400103103</v>
      </c>
      <c r="S299" s="177" t="s">
        <v>1328</v>
      </c>
      <c r="T299" s="191" t="s">
        <v>1637</v>
      </c>
      <c r="U299" s="52">
        <v>8</v>
      </c>
      <c r="V299" s="268" t="s">
        <v>1315</v>
      </c>
      <c r="W299" s="308" t="s">
        <v>1316</v>
      </c>
      <c r="X299" s="177" t="s">
        <v>1317</v>
      </c>
      <c r="Y299" s="297">
        <f>99360196.46+60000000-27836408.05</f>
        <v>131523788.40999998</v>
      </c>
      <c r="Z299" s="234"/>
      <c r="AA299" s="234"/>
      <c r="AB299" s="234"/>
      <c r="AC299" s="234"/>
      <c r="AD299" s="234"/>
      <c r="AE299" s="234"/>
      <c r="AF299" s="234"/>
      <c r="AG299" s="234"/>
      <c r="AH299" s="234"/>
      <c r="AI299" s="259"/>
      <c r="AJ299" s="234">
        <f>598385073.6+110029114.38</f>
        <v>708414187.98000002</v>
      </c>
      <c r="AK299" s="251"/>
      <c r="AL299" s="251"/>
      <c r="AM299" s="218">
        <f>+Y299+Z299+AA299+AB299+AC299+AD299+AE299+AF299+AG299+AH299+AI299+AJ299+AK299</f>
        <v>839937976.38999999</v>
      </c>
      <c r="AN299" s="200" t="s">
        <v>1624</v>
      </c>
      <c r="AO299" s="188"/>
    </row>
    <row r="300" spans="1:41" s="26" customFormat="1" ht="97.5" customHeight="1" x14ac:dyDescent="0.2">
      <c r="A300" s="178">
        <v>320</v>
      </c>
      <c r="B300" s="256" t="s">
        <v>1596</v>
      </c>
      <c r="C300" s="178">
        <v>3</v>
      </c>
      <c r="D300" s="248" t="s">
        <v>1597</v>
      </c>
      <c r="E300" s="174">
        <v>40</v>
      </c>
      <c r="F300" s="177" t="s">
        <v>221</v>
      </c>
      <c r="G300" s="215">
        <v>4001</v>
      </c>
      <c r="H300" s="177" t="s">
        <v>222</v>
      </c>
      <c r="I300" s="215">
        <v>4001</v>
      </c>
      <c r="J300" s="177" t="s">
        <v>1569</v>
      </c>
      <c r="K300" s="177" t="s">
        <v>1318</v>
      </c>
      <c r="L300" s="215" t="s">
        <v>1329</v>
      </c>
      <c r="M300" s="177" t="s">
        <v>1330</v>
      </c>
      <c r="N300" s="215" t="s">
        <v>1329</v>
      </c>
      <c r="O300" s="177" t="s">
        <v>1330</v>
      </c>
      <c r="P300" s="237" t="s">
        <v>1331</v>
      </c>
      <c r="Q300" s="256" t="s">
        <v>1330</v>
      </c>
      <c r="R300" s="237" t="s">
        <v>1331</v>
      </c>
      <c r="S300" s="256" t="s">
        <v>1330</v>
      </c>
      <c r="T300" s="191" t="s">
        <v>1637</v>
      </c>
      <c r="U300" s="52">
        <v>35</v>
      </c>
      <c r="V300" s="268" t="s">
        <v>1315</v>
      </c>
      <c r="W300" s="308" t="s">
        <v>1316</v>
      </c>
      <c r="X300" s="177" t="s">
        <v>1317</v>
      </c>
      <c r="Y300" s="257">
        <f>71937232.01-57179838.22-14757393.79</f>
        <v>0</v>
      </c>
      <c r="Z300" s="234"/>
      <c r="AA300" s="234"/>
      <c r="AB300" s="234"/>
      <c r="AC300" s="234"/>
      <c r="AD300" s="234"/>
      <c r="AE300" s="234"/>
      <c r="AF300" s="234"/>
      <c r="AG300" s="234"/>
      <c r="AH300" s="234"/>
      <c r="AI300" s="259"/>
      <c r="AJ300" s="234">
        <f>29919253.68-27767253.39-2152000.29</f>
        <v>0</v>
      </c>
      <c r="AK300" s="251"/>
      <c r="AL300" s="251"/>
      <c r="AM300" s="218">
        <f>+Y300+Z300+AA300+AB300+AC300+AD300+AE300+AF300+AG300+AH300+AI300+AJ300+AK300</f>
        <v>0</v>
      </c>
      <c r="AN300" s="200" t="s">
        <v>1624</v>
      </c>
      <c r="AO300" s="188"/>
    </row>
    <row r="301" spans="1:41" s="26" customFormat="1" ht="97.5" customHeight="1" x14ac:dyDescent="0.2">
      <c r="A301" s="178">
        <v>320</v>
      </c>
      <c r="B301" s="256" t="s">
        <v>1596</v>
      </c>
      <c r="C301" s="178">
        <v>3</v>
      </c>
      <c r="D301" s="248" t="s">
        <v>1597</v>
      </c>
      <c r="E301" s="174">
        <v>40</v>
      </c>
      <c r="F301" s="177" t="s">
        <v>221</v>
      </c>
      <c r="G301" s="215">
        <v>4001</v>
      </c>
      <c r="H301" s="177" t="s">
        <v>222</v>
      </c>
      <c r="I301" s="215">
        <v>4001</v>
      </c>
      <c r="J301" s="177" t="s">
        <v>1569</v>
      </c>
      <c r="K301" s="177" t="s">
        <v>223</v>
      </c>
      <c r="L301" s="215" t="s">
        <v>1332</v>
      </c>
      <c r="M301" s="177" t="s">
        <v>226</v>
      </c>
      <c r="N301" s="215" t="s">
        <v>1332</v>
      </c>
      <c r="O301" s="177" t="s">
        <v>226</v>
      </c>
      <c r="P301" s="237">
        <v>400101500</v>
      </c>
      <c r="Q301" s="256" t="s">
        <v>226</v>
      </c>
      <c r="R301" s="237">
        <v>400101500</v>
      </c>
      <c r="S301" s="256" t="s">
        <v>226</v>
      </c>
      <c r="T301" s="191" t="s">
        <v>1637</v>
      </c>
      <c r="U301" s="174">
        <v>50</v>
      </c>
      <c r="V301" s="268" t="s">
        <v>1315</v>
      </c>
      <c r="W301" s="308" t="s">
        <v>1316</v>
      </c>
      <c r="X301" s="177" t="s">
        <v>1317</v>
      </c>
      <c r="Y301" s="257">
        <v>168342424.03999999</v>
      </c>
      <c r="Z301" s="234"/>
      <c r="AA301" s="234"/>
      <c r="AB301" s="234"/>
      <c r="AC301" s="234"/>
      <c r="AD301" s="234"/>
      <c r="AE301" s="234"/>
      <c r="AF301" s="234"/>
      <c r="AG301" s="234"/>
      <c r="AH301" s="234"/>
      <c r="AI301" s="259"/>
      <c r="AJ301" s="234"/>
      <c r="AK301" s="251"/>
      <c r="AL301" s="251"/>
      <c r="AM301" s="218">
        <f>+Y301+Z301+AA301+AB301+AC301+AD301+AE301+AF301+AG301+AH301+AI301+AJ301+AK301</f>
        <v>168342424.03999999</v>
      </c>
      <c r="AN301" s="200" t="s">
        <v>1624</v>
      </c>
      <c r="AO301" s="188"/>
    </row>
    <row r="302" spans="1:41" s="26" customFormat="1" ht="132.75" customHeight="1" x14ac:dyDescent="0.2">
      <c r="A302" s="178">
        <v>321</v>
      </c>
      <c r="B302" s="256" t="s">
        <v>1598</v>
      </c>
      <c r="C302" s="178">
        <v>3</v>
      </c>
      <c r="D302" s="248" t="s">
        <v>1597</v>
      </c>
      <c r="E302" s="174">
        <v>24</v>
      </c>
      <c r="F302" s="255" t="s">
        <v>187</v>
      </c>
      <c r="G302" s="178">
        <v>2409</v>
      </c>
      <c r="H302" s="256" t="s">
        <v>1334</v>
      </c>
      <c r="I302" s="178">
        <v>2409</v>
      </c>
      <c r="J302" s="256" t="s">
        <v>1557</v>
      </c>
      <c r="K302" s="256" t="s">
        <v>1335</v>
      </c>
      <c r="L302" s="52" t="s">
        <v>41</v>
      </c>
      <c r="M302" s="177" t="s">
        <v>1336</v>
      </c>
      <c r="N302" s="174">
        <v>2409009</v>
      </c>
      <c r="O302" s="177" t="s">
        <v>1337</v>
      </c>
      <c r="P302" s="52" t="s">
        <v>41</v>
      </c>
      <c r="Q302" s="256" t="s">
        <v>1338</v>
      </c>
      <c r="R302" s="174">
        <v>240900900</v>
      </c>
      <c r="S302" s="256" t="s">
        <v>1339</v>
      </c>
      <c r="T302" s="191" t="s">
        <v>1635</v>
      </c>
      <c r="U302" s="52">
        <v>1</v>
      </c>
      <c r="V302" s="268" t="s">
        <v>1340</v>
      </c>
      <c r="W302" s="308" t="s">
        <v>1341</v>
      </c>
      <c r="X302" s="177" t="s">
        <v>1342</v>
      </c>
      <c r="Y302" s="234"/>
      <c r="Z302" s="234"/>
      <c r="AA302" s="234"/>
      <c r="AB302" s="234"/>
      <c r="AC302" s="234"/>
      <c r="AD302" s="234"/>
      <c r="AE302" s="234"/>
      <c r="AF302" s="234"/>
      <c r="AG302" s="234"/>
      <c r="AH302" s="234"/>
      <c r="AI302" s="266"/>
      <c r="AJ302" s="266">
        <f>27192000+1300000</f>
        <v>28492000</v>
      </c>
      <c r="AK302" s="234"/>
      <c r="AL302" s="234"/>
      <c r="AM302" s="218">
        <f>+Y302+Z302+AA302+AB302+AC302+AD302+AE302+AF302+AG302+AH302+AI302+AJ302+AK302</f>
        <v>28492000</v>
      </c>
      <c r="AN302" s="200" t="s">
        <v>1639</v>
      </c>
      <c r="AO302" s="188"/>
    </row>
    <row r="303" spans="1:41" s="26" customFormat="1" ht="109.5" customHeight="1" x14ac:dyDescent="0.2">
      <c r="A303" s="178">
        <v>321</v>
      </c>
      <c r="B303" s="256" t="s">
        <v>1598</v>
      </c>
      <c r="C303" s="178">
        <v>3</v>
      </c>
      <c r="D303" s="248" t="s">
        <v>1597</v>
      </c>
      <c r="E303" s="174">
        <v>24</v>
      </c>
      <c r="F303" s="255" t="s">
        <v>187</v>
      </c>
      <c r="G303" s="178">
        <v>2409</v>
      </c>
      <c r="H303" s="256" t="s">
        <v>1334</v>
      </c>
      <c r="I303" s="178">
        <v>2409</v>
      </c>
      <c r="J303" s="256" t="s">
        <v>1557</v>
      </c>
      <c r="K303" s="256" t="s">
        <v>1335</v>
      </c>
      <c r="L303" s="52" t="s">
        <v>41</v>
      </c>
      <c r="M303" s="177" t="s">
        <v>1343</v>
      </c>
      <c r="N303" s="174">
        <v>2409022</v>
      </c>
      <c r="O303" s="177" t="s">
        <v>1344</v>
      </c>
      <c r="P303" s="52" t="s">
        <v>41</v>
      </c>
      <c r="Q303" s="256" t="s">
        <v>1345</v>
      </c>
      <c r="R303" s="174">
        <v>240902202</v>
      </c>
      <c r="S303" s="256" t="s">
        <v>1473</v>
      </c>
      <c r="T303" s="191" t="s">
        <v>1635</v>
      </c>
      <c r="U303" s="52">
        <v>1</v>
      </c>
      <c r="V303" s="268" t="s">
        <v>1340</v>
      </c>
      <c r="W303" s="308" t="s">
        <v>1341</v>
      </c>
      <c r="X303" s="177" t="s">
        <v>1342</v>
      </c>
      <c r="Y303" s="234"/>
      <c r="Z303" s="234"/>
      <c r="AA303" s="234"/>
      <c r="AB303" s="234"/>
      <c r="AC303" s="234"/>
      <c r="AD303" s="234"/>
      <c r="AE303" s="234"/>
      <c r="AF303" s="234"/>
      <c r="AG303" s="234"/>
      <c r="AH303" s="234"/>
      <c r="AI303" s="266"/>
      <c r="AJ303" s="266">
        <f>8652000+5250000</f>
        <v>13902000</v>
      </c>
      <c r="AK303" s="234"/>
      <c r="AL303" s="234"/>
      <c r="AM303" s="218">
        <f>+Y303+Z303+AA303+AB303+AC303+AD303+AE303+AF303+AG303+AH303+AI303+AJ303+AK303</f>
        <v>13902000</v>
      </c>
      <c r="AN303" s="200" t="s">
        <v>1639</v>
      </c>
      <c r="AO303" s="188"/>
    </row>
    <row r="304" spans="1:41" s="26" customFormat="1" ht="108.75" customHeight="1" x14ac:dyDescent="0.2">
      <c r="A304" s="178">
        <v>321</v>
      </c>
      <c r="B304" s="256" t="s">
        <v>1598</v>
      </c>
      <c r="C304" s="178">
        <v>3</v>
      </c>
      <c r="D304" s="248" t="s">
        <v>1597</v>
      </c>
      <c r="E304" s="174">
        <v>24</v>
      </c>
      <c r="F304" s="255" t="s">
        <v>187</v>
      </c>
      <c r="G304" s="178">
        <v>2409</v>
      </c>
      <c r="H304" s="256" t="s">
        <v>1334</v>
      </c>
      <c r="I304" s="178">
        <v>2409</v>
      </c>
      <c r="J304" s="256" t="s">
        <v>1557</v>
      </c>
      <c r="K304" s="256" t="s">
        <v>1335</v>
      </c>
      <c r="L304" s="52" t="s">
        <v>41</v>
      </c>
      <c r="M304" s="177" t="s">
        <v>1474</v>
      </c>
      <c r="N304" s="174">
        <v>2409014</v>
      </c>
      <c r="O304" s="177" t="s">
        <v>233</v>
      </c>
      <c r="P304" s="52" t="s">
        <v>41</v>
      </c>
      <c r="Q304" s="256" t="s">
        <v>1346</v>
      </c>
      <c r="R304" s="174">
        <v>240901400</v>
      </c>
      <c r="S304" s="256" t="s">
        <v>974</v>
      </c>
      <c r="T304" s="191" t="s">
        <v>1635</v>
      </c>
      <c r="U304" s="52">
        <v>1</v>
      </c>
      <c r="V304" s="268" t="s">
        <v>1340</v>
      </c>
      <c r="W304" s="308" t="s">
        <v>1341</v>
      </c>
      <c r="X304" s="177" t="s">
        <v>1342</v>
      </c>
      <c r="Y304" s="234"/>
      <c r="Z304" s="234"/>
      <c r="AA304" s="234"/>
      <c r="AB304" s="234"/>
      <c r="AC304" s="234"/>
      <c r="AD304" s="234"/>
      <c r="AE304" s="234"/>
      <c r="AF304" s="234"/>
      <c r="AG304" s="234"/>
      <c r="AH304" s="234"/>
      <c r="AI304" s="266"/>
      <c r="AJ304" s="266">
        <v>32076000</v>
      </c>
      <c r="AK304" s="234"/>
      <c r="AL304" s="234"/>
      <c r="AM304" s="218">
        <f>+Y304+Z304+AA304+AB304+AC304+AD304+AE304+AF304+AG304+AH304+AI304+AJ304+AK304</f>
        <v>32076000</v>
      </c>
      <c r="AN304" s="200" t="s">
        <v>1639</v>
      </c>
      <c r="AO304" s="188"/>
    </row>
    <row r="305" spans="1:79" s="26" customFormat="1" ht="132" customHeight="1" x14ac:dyDescent="0.2">
      <c r="A305" s="178">
        <v>321</v>
      </c>
      <c r="B305" s="256" t="s">
        <v>1598</v>
      </c>
      <c r="C305" s="178">
        <v>3</v>
      </c>
      <c r="D305" s="248" t="s">
        <v>1597</v>
      </c>
      <c r="E305" s="174">
        <v>24</v>
      </c>
      <c r="F305" s="255" t="s">
        <v>187</v>
      </c>
      <c r="G305" s="178">
        <v>2409</v>
      </c>
      <c r="H305" s="256" t="s">
        <v>1334</v>
      </c>
      <c r="I305" s="178">
        <v>2409</v>
      </c>
      <c r="J305" s="256" t="s">
        <v>1557</v>
      </c>
      <c r="K305" s="256" t="s">
        <v>1335</v>
      </c>
      <c r="L305" s="52" t="s">
        <v>41</v>
      </c>
      <c r="M305" s="177" t="s">
        <v>1347</v>
      </c>
      <c r="N305" s="174">
        <v>2409039</v>
      </c>
      <c r="O305" s="177" t="s">
        <v>1348</v>
      </c>
      <c r="P305" s="52" t="s">
        <v>41</v>
      </c>
      <c r="Q305" s="256" t="s">
        <v>1349</v>
      </c>
      <c r="R305" s="174">
        <v>240903905</v>
      </c>
      <c r="S305" s="256" t="s">
        <v>1350</v>
      </c>
      <c r="T305" s="191" t="s">
        <v>1635</v>
      </c>
      <c r="U305" s="52">
        <v>1</v>
      </c>
      <c r="V305" s="268" t="s">
        <v>1340</v>
      </c>
      <c r="W305" s="308" t="s">
        <v>1341</v>
      </c>
      <c r="X305" s="177" t="s">
        <v>1342</v>
      </c>
      <c r="Y305" s="234"/>
      <c r="Z305" s="234"/>
      <c r="AA305" s="234"/>
      <c r="AB305" s="234"/>
      <c r="AC305" s="234"/>
      <c r="AD305" s="234"/>
      <c r="AE305" s="234"/>
      <c r="AF305" s="234"/>
      <c r="AG305" s="234"/>
      <c r="AH305" s="234"/>
      <c r="AI305" s="266"/>
      <c r="AJ305" s="266">
        <f>48410000-12670000</f>
        <v>35740000</v>
      </c>
      <c r="AK305" s="234"/>
      <c r="AL305" s="234"/>
      <c r="AM305" s="218">
        <f>+Y305+Z305+AA305+AB305+AC305+AD305+AE305+AF305+AG305+AH305+AI305+AJ305+AK305</f>
        <v>35740000</v>
      </c>
      <c r="AN305" s="200" t="s">
        <v>1639</v>
      </c>
      <c r="AO305" s="188"/>
    </row>
    <row r="306" spans="1:79" s="75" customFormat="1" ht="33" customHeight="1" x14ac:dyDescent="0.25">
      <c r="A306" s="219" t="s">
        <v>1444</v>
      </c>
      <c r="B306" s="220"/>
      <c r="C306" s="221"/>
      <c r="D306" s="221"/>
      <c r="E306" s="221"/>
      <c r="F306" s="221"/>
      <c r="G306" s="222"/>
      <c r="H306" s="223"/>
      <c r="I306" s="223"/>
      <c r="J306" s="223"/>
      <c r="K306" s="224"/>
      <c r="L306" s="224"/>
      <c r="M306" s="224"/>
      <c r="N306" s="222"/>
      <c r="O306" s="224"/>
      <c r="P306" s="224"/>
      <c r="Q306" s="225"/>
      <c r="R306" s="226"/>
      <c r="S306" s="225"/>
      <c r="T306" s="223"/>
      <c r="U306" s="227"/>
      <c r="V306" s="228"/>
      <c r="W306" s="229"/>
      <c r="X306" s="229"/>
      <c r="Y306" s="230">
        <f>SUM(Y8:Y285)</f>
        <v>12833687966.630001</v>
      </c>
      <c r="Z306" s="230">
        <f t="shared" ref="Z306:AM306" si="0">SUM(Z8:Z285)</f>
        <v>4387879528.3299999</v>
      </c>
      <c r="AA306" s="230">
        <f t="shared" si="0"/>
        <v>56108067</v>
      </c>
      <c r="AB306" s="230">
        <f t="shared" si="0"/>
        <v>2375738582.6599998</v>
      </c>
      <c r="AC306" s="230">
        <f t="shared" si="0"/>
        <v>7620632943.1700001</v>
      </c>
      <c r="AD306" s="230">
        <f t="shared" si="0"/>
        <v>43392723005.519997</v>
      </c>
      <c r="AE306" s="230">
        <f t="shared" si="0"/>
        <v>137945793424.22</v>
      </c>
      <c r="AF306" s="230">
        <f t="shared" si="0"/>
        <v>28315024554</v>
      </c>
      <c r="AG306" s="230">
        <f t="shared" si="0"/>
        <v>12544566918.389999</v>
      </c>
      <c r="AH306" s="230">
        <f t="shared" si="0"/>
        <v>2895159641.6800003</v>
      </c>
      <c r="AI306" s="230">
        <f t="shared" si="0"/>
        <v>40207374655.399986</v>
      </c>
      <c r="AJ306" s="230">
        <f t="shared" si="0"/>
        <v>1146429972.01</v>
      </c>
      <c r="AK306" s="230">
        <f t="shared" si="0"/>
        <v>25113738287.240002</v>
      </c>
      <c r="AL306" s="230">
        <f t="shared" si="0"/>
        <v>655606585.65999997</v>
      </c>
      <c r="AM306" s="230">
        <f t="shared" si="0"/>
        <v>319490464131.9101</v>
      </c>
      <c r="AN306" s="231"/>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row>
    <row r="307" spans="1:79" s="78" customFormat="1" ht="33" customHeight="1" x14ac:dyDescent="0.25">
      <c r="A307" s="192" t="s">
        <v>1351</v>
      </c>
      <c r="B307" s="193"/>
      <c r="C307" s="89"/>
      <c r="D307" s="89"/>
      <c r="E307" s="89"/>
      <c r="F307" s="89"/>
      <c r="G307" s="90"/>
      <c r="H307" s="91"/>
      <c r="I307" s="91"/>
      <c r="J307" s="91"/>
      <c r="K307" s="92"/>
      <c r="L307" s="92"/>
      <c r="M307" s="92"/>
      <c r="N307" s="90"/>
      <c r="O307" s="92"/>
      <c r="P307" s="92"/>
      <c r="Q307" s="93"/>
      <c r="R307" s="95"/>
      <c r="S307" s="93"/>
      <c r="T307" s="91"/>
      <c r="U307" s="94"/>
      <c r="V307" s="88"/>
      <c r="W307" s="41"/>
      <c r="X307" s="41"/>
      <c r="Y307" s="76">
        <f>SUM(Y286:Y305)</f>
        <v>2742159298.9199996</v>
      </c>
      <c r="Z307" s="76">
        <f t="shared" ref="Z307:AM307" si="1">SUM(Z286:Z305)</f>
        <v>0</v>
      </c>
      <c r="AA307" s="76">
        <f t="shared" si="1"/>
        <v>0</v>
      </c>
      <c r="AB307" s="76">
        <f t="shared" si="1"/>
        <v>0</v>
      </c>
      <c r="AC307" s="76">
        <f t="shared" si="1"/>
        <v>0</v>
      </c>
      <c r="AD307" s="76">
        <f t="shared" si="1"/>
        <v>0</v>
      </c>
      <c r="AE307" s="76">
        <f t="shared" si="1"/>
        <v>0</v>
      </c>
      <c r="AF307" s="76">
        <f t="shared" si="1"/>
        <v>0</v>
      </c>
      <c r="AG307" s="76">
        <f t="shared" si="1"/>
        <v>0</v>
      </c>
      <c r="AH307" s="76">
        <f t="shared" si="1"/>
        <v>0</v>
      </c>
      <c r="AI307" s="76">
        <f t="shared" si="1"/>
        <v>1047130260.64</v>
      </c>
      <c r="AJ307" s="76">
        <f t="shared" si="1"/>
        <v>5663266581.4099998</v>
      </c>
      <c r="AK307" s="76">
        <f t="shared" si="1"/>
        <v>455357884</v>
      </c>
      <c r="AL307" s="76">
        <f t="shared" si="1"/>
        <v>0</v>
      </c>
      <c r="AM307" s="76">
        <f t="shared" si="1"/>
        <v>9907914024.9699993</v>
      </c>
      <c r="AN307" s="77"/>
      <c r="AO307" s="5"/>
      <c r="AP307" s="16"/>
      <c r="AQ307" s="16"/>
      <c r="AR307" s="16"/>
      <c r="AS307" s="16"/>
      <c r="AT307" s="16"/>
      <c r="AU307" s="16"/>
      <c r="AV307" s="16"/>
      <c r="AW307" s="16"/>
      <c r="AX307" s="16"/>
      <c r="AY307" s="16"/>
      <c r="AZ307" s="16"/>
      <c r="BA307" s="16"/>
      <c r="BB307" s="16"/>
      <c r="BC307" s="16"/>
      <c r="BD307" s="16"/>
      <c r="BE307" s="16"/>
      <c r="BF307" s="16"/>
      <c r="BG307" s="16"/>
      <c r="BH307" s="16"/>
      <c r="BI307" s="16"/>
      <c r="BJ307" s="16"/>
      <c r="BK307" s="16"/>
      <c r="BL307" s="16"/>
      <c r="BM307" s="16"/>
      <c r="BN307" s="16"/>
      <c r="BO307" s="16"/>
      <c r="BP307" s="16"/>
      <c r="BQ307" s="16"/>
      <c r="BR307" s="16"/>
      <c r="BS307" s="16"/>
      <c r="BT307" s="16"/>
      <c r="BU307" s="16"/>
      <c r="BV307" s="16"/>
      <c r="BW307" s="16"/>
      <c r="BX307" s="16"/>
      <c r="BY307" s="16"/>
      <c r="BZ307" s="16"/>
      <c r="CA307" s="16"/>
    </row>
    <row r="308" spans="1:79" ht="33" customHeight="1" x14ac:dyDescent="0.2">
      <c r="A308" s="36" t="s">
        <v>1640</v>
      </c>
      <c r="B308" s="81"/>
      <c r="C308" s="214"/>
      <c r="D308" s="214"/>
      <c r="E308" s="214"/>
      <c r="F308" s="214"/>
      <c r="G308" s="82"/>
      <c r="H308" s="83"/>
      <c r="I308" s="83"/>
      <c r="J308" s="83"/>
      <c r="K308" s="84"/>
      <c r="L308" s="84"/>
      <c r="M308" s="84"/>
      <c r="N308" s="82"/>
      <c r="O308" s="84"/>
      <c r="P308" s="84"/>
      <c r="Q308" s="85"/>
      <c r="R308" s="87"/>
      <c r="S308" s="85"/>
      <c r="T308" s="83"/>
      <c r="U308" s="86"/>
      <c r="V308" s="72"/>
      <c r="W308" s="37"/>
      <c r="X308" s="37"/>
      <c r="Y308" s="73">
        <f>Y306+Y307</f>
        <v>15575847265.550001</v>
      </c>
      <c r="Z308" s="73">
        <f t="shared" ref="Z308:AM308" si="2">Z306+Z307</f>
        <v>4387879528.3299999</v>
      </c>
      <c r="AA308" s="73">
        <f t="shared" si="2"/>
        <v>56108067</v>
      </c>
      <c r="AB308" s="73">
        <f t="shared" si="2"/>
        <v>2375738582.6599998</v>
      </c>
      <c r="AC308" s="73">
        <f t="shared" si="2"/>
        <v>7620632943.1700001</v>
      </c>
      <c r="AD308" s="73">
        <f t="shared" si="2"/>
        <v>43392723005.519997</v>
      </c>
      <c r="AE308" s="73">
        <f t="shared" si="2"/>
        <v>137945793424.22</v>
      </c>
      <c r="AF308" s="73">
        <f t="shared" si="2"/>
        <v>28315024554</v>
      </c>
      <c r="AG308" s="73">
        <f t="shared" si="2"/>
        <v>12544566918.389999</v>
      </c>
      <c r="AH308" s="73">
        <f t="shared" si="2"/>
        <v>2895159641.6800003</v>
      </c>
      <c r="AI308" s="73">
        <f t="shared" si="2"/>
        <v>41254504916.039986</v>
      </c>
      <c r="AJ308" s="73">
        <f t="shared" si="2"/>
        <v>6809696553.4200001</v>
      </c>
      <c r="AK308" s="73">
        <f t="shared" si="2"/>
        <v>25569096171.240002</v>
      </c>
      <c r="AL308" s="73">
        <f t="shared" si="2"/>
        <v>655606585.65999997</v>
      </c>
      <c r="AM308" s="73">
        <f t="shared" si="2"/>
        <v>329398378156.88007</v>
      </c>
      <c r="AN308" s="74"/>
    </row>
    <row r="309" spans="1:79" x14ac:dyDescent="0.2">
      <c r="AB309" s="2"/>
      <c r="AC309" s="2"/>
      <c r="AD309" s="2"/>
      <c r="AG309" s="2"/>
      <c r="AH309" s="2"/>
      <c r="AI309" s="2"/>
      <c r="AJ309" s="2"/>
      <c r="AK309" s="2"/>
      <c r="AL309" s="2"/>
    </row>
    <row r="310" spans="1:79" x14ac:dyDescent="0.2">
      <c r="AE310" s="1"/>
      <c r="AF310" s="1"/>
      <c r="AI310" s="1"/>
      <c r="AM310" s="1"/>
      <c r="AN310" s="1"/>
    </row>
    <row r="311" spans="1:79" ht="36" customHeight="1" x14ac:dyDescent="0.2">
      <c r="AM311" s="5"/>
    </row>
    <row r="313" spans="1:79" ht="42.75" customHeight="1" x14ac:dyDescent="0.2">
      <c r="Y313" s="329"/>
    </row>
    <row r="314" spans="1:79" x14ac:dyDescent="0.2">
      <c r="Y314" s="26"/>
      <c r="AL314" s="1">
        <f>AL257+AL312</f>
        <v>0</v>
      </c>
    </row>
  </sheetData>
  <mergeCells count="38">
    <mergeCell ref="W6:W7"/>
    <mergeCell ref="S6:S7"/>
    <mergeCell ref="U6:U7"/>
    <mergeCell ref="V6:V7"/>
    <mergeCell ref="AN6:AN7"/>
    <mergeCell ref="G5:K5"/>
    <mergeCell ref="K6:K7"/>
    <mergeCell ref="T5:U5"/>
    <mergeCell ref="T6:T7"/>
    <mergeCell ref="Y5:AL5"/>
    <mergeCell ref="L6:L7"/>
    <mergeCell ref="M6:M7"/>
    <mergeCell ref="N6:N7"/>
    <mergeCell ref="O6:O7"/>
    <mergeCell ref="P6:P7"/>
    <mergeCell ref="Q6:Q7"/>
    <mergeCell ref="R6:R7"/>
    <mergeCell ref="A5:B5"/>
    <mergeCell ref="A6:A7"/>
    <mergeCell ref="B6:B7"/>
    <mergeCell ref="I6:I7"/>
    <mergeCell ref="J6:J7"/>
    <mergeCell ref="C6:C7"/>
    <mergeCell ref="D6:D7"/>
    <mergeCell ref="E6:E7"/>
    <mergeCell ref="F6:F7"/>
    <mergeCell ref="G6:G7"/>
    <mergeCell ref="H6:H7"/>
    <mergeCell ref="C1:AL1"/>
    <mergeCell ref="C2:AL2"/>
    <mergeCell ref="C3:AL3"/>
    <mergeCell ref="C4:AL4"/>
    <mergeCell ref="X6:X7"/>
    <mergeCell ref="P5:S5"/>
    <mergeCell ref="V5:X5"/>
    <mergeCell ref="L5:O5"/>
    <mergeCell ref="C5:D5"/>
    <mergeCell ref="E5:F5"/>
  </mergeCells>
  <phoneticPr fontId="9" type="noConversion"/>
  <conditionalFormatting sqref="R201">
    <cfRule type="duplicateValues" dxfId="91" priority="74"/>
  </conditionalFormatting>
  <conditionalFormatting sqref="R209">
    <cfRule type="duplicateValues" dxfId="90" priority="72"/>
  </conditionalFormatting>
  <conditionalFormatting sqref="R209">
    <cfRule type="duplicateValues" dxfId="89" priority="73"/>
  </conditionalFormatting>
  <conditionalFormatting sqref="R216">
    <cfRule type="duplicateValues" dxfId="88" priority="70"/>
  </conditionalFormatting>
  <conditionalFormatting sqref="R216">
    <cfRule type="duplicateValues" dxfId="87" priority="71"/>
  </conditionalFormatting>
  <conditionalFormatting sqref="R73">
    <cfRule type="duplicateValues" dxfId="86" priority="68"/>
  </conditionalFormatting>
  <conditionalFormatting sqref="R90">
    <cfRule type="duplicateValues" dxfId="85" priority="67"/>
  </conditionalFormatting>
  <conditionalFormatting sqref="R91">
    <cfRule type="duplicateValues" dxfId="84" priority="66"/>
  </conditionalFormatting>
  <conditionalFormatting sqref="R191">
    <cfRule type="duplicateValues" dxfId="83" priority="64"/>
  </conditionalFormatting>
  <conditionalFormatting sqref="R191">
    <cfRule type="duplicateValues" dxfId="82" priority="65"/>
  </conditionalFormatting>
  <conditionalFormatting sqref="R93">
    <cfRule type="duplicateValues" dxfId="81" priority="63"/>
  </conditionalFormatting>
  <conditionalFormatting sqref="R94">
    <cfRule type="duplicateValues" dxfId="80" priority="59"/>
  </conditionalFormatting>
  <conditionalFormatting sqref="R94">
    <cfRule type="duplicateValues" dxfId="79" priority="60"/>
  </conditionalFormatting>
  <conditionalFormatting sqref="R94">
    <cfRule type="duplicateValues" dxfId="78" priority="61"/>
  </conditionalFormatting>
  <conditionalFormatting sqref="R98">
    <cfRule type="duplicateValues" dxfId="77" priority="57"/>
  </conditionalFormatting>
  <conditionalFormatting sqref="R98">
    <cfRule type="duplicateValues" dxfId="76" priority="58"/>
  </conditionalFormatting>
  <conditionalFormatting sqref="R99">
    <cfRule type="duplicateValues" dxfId="75" priority="55"/>
  </conditionalFormatting>
  <conditionalFormatting sqref="R99">
    <cfRule type="duplicateValues" dxfId="74" priority="56"/>
  </conditionalFormatting>
  <conditionalFormatting sqref="R100">
    <cfRule type="duplicateValues" dxfId="73" priority="52"/>
  </conditionalFormatting>
  <conditionalFormatting sqref="R100">
    <cfRule type="duplicateValues" dxfId="72" priority="53"/>
  </conditionalFormatting>
  <conditionalFormatting sqref="R105">
    <cfRule type="duplicateValues" dxfId="71" priority="50"/>
  </conditionalFormatting>
  <conditionalFormatting sqref="R105">
    <cfRule type="duplicateValues" dxfId="70" priority="51"/>
  </conditionalFormatting>
  <conditionalFormatting sqref="R106">
    <cfRule type="duplicateValues" dxfId="69" priority="48"/>
  </conditionalFormatting>
  <conditionalFormatting sqref="R106">
    <cfRule type="duplicateValues" dxfId="68" priority="49"/>
  </conditionalFormatting>
  <conditionalFormatting sqref="R107">
    <cfRule type="duplicateValues" dxfId="67" priority="46"/>
  </conditionalFormatting>
  <conditionalFormatting sqref="R107">
    <cfRule type="duplicateValues" dxfId="66" priority="47"/>
  </conditionalFormatting>
  <conditionalFormatting sqref="R108">
    <cfRule type="duplicateValues" dxfId="65" priority="44"/>
  </conditionalFormatting>
  <conditionalFormatting sqref="R108">
    <cfRule type="duplicateValues" dxfId="64" priority="45"/>
  </conditionalFormatting>
  <conditionalFormatting sqref="R217">
    <cfRule type="duplicateValues" dxfId="63" priority="42"/>
  </conditionalFormatting>
  <conditionalFormatting sqref="R217">
    <cfRule type="duplicateValues" dxfId="62" priority="43"/>
  </conditionalFormatting>
  <conditionalFormatting sqref="R92">
    <cfRule type="duplicateValues" dxfId="61" priority="75"/>
  </conditionalFormatting>
  <conditionalFormatting sqref="P73">
    <cfRule type="duplicateValues" dxfId="60" priority="31"/>
  </conditionalFormatting>
  <conditionalFormatting sqref="P90">
    <cfRule type="duplicateValues" dxfId="59" priority="30"/>
  </conditionalFormatting>
  <conditionalFormatting sqref="P91">
    <cfRule type="duplicateValues" dxfId="58" priority="29"/>
  </conditionalFormatting>
  <conditionalFormatting sqref="P92">
    <cfRule type="duplicateValues" dxfId="57" priority="28"/>
  </conditionalFormatting>
  <conditionalFormatting sqref="P93">
    <cfRule type="duplicateValues" dxfId="56" priority="27"/>
  </conditionalFormatting>
  <conditionalFormatting sqref="P94">
    <cfRule type="duplicateValues" dxfId="55" priority="24"/>
  </conditionalFormatting>
  <conditionalFormatting sqref="P94">
    <cfRule type="duplicateValues" dxfId="54" priority="25"/>
  </conditionalFormatting>
  <conditionalFormatting sqref="P94">
    <cfRule type="duplicateValues" dxfId="53" priority="26"/>
  </conditionalFormatting>
  <conditionalFormatting sqref="P98">
    <cfRule type="duplicateValues" dxfId="52" priority="22"/>
  </conditionalFormatting>
  <conditionalFormatting sqref="P98">
    <cfRule type="duplicateValues" dxfId="51" priority="23"/>
  </conditionalFormatting>
  <conditionalFormatting sqref="P99">
    <cfRule type="duplicateValues" dxfId="50" priority="20"/>
  </conditionalFormatting>
  <conditionalFormatting sqref="P99">
    <cfRule type="duplicateValues" dxfId="49" priority="21"/>
  </conditionalFormatting>
  <conditionalFormatting sqref="P100">
    <cfRule type="duplicateValues" dxfId="48" priority="18"/>
  </conditionalFormatting>
  <conditionalFormatting sqref="P100">
    <cfRule type="duplicateValues" dxfId="47" priority="19"/>
  </conditionalFormatting>
  <conditionalFormatting sqref="P105">
    <cfRule type="duplicateValues" dxfId="46" priority="16"/>
  </conditionalFormatting>
  <conditionalFormatting sqref="P105">
    <cfRule type="duplicateValues" dxfId="45" priority="17"/>
  </conditionalFormatting>
  <conditionalFormatting sqref="P106">
    <cfRule type="duplicateValues" dxfId="44" priority="14"/>
  </conditionalFormatting>
  <conditionalFormatting sqref="P106">
    <cfRule type="duplicateValues" dxfId="43" priority="15"/>
  </conditionalFormatting>
  <conditionalFormatting sqref="P107">
    <cfRule type="duplicateValues" dxfId="42" priority="12"/>
  </conditionalFormatting>
  <conditionalFormatting sqref="P107">
    <cfRule type="duplicateValues" dxfId="41" priority="13"/>
  </conditionalFormatting>
  <conditionalFormatting sqref="P108">
    <cfRule type="duplicateValues" dxfId="40" priority="10"/>
  </conditionalFormatting>
  <conditionalFormatting sqref="P108">
    <cfRule type="duplicateValues" dxfId="39" priority="11"/>
  </conditionalFormatting>
  <conditionalFormatting sqref="P191">
    <cfRule type="duplicateValues" dxfId="38" priority="8"/>
  </conditionalFormatting>
  <conditionalFormatting sqref="P191">
    <cfRule type="duplicateValues" dxfId="37" priority="9"/>
  </conditionalFormatting>
  <conditionalFormatting sqref="P201">
    <cfRule type="duplicateValues" dxfId="36" priority="7"/>
  </conditionalFormatting>
  <conditionalFormatting sqref="P209">
    <cfRule type="duplicateValues" dxfId="35" priority="5"/>
  </conditionalFormatting>
  <conditionalFormatting sqref="P209">
    <cfRule type="duplicateValues" dxfId="34" priority="6"/>
  </conditionalFormatting>
  <conditionalFormatting sqref="P216">
    <cfRule type="duplicateValues" dxfId="33" priority="3"/>
  </conditionalFormatting>
  <conditionalFormatting sqref="P216">
    <cfRule type="duplicateValues" dxfId="32" priority="4"/>
  </conditionalFormatting>
  <conditionalFormatting sqref="P217">
    <cfRule type="duplicateValues" dxfId="31" priority="1"/>
  </conditionalFormatting>
  <conditionalFormatting sqref="P217">
    <cfRule type="duplicateValues" dxfId="30" priority="2"/>
  </conditionalFormatting>
  <pageMargins left="0.7" right="0.7" top="0.75" bottom="0.75" header="0.3" footer="0.3"/>
  <pageSetup orientation="portrait" horizontalDpi="360" verticalDpi="360" r:id="rId1"/>
  <ignoredErrors>
    <ignoredError sqref="R35 R29 N29 N43 N44 R74 R75:R76 R77:R80 R81:R82 R90:R93 R100 R101:R102 R103 R104 R105:R106 R110:R111 R120 R121:R123 R124:R126 N198:N200 R199:R200 R44 R84 R98:R99 R95:R96" numberStoredAsText="1"/>
  </ignoredErrors>
  <drawing r:id="rId2"/>
  <legacyDrawing r:id="rId3"/>
  <controls>
    <mc:AlternateContent xmlns:mc="http://schemas.openxmlformats.org/markup-compatibility/2006">
      <mc:Choice Requires="x14">
        <control shapeId="1032" r:id="rId4" name="Control 8">
          <controlPr defaultSize="0" r:id="rId5">
            <anchor moveWithCells="1">
              <from>
                <xdr:col>37</xdr:col>
                <xdr:colOff>180975</xdr:colOff>
                <xdr:row>305</xdr:row>
                <xdr:rowOff>333375</xdr:rowOff>
              </from>
              <to>
                <xdr:col>37</xdr:col>
                <xdr:colOff>447675</xdr:colOff>
                <xdr:row>306</xdr:row>
                <xdr:rowOff>238125</xdr:rowOff>
              </to>
            </anchor>
          </controlPr>
        </control>
      </mc:Choice>
      <mc:Fallback>
        <control shapeId="1032" r:id="rId4" name="Control 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91"/>
  <sheetViews>
    <sheetView showGridLines="0" zoomScale="70" zoomScaleNormal="70" workbookViewId="0">
      <selection activeCell="D11" sqref="D11"/>
    </sheetView>
  </sheetViews>
  <sheetFormatPr baseColWidth="10" defaultColWidth="11.42578125" defaultRowHeight="15" x14ac:dyDescent="0.2"/>
  <cols>
    <col min="1" max="1" width="18.5703125" style="9" customWidth="1"/>
    <col min="2" max="2" width="13.85546875" style="9" customWidth="1"/>
    <col min="3" max="3" width="18.140625" style="9" customWidth="1"/>
    <col min="4" max="4" width="62.85546875" style="10" customWidth="1"/>
    <col min="5" max="5" width="34.42578125" style="10" customWidth="1"/>
    <col min="6" max="7" width="11.42578125" style="2"/>
    <col min="8" max="8" width="21.85546875" style="1" bestFit="1" customWidth="1"/>
    <col min="9" max="16384" width="11.42578125" style="1"/>
  </cols>
  <sheetData>
    <row r="1" spans="1:7" ht="26.25" customHeight="1" x14ac:dyDescent="0.2">
      <c r="A1" s="463" t="s">
        <v>1650</v>
      </c>
      <c r="B1" s="464"/>
      <c r="C1" s="464"/>
      <c r="D1" s="464"/>
      <c r="E1" s="465"/>
      <c r="F1" s="146"/>
    </row>
    <row r="2" spans="1:7" ht="26.25" customHeight="1" x14ac:dyDescent="0.2">
      <c r="A2" s="466"/>
      <c r="B2" s="467"/>
      <c r="C2" s="467"/>
      <c r="D2" s="467"/>
      <c r="E2" s="468"/>
      <c r="F2" s="146"/>
    </row>
    <row r="3" spans="1:7" ht="26.25" customHeight="1" x14ac:dyDescent="0.2">
      <c r="A3" s="469"/>
      <c r="B3" s="470"/>
      <c r="C3" s="470"/>
      <c r="D3" s="470"/>
      <c r="E3" s="471"/>
      <c r="F3" s="146"/>
    </row>
    <row r="4" spans="1:7" ht="24.75" customHeight="1" x14ac:dyDescent="0.2">
      <c r="A4" s="21"/>
      <c r="B4" s="22"/>
      <c r="C4" s="22"/>
      <c r="D4" s="22"/>
      <c r="E4" s="22"/>
    </row>
    <row r="5" spans="1:7" s="4" customFormat="1" ht="56.25" customHeight="1" x14ac:dyDescent="0.25">
      <c r="A5" s="472" t="s">
        <v>5</v>
      </c>
      <c r="B5" s="472" t="s">
        <v>6</v>
      </c>
      <c r="C5" s="474" t="s">
        <v>7</v>
      </c>
      <c r="D5" s="474"/>
      <c r="E5" s="431" t="s">
        <v>12</v>
      </c>
      <c r="F5" s="3"/>
      <c r="G5" s="3"/>
    </row>
    <row r="6" spans="1:7" ht="24" customHeight="1" x14ac:dyDescent="0.2">
      <c r="A6" s="473"/>
      <c r="B6" s="473"/>
      <c r="C6" s="475"/>
      <c r="D6" s="475"/>
      <c r="E6" s="72" t="s">
        <v>1607</v>
      </c>
    </row>
    <row r="7" spans="1:7" s="6" customFormat="1" ht="24" customHeight="1" x14ac:dyDescent="0.25">
      <c r="A7" s="32" t="s">
        <v>1661</v>
      </c>
      <c r="B7" s="340"/>
      <c r="C7" s="342"/>
      <c r="D7" s="343"/>
      <c r="E7" s="341">
        <f t="shared" ref="E7:E8" si="0">E8</f>
        <v>457524940</v>
      </c>
      <c r="F7" s="5"/>
      <c r="G7" s="5"/>
    </row>
    <row r="8" spans="1:7" s="6" customFormat="1" ht="24" customHeight="1" x14ac:dyDescent="0.25">
      <c r="A8" s="344">
        <v>4</v>
      </c>
      <c r="B8" s="345" t="s">
        <v>37</v>
      </c>
      <c r="C8" s="345"/>
      <c r="D8" s="345"/>
      <c r="E8" s="346">
        <f t="shared" si="0"/>
        <v>457524940</v>
      </c>
      <c r="F8" s="5"/>
      <c r="G8" s="5"/>
    </row>
    <row r="9" spans="1:7" ht="24" customHeight="1" x14ac:dyDescent="0.2">
      <c r="A9" s="139"/>
      <c r="B9" s="347">
        <v>45</v>
      </c>
      <c r="C9" s="348" t="s">
        <v>38</v>
      </c>
      <c r="D9" s="349"/>
      <c r="E9" s="350">
        <f>SUM(E10:E11)</f>
        <v>457524940</v>
      </c>
    </row>
    <row r="10" spans="1:7" ht="70.5" customHeight="1" x14ac:dyDescent="0.2">
      <c r="A10" s="150"/>
      <c r="B10" s="151"/>
      <c r="C10" s="152">
        <v>4599</v>
      </c>
      <c r="D10" s="149" t="s">
        <v>39</v>
      </c>
      <c r="E10" s="153">
        <f>SUM('SGTO POAI VIGENCIA 2021'!AM8:AM10)</f>
        <v>376981574</v>
      </c>
    </row>
    <row r="11" spans="1:7" ht="53.25" customHeight="1" x14ac:dyDescent="0.2">
      <c r="A11" s="154"/>
      <c r="B11" s="155"/>
      <c r="C11" s="156">
        <v>4502</v>
      </c>
      <c r="D11" s="157" t="s">
        <v>60</v>
      </c>
      <c r="E11" s="158">
        <f>'SGTO POAI VIGENCIA 2021'!AI11</f>
        <v>80543366</v>
      </c>
    </row>
    <row r="12" spans="1:7" s="30" customFormat="1" ht="15.75" x14ac:dyDescent="0.2">
      <c r="A12" s="138"/>
      <c r="B12" s="138"/>
      <c r="C12" s="138"/>
      <c r="D12" s="144"/>
      <c r="E12" s="144"/>
      <c r="F12" s="29"/>
      <c r="G12" s="29"/>
    </row>
    <row r="13" spans="1:7" s="6" customFormat="1" ht="24" customHeight="1" x14ac:dyDescent="0.25">
      <c r="A13" s="32" t="s">
        <v>69</v>
      </c>
      <c r="B13" s="340"/>
      <c r="C13" s="342"/>
      <c r="D13" s="343"/>
      <c r="E13" s="341">
        <f t="shared" ref="E13:E14" si="1">E14</f>
        <v>910965833</v>
      </c>
      <c r="F13" s="5"/>
      <c r="G13" s="5"/>
    </row>
    <row r="14" spans="1:7" ht="24" customHeight="1" x14ac:dyDescent="0.2">
      <c r="A14" s="36">
        <v>4</v>
      </c>
      <c r="B14" s="371" t="s">
        <v>37</v>
      </c>
      <c r="C14" s="372"/>
      <c r="D14" s="373"/>
      <c r="E14" s="374">
        <f t="shared" si="1"/>
        <v>910965833</v>
      </c>
    </row>
    <row r="15" spans="1:7" ht="24" customHeight="1" x14ac:dyDescent="0.2">
      <c r="A15" s="139"/>
      <c r="B15" s="347">
        <v>45</v>
      </c>
      <c r="C15" s="348" t="s">
        <v>38</v>
      </c>
      <c r="D15" s="349"/>
      <c r="E15" s="351">
        <f>SUM(E16:E17)</f>
        <v>910965833</v>
      </c>
    </row>
    <row r="16" spans="1:7" s="26" customFormat="1" ht="56.25" customHeight="1" x14ac:dyDescent="0.2">
      <c r="A16" s="159"/>
      <c r="B16" s="160"/>
      <c r="C16" s="152">
        <v>4502</v>
      </c>
      <c r="D16" s="149" t="s">
        <v>60</v>
      </c>
      <c r="E16" s="153">
        <f>'SGTO POAI VIGENCIA 2021'!AI12+'SGTO POAI VIGENCIA 2021'!AI13</f>
        <v>125525000</v>
      </c>
    </row>
    <row r="17" spans="1:7" s="26" customFormat="1" ht="56.25" customHeight="1" x14ac:dyDescent="0.2">
      <c r="A17" s="145"/>
      <c r="B17" s="161"/>
      <c r="C17" s="152">
        <v>4599</v>
      </c>
      <c r="D17" s="149" t="s">
        <v>39</v>
      </c>
      <c r="E17" s="153">
        <f>'SGTO POAI VIGENCIA 2021'!AI14+'SGTO POAI VIGENCIA 2021'!AI15+'SGTO POAI VIGENCIA 2021'!AI16+'SGTO POAI VIGENCIA 2021'!AI17+'SGTO POAI VIGENCIA 2021'!AI18+'SGTO POAI VIGENCIA 2021'!AI19+'SGTO POAI VIGENCIA 2021'!AI20+'SGTO POAI VIGENCIA 2021'!AI21+'SGTO POAI VIGENCIA 2021'!AI22+'SGTO POAI VIGENCIA 2021'!AI23</f>
        <v>785440833</v>
      </c>
    </row>
    <row r="18" spans="1:7" ht="18" customHeight="1" x14ac:dyDescent="0.2">
      <c r="A18" s="69"/>
      <c r="B18" s="69"/>
      <c r="C18" s="69"/>
      <c r="D18" s="70"/>
      <c r="E18" s="70"/>
    </row>
    <row r="19" spans="1:7" ht="24" customHeight="1" x14ac:dyDescent="0.2">
      <c r="A19" s="32" t="s">
        <v>1354</v>
      </c>
      <c r="B19" s="340"/>
      <c r="C19" s="342"/>
      <c r="D19" s="343"/>
      <c r="E19" s="341">
        <f>E20</f>
        <v>2801625342.8400002</v>
      </c>
    </row>
    <row r="20" spans="1:7" ht="24" customHeight="1" x14ac:dyDescent="0.2">
      <c r="A20" s="375">
        <v>4</v>
      </c>
      <c r="B20" s="345" t="s">
        <v>37</v>
      </c>
      <c r="C20" s="345"/>
      <c r="D20" s="345"/>
      <c r="E20" s="346">
        <f>E21</f>
        <v>2801625342.8400002</v>
      </c>
    </row>
    <row r="21" spans="1:7" ht="24" customHeight="1" x14ac:dyDescent="0.2">
      <c r="A21" s="139"/>
      <c r="B21" s="347">
        <v>45</v>
      </c>
      <c r="C21" s="348" t="s">
        <v>38</v>
      </c>
      <c r="D21" s="349"/>
      <c r="E21" s="350">
        <f>E22</f>
        <v>2801625342.8400002</v>
      </c>
    </row>
    <row r="22" spans="1:7" ht="70.5" customHeight="1" x14ac:dyDescent="0.2">
      <c r="A22" s="155"/>
      <c r="B22" s="162"/>
      <c r="C22" s="39">
        <v>4599</v>
      </c>
      <c r="D22" s="149" t="s">
        <v>39</v>
      </c>
      <c r="E22" s="153">
        <f>'SGTO POAI VIGENCIA 2021'!AM24+'SGTO POAI VIGENCIA 2021'!AM25</f>
        <v>2801625342.8400002</v>
      </c>
    </row>
    <row r="23" spans="1:7" s="7" customFormat="1" x14ac:dyDescent="0.2">
      <c r="A23" s="69"/>
      <c r="B23" s="69"/>
      <c r="C23" s="69"/>
      <c r="D23" s="70"/>
      <c r="E23" s="135"/>
      <c r="F23" s="14"/>
      <c r="G23" s="14"/>
    </row>
    <row r="24" spans="1:7" ht="24" customHeight="1" x14ac:dyDescent="0.2">
      <c r="A24" s="32" t="s">
        <v>135</v>
      </c>
      <c r="B24" s="340"/>
      <c r="C24" s="342"/>
      <c r="D24" s="343"/>
      <c r="E24" s="341">
        <f>E25+E39+E47+E36</f>
        <v>19845352105.279999</v>
      </c>
    </row>
    <row r="25" spans="1:7" ht="24" customHeight="1" x14ac:dyDescent="0.2">
      <c r="A25" s="375">
        <v>1</v>
      </c>
      <c r="B25" s="345" t="s">
        <v>1591</v>
      </c>
      <c r="C25" s="375"/>
      <c r="D25" s="345"/>
      <c r="E25" s="346">
        <f>E26+E28+E30+E32+E34</f>
        <v>5121480408.5</v>
      </c>
    </row>
    <row r="26" spans="1:7" ht="24" customHeight="1" x14ac:dyDescent="0.2">
      <c r="A26" s="139"/>
      <c r="B26" s="352">
        <v>12</v>
      </c>
      <c r="C26" s="348" t="s">
        <v>137</v>
      </c>
      <c r="D26" s="349"/>
      <c r="E26" s="350">
        <f>E27</f>
        <v>24750000</v>
      </c>
    </row>
    <row r="27" spans="1:7" ht="61.5" customHeight="1" x14ac:dyDescent="0.2">
      <c r="A27" s="163"/>
      <c r="B27" s="162"/>
      <c r="C27" s="34">
        <v>1202</v>
      </c>
      <c r="D27" s="149" t="s">
        <v>138</v>
      </c>
      <c r="E27" s="153">
        <f>'SGTO POAI VIGENCIA 2021'!AM26</f>
        <v>24750000</v>
      </c>
    </row>
    <row r="28" spans="1:7" ht="24" customHeight="1" x14ac:dyDescent="0.2">
      <c r="A28" s="140"/>
      <c r="B28" s="352">
        <v>19</v>
      </c>
      <c r="C28" s="348" t="s">
        <v>147</v>
      </c>
      <c r="D28" s="349"/>
      <c r="E28" s="350">
        <f>E29</f>
        <v>459746979</v>
      </c>
    </row>
    <row r="29" spans="1:7" ht="55.5" customHeight="1" x14ac:dyDescent="0.2">
      <c r="A29" s="163"/>
      <c r="B29" s="162"/>
      <c r="C29" s="34">
        <v>1906</v>
      </c>
      <c r="D29" s="149" t="s">
        <v>148</v>
      </c>
      <c r="E29" s="153">
        <f>'SGTO POAI VIGENCIA 2021'!AM27</f>
        <v>459746979</v>
      </c>
    </row>
    <row r="30" spans="1:7" ht="24" customHeight="1" x14ac:dyDescent="0.2">
      <c r="A30" s="140"/>
      <c r="B30" s="352">
        <v>22</v>
      </c>
      <c r="C30" s="353" t="s">
        <v>156</v>
      </c>
      <c r="D30" s="354"/>
      <c r="E30" s="350">
        <f>E31</f>
        <v>1765974462.4000001</v>
      </c>
    </row>
    <row r="31" spans="1:7" ht="80.25" customHeight="1" x14ac:dyDescent="0.2">
      <c r="A31" s="163"/>
      <c r="B31" s="162"/>
      <c r="C31" s="34">
        <v>2201</v>
      </c>
      <c r="D31" s="149" t="s">
        <v>157</v>
      </c>
      <c r="E31" s="153">
        <f>'SGTO POAI VIGENCIA 2021'!AM28</f>
        <v>1765974462.4000001</v>
      </c>
    </row>
    <row r="32" spans="1:7" ht="24" customHeight="1" x14ac:dyDescent="0.2">
      <c r="A32" s="140"/>
      <c r="B32" s="352">
        <v>33</v>
      </c>
      <c r="C32" s="353" t="s">
        <v>166</v>
      </c>
      <c r="D32" s="354"/>
      <c r="E32" s="350">
        <f>E33</f>
        <v>110104790</v>
      </c>
    </row>
    <row r="33" spans="1:7" ht="63" customHeight="1" x14ac:dyDescent="0.2">
      <c r="A33" s="163"/>
      <c r="B33" s="162"/>
      <c r="C33" s="34">
        <v>3301</v>
      </c>
      <c r="D33" s="149" t="s">
        <v>167</v>
      </c>
      <c r="E33" s="153">
        <f>'SGTO POAI VIGENCIA 2021'!AM29</f>
        <v>110104790</v>
      </c>
    </row>
    <row r="34" spans="1:7" ht="24" customHeight="1" x14ac:dyDescent="0.2">
      <c r="A34" s="140"/>
      <c r="B34" s="352">
        <v>43</v>
      </c>
      <c r="C34" s="348" t="s">
        <v>176</v>
      </c>
      <c r="D34" s="348"/>
      <c r="E34" s="350">
        <f>E35</f>
        <v>2760904177.1000004</v>
      </c>
    </row>
    <row r="35" spans="1:7" ht="65.25" customHeight="1" x14ac:dyDescent="0.2">
      <c r="A35" s="155"/>
      <c r="B35" s="162"/>
      <c r="C35" s="34">
        <v>4301</v>
      </c>
      <c r="D35" s="149" t="s">
        <v>177</v>
      </c>
      <c r="E35" s="153">
        <f>'SGTO POAI VIGENCIA 2021'!AM30</f>
        <v>2760904177.1000004</v>
      </c>
      <c r="F35" s="1"/>
      <c r="G35" s="1"/>
    </row>
    <row r="36" spans="1:7" ht="30" customHeight="1" x14ac:dyDescent="0.2">
      <c r="A36" s="381">
        <v>2</v>
      </c>
      <c r="B36" s="36" t="s">
        <v>400</v>
      </c>
      <c r="C36" s="345"/>
      <c r="D36" s="345"/>
      <c r="E36" s="346">
        <f t="shared" ref="E36:E37" si="2">E37</f>
        <v>1</v>
      </c>
      <c r="F36" s="1"/>
      <c r="G36" s="1"/>
    </row>
    <row r="37" spans="1:7" ht="27.75" customHeight="1" x14ac:dyDescent="0.2">
      <c r="A37" s="38"/>
      <c r="B37" s="355">
        <v>35</v>
      </c>
      <c r="C37" s="348" t="s">
        <v>401</v>
      </c>
      <c r="D37" s="354"/>
      <c r="E37" s="350">
        <f t="shared" si="2"/>
        <v>1</v>
      </c>
      <c r="F37" s="1"/>
      <c r="G37" s="1"/>
    </row>
    <row r="38" spans="1:7" ht="65.25" customHeight="1" x14ac:dyDescent="0.2">
      <c r="A38" s="147"/>
      <c r="B38" s="147"/>
      <c r="C38" s="34">
        <v>3502</v>
      </c>
      <c r="D38" s="203" t="s">
        <v>1643</v>
      </c>
      <c r="E38" s="153">
        <f>'SGTO POAI VIGENCIA 2021'!AM31</f>
        <v>1</v>
      </c>
      <c r="F38" s="1"/>
      <c r="G38" s="1"/>
    </row>
    <row r="39" spans="1:7" ht="24" customHeight="1" x14ac:dyDescent="0.2">
      <c r="A39" s="381">
        <v>3</v>
      </c>
      <c r="B39" s="36" t="s">
        <v>186</v>
      </c>
      <c r="C39" s="345"/>
      <c r="D39" s="345"/>
      <c r="E39" s="346">
        <f>E40+E42+E44</f>
        <v>14473875296.780001</v>
      </c>
      <c r="F39" s="1"/>
      <c r="G39" s="1"/>
    </row>
    <row r="40" spans="1:7" ht="24" customHeight="1" x14ac:dyDescent="0.2">
      <c r="A40" s="38"/>
      <c r="B40" s="355">
        <v>24</v>
      </c>
      <c r="C40" s="356" t="s">
        <v>187</v>
      </c>
      <c r="D40" s="354"/>
      <c r="E40" s="350">
        <f>E41</f>
        <v>8590607588</v>
      </c>
    </row>
    <row r="41" spans="1:7" ht="59.25" customHeight="1" x14ac:dyDescent="0.2">
      <c r="A41" s="147"/>
      <c r="B41" s="147"/>
      <c r="C41" s="34">
        <v>2402</v>
      </c>
      <c r="D41" s="149" t="s">
        <v>188</v>
      </c>
      <c r="E41" s="153">
        <f>SUM('SGTO POAI VIGENCIA 2021'!AM32:AM34)</f>
        <v>8590607588</v>
      </c>
      <c r="F41" s="1"/>
      <c r="G41" s="1"/>
    </row>
    <row r="42" spans="1:7" ht="24" customHeight="1" x14ac:dyDescent="0.2">
      <c r="A42" s="38"/>
      <c r="B42" s="357">
        <v>32</v>
      </c>
      <c r="C42" s="348" t="s">
        <v>207</v>
      </c>
      <c r="D42" s="348"/>
      <c r="E42" s="350">
        <f>E43</f>
        <v>2263108067</v>
      </c>
    </row>
    <row r="43" spans="1:7" ht="54.75" customHeight="1" x14ac:dyDescent="0.2">
      <c r="A43" s="147"/>
      <c r="B43" s="147"/>
      <c r="C43" s="34">
        <v>3205</v>
      </c>
      <c r="D43" s="149" t="s">
        <v>208</v>
      </c>
      <c r="E43" s="153">
        <f>SUM('SGTO POAI VIGENCIA 2021'!AM35:AM36)</f>
        <v>2263108067</v>
      </c>
      <c r="F43" s="1"/>
      <c r="G43" s="1"/>
    </row>
    <row r="44" spans="1:7" ht="24" customHeight="1" x14ac:dyDescent="0.2">
      <c r="A44" s="38"/>
      <c r="B44" s="357">
        <v>40</v>
      </c>
      <c r="C44" s="348" t="s">
        <v>221</v>
      </c>
      <c r="D44" s="354"/>
      <c r="E44" s="350">
        <f>SUM(E45:E46)</f>
        <v>3620159641.7800002</v>
      </c>
    </row>
    <row r="45" spans="1:7" ht="48.75" customHeight="1" x14ac:dyDescent="0.2">
      <c r="A45" s="147"/>
      <c r="B45" s="147"/>
      <c r="C45" s="34">
        <v>4001</v>
      </c>
      <c r="D45" s="149" t="s">
        <v>222</v>
      </c>
      <c r="E45" s="153">
        <f>'SGTO POAI VIGENCIA 2021'!AM37</f>
        <v>120000000.09999999</v>
      </c>
      <c r="F45" s="1"/>
      <c r="G45" s="1"/>
    </row>
    <row r="46" spans="1:7" ht="59.25" customHeight="1" x14ac:dyDescent="0.2">
      <c r="A46" s="147"/>
      <c r="B46" s="147"/>
      <c r="C46" s="34">
        <v>4003</v>
      </c>
      <c r="D46" s="149" t="s">
        <v>230</v>
      </c>
      <c r="E46" s="153">
        <f>SUM('SGTO POAI VIGENCIA 2021'!AM38:AM43)</f>
        <v>3500159641.6800003</v>
      </c>
      <c r="F46" s="1"/>
      <c r="G46" s="1"/>
    </row>
    <row r="47" spans="1:7" ht="24" customHeight="1" x14ac:dyDescent="0.2">
      <c r="A47" s="380">
        <v>4</v>
      </c>
      <c r="B47" s="345" t="s">
        <v>37</v>
      </c>
      <c r="C47" s="345"/>
      <c r="D47" s="345"/>
      <c r="E47" s="346">
        <f>E48</f>
        <v>249996399</v>
      </c>
      <c r="F47" s="1"/>
      <c r="G47" s="1"/>
    </row>
    <row r="48" spans="1:7" ht="24" customHeight="1" x14ac:dyDescent="0.2">
      <c r="A48" s="38"/>
      <c r="B48" s="357">
        <v>45</v>
      </c>
      <c r="C48" s="348" t="s">
        <v>38</v>
      </c>
      <c r="D48" s="349"/>
      <c r="E48" s="350">
        <f>SUM(E49:E50)</f>
        <v>249996399</v>
      </c>
    </row>
    <row r="49" spans="1:7" ht="66" customHeight="1" x14ac:dyDescent="0.2">
      <c r="A49" s="147"/>
      <c r="B49" s="147"/>
      <c r="C49" s="34">
        <v>4599</v>
      </c>
      <c r="D49" s="149" t="s">
        <v>39</v>
      </c>
      <c r="E49" s="153">
        <f>'SGTO POAI VIGENCIA 2021'!AM44</f>
        <v>218394939</v>
      </c>
      <c r="F49" s="1"/>
      <c r="G49" s="1"/>
    </row>
    <row r="50" spans="1:7" ht="53.25" customHeight="1" x14ac:dyDescent="0.2">
      <c r="A50" s="147"/>
      <c r="B50" s="147"/>
      <c r="C50" s="34">
        <v>4502</v>
      </c>
      <c r="D50" s="149" t="s">
        <v>60</v>
      </c>
      <c r="E50" s="153">
        <f>'SGTO POAI VIGENCIA 2021'!AM45</f>
        <v>31601460</v>
      </c>
    </row>
    <row r="51" spans="1:7" s="7" customFormat="1" x14ac:dyDescent="0.2">
      <c r="A51" s="69"/>
      <c r="B51" s="69"/>
      <c r="C51" s="69"/>
      <c r="D51" s="70"/>
      <c r="E51" s="135"/>
      <c r="F51" s="14"/>
      <c r="G51" s="14"/>
    </row>
    <row r="52" spans="1:7" ht="24" customHeight="1" x14ac:dyDescent="0.2">
      <c r="A52" s="32" t="s">
        <v>261</v>
      </c>
      <c r="B52" s="340"/>
      <c r="C52" s="342"/>
      <c r="D52" s="343"/>
      <c r="E52" s="341">
        <f>E53+E65+E70</f>
        <v>6443722008.3299999</v>
      </c>
    </row>
    <row r="53" spans="1:7" ht="24" customHeight="1" x14ac:dyDescent="0.2">
      <c r="A53" s="379">
        <v>1</v>
      </c>
      <c r="B53" s="345" t="s">
        <v>136</v>
      </c>
      <c r="C53" s="345"/>
      <c r="D53" s="345"/>
      <c r="E53" s="346">
        <f>E54+E58+E60+E63</f>
        <v>5280930171.3299999</v>
      </c>
    </row>
    <row r="54" spans="1:7" ht="24" customHeight="1" x14ac:dyDescent="0.2">
      <c r="A54" s="141"/>
      <c r="B54" s="347">
        <v>12</v>
      </c>
      <c r="C54" s="348" t="s">
        <v>137</v>
      </c>
      <c r="D54" s="348"/>
      <c r="E54" s="350">
        <f>SUM(E55:E57)</f>
        <v>232578401</v>
      </c>
    </row>
    <row r="55" spans="1:7" ht="34.5" customHeight="1" x14ac:dyDescent="0.2">
      <c r="A55" s="164"/>
      <c r="B55" s="151"/>
      <c r="C55" s="49">
        <v>1202</v>
      </c>
      <c r="D55" s="149" t="s">
        <v>138</v>
      </c>
      <c r="E55" s="153">
        <f>'SGTO POAI VIGENCIA 2021'!AM46</f>
        <v>135355000</v>
      </c>
    </row>
    <row r="56" spans="1:7" ht="36.75" customHeight="1" x14ac:dyDescent="0.2">
      <c r="A56" s="164"/>
      <c r="B56" s="163"/>
      <c r="C56" s="49">
        <v>1203</v>
      </c>
      <c r="D56" s="149" t="s">
        <v>265</v>
      </c>
      <c r="E56" s="153">
        <f>'SGTO POAI VIGENCIA 2021'!AM47</f>
        <v>67223401</v>
      </c>
    </row>
    <row r="57" spans="1:7" ht="60" customHeight="1" x14ac:dyDescent="0.2">
      <c r="A57" s="164"/>
      <c r="B57" s="155"/>
      <c r="C57" s="49">
        <v>1206</v>
      </c>
      <c r="D57" s="149" t="s">
        <v>271</v>
      </c>
      <c r="E57" s="153">
        <f>'SGTO POAI VIGENCIA 2021'!AM48</f>
        <v>30000000</v>
      </c>
    </row>
    <row r="58" spans="1:7" ht="24" customHeight="1" x14ac:dyDescent="0.2">
      <c r="A58" s="142"/>
      <c r="B58" s="358">
        <v>22</v>
      </c>
      <c r="C58" s="353" t="s">
        <v>156</v>
      </c>
      <c r="D58" s="354"/>
      <c r="E58" s="350">
        <f>E59</f>
        <v>74287500</v>
      </c>
    </row>
    <row r="59" spans="1:7" ht="62.25" customHeight="1" x14ac:dyDescent="0.2">
      <c r="A59" s="165"/>
      <c r="B59" s="162"/>
      <c r="C59" s="34">
        <v>2201</v>
      </c>
      <c r="D59" s="149" t="s">
        <v>277</v>
      </c>
      <c r="E59" s="153">
        <f>'SGTO POAI VIGENCIA 2021'!AM49</f>
        <v>74287500</v>
      </c>
    </row>
    <row r="60" spans="1:7" ht="24" customHeight="1" x14ac:dyDescent="0.2">
      <c r="A60" s="166"/>
      <c r="B60" s="347">
        <v>41</v>
      </c>
      <c r="C60" s="348" t="s">
        <v>284</v>
      </c>
      <c r="D60" s="359"/>
      <c r="E60" s="360">
        <f>SUM(E61:E62)</f>
        <v>536684742</v>
      </c>
    </row>
    <row r="61" spans="1:7" ht="44.25" customHeight="1" x14ac:dyDescent="0.2">
      <c r="A61" s="164"/>
      <c r="B61" s="151"/>
      <c r="C61" s="49">
        <v>4101</v>
      </c>
      <c r="D61" s="149" t="s">
        <v>285</v>
      </c>
      <c r="E61" s="153">
        <f>SUM('SGTO POAI VIGENCIA 2021'!AM50:AM54)</f>
        <v>502657113</v>
      </c>
    </row>
    <row r="62" spans="1:7" ht="57" customHeight="1" x14ac:dyDescent="0.2">
      <c r="A62" s="164"/>
      <c r="B62" s="155"/>
      <c r="C62" s="49">
        <v>4103</v>
      </c>
      <c r="D62" s="149" t="s">
        <v>302</v>
      </c>
      <c r="E62" s="153">
        <f>'SGTO POAI VIGENCIA 2021'!AM55</f>
        <v>34027629</v>
      </c>
      <c r="F62" s="1"/>
      <c r="G62" s="1"/>
    </row>
    <row r="63" spans="1:7" ht="24" customHeight="1" x14ac:dyDescent="0.2">
      <c r="A63" s="142"/>
      <c r="B63" s="358">
        <v>45</v>
      </c>
      <c r="C63" s="348" t="s">
        <v>38</v>
      </c>
      <c r="D63" s="349"/>
      <c r="E63" s="350">
        <f>E64</f>
        <v>4437379528.3299999</v>
      </c>
    </row>
    <row r="64" spans="1:7" ht="53.25" customHeight="1" x14ac:dyDescent="0.2">
      <c r="A64" s="167"/>
      <c r="B64" s="162"/>
      <c r="C64" s="34">
        <v>4501</v>
      </c>
      <c r="D64" s="149" t="s">
        <v>311</v>
      </c>
      <c r="E64" s="153">
        <f>SUM('SGTO POAI VIGENCIA 2021'!AM56:AM57)</f>
        <v>4437379528.3299999</v>
      </c>
      <c r="F64" s="1"/>
      <c r="G64" s="1"/>
    </row>
    <row r="65" spans="1:7" ht="24" customHeight="1" x14ac:dyDescent="0.2">
      <c r="A65" s="344">
        <v>3</v>
      </c>
      <c r="B65" s="345" t="s">
        <v>186</v>
      </c>
      <c r="C65" s="345"/>
      <c r="D65" s="345"/>
      <c r="E65" s="346">
        <f>E66+E68</f>
        <v>772165104</v>
      </c>
      <c r="F65" s="1"/>
      <c r="G65" s="1"/>
    </row>
    <row r="66" spans="1:7" ht="24" customHeight="1" x14ac:dyDescent="0.2">
      <c r="A66" s="139"/>
      <c r="B66" s="352">
        <v>32</v>
      </c>
      <c r="C66" s="348" t="s">
        <v>207</v>
      </c>
      <c r="D66" s="348"/>
      <c r="E66" s="350">
        <f>E67</f>
        <v>243850000</v>
      </c>
    </row>
    <row r="67" spans="1:7" s="26" customFormat="1" ht="46.5" customHeight="1" x14ac:dyDescent="0.2">
      <c r="A67" s="159"/>
      <c r="B67" s="49"/>
      <c r="C67" s="34">
        <v>3205</v>
      </c>
      <c r="D67" s="149" t="s">
        <v>208</v>
      </c>
      <c r="E67" s="153">
        <f>'SGTO POAI VIGENCIA 2021'!AM58</f>
        <v>243850000</v>
      </c>
    </row>
    <row r="68" spans="1:7" ht="24" customHeight="1" x14ac:dyDescent="0.2">
      <c r="A68" s="140"/>
      <c r="B68" s="352">
        <v>45</v>
      </c>
      <c r="C68" s="348" t="s">
        <v>38</v>
      </c>
      <c r="D68" s="349"/>
      <c r="E68" s="350">
        <f>E69</f>
        <v>528315104</v>
      </c>
    </row>
    <row r="69" spans="1:7" s="26" customFormat="1" ht="44.25" customHeight="1" x14ac:dyDescent="0.2">
      <c r="A69" s="145"/>
      <c r="B69" s="49"/>
      <c r="C69" s="34">
        <v>4503</v>
      </c>
      <c r="D69" s="149" t="s">
        <v>1461</v>
      </c>
      <c r="E69" s="153">
        <f>SUM('SGTO POAI VIGENCIA 2021'!AM59:AM61)</f>
        <v>528315104</v>
      </c>
    </row>
    <row r="70" spans="1:7" ht="24" customHeight="1" x14ac:dyDescent="0.2">
      <c r="A70" s="344">
        <v>4</v>
      </c>
      <c r="B70" s="345" t="s">
        <v>37</v>
      </c>
      <c r="C70" s="345"/>
      <c r="D70" s="378"/>
      <c r="E70" s="346">
        <f t="shared" ref="E70:E71" si="3">E71</f>
        <v>390626733</v>
      </c>
      <c r="F70" s="1"/>
      <c r="G70" s="1"/>
    </row>
    <row r="71" spans="1:7" ht="24" customHeight="1" x14ac:dyDescent="0.2">
      <c r="A71" s="139"/>
      <c r="B71" s="352">
        <v>45</v>
      </c>
      <c r="C71" s="348" t="s">
        <v>38</v>
      </c>
      <c r="D71" s="361"/>
      <c r="E71" s="350">
        <f t="shared" si="3"/>
        <v>390626733</v>
      </c>
    </row>
    <row r="72" spans="1:7" s="26" customFormat="1" ht="54.75" customHeight="1" x14ac:dyDescent="0.2">
      <c r="A72" s="145"/>
      <c r="B72" s="49"/>
      <c r="C72" s="34">
        <v>4502</v>
      </c>
      <c r="D72" s="149" t="s">
        <v>60</v>
      </c>
      <c r="E72" s="96">
        <f>SUM('SGTO POAI VIGENCIA 2021'!AM62:AM66)</f>
        <v>390626733</v>
      </c>
    </row>
    <row r="73" spans="1:7" s="7" customFormat="1" x14ac:dyDescent="0.2">
      <c r="A73" s="69"/>
      <c r="B73" s="69"/>
      <c r="C73" s="69"/>
      <c r="D73" s="70"/>
      <c r="E73" s="135"/>
      <c r="F73" s="14"/>
      <c r="G73" s="14"/>
    </row>
    <row r="74" spans="1:7" ht="24" customHeight="1" x14ac:dyDescent="0.2">
      <c r="A74" s="32" t="s">
        <v>359</v>
      </c>
      <c r="B74" s="340"/>
      <c r="C74" s="342"/>
      <c r="D74" s="343"/>
      <c r="E74" s="341">
        <f>E75</f>
        <v>3988607319.3199997</v>
      </c>
      <c r="F74" s="1"/>
      <c r="G74" s="1"/>
    </row>
    <row r="75" spans="1:7" ht="24" customHeight="1" x14ac:dyDescent="0.2">
      <c r="A75" s="375">
        <v>1</v>
      </c>
      <c r="B75" s="345" t="s">
        <v>136</v>
      </c>
      <c r="C75" s="345"/>
      <c r="D75" s="345"/>
      <c r="E75" s="346">
        <f t="shared" ref="E75" si="4">E76</f>
        <v>3988607319.3199997</v>
      </c>
      <c r="F75" s="1"/>
      <c r="G75" s="1"/>
    </row>
    <row r="76" spans="1:7" ht="24" customHeight="1" x14ac:dyDescent="0.2">
      <c r="A76" s="139"/>
      <c r="B76" s="347">
        <v>33</v>
      </c>
      <c r="C76" s="353" t="s">
        <v>166</v>
      </c>
      <c r="D76" s="354"/>
      <c r="E76" s="350">
        <f>SUM(E77:E78)</f>
        <v>3988607319.3199997</v>
      </c>
    </row>
    <row r="77" spans="1:7" s="26" customFormat="1" ht="46.5" customHeight="1" x14ac:dyDescent="0.2">
      <c r="A77" s="168"/>
      <c r="B77" s="169"/>
      <c r="C77" s="49">
        <v>3301</v>
      </c>
      <c r="D77" s="149" t="s">
        <v>167</v>
      </c>
      <c r="E77" s="153">
        <f>SUM('SGTO POAI VIGENCIA 2021'!AM67:AM74)</f>
        <v>3714409083.0199995</v>
      </c>
    </row>
    <row r="78" spans="1:7" s="26" customFormat="1" ht="51" customHeight="1" x14ac:dyDescent="0.2">
      <c r="A78" s="170"/>
      <c r="B78" s="145"/>
      <c r="C78" s="49">
        <v>3302</v>
      </c>
      <c r="D78" s="149" t="s">
        <v>389</v>
      </c>
      <c r="E78" s="96">
        <f>SUM('SGTO POAI VIGENCIA 2021'!AM75:AM76)</f>
        <v>274198236.30000001</v>
      </c>
    </row>
    <row r="79" spans="1:7" s="7" customFormat="1" x14ac:dyDescent="0.2">
      <c r="A79" s="69"/>
      <c r="B79" s="69"/>
      <c r="C79" s="69"/>
      <c r="D79" s="70"/>
      <c r="E79" s="135"/>
      <c r="F79" s="14"/>
      <c r="G79" s="14"/>
    </row>
    <row r="80" spans="1:7" ht="24" customHeight="1" x14ac:dyDescent="0.2">
      <c r="A80" s="32" t="s">
        <v>399</v>
      </c>
      <c r="B80" s="340"/>
      <c r="C80" s="342"/>
      <c r="D80" s="343"/>
      <c r="E80" s="341">
        <f>E81</f>
        <v>3556587709.6100001</v>
      </c>
      <c r="F80" s="1"/>
      <c r="G80" s="1"/>
    </row>
    <row r="81" spans="1:7" ht="24" customHeight="1" x14ac:dyDescent="0.2">
      <c r="A81" s="377">
        <v>2</v>
      </c>
      <c r="B81" s="345" t="s">
        <v>400</v>
      </c>
      <c r="C81" s="345"/>
      <c r="D81" s="345"/>
      <c r="E81" s="346">
        <f>E82+E84</f>
        <v>3556587709.6100001</v>
      </c>
      <c r="F81" s="1"/>
      <c r="G81" s="1"/>
    </row>
    <row r="82" spans="1:7" ht="24" customHeight="1" x14ac:dyDescent="0.2">
      <c r="A82" s="139"/>
      <c r="B82" s="352">
        <v>35</v>
      </c>
      <c r="C82" s="348" t="s">
        <v>401</v>
      </c>
      <c r="D82" s="349"/>
      <c r="E82" s="350">
        <f>E83</f>
        <v>3319087709.6100001</v>
      </c>
    </row>
    <row r="83" spans="1:7" s="26" customFormat="1" ht="53.25" customHeight="1" x14ac:dyDescent="0.2">
      <c r="A83" s="159"/>
      <c r="B83" s="49"/>
      <c r="C83" s="39">
        <v>3502</v>
      </c>
      <c r="D83" s="149" t="s">
        <v>402</v>
      </c>
      <c r="E83" s="153">
        <f>SUM('SGTO POAI VIGENCIA 2021'!AM77:AM84)</f>
        <v>3319087709.6100001</v>
      </c>
    </row>
    <row r="84" spans="1:7" ht="24" customHeight="1" x14ac:dyDescent="0.2">
      <c r="A84" s="140"/>
      <c r="B84" s="352">
        <v>36</v>
      </c>
      <c r="C84" s="353" t="s">
        <v>433</v>
      </c>
      <c r="D84" s="354"/>
      <c r="E84" s="350">
        <f>E85</f>
        <v>237500000</v>
      </c>
    </row>
    <row r="85" spans="1:7" s="26" customFormat="1" ht="53.25" customHeight="1" x14ac:dyDescent="0.2">
      <c r="A85" s="145"/>
      <c r="B85" s="49"/>
      <c r="C85" s="39">
        <v>3602</v>
      </c>
      <c r="D85" s="149" t="s">
        <v>434</v>
      </c>
      <c r="E85" s="153">
        <f>SUM('SGTO POAI VIGENCIA 2021'!AM85:AM88)</f>
        <v>237500000</v>
      </c>
    </row>
    <row r="86" spans="1:7" s="7" customFormat="1" x14ac:dyDescent="0.2">
      <c r="A86" s="69"/>
      <c r="B86" s="69"/>
      <c r="C86" s="69"/>
      <c r="D86" s="70"/>
      <c r="E86" s="135"/>
      <c r="F86" s="14"/>
      <c r="G86" s="14"/>
    </row>
    <row r="87" spans="1:7" ht="24" customHeight="1" x14ac:dyDescent="0.2">
      <c r="A87" s="32" t="s">
        <v>450</v>
      </c>
      <c r="B87" s="340"/>
      <c r="C87" s="342"/>
      <c r="D87" s="343"/>
      <c r="E87" s="341">
        <f>E88+E99</f>
        <v>3838799887.6300001</v>
      </c>
    </row>
    <row r="88" spans="1:7" ht="24" customHeight="1" x14ac:dyDescent="0.2">
      <c r="A88" s="375">
        <v>2</v>
      </c>
      <c r="B88" s="345" t="s">
        <v>400</v>
      </c>
      <c r="C88" s="345"/>
      <c r="D88" s="345"/>
      <c r="E88" s="346">
        <f>E89+E97</f>
        <v>2201711999.6300001</v>
      </c>
      <c r="F88" s="17"/>
    </row>
    <row r="89" spans="1:7" ht="24" customHeight="1" x14ac:dyDescent="0.2">
      <c r="A89" s="139"/>
      <c r="B89" s="347">
        <v>17</v>
      </c>
      <c r="C89" s="348" t="s">
        <v>451</v>
      </c>
      <c r="D89" s="349"/>
      <c r="E89" s="350">
        <f>SUM(E90:E96)</f>
        <v>2165711999.6300001</v>
      </c>
    </row>
    <row r="90" spans="1:7" ht="57.75" customHeight="1" x14ac:dyDescent="0.2">
      <c r="A90" s="163"/>
      <c r="B90" s="171"/>
      <c r="C90" s="49">
        <v>1702</v>
      </c>
      <c r="D90" s="149" t="s">
        <v>452</v>
      </c>
      <c r="E90" s="153">
        <f>SUM('SGTO POAI VIGENCIA 2021'!AM89:AM99)</f>
        <v>1562901499.6300001</v>
      </c>
      <c r="F90" s="17"/>
    </row>
    <row r="91" spans="1:7" ht="54" customHeight="1" x14ac:dyDescent="0.2">
      <c r="A91" s="163"/>
      <c r="B91" s="165"/>
      <c r="C91" s="49">
        <v>1703</v>
      </c>
      <c r="D91" s="149" t="s">
        <v>500</v>
      </c>
      <c r="E91" s="153">
        <f>SUM('SGTO POAI VIGENCIA 2021'!AM100)</f>
        <v>325000000</v>
      </c>
      <c r="F91" s="17"/>
      <c r="G91" s="1"/>
    </row>
    <row r="92" spans="1:7" ht="62.25" customHeight="1" x14ac:dyDescent="0.2">
      <c r="A92" s="163"/>
      <c r="B92" s="165"/>
      <c r="C92" s="49">
        <v>1704</v>
      </c>
      <c r="D92" s="149" t="s">
        <v>507</v>
      </c>
      <c r="E92" s="153">
        <f>SUM('SGTO POAI VIGENCIA 2021'!AM101:AM102)</f>
        <v>69255500</v>
      </c>
      <c r="F92" s="17"/>
      <c r="G92" s="1"/>
    </row>
    <row r="93" spans="1:7" ht="42" customHeight="1" x14ac:dyDescent="0.2">
      <c r="A93" s="163"/>
      <c r="B93" s="165"/>
      <c r="C93" s="49">
        <v>1706</v>
      </c>
      <c r="D93" s="149" t="s">
        <v>516</v>
      </c>
      <c r="E93" s="153">
        <f>'SGTO POAI VIGENCIA 2021'!AM103</f>
        <v>20000000</v>
      </c>
      <c r="F93" s="17"/>
      <c r="G93" s="1"/>
    </row>
    <row r="94" spans="1:7" ht="57" customHeight="1" x14ac:dyDescent="0.2">
      <c r="A94" s="163"/>
      <c r="B94" s="165"/>
      <c r="C94" s="49">
        <v>1707</v>
      </c>
      <c r="D94" s="149" t="s">
        <v>523</v>
      </c>
      <c r="E94" s="153">
        <f>'SGTO POAI VIGENCIA 2021'!AM104</f>
        <v>43000000</v>
      </c>
      <c r="F94" s="17"/>
      <c r="G94" s="1"/>
    </row>
    <row r="95" spans="1:7" ht="60.75" customHeight="1" x14ac:dyDescent="0.2">
      <c r="A95" s="163"/>
      <c r="B95" s="165"/>
      <c r="C95" s="49">
        <v>1708</v>
      </c>
      <c r="D95" s="149" t="s">
        <v>530</v>
      </c>
      <c r="E95" s="153">
        <f>SUM('SGTO POAI VIGENCIA 2021'!AM105:AM106)</f>
        <v>37555000</v>
      </c>
      <c r="F95" s="17"/>
    </row>
    <row r="96" spans="1:7" ht="42" customHeight="1" x14ac:dyDescent="0.2">
      <c r="A96" s="163"/>
      <c r="B96" s="167"/>
      <c r="C96" s="49">
        <v>1709</v>
      </c>
      <c r="D96" s="149" t="s">
        <v>539</v>
      </c>
      <c r="E96" s="153">
        <f>SUM('SGTO POAI VIGENCIA 2021'!AM107:AM109)</f>
        <v>108000000</v>
      </c>
      <c r="F96" s="17"/>
    </row>
    <row r="97" spans="1:7" ht="24" customHeight="1" x14ac:dyDescent="0.2">
      <c r="A97" s="140"/>
      <c r="B97" s="358">
        <v>35</v>
      </c>
      <c r="C97" s="348" t="s">
        <v>401</v>
      </c>
      <c r="D97" s="349"/>
      <c r="E97" s="350">
        <f>E98</f>
        <v>36000000</v>
      </c>
    </row>
    <row r="98" spans="1:7" ht="73.5" customHeight="1" x14ac:dyDescent="0.2">
      <c r="A98" s="155"/>
      <c r="B98" s="162"/>
      <c r="C98" s="34">
        <v>3502</v>
      </c>
      <c r="D98" s="149" t="s">
        <v>402</v>
      </c>
      <c r="E98" s="153">
        <f>SUM('SGTO POAI VIGENCIA 2021'!AM110:AM111)</f>
        <v>36000000</v>
      </c>
      <c r="F98" s="17"/>
    </row>
    <row r="99" spans="1:7" ht="24" customHeight="1" x14ac:dyDescent="0.2">
      <c r="A99" s="344">
        <v>3</v>
      </c>
      <c r="B99" s="345" t="s">
        <v>186</v>
      </c>
      <c r="C99" s="345"/>
      <c r="D99" s="345"/>
      <c r="E99" s="346">
        <f>E100</f>
        <v>1637087888</v>
      </c>
      <c r="F99" s="17"/>
    </row>
    <row r="100" spans="1:7" ht="24" customHeight="1" x14ac:dyDescent="0.2">
      <c r="A100" s="139"/>
      <c r="B100" s="347">
        <v>32</v>
      </c>
      <c r="C100" s="348" t="s">
        <v>207</v>
      </c>
      <c r="D100" s="349"/>
      <c r="E100" s="350">
        <f>SUM(E101:E105)</f>
        <v>1637087888</v>
      </c>
    </row>
    <row r="101" spans="1:7" s="26" customFormat="1" ht="52.5" customHeight="1" x14ac:dyDescent="0.2">
      <c r="A101" s="168"/>
      <c r="B101" s="169"/>
      <c r="C101" s="49" t="s">
        <v>557</v>
      </c>
      <c r="D101" s="149" t="s">
        <v>558</v>
      </c>
      <c r="E101" s="153">
        <f>SUM('SGTO POAI VIGENCIA 2021'!AM112:AM113)</f>
        <v>81456499</v>
      </c>
      <c r="F101" s="18"/>
    </row>
    <row r="102" spans="1:7" s="26" customFormat="1" ht="52.5" customHeight="1" x14ac:dyDescent="0.2">
      <c r="A102" s="168"/>
      <c r="B102" s="159"/>
      <c r="C102" s="49">
        <v>3202</v>
      </c>
      <c r="D102" s="149" t="s">
        <v>568</v>
      </c>
      <c r="E102" s="153">
        <f>SUM('SGTO POAI VIGENCIA 2021'!AM114:AM119)</f>
        <v>1235631389</v>
      </c>
      <c r="F102" s="18"/>
    </row>
    <row r="103" spans="1:7" s="26" customFormat="1" ht="52.5" customHeight="1" x14ac:dyDescent="0.2">
      <c r="A103" s="168"/>
      <c r="B103" s="159"/>
      <c r="C103" s="49" t="s">
        <v>598</v>
      </c>
      <c r="D103" s="149" t="s">
        <v>599</v>
      </c>
      <c r="E103" s="153">
        <f>SUM('SGTO POAI VIGENCIA 2021'!AM120)</f>
        <v>120000000</v>
      </c>
      <c r="F103" s="18"/>
    </row>
    <row r="104" spans="1:7" s="26" customFormat="1" ht="52.5" customHeight="1" x14ac:dyDescent="0.2">
      <c r="A104" s="168"/>
      <c r="B104" s="159"/>
      <c r="C104" s="49">
        <v>3205</v>
      </c>
      <c r="D104" s="149" t="s">
        <v>208</v>
      </c>
      <c r="E104" s="153">
        <f>SUM('SGTO POAI VIGENCIA 2021'!AM121:AM123)</f>
        <v>82000000</v>
      </c>
      <c r="F104" s="18"/>
    </row>
    <row r="105" spans="1:7" s="26" customFormat="1" ht="52.5" customHeight="1" x14ac:dyDescent="0.2">
      <c r="A105" s="170"/>
      <c r="B105" s="145"/>
      <c r="C105" s="49" t="s">
        <v>617</v>
      </c>
      <c r="D105" s="149" t="s">
        <v>618</v>
      </c>
      <c r="E105" s="153">
        <f>SUM('SGTO POAI VIGENCIA 2021'!AM124:AM126)</f>
        <v>118000000</v>
      </c>
      <c r="F105" s="18"/>
    </row>
    <row r="106" spans="1:7" s="7" customFormat="1" x14ac:dyDescent="0.2">
      <c r="A106" s="69"/>
      <c r="B106" s="69"/>
      <c r="C106" s="69"/>
      <c r="D106" s="70"/>
      <c r="E106" s="135"/>
      <c r="F106" s="14"/>
      <c r="G106" s="14"/>
    </row>
    <row r="107" spans="1:7" ht="24" customHeight="1" x14ac:dyDescent="0.2">
      <c r="A107" s="32" t="s">
        <v>633</v>
      </c>
      <c r="B107" s="340"/>
      <c r="C107" s="342"/>
      <c r="D107" s="343"/>
      <c r="E107" s="341">
        <f t="shared" ref="E107:E108" si="5">E108</f>
        <v>1177000000</v>
      </c>
    </row>
    <row r="108" spans="1:7" ht="24" customHeight="1" x14ac:dyDescent="0.2">
      <c r="A108" s="375">
        <v>4</v>
      </c>
      <c r="B108" s="345" t="s">
        <v>37</v>
      </c>
      <c r="C108" s="345"/>
      <c r="D108" s="345"/>
      <c r="E108" s="346">
        <f t="shared" si="5"/>
        <v>1177000000</v>
      </c>
    </row>
    <row r="109" spans="1:7" ht="24" customHeight="1" x14ac:dyDescent="0.2">
      <c r="A109" s="139"/>
      <c r="B109" s="347">
        <v>45</v>
      </c>
      <c r="C109" s="348" t="s">
        <v>38</v>
      </c>
      <c r="D109" s="349"/>
      <c r="E109" s="350">
        <f>SUM(E110:E111)</f>
        <v>1177000000</v>
      </c>
    </row>
    <row r="110" spans="1:7" s="172" customFormat="1" ht="74.25" customHeight="1" x14ac:dyDescent="0.25">
      <c r="A110" s="168"/>
      <c r="B110" s="169"/>
      <c r="C110" s="49">
        <v>4599</v>
      </c>
      <c r="D110" s="149" t="s">
        <v>634</v>
      </c>
      <c r="E110" s="153">
        <f>SUM('SGTO POAI VIGENCIA 2021'!AM127:AM128)</f>
        <v>1032712500.02</v>
      </c>
    </row>
    <row r="111" spans="1:7" s="26" customFormat="1" ht="54.75" customHeight="1" x14ac:dyDescent="0.2">
      <c r="A111" s="170"/>
      <c r="B111" s="145"/>
      <c r="C111" s="49">
        <v>4502</v>
      </c>
      <c r="D111" s="149" t="s">
        <v>60</v>
      </c>
      <c r="E111" s="96">
        <f>'SGTO POAI VIGENCIA 2021'!AM129</f>
        <v>144287499.97999999</v>
      </c>
    </row>
    <row r="112" spans="1:7" s="7" customFormat="1" x14ac:dyDescent="0.2">
      <c r="A112" s="69"/>
      <c r="B112" s="69"/>
      <c r="C112" s="69"/>
      <c r="D112" s="70"/>
      <c r="E112" s="135"/>
      <c r="F112" s="14"/>
      <c r="G112" s="14"/>
    </row>
    <row r="113" spans="1:7" ht="24" customHeight="1" x14ac:dyDescent="0.2">
      <c r="A113" s="32" t="s">
        <v>651</v>
      </c>
      <c r="B113" s="340"/>
      <c r="C113" s="342"/>
      <c r="D113" s="343"/>
      <c r="E113" s="341">
        <f>E114+E118</f>
        <v>193197400269.78006</v>
      </c>
      <c r="F113" s="1"/>
      <c r="G113" s="1"/>
    </row>
    <row r="114" spans="1:7" ht="24" customHeight="1" x14ac:dyDescent="0.2">
      <c r="A114" s="375">
        <v>1</v>
      </c>
      <c r="B114" s="345" t="s">
        <v>136</v>
      </c>
      <c r="C114" s="345"/>
      <c r="D114" s="345"/>
      <c r="E114" s="346">
        <f>E115</f>
        <v>193189900269.78006</v>
      </c>
      <c r="F114" s="1"/>
      <c r="G114" s="1"/>
    </row>
    <row r="115" spans="1:7" ht="24" customHeight="1" x14ac:dyDescent="0.2">
      <c r="A115" s="139"/>
      <c r="B115" s="143">
        <v>22</v>
      </c>
      <c r="C115" s="33" t="s">
        <v>156</v>
      </c>
      <c r="D115" s="68"/>
      <c r="E115" s="71">
        <f>SUM(E116:E117)</f>
        <v>193189900269.78006</v>
      </c>
    </row>
    <row r="116" spans="1:7" s="26" customFormat="1" ht="55.5" customHeight="1" x14ac:dyDescent="0.2">
      <c r="A116" s="159"/>
      <c r="B116" s="160"/>
      <c r="C116" s="152">
        <v>2201</v>
      </c>
      <c r="D116" s="149" t="s">
        <v>277</v>
      </c>
      <c r="E116" s="96">
        <f>SUM('SGTO POAI VIGENCIA 2021'!AM130:AM163)</f>
        <v>192750842017.78006</v>
      </c>
    </row>
    <row r="117" spans="1:7" s="26" customFormat="1" ht="55.5" customHeight="1" x14ac:dyDescent="0.2">
      <c r="A117" s="145"/>
      <c r="B117" s="161"/>
      <c r="C117" s="49">
        <v>2202</v>
      </c>
      <c r="D117" s="149" t="s">
        <v>1467</v>
      </c>
      <c r="E117" s="153">
        <f>SUM('SGTO POAI VIGENCIA 2021'!AM164)</f>
        <v>439058252</v>
      </c>
    </row>
    <row r="118" spans="1:7" ht="24" customHeight="1" x14ac:dyDescent="0.2">
      <c r="A118" s="344">
        <v>2</v>
      </c>
      <c r="B118" s="376" t="s">
        <v>400</v>
      </c>
      <c r="C118" s="345"/>
      <c r="D118" s="345"/>
      <c r="E118" s="346">
        <f t="shared" ref="E118:E119" si="6">E119</f>
        <v>7500000</v>
      </c>
      <c r="F118" s="17"/>
    </row>
    <row r="119" spans="1:7" ht="24" customHeight="1" x14ac:dyDescent="0.2">
      <c r="A119" s="139"/>
      <c r="B119" s="352">
        <v>39</v>
      </c>
      <c r="C119" s="348" t="s">
        <v>1468</v>
      </c>
      <c r="D119" s="348"/>
      <c r="E119" s="350">
        <f t="shared" si="6"/>
        <v>7500000</v>
      </c>
    </row>
    <row r="120" spans="1:7" s="26" customFormat="1" ht="39.75" customHeight="1" x14ac:dyDescent="0.2">
      <c r="A120" s="145"/>
      <c r="B120" s="49"/>
      <c r="C120" s="34">
        <v>3904</v>
      </c>
      <c r="D120" s="149" t="s">
        <v>759</v>
      </c>
      <c r="E120" s="153">
        <f>'SGTO POAI VIGENCIA 2021'!AM165</f>
        <v>7500000</v>
      </c>
    </row>
    <row r="121" spans="1:7" s="7" customFormat="1" x14ac:dyDescent="0.2">
      <c r="A121" s="69"/>
      <c r="B121" s="69"/>
      <c r="C121" s="69"/>
      <c r="D121" s="70"/>
      <c r="E121" s="135"/>
      <c r="F121" s="14"/>
      <c r="G121" s="14"/>
    </row>
    <row r="122" spans="1:7" s="7" customFormat="1" ht="24" customHeight="1" x14ac:dyDescent="0.2">
      <c r="A122" s="32" t="s">
        <v>767</v>
      </c>
      <c r="B122" s="340"/>
      <c r="C122" s="342"/>
      <c r="D122" s="343"/>
      <c r="E122" s="341">
        <f>E123+E132+E137</f>
        <v>6915266350.0100002</v>
      </c>
      <c r="F122" s="14"/>
      <c r="G122" s="14"/>
    </row>
    <row r="123" spans="1:7" s="7" customFormat="1" ht="24" customHeight="1" x14ac:dyDescent="0.2">
      <c r="A123" s="375">
        <v>1</v>
      </c>
      <c r="B123" s="345" t="s">
        <v>136</v>
      </c>
      <c r="C123" s="345"/>
      <c r="D123" s="345"/>
      <c r="E123" s="346">
        <f>E124+E126+E128</f>
        <v>6381976847.0100002</v>
      </c>
      <c r="F123" s="14"/>
      <c r="G123" s="14"/>
    </row>
    <row r="124" spans="1:7" ht="24" customHeight="1" x14ac:dyDescent="0.2">
      <c r="A124" s="139"/>
      <c r="B124" s="352">
        <v>19</v>
      </c>
      <c r="C124" s="348" t="s">
        <v>147</v>
      </c>
      <c r="D124" s="349"/>
      <c r="E124" s="350">
        <f>E125</f>
        <v>170000000</v>
      </c>
    </row>
    <row r="125" spans="1:7" s="27" customFormat="1" ht="51" customHeight="1" x14ac:dyDescent="0.2">
      <c r="A125" s="159"/>
      <c r="B125" s="49"/>
      <c r="C125" s="34">
        <v>1905</v>
      </c>
      <c r="D125" s="35" t="s">
        <v>768</v>
      </c>
      <c r="E125" s="153">
        <f>SUM('SGTO POAI VIGENCIA 2021'!AM166:AM167)</f>
        <v>170000000</v>
      </c>
    </row>
    <row r="126" spans="1:7" ht="24" customHeight="1" x14ac:dyDescent="0.2">
      <c r="A126" s="140"/>
      <c r="B126" s="352">
        <v>33</v>
      </c>
      <c r="C126" s="353" t="s">
        <v>166</v>
      </c>
      <c r="D126" s="354"/>
      <c r="E126" s="350">
        <f>E127</f>
        <v>14250000</v>
      </c>
    </row>
    <row r="127" spans="1:7" s="27" customFormat="1" ht="51.75" customHeight="1" x14ac:dyDescent="0.2">
      <c r="A127" s="159"/>
      <c r="B127" s="49"/>
      <c r="C127" s="34">
        <v>3301</v>
      </c>
      <c r="D127" s="149" t="s">
        <v>167</v>
      </c>
      <c r="E127" s="153">
        <f>'SGTO POAI VIGENCIA 2021'!AM168</f>
        <v>14250000</v>
      </c>
    </row>
    <row r="128" spans="1:7" ht="24" customHeight="1" x14ac:dyDescent="0.2">
      <c r="A128" s="140"/>
      <c r="B128" s="347">
        <v>41</v>
      </c>
      <c r="C128" s="348" t="s">
        <v>784</v>
      </c>
      <c r="D128" s="349"/>
      <c r="E128" s="350">
        <f>SUM(E129:E131)</f>
        <v>6197726847.0100002</v>
      </c>
    </row>
    <row r="129" spans="1:7" s="27" customFormat="1" ht="53.25" customHeight="1" x14ac:dyDescent="0.2">
      <c r="A129" s="168"/>
      <c r="B129" s="169"/>
      <c r="C129" s="49">
        <v>4102</v>
      </c>
      <c r="D129" s="149" t="s">
        <v>785</v>
      </c>
      <c r="E129" s="153">
        <f>SUM('SGTO POAI VIGENCIA 2021'!AM169:AM178)</f>
        <v>1174562889</v>
      </c>
    </row>
    <row r="130" spans="1:7" s="27" customFormat="1" ht="48.75" customHeight="1" x14ac:dyDescent="0.2">
      <c r="A130" s="168"/>
      <c r="B130" s="159"/>
      <c r="C130" s="49">
        <v>4103</v>
      </c>
      <c r="D130" s="149" t="s">
        <v>302</v>
      </c>
      <c r="E130" s="153">
        <f>SUM('SGTO POAI VIGENCIA 2021'!AM179:AM185)</f>
        <v>233793714</v>
      </c>
    </row>
    <row r="131" spans="1:7" s="27" customFormat="1" ht="51.75" customHeight="1" x14ac:dyDescent="0.2">
      <c r="A131" s="170"/>
      <c r="B131" s="145"/>
      <c r="C131" s="49">
        <v>4104</v>
      </c>
      <c r="D131" s="149" t="s">
        <v>893</v>
      </c>
      <c r="E131" s="153">
        <f>SUM('SGTO POAI VIGENCIA 2021'!AM186:AM190)</f>
        <v>4789370244.0100002</v>
      </c>
    </row>
    <row r="132" spans="1:7" s="7" customFormat="1" ht="24" customHeight="1" x14ac:dyDescent="0.2">
      <c r="A132" s="344">
        <v>2</v>
      </c>
      <c r="B132" s="376" t="s">
        <v>400</v>
      </c>
      <c r="C132" s="345"/>
      <c r="D132" s="345"/>
      <c r="E132" s="346">
        <f>E133+E135</f>
        <v>56195000</v>
      </c>
      <c r="F132" s="14"/>
      <c r="G132" s="14"/>
    </row>
    <row r="133" spans="1:7" ht="24" customHeight="1" x14ac:dyDescent="0.2">
      <c r="A133" s="139"/>
      <c r="B133" s="352">
        <v>17</v>
      </c>
      <c r="C133" s="348" t="s">
        <v>451</v>
      </c>
      <c r="D133" s="349"/>
      <c r="E133" s="350">
        <f>E134</f>
        <v>18000000</v>
      </c>
    </row>
    <row r="134" spans="1:7" s="27" customFormat="1" ht="51.75" customHeight="1" x14ac:dyDescent="0.2">
      <c r="A134" s="159"/>
      <c r="B134" s="49"/>
      <c r="C134" s="34">
        <v>1702</v>
      </c>
      <c r="D134" s="149" t="s">
        <v>452</v>
      </c>
      <c r="E134" s="153">
        <f>SUM('SGTO POAI VIGENCIA 2021'!AM191)</f>
        <v>18000000</v>
      </c>
    </row>
    <row r="135" spans="1:7" ht="25.5" customHeight="1" x14ac:dyDescent="0.2">
      <c r="A135" s="140"/>
      <c r="B135" s="352">
        <v>36</v>
      </c>
      <c r="C135" s="353" t="s">
        <v>433</v>
      </c>
      <c r="D135" s="354"/>
      <c r="E135" s="350">
        <f>E136</f>
        <v>38195000</v>
      </c>
    </row>
    <row r="136" spans="1:7" s="27" customFormat="1" ht="51" customHeight="1" x14ac:dyDescent="0.2">
      <c r="A136" s="145"/>
      <c r="B136" s="49"/>
      <c r="C136" s="34">
        <v>3604</v>
      </c>
      <c r="D136" s="149" t="s">
        <v>932</v>
      </c>
      <c r="E136" s="153">
        <f>'SGTO POAI VIGENCIA 2021'!AM192</f>
        <v>38195000</v>
      </c>
    </row>
    <row r="137" spans="1:7" s="7" customFormat="1" ht="24" customHeight="1" x14ac:dyDescent="0.2">
      <c r="A137" s="344">
        <v>4</v>
      </c>
      <c r="B137" s="345" t="s">
        <v>37</v>
      </c>
      <c r="C137" s="345"/>
      <c r="D137" s="345"/>
      <c r="E137" s="346">
        <f>E138</f>
        <v>477094503</v>
      </c>
      <c r="F137" s="14"/>
      <c r="G137" s="14"/>
    </row>
    <row r="138" spans="1:7" ht="24" customHeight="1" x14ac:dyDescent="0.2">
      <c r="A138" s="139"/>
      <c r="B138" s="347">
        <v>45</v>
      </c>
      <c r="C138" s="362" t="s">
        <v>938</v>
      </c>
      <c r="D138" s="363"/>
      <c r="E138" s="364">
        <f>SUM(E139:E140)</f>
        <v>477094503</v>
      </c>
    </row>
    <row r="139" spans="1:7" ht="50.25" customHeight="1" x14ac:dyDescent="0.2">
      <c r="A139" s="159"/>
      <c r="B139" s="173"/>
      <c r="C139" s="174">
        <v>4502</v>
      </c>
      <c r="D139" s="175" t="s">
        <v>60</v>
      </c>
      <c r="E139" s="176">
        <f>SUM('SGTO POAI VIGENCIA 2021'!AM193:AM197)</f>
        <v>266000000</v>
      </c>
    </row>
    <row r="140" spans="1:7" ht="76.5" customHeight="1" x14ac:dyDescent="0.2">
      <c r="A140" s="145"/>
      <c r="B140" s="173"/>
      <c r="C140" s="174">
        <v>4599</v>
      </c>
      <c r="D140" s="177" t="s">
        <v>634</v>
      </c>
      <c r="E140" s="176">
        <f>SUM('SGTO POAI VIGENCIA 2021'!AM198:AM200)</f>
        <v>211094503</v>
      </c>
    </row>
    <row r="141" spans="1:7" s="7" customFormat="1" x14ac:dyDescent="0.2">
      <c r="A141" s="69"/>
      <c r="B141" s="69"/>
      <c r="C141" s="69"/>
      <c r="D141" s="70"/>
      <c r="E141" s="135"/>
      <c r="F141" s="14"/>
      <c r="G141" s="14"/>
    </row>
    <row r="142" spans="1:7" ht="24" customHeight="1" x14ac:dyDescent="0.2">
      <c r="A142" s="32" t="s">
        <v>986</v>
      </c>
      <c r="B142" s="340"/>
      <c r="C142" s="342"/>
      <c r="D142" s="343"/>
      <c r="E142" s="341">
        <f>E143</f>
        <v>75161612366.110001</v>
      </c>
    </row>
    <row r="143" spans="1:7" ht="24" customHeight="1" x14ac:dyDescent="0.2">
      <c r="A143" s="375">
        <v>1</v>
      </c>
      <c r="B143" s="345" t="s">
        <v>136</v>
      </c>
      <c r="C143" s="36"/>
      <c r="D143" s="345"/>
      <c r="E143" s="346">
        <f t="shared" ref="E143" si="7">E144</f>
        <v>75161612366.110001</v>
      </c>
    </row>
    <row r="144" spans="1:7" ht="24" customHeight="1" x14ac:dyDescent="0.2">
      <c r="A144" s="139"/>
      <c r="B144" s="143">
        <v>19</v>
      </c>
      <c r="C144" s="32" t="s">
        <v>147</v>
      </c>
      <c r="D144" s="68"/>
      <c r="E144" s="71">
        <f>SUM(E145:E147)</f>
        <v>75161612366.110001</v>
      </c>
    </row>
    <row r="145" spans="1:7" s="26" customFormat="1" ht="35.25" customHeight="1" x14ac:dyDescent="0.2">
      <c r="A145" s="159"/>
      <c r="B145" s="160"/>
      <c r="C145" s="49">
        <v>1903</v>
      </c>
      <c r="D145" s="149" t="s">
        <v>987</v>
      </c>
      <c r="E145" s="153">
        <f>SUM('SGTO POAI VIGENCIA 2021'!AM201:AM222)</f>
        <v>3182666735.21</v>
      </c>
    </row>
    <row r="146" spans="1:7" s="26" customFormat="1" ht="31.5" customHeight="1" x14ac:dyDescent="0.2">
      <c r="A146" s="159"/>
      <c r="B146" s="166"/>
      <c r="C146" s="49">
        <v>1905</v>
      </c>
      <c r="D146" s="149" t="s">
        <v>768</v>
      </c>
      <c r="E146" s="153">
        <f>SUM('SGTO POAI VIGENCIA 2021'!AM223:AM251)</f>
        <v>6992718049.7600002</v>
      </c>
    </row>
    <row r="147" spans="1:7" s="26" customFormat="1" ht="57.75" customHeight="1" x14ac:dyDescent="0.2">
      <c r="A147" s="145"/>
      <c r="B147" s="161"/>
      <c r="C147" s="49">
        <v>1906</v>
      </c>
      <c r="D147" s="149" t="s">
        <v>148</v>
      </c>
      <c r="E147" s="153">
        <f>SUM('SGTO POAI VIGENCIA 2021'!AM252:AM261)</f>
        <v>64986227581.139999</v>
      </c>
    </row>
    <row r="148" spans="1:7" s="7" customFormat="1" x14ac:dyDescent="0.2">
      <c r="A148" s="69"/>
      <c r="B148" s="69"/>
      <c r="C148" s="69"/>
      <c r="D148" s="70"/>
      <c r="E148" s="135"/>
      <c r="F148" s="14"/>
      <c r="G148" s="14"/>
    </row>
    <row r="149" spans="1:7" s="6" customFormat="1" ht="24" customHeight="1" x14ac:dyDescent="0.25">
      <c r="A149" s="32" t="s">
        <v>1197</v>
      </c>
      <c r="B149" s="340"/>
      <c r="C149" s="342"/>
      <c r="D149" s="343"/>
      <c r="E149" s="341">
        <f>E150+E154+E158</f>
        <v>1196000000</v>
      </c>
      <c r="F149" s="5"/>
      <c r="G149" s="5"/>
    </row>
    <row r="150" spans="1:7" s="6" customFormat="1" ht="24" customHeight="1" x14ac:dyDescent="0.25">
      <c r="A150" s="375">
        <v>1</v>
      </c>
      <c r="B150" s="345" t="s">
        <v>136</v>
      </c>
      <c r="C150" s="345"/>
      <c r="D150" s="345"/>
      <c r="E150" s="346">
        <f>E151</f>
        <v>820000000</v>
      </c>
      <c r="F150" s="5"/>
      <c r="G150" s="5"/>
    </row>
    <row r="151" spans="1:7" ht="24" customHeight="1" x14ac:dyDescent="0.2">
      <c r="A151" s="139"/>
      <c r="B151" s="347">
        <v>23</v>
      </c>
      <c r="C151" s="348" t="s">
        <v>1198</v>
      </c>
      <c r="D151" s="349"/>
      <c r="E151" s="350">
        <f>SUM(E152:E153)</f>
        <v>820000000</v>
      </c>
    </row>
    <row r="152" spans="1:7" s="172" customFormat="1" ht="75.75" customHeight="1" x14ac:dyDescent="0.25">
      <c r="A152" s="159"/>
      <c r="B152" s="160"/>
      <c r="C152" s="152">
        <v>2301</v>
      </c>
      <c r="D152" s="149" t="s">
        <v>1199</v>
      </c>
      <c r="E152" s="153">
        <f>SUM('SGTO POAI VIGENCIA 2021'!AM262:AM270)</f>
        <v>674000000</v>
      </c>
    </row>
    <row r="153" spans="1:7" s="172" customFormat="1" ht="76.5" customHeight="1" x14ac:dyDescent="0.25">
      <c r="A153" s="145"/>
      <c r="B153" s="161"/>
      <c r="C153" s="152">
        <v>2302</v>
      </c>
      <c r="D153" s="149" t="s">
        <v>1472</v>
      </c>
      <c r="E153" s="153">
        <f>SUM('SGTO POAI VIGENCIA 2021'!AM271:AM275)</f>
        <v>146000000</v>
      </c>
    </row>
    <row r="154" spans="1:7" s="6" customFormat="1" ht="24" customHeight="1" x14ac:dyDescent="0.25">
      <c r="A154" s="344">
        <v>2</v>
      </c>
      <c r="B154" s="376" t="s">
        <v>400</v>
      </c>
      <c r="C154" s="345"/>
      <c r="D154" s="345"/>
      <c r="E154" s="346">
        <f>E155</f>
        <v>78000000</v>
      </c>
      <c r="F154" s="5"/>
      <c r="G154" s="5"/>
    </row>
    <row r="155" spans="1:7" ht="24" customHeight="1" x14ac:dyDescent="0.2">
      <c r="A155" s="139"/>
      <c r="B155" s="347">
        <v>39</v>
      </c>
      <c r="C155" s="362" t="s">
        <v>1468</v>
      </c>
      <c r="D155" s="349"/>
      <c r="E155" s="350">
        <f>SUM(E156:E157)</f>
        <v>78000000</v>
      </c>
    </row>
    <row r="156" spans="1:7" s="172" customFormat="1" ht="44.25" customHeight="1" x14ac:dyDescent="0.25">
      <c r="A156" s="159"/>
      <c r="B156" s="51"/>
      <c r="C156" s="178" t="s">
        <v>1239</v>
      </c>
      <c r="D156" s="179" t="s">
        <v>1240</v>
      </c>
      <c r="E156" s="153">
        <f>SUM('SGTO POAI VIGENCIA 2021'!AM276:AM278)</f>
        <v>60000000</v>
      </c>
    </row>
    <row r="157" spans="1:7" s="172" customFormat="1" ht="44.25" customHeight="1" x14ac:dyDescent="0.25">
      <c r="A157" s="145"/>
      <c r="B157" s="51"/>
      <c r="C157" s="178">
        <v>3904</v>
      </c>
      <c r="D157" s="179" t="s">
        <v>759</v>
      </c>
      <c r="E157" s="153">
        <f>'SGTO POAI VIGENCIA 2021'!AM279</f>
        <v>18000000</v>
      </c>
    </row>
    <row r="158" spans="1:7" s="6" customFormat="1" ht="24" customHeight="1" x14ac:dyDescent="0.25">
      <c r="A158" s="344">
        <v>4</v>
      </c>
      <c r="B158" s="376" t="s">
        <v>37</v>
      </c>
      <c r="C158" s="376"/>
      <c r="D158" s="345"/>
      <c r="E158" s="346">
        <f t="shared" ref="E158:E159" si="8">E159</f>
        <v>298000000</v>
      </c>
      <c r="F158" s="5"/>
      <c r="G158" s="5"/>
    </row>
    <row r="159" spans="1:7" ht="24" customHeight="1" x14ac:dyDescent="0.2">
      <c r="A159" s="139"/>
      <c r="B159" s="352">
        <v>23</v>
      </c>
      <c r="C159" s="348" t="s">
        <v>1198</v>
      </c>
      <c r="D159" s="348"/>
      <c r="E159" s="350">
        <f t="shared" si="8"/>
        <v>298000000</v>
      </c>
    </row>
    <row r="160" spans="1:7" s="172" customFormat="1" ht="99.75" customHeight="1" x14ac:dyDescent="0.25">
      <c r="A160" s="145"/>
      <c r="B160" s="49"/>
      <c r="C160" s="39">
        <v>2302</v>
      </c>
      <c r="D160" s="149" t="s">
        <v>1472</v>
      </c>
      <c r="E160" s="153">
        <f>SUM('SGTO POAI VIGENCIA 2021'!AM280:AM285)</f>
        <v>298000000</v>
      </c>
    </row>
    <row r="161" spans="1:7" s="7" customFormat="1" ht="18.75" customHeight="1" x14ac:dyDescent="0.2">
      <c r="A161" s="69"/>
      <c r="B161" s="69"/>
      <c r="C161" s="69"/>
      <c r="D161" s="70"/>
      <c r="E161" s="135"/>
      <c r="F161" s="14"/>
      <c r="G161" s="14"/>
    </row>
    <row r="162" spans="1:7" s="20" customFormat="1" ht="30" customHeight="1" x14ac:dyDescent="0.25">
      <c r="A162" s="32" t="s">
        <v>1272</v>
      </c>
      <c r="B162" s="32"/>
      <c r="C162" s="368"/>
      <c r="D162" s="44"/>
      <c r="E162" s="204">
        <f>E7+E13+E19+E24+E52+E74+E80+E87+E107+E113+E122+E142+E149</f>
        <v>319490464131.91003</v>
      </c>
      <c r="F162" s="19"/>
      <c r="G162" s="19"/>
    </row>
    <row r="163" spans="1:7" s="7" customFormat="1" ht="29.25" customHeight="1" x14ac:dyDescent="0.2">
      <c r="A163" s="69"/>
      <c r="B163" s="69"/>
      <c r="C163" s="69"/>
      <c r="D163" s="70"/>
      <c r="E163" s="135"/>
      <c r="F163" s="14"/>
      <c r="G163" s="14"/>
    </row>
    <row r="164" spans="1:7" ht="24" customHeight="1" x14ac:dyDescent="0.2">
      <c r="A164" s="32" t="s">
        <v>1273</v>
      </c>
      <c r="B164" s="340"/>
      <c r="C164" s="342"/>
      <c r="D164" s="343"/>
      <c r="E164" s="341">
        <f t="shared" ref="E164:E165" si="9">E165</f>
        <v>7160417690.0300007</v>
      </c>
    </row>
    <row r="165" spans="1:7" ht="24" customHeight="1" x14ac:dyDescent="0.2">
      <c r="A165" s="375">
        <v>1</v>
      </c>
      <c r="B165" s="345" t="s">
        <v>136</v>
      </c>
      <c r="C165" s="345"/>
      <c r="D165" s="345"/>
      <c r="E165" s="346">
        <f t="shared" si="9"/>
        <v>7160417690.0300007</v>
      </c>
    </row>
    <row r="166" spans="1:7" ht="24" customHeight="1" x14ac:dyDescent="0.2">
      <c r="A166" s="139"/>
      <c r="B166" s="347">
        <v>43</v>
      </c>
      <c r="C166" s="348" t="s">
        <v>176</v>
      </c>
      <c r="D166" s="349"/>
      <c r="E166" s="350">
        <f>SUM(E167:E168)</f>
        <v>7160417690.0300007</v>
      </c>
    </row>
    <row r="167" spans="1:7" s="26" customFormat="1" ht="76.5" customHeight="1" x14ac:dyDescent="0.2">
      <c r="A167" s="168"/>
      <c r="B167" s="169"/>
      <c r="C167" s="49">
        <v>4301</v>
      </c>
      <c r="D167" s="180" t="s">
        <v>177</v>
      </c>
      <c r="E167" s="153">
        <f>SUM('SGTO POAI VIGENCIA 2021'!AM286:AM289)</f>
        <v>2847287098.98</v>
      </c>
    </row>
    <row r="168" spans="1:7" s="26" customFormat="1" ht="37.5" customHeight="1" x14ac:dyDescent="0.2">
      <c r="A168" s="170"/>
      <c r="B168" s="145"/>
      <c r="C168" s="49">
        <v>4302</v>
      </c>
      <c r="D168" s="180" t="s">
        <v>1287</v>
      </c>
      <c r="E168" s="153">
        <f>SUM('SGTO POAI VIGENCIA 2021'!AM290:AM291)</f>
        <v>4313130591.0500002</v>
      </c>
    </row>
    <row r="169" spans="1:7" s="7" customFormat="1" ht="18.75" customHeight="1" x14ac:dyDescent="0.2">
      <c r="A169" s="69"/>
      <c r="B169" s="69"/>
      <c r="C169" s="69"/>
      <c r="D169" s="70"/>
      <c r="E169" s="135"/>
      <c r="F169" s="14"/>
      <c r="G169" s="14"/>
    </row>
    <row r="170" spans="1:7" s="7" customFormat="1" ht="24" customHeight="1" x14ac:dyDescent="0.2">
      <c r="A170" s="32" t="s">
        <v>1299</v>
      </c>
      <c r="B170" s="340"/>
      <c r="C170" s="342"/>
      <c r="D170" s="343"/>
      <c r="E170" s="341">
        <f>E171+E176</f>
        <v>2637286334.9400001</v>
      </c>
      <c r="F170" s="14"/>
      <c r="G170" s="14"/>
    </row>
    <row r="171" spans="1:7" s="7" customFormat="1" ht="24" customHeight="1" x14ac:dyDescent="0.2">
      <c r="A171" s="375">
        <v>1</v>
      </c>
      <c r="B171" s="345" t="s">
        <v>136</v>
      </c>
      <c r="C171" s="345"/>
      <c r="D171" s="345"/>
      <c r="E171" s="346">
        <f>E172+E174</f>
        <v>1019472941.71</v>
      </c>
      <c r="F171" s="14"/>
      <c r="G171" s="14"/>
    </row>
    <row r="172" spans="1:7" ht="24" customHeight="1" x14ac:dyDescent="0.2">
      <c r="A172" s="139"/>
      <c r="B172" s="365">
        <v>43</v>
      </c>
      <c r="C172" s="366" t="s">
        <v>176</v>
      </c>
      <c r="D172" s="349"/>
      <c r="E172" s="350">
        <f>E173</f>
        <v>690464077.75999999</v>
      </c>
    </row>
    <row r="173" spans="1:7" s="27" customFormat="1" ht="76.5" customHeight="1" x14ac:dyDescent="0.2">
      <c r="A173" s="181"/>
      <c r="B173" s="152"/>
      <c r="C173" s="34">
        <v>4301</v>
      </c>
      <c r="D173" s="149" t="s">
        <v>177</v>
      </c>
      <c r="E173" s="153">
        <f>'SGTO POAI VIGENCIA 2021'!AM292</f>
        <v>690464077.75999999</v>
      </c>
    </row>
    <row r="174" spans="1:7" ht="24" customHeight="1" x14ac:dyDescent="0.2">
      <c r="A174" s="140"/>
      <c r="B174" s="365">
        <v>22</v>
      </c>
      <c r="C174" s="352" t="s">
        <v>156</v>
      </c>
      <c r="D174" s="349"/>
      <c r="E174" s="350">
        <f>E175</f>
        <v>329008863.94999999</v>
      </c>
    </row>
    <row r="175" spans="1:7" s="27" customFormat="1" ht="53.25" customHeight="1" x14ac:dyDescent="0.2">
      <c r="A175" s="182"/>
      <c r="B175" s="152"/>
      <c r="C175" s="34">
        <v>2201</v>
      </c>
      <c r="D175" s="149" t="s">
        <v>277</v>
      </c>
      <c r="E175" s="153">
        <f>'SGTO POAI VIGENCIA 2021'!AM293</f>
        <v>329008863.94999999</v>
      </c>
    </row>
    <row r="176" spans="1:7" s="7" customFormat="1" ht="24" customHeight="1" x14ac:dyDescent="0.2">
      <c r="A176" s="344">
        <v>3</v>
      </c>
      <c r="B176" s="345" t="s">
        <v>186</v>
      </c>
      <c r="C176" s="345"/>
      <c r="D176" s="345"/>
      <c r="E176" s="346">
        <f>E177+E179</f>
        <v>1617813393.23</v>
      </c>
      <c r="F176" s="14"/>
      <c r="G176" s="14"/>
    </row>
    <row r="177" spans="1:7" ht="24" customHeight="1" x14ac:dyDescent="0.2">
      <c r="A177" s="139"/>
      <c r="B177" s="365">
        <v>24</v>
      </c>
      <c r="C177" s="352" t="s">
        <v>187</v>
      </c>
      <c r="D177" s="354"/>
      <c r="E177" s="350">
        <f>E178</f>
        <v>348896731.19999999</v>
      </c>
    </row>
    <row r="178" spans="1:7" s="7" customFormat="1" ht="42" customHeight="1" x14ac:dyDescent="0.2">
      <c r="A178" s="183"/>
      <c r="B178" s="184"/>
      <c r="C178" s="34">
        <v>2402</v>
      </c>
      <c r="D178" s="148" t="s">
        <v>188</v>
      </c>
      <c r="E178" s="185">
        <f>'SGTO POAI VIGENCIA 2021'!AM294</f>
        <v>348896731.19999999</v>
      </c>
      <c r="F178" s="14"/>
      <c r="G178" s="14"/>
    </row>
    <row r="179" spans="1:7" ht="24" customHeight="1" x14ac:dyDescent="0.2">
      <c r="A179" s="140"/>
      <c r="B179" s="365">
        <v>40</v>
      </c>
      <c r="C179" s="366" t="s">
        <v>221</v>
      </c>
      <c r="D179" s="354"/>
      <c r="E179" s="350">
        <f>E180</f>
        <v>1268916662.03</v>
      </c>
    </row>
    <row r="180" spans="1:7" s="7" customFormat="1" ht="44.25" customHeight="1" x14ac:dyDescent="0.2">
      <c r="A180" s="186"/>
      <c r="B180" s="184"/>
      <c r="C180" s="34">
        <v>4001</v>
      </c>
      <c r="D180" s="187" t="s">
        <v>222</v>
      </c>
      <c r="E180" s="185">
        <f>SUM('SGTO POAI VIGENCIA 2021'!AM295:AM301)</f>
        <v>1268916662.03</v>
      </c>
      <c r="F180" s="14"/>
      <c r="G180" s="14"/>
    </row>
    <row r="181" spans="1:7" s="7" customFormat="1" ht="18.75" customHeight="1" x14ac:dyDescent="0.2">
      <c r="A181" s="69"/>
      <c r="B181" s="69"/>
      <c r="C181" s="69"/>
      <c r="D181" s="70"/>
      <c r="E181" s="135"/>
      <c r="F181" s="14"/>
      <c r="G181" s="14"/>
    </row>
    <row r="182" spans="1:7" ht="24" customHeight="1" x14ac:dyDescent="0.2">
      <c r="A182" s="32" t="s">
        <v>1333</v>
      </c>
      <c r="B182" s="340"/>
      <c r="C182" s="342"/>
      <c r="D182" s="343"/>
      <c r="E182" s="341">
        <f>E183</f>
        <v>110210000</v>
      </c>
    </row>
    <row r="183" spans="1:7" ht="24" customHeight="1" x14ac:dyDescent="0.2">
      <c r="A183" s="375">
        <v>3</v>
      </c>
      <c r="B183" s="345" t="s">
        <v>186</v>
      </c>
      <c r="C183" s="345"/>
      <c r="D183" s="345"/>
      <c r="E183" s="346">
        <f>E184</f>
        <v>110210000</v>
      </c>
    </row>
    <row r="184" spans="1:7" ht="24" customHeight="1" x14ac:dyDescent="0.2">
      <c r="A184" s="139"/>
      <c r="B184" s="352">
        <v>24</v>
      </c>
      <c r="C184" s="367" t="s">
        <v>187</v>
      </c>
      <c r="D184" s="354"/>
      <c r="E184" s="350">
        <f>E185</f>
        <v>110210000</v>
      </c>
    </row>
    <row r="185" spans="1:7" s="26" customFormat="1" ht="54" customHeight="1" x14ac:dyDescent="0.2">
      <c r="A185" s="145"/>
      <c r="B185" s="49"/>
      <c r="C185" s="34">
        <v>2409</v>
      </c>
      <c r="D185" s="149" t="s">
        <v>1334</v>
      </c>
      <c r="E185" s="153">
        <f>SUM('SGTO POAI VIGENCIA 2021'!AM302:AM305)</f>
        <v>110210000</v>
      </c>
    </row>
    <row r="186" spans="1:7" s="28" customFormat="1" ht="23.25" customHeight="1" x14ac:dyDescent="0.2">
      <c r="A186" s="9"/>
      <c r="B186" s="9"/>
      <c r="C186" s="9"/>
      <c r="D186" s="10"/>
      <c r="E186" s="136"/>
      <c r="F186" s="14"/>
      <c r="G186" s="14"/>
    </row>
    <row r="187" spans="1:7" s="25" customFormat="1" ht="30" customHeight="1" x14ac:dyDescent="0.25">
      <c r="A187" s="32" t="s">
        <v>1351</v>
      </c>
      <c r="B187" s="32"/>
      <c r="C187" s="32"/>
      <c r="D187" s="32"/>
      <c r="E187" s="204">
        <f>E182+E170+E164</f>
        <v>9907914024.9700012</v>
      </c>
    </row>
    <row r="188" spans="1:7" s="25" customFormat="1" ht="16.5" thickBot="1" x14ac:dyDescent="0.3">
      <c r="A188" s="23"/>
      <c r="B188" s="23"/>
      <c r="C188" s="23"/>
      <c r="D188" s="24"/>
      <c r="E188" s="137"/>
    </row>
    <row r="189" spans="1:7" s="25" customFormat="1" ht="30" customHeight="1" thickBot="1" x14ac:dyDescent="0.3">
      <c r="A189" s="42" t="s">
        <v>1352</v>
      </c>
      <c r="B189" s="43"/>
      <c r="C189" s="43"/>
      <c r="D189" s="369"/>
      <c r="E189" s="370">
        <f>E162+E187</f>
        <v>329398378156.88</v>
      </c>
    </row>
    <row r="191" spans="1:7" ht="28.5" customHeight="1" x14ac:dyDescent="0.2"/>
  </sheetData>
  <mergeCells count="4">
    <mergeCell ref="A1:E3"/>
    <mergeCell ref="A5:A6"/>
    <mergeCell ref="B5:B6"/>
    <mergeCell ref="C5:D6"/>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D41"/>
  <sheetViews>
    <sheetView showGridLines="0" zoomScale="80" zoomScaleNormal="80" workbookViewId="0">
      <selection activeCell="C11" sqref="C11"/>
    </sheetView>
  </sheetViews>
  <sheetFormatPr baseColWidth="10" defaultColWidth="11.42578125" defaultRowHeight="15" x14ac:dyDescent="0.25"/>
  <cols>
    <col min="3" max="3" width="62" customWidth="1"/>
    <col min="4" max="4" width="30.85546875" customWidth="1"/>
  </cols>
  <sheetData>
    <row r="1" spans="1:4" ht="69.75" customHeight="1" x14ac:dyDescent="0.25">
      <c r="A1" s="393"/>
      <c r="B1" s="476" t="s">
        <v>1655</v>
      </c>
      <c r="C1" s="476"/>
      <c r="D1" s="476"/>
    </row>
    <row r="2" spans="1:4" ht="24.95" customHeight="1" x14ac:dyDescent="0.25">
      <c r="B2" s="390" t="s">
        <v>1355</v>
      </c>
      <c r="C2" s="391" t="s">
        <v>1658</v>
      </c>
      <c r="D2" s="392" t="s">
        <v>1607</v>
      </c>
    </row>
    <row r="3" spans="1:4" ht="24.95" customHeight="1" x14ac:dyDescent="0.25">
      <c r="B3" s="387">
        <v>1</v>
      </c>
      <c r="C3" s="388" t="s">
        <v>136</v>
      </c>
      <c r="D3" s="389">
        <f>SUM(D4:D11)</f>
        <v>289944507382.05005</v>
      </c>
    </row>
    <row r="4" spans="1:4" ht="24.95" customHeight="1" x14ac:dyDescent="0.25">
      <c r="B4" s="34">
        <v>12</v>
      </c>
      <c r="C4" s="202" t="s">
        <v>137</v>
      </c>
      <c r="D4" s="96">
        <f>'SGTO POAI VIGENCIA 2021'!AM26+'SGTO POAI VIGENCIA 2021'!AM46+'SGTO POAI VIGENCIA 2021'!AM48+'SGTO POAI VIGENCIA 2021'!AM47</f>
        <v>257328401</v>
      </c>
    </row>
    <row r="5" spans="1:4" ht="24.95" customHeight="1" x14ac:dyDescent="0.25">
      <c r="B5" s="34">
        <v>19</v>
      </c>
      <c r="C5" s="202" t="s">
        <v>147</v>
      </c>
      <c r="D5" s="96">
        <f>'SGTO POAI VIGENCIA 2021'!AM27+'SGTO POAI VIGENCIA 2021'!AM166+'SGTO POAI VIGENCIA 2021'!AM167+'SGTO POAI VIGENCIA 2021'!AM201+'SGTO POAI VIGENCIA 2021'!AM202+'SGTO POAI VIGENCIA 2021'!AM203+'SGTO POAI VIGENCIA 2021'!AM204+'SGTO POAI VIGENCIA 2021'!AM205+'SGTO POAI VIGENCIA 2021'!AM206+'SGTO POAI VIGENCIA 2021'!AM207+'SGTO POAI VIGENCIA 2021'!AM208+'SGTO POAI VIGENCIA 2021'!AM209+'SGTO POAI VIGENCIA 2021'!AM210+'SGTO POAI VIGENCIA 2021'!AM211+'SGTO POAI VIGENCIA 2021'!AM212+'SGTO POAI VIGENCIA 2021'!AM213+'SGTO POAI VIGENCIA 2021'!AM214+'SGTO POAI VIGENCIA 2021'!AM215+'SGTO POAI VIGENCIA 2021'!AM216+'SGTO POAI VIGENCIA 2021'!AM217+'SGTO POAI VIGENCIA 2021'!AM218+'SGTO POAI VIGENCIA 2021'!AM219+'SGTO POAI VIGENCIA 2021'!AM220+'SGTO POAI VIGENCIA 2021'!AM221+'SGTO POAI VIGENCIA 2021'!AM222+'SGTO POAI VIGENCIA 2021'!AM223+'SGTO POAI VIGENCIA 2021'!AM224+'SGTO POAI VIGENCIA 2021'!AM225+'SGTO POAI VIGENCIA 2021'!AM226+'SGTO POAI VIGENCIA 2021'!AM227+'SGTO POAI VIGENCIA 2021'!AM228+'SGTO POAI VIGENCIA 2021'!AM229+'SGTO POAI VIGENCIA 2021'!AM230+'SGTO POAI VIGENCIA 2021'!AM231+'SGTO POAI VIGENCIA 2021'!AM232+'SGTO POAI VIGENCIA 2021'!AM233+'SGTO POAI VIGENCIA 2021'!AM234+'SGTO POAI VIGENCIA 2021'!AM235+'SGTO POAI VIGENCIA 2021'!AM236+'SGTO POAI VIGENCIA 2021'!AM237+'SGTO POAI VIGENCIA 2021'!AM238+'SGTO POAI VIGENCIA 2021'!AM239+'SGTO POAI VIGENCIA 2021'!AM240+'SGTO POAI VIGENCIA 2021'!AM241+'SGTO POAI VIGENCIA 2021'!AM242+'SGTO POAI VIGENCIA 2021'!AM243+'SGTO POAI VIGENCIA 2021'!AM244+'SGTO POAI VIGENCIA 2021'!AM245+'SGTO POAI VIGENCIA 2021'!AM246+'SGTO POAI VIGENCIA 2021'!AM247+'SGTO POAI VIGENCIA 2021'!AM248+'SGTO POAI VIGENCIA 2021'!AM249+'SGTO POAI VIGENCIA 2021'!AM250+'SGTO POAI VIGENCIA 2021'!AM251+'SGTO POAI VIGENCIA 2021'!AM252+'SGTO POAI VIGENCIA 2021'!AM253+'SGTO POAI VIGENCIA 2021'!AM254+'SGTO POAI VIGENCIA 2021'!AM255+'SGTO POAI VIGENCIA 2021'!AM256+'SGTO POAI VIGENCIA 2021'!AM257+'SGTO POAI VIGENCIA 2021'!AM258+'SGTO POAI VIGENCIA 2021'!AM259+'SGTO POAI VIGENCIA 2021'!AM260+'SGTO POAI VIGENCIA 2021'!AM261</f>
        <v>75791359345.110001</v>
      </c>
    </row>
    <row r="6" spans="1:4" ht="24.95" customHeight="1" x14ac:dyDescent="0.25">
      <c r="B6" s="34">
        <v>22</v>
      </c>
      <c r="C6" s="187" t="s">
        <v>156</v>
      </c>
      <c r="D6" s="96">
        <f>'SGTO POAI VIGENCIA 2021'!AM28+'SGTO POAI VIGENCIA 2021'!AM49+'SGTO POAI VIGENCIA 2021'!AM130+'SGTO POAI VIGENCIA 2021'!AM131+'SGTO POAI VIGENCIA 2021'!AM132+'SGTO POAI VIGENCIA 2021'!AM133+'SGTO POAI VIGENCIA 2021'!AM134+'SGTO POAI VIGENCIA 2021'!AM135+'SGTO POAI VIGENCIA 2021'!AM136+'SGTO POAI VIGENCIA 2021'!AM137+'SGTO POAI VIGENCIA 2021'!AM138+'SGTO POAI VIGENCIA 2021'!AM139+'SGTO POAI VIGENCIA 2021'!AM140+'SGTO POAI VIGENCIA 2021'!AM141+'SGTO POAI VIGENCIA 2021'!AM142+'SGTO POAI VIGENCIA 2021'!AM143+'SGTO POAI VIGENCIA 2021'!AM144+'SGTO POAI VIGENCIA 2021'!AM145+'SGTO POAI VIGENCIA 2021'!AM146+'SGTO POAI VIGENCIA 2021'!AM147+'SGTO POAI VIGENCIA 2021'!AM148+'SGTO POAI VIGENCIA 2021'!AM149+'SGTO POAI VIGENCIA 2021'!AM150+'SGTO POAI VIGENCIA 2021'!AM151+'SGTO POAI VIGENCIA 2021'!AM152+'SGTO POAI VIGENCIA 2021'!AM153+'SGTO POAI VIGENCIA 2021'!AM154+'SGTO POAI VIGENCIA 2021'!AM155+'SGTO POAI VIGENCIA 2021'!AM156+'SGTO POAI VIGENCIA 2021'!AM157+'SGTO POAI VIGENCIA 2021'!AM158+'SGTO POAI VIGENCIA 2021'!AM159+'SGTO POAI VIGENCIA 2021'!AM160+'SGTO POAI VIGENCIA 2021'!AM161+'SGTO POAI VIGENCIA 2021'!AM162+'SGTO POAI VIGENCIA 2021'!AM163+'SGTO POAI VIGENCIA 2021'!AM164</f>
        <v>195030162232.18005</v>
      </c>
    </row>
    <row r="7" spans="1:4" ht="24.95" customHeight="1" x14ac:dyDescent="0.25">
      <c r="B7" s="34">
        <v>23</v>
      </c>
      <c r="C7" s="202" t="s">
        <v>1198</v>
      </c>
      <c r="D7" s="96">
        <f>'SGTO POAI VIGENCIA 2021'!AM262+'SGTO POAI VIGENCIA 2021'!AM263+'SGTO POAI VIGENCIA 2021'!AM264+'SGTO POAI VIGENCIA 2021'!AM265+'SGTO POAI VIGENCIA 2021'!AM266+'SGTO POAI VIGENCIA 2021'!AM267+'SGTO POAI VIGENCIA 2021'!AM268+'SGTO POAI VIGENCIA 2021'!AM269+'SGTO POAI VIGENCIA 2021'!AM270+'SGTO POAI VIGENCIA 2021'!AM271+'SGTO POAI VIGENCIA 2021'!AM272+'SGTO POAI VIGENCIA 2021'!AM273+'SGTO POAI VIGENCIA 2021'!AM274+'SGTO POAI VIGENCIA 2021'!AM275</f>
        <v>820000000</v>
      </c>
    </row>
    <row r="8" spans="1:4" ht="24.95" customHeight="1" x14ac:dyDescent="0.25">
      <c r="B8" s="34">
        <v>33</v>
      </c>
      <c r="C8" s="202" t="s">
        <v>166</v>
      </c>
      <c r="D8" s="96">
        <f>'SGTO POAI VIGENCIA 2021'!AM29+'SGTO POAI VIGENCIA 2021'!AM67+'SGTO POAI VIGENCIA 2021'!AM68+'SGTO POAI VIGENCIA 2021'!AM69+'SGTO POAI VIGENCIA 2021'!AM70+'SGTO POAI VIGENCIA 2021'!AM71+'SGTO POAI VIGENCIA 2021'!AM72+'SGTO POAI VIGENCIA 2021'!AM73+'SGTO POAI VIGENCIA 2021'!AM74+'SGTO POAI VIGENCIA 2021'!AM75+'SGTO POAI VIGENCIA 2021'!AM76+'SGTO POAI VIGENCIA 2021'!AM168</f>
        <v>4112962109.3199997</v>
      </c>
    </row>
    <row r="9" spans="1:4" ht="24.95" customHeight="1" x14ac:dyDescent="0.25">
      <c r="B9" s="34">
        <v>41</v>
      </c>
      <c r="C9" s="187" t="s">
        <v>284</v>
      </c>
      <c r="D9" s="96">
        <f>'SGTO POAI VIGENCIA 2021'!AM50+'SGTO POAI VIGENCIA 2021'!AM51+'SGTO POAI VIGENCIA 2021'!AM52+'SGTO POAI VIGENCIA 2021'!AM53+'SGTO POAI VIGENCIA 2021'!AM54+'SGTO POAI VIGENCIA 2021'!AM55+'SGTO POAI VIGENCIA 2021'!AM169+'SGTO POAI VIGENCIA 2021'!AM170+'SGTO POAI VIGENCIA 2021'!AM171+'SGTO POAI VIGENCIA 2021'!AM172+'SGTO POAI VIGENCIA 2021'!AM173+'SGTO POAI VIGENCIA 2021'!AM174+'SGTO POAI VIGENCIA 2021'!AM175+'SGTO POAI VIGENCIA 2021'!AM176+'SGTO POAI VIGENCIA 2021'!AM177+'SGTO POAI VIGENCIA 2021'!AM178+'SGTO POAI VIGENCIA 2021'!AM179+'SGTO POAI VIGENCIA 2021'!AM180+'SGTO POAI VIGENCIA 2021'!AM181+'SGTO POAI VIGENCIA 2021'!AM182+'SGTO POAI VIGENCIA 2021'!AM183+'SGTO POAI VIGENCIA 2021'!AM184+'SGTO POAI VIGENCIA 2021'!AM185+'SGTO POAI VIGENCIA 2021'!AM186+'SGTO POAI VIGENCIA 2021'!AM187+'SGTO POAI VIGENCIA 2021'!AM188+'SGTO POAI VIGENCIA 2021'!AM189+'SGTO POAI VIGENCIA 2021'!AM190</f>
        <v>6734411589.0100002</v>
      </c>
    </row>
    <row r="10" spans="1:4" ht="24.95" customHeight="1" x14ac:dyDescent="0.25">
      <c r="B10" s="34">
        <v>43</v>
      </c>
      <c r="C10" s="202" t="s">
        <v>176</v>
      </c>
      <c r="D10" s="96">
        <f>'SGTO POAI VIGENCIA 2021'!AM30</f>
        <v>2760904177.1000004</v>
      </c>
    </row>
    <row r="11" spans="1:4" ht="24.95" customHeight="1" x14ac:dyDescent="0.25">
      <c r="B11" s="34">
        <v>45</v>
      </c>
      <c r="C11" s="187" t="s">
        <v>38</v>
      </c>
      <c r="D11" s="96">
        <f>'SGTO POAI VIGENCIA 2021'!AM56+'SGTO POAI VIGENCIA 2021'!AM57</f>
        <v>4437379528.3299999</v>
      </c>
    </row>
    <row r="12" spans="1:4" ht="24.95" customHeight="1" x14ac:dyDescent="0.25">
      <c r="B12" s="357">
        <v>2</v>
      </c>
      <c r="C12" s="349" t="s">
        <v>400</v>
      </c>
      <c r="D12" s="350">
        <f>SUM(D13:D16)</f>
        <v>5899994710.2399998</v>
      </c>
    </row>
    <row r="13" spans="1:4" ht="24.95" customHeight="1" x14ac:dyDescent="0.25">
      <c r="B13" s="34">
        <v>17</v>
      </c>
      <c r="C13" s="187" t="s">
        <v>451</v>
      </c>
      <c r="D13" s="96">
        <f>'SGTO POAI VIGENCIA 2021'!AM89+'SGTO POAI VIGENCIA 2021'!AM90+'SGTO POAI VIGENCIA 2021'!AM91+'SGTO POAI VIGENCIA 2021'!AM92+'SGTO POAI VIGENCIA 2021'!AM93+'SGTO POAI VIGENCIA 2021'!AM94+'SGTO POAI VIGENCIA 2021'!AM95+'SGTO POAI VIGENCIA 2021'!AM96+'SGTO POAI VIGENCIA 2021'!AM97+'SGTO POAI VIGENCIA 2021'!AM98+'SGTO POAI VIGENCIA 2021'!AM99+'SGTO POAI VIGENCIA 2021'!AM100+'SGTO POAI VIGENCIA 2021'!AM101+'SGTO POAI VIGENCIA 2021'!AM102+'SGTO POAI VIGENCIA 2021'!AM103+'SGTO POAI VIGENCIA 2021'!AM104+'SGTO POAI VIGENCIA 2021'!AM105+'SGTO POAI VIGENCIA 2021'!AM106+'SGTO POAI VIGENCIA 2021'!AM107+'SGTO POAI VIGENCIA 2021'!AM108+'SGTO POAI VIGENCIA 2021'!AM109+'SGTO POAI VIGENCIA 2021'!AM191</f>
        <v>2183711999.6300001</v>
      </c>
    </row>
    <row r="14" spans="1:4" ht="24.95" customHeight="1" x14ac:dyDescent="0.25">
      <c r="B14" s="34">
        <v>35</v>
      </c>
      <c r="C14" s="187" t="s">
        <v>401</v>
      </c>
      <c r="D14" s="96">
        <f>'SGTO POAI VIGENCIA 2021'!AM31+'SGTO POAI VIGENCIA 2021'!AM77+'SGTO POAI VIGENCIA 2021'!AM78+'SGTO POAI VIGENCIA 2021'!AM79+'SGTO POAI VIGENCIA 2021'!AM80+'SGTO POAI VIGENCIA 2021'!AM81+'SGTO POAI VIGENCIA 2021'!AM82+'SGTO POAI VIGENCIA 2021'!AM83+'SGTO POAI VIGENCIA 2021'!AM84+'SGTO POAI VIGENCIA 2021'!AM110+'SGTO POAI VIGENCIA 2021'!AM111</f>
        <v>3355087710.6100001</v>
      </c>
    </row>
    <row r="15" spans="1:4" ht="24.95" customHeight="1" x14ac:dyDescent="0.25">
      <c r="B15" s="34">
        <v>36</v>
      </c>
      <c r="C15" s="187" t="s">
        <v>433</v>
      </c>
      <c r="D15" s="96">
        <f>'SGTO POAI VIGENCIA 2021'!AM85+'SGTO POAI VIGENCIA 2021'!AM86+'SGTO POAI VIGENCIA 2021'!AM87+'SGTO POAI VIGENCIA 2021'!AM88+'SGTO POAI VIGENCIA 2021'!AM192</f>
        <v>275695000</v>
      </c>
    </row>
    <row r="16" spans="1:4" ht="24.95" customHeight="1" x14ac:dyDescent="0.25">
      <c r="B16" s="34">
        <v>39</v>
      </c>
      <c r="C16" s="187" t="s">
        <v>1468</v>
      </c>
      <c r="D16" s="96">
        <f>'SGTO POAI VIGENCIA 2021'!AM165+'SGTO POAI VIGENCIA 2021'!AM276+'SGTO POAI VIGENCIA 2021'!AM277+'SGTO POAI VIGENCIA 2021'!AM278+'SGTO POAI VIGENCIA 2021'!AM279</f>
        <v>85500000</v>
      </c>
    </row>
    <row r="17" spans="2:4" ht="24.95" customHeight="1" x14ac:dyDescent="0.25">
      <c r="B17" s="357">
        <v>3</v>
      </c>
      <c r="C17" s="349" t="s">
        <v>186</v>
      </c>
      <c r="D17" s="350">
        <f>SUM(D18:D21)</f>
        <v>16883128288.780001</v>
      </c>
    </row>
    <row r="18" spans="2:4" ht="24.95" customHeight="1" x14ac:dyDescent="0.25">
      <c r="B18" s="34">
        <v>24</v>
      </c>
      <c r="C18" s="187" t="s">
        <v>187</v>
      </c>
      <c r="D18" s="96">
        <f>'SGTO POAI VIGENCIA 2021'!AM32+'SGTO POAI VIGENCIA 2021'!AM33+'SGTO POAI VIGENCIA 2021'!AM34</f>
        <v>8590607588</v>
      </c>
    </row>
    <row r="19" spans="2:4" ht="24.95" customHeight="1" x14ac:dyDescent="0.25">
      <c r="B19" s="34">
        <v>32</v>
      </c>
      <c r="C19" s="187" t="s">
        <v>207</v>
      </c>
      <c r="D19" s="96">
        <f>'SGTO POAI VIGENCIA 2021'!AM35+'SGTO POAI VIGENCIA 2021'!AM36+'SGTO POAI VIGENCIA 2021'!AM58+'SGTO POAI VIGENCIA 2021'!AM112+'SGTO POAI VIGENCIA 2021'!AM113+'SGTO POAI VIGENCIA 2021'!AM114+'SGTO POAI VIGENCIA 2021'!AM115+'SGTO POAI VIGENCIA 2021'!AM116+'SGTO POAI VIGENCIA 2021'!AM117+'SGTO POAI VIGENCIA 2021'!AM118+'SGTO POAI VIGENCIA 2021'!AM119+'SGTO POAI VIGENCIA 2021'!AM120+'SGTO POAI VIGENCIA 2021'!AM121+'SGTO POAI VIGENCIA 2021'!AM122+'SGTO POAI VIGENCIA 2021'!AM123+'SGTO POAI VIGENCIA 2021'!AM124+'SGTO POAI VIGENCIA 2021'!AM125+'SGTO POAI VIGENCIA 2021'!AM126</f>
        <v>4144045955</v>
      </c>
    </row>
    <row r="20" spans="2:4" ht="24.95" customHeight="1" x14ac:dyDescent="0.25">
      <c r="B20" s="34">
        <v>40</v>
      </c>
      <c r="C20" s="187" t="s">
        <v>221</v>
      </c>
      <c r="D20" s="96">
        <f>'SGTO POAI VIGENCIA 2021'!AM37+'SGTO POAI VIGENCIA 2021'!AM38+'SGTO POAI VIGENCIA 2021'!AM39+'SGTO POAI VIGENCIA 2021'!AM40+'SGTO POAI VIGENCIA 2021'!AM41+'SGTO POAI VIGENCIA 2021'!AM42+'SGTO POAI VIGENCIA 2021'!AM43</f>
        <v>3620159641.7800002</v>
      </c>
    </row>
    <row r="21" spans="2:4" ht="24.95" customHeight="1" x14ac:dyDescent="0.25">
      <c r="B21" s="34">
        <v>45</v>
      </c>
      <c r="C21" s="187" t="s">
        <v>38</v>
      </c>
      <c r="D21" s="96">
        <f>'SGTO POAI VIGENCIA 2021'!AM59+'SGTO POAI VIGENCIA 2021'!AM60+'SGTO POAI VIGENCIA 2021'!AM61</f>
        <v>528315104</v>
      </c>
    </row>
    <row r="22" spans="2:4" ht="24.95" customHeight="1" x14ac:dyDescent="0.25">
      <c r="B22" s="357">
        <v>4</v>
      </c>
      <c r="C22" s="349" t="s">
        <v>37</v>
      </c>
      <c r="D22" s="350">
        <f>SUM(D23:D24)</f>
        <v>6762833750.8400002</v>
      </c>
    </row>
    <row r="23" spans="2:4" ht="24.95" customHeight="1" x14ac:dyDescent="0.25">
      <c r="B23" s="34">
        <v>23</v>
      </c>
      <c r="C23" s="187" t="s">
        <v>1198</v>
      </c>
      <c r="D23" s="96">
        <f>'SGTO POAI VIGENCIA 2021'!AM280+'SGTO POAI VIGENCIA 2021'!AM281+'SGTO POAI VIGENCIA 2021'!AM282+'SGTO POAI VIGENCIA 2021'!AM283+'SGTO POAI VIGENCIA 2021'!AM284+'SGTO POAI VIGENCIA 2021'!AM285</f>
        <v>298000000</v>
      </c>
    </row>
    <row r="24" spans="2:4" ht="24.95" customHeight="1" x14ac:dyDescent="0.25">
      <c r="B24" s="34">
        <v>45</v>
      </c>
      <c r="C24" s="187" t="s">
        <v>38</v>
      </c>
      <c r="D24" s="96">
        <f>'SGTO POAI VIGENCIA 2021'!AM8+'SGTO POAI VIGENCIA 2021'!AM9+'SGTO POAI VIGENCIA 2021'!AM10+'SGTO POAI VIGENCIA 2021'!AM11+'SGTO POAI VIGENCIA 2021'!AM12+'SGTO POAI VIGENCIA 2021'!AM13+'SGTO POAI VIGENCIA 2021'!AM14+'SGTO POAI VIGENCIA 2021'!AM15+'SGTO POAI VIGENCIA 2021'!AM16+'SGTO POAI VIGENCIA 2021'!AM17+'SGTO POAI VIGENCIA 2021'!AM18+'SGTO POAI VIGENCIA 2021'!AM19+'SGTO POAI VIGENCIA 2021'!AM20+'SGTO POAI VIGENCIA 2021'!AM21+'SGTO POAI VIGENCIA 2021'!AM22+'SGTO POAI VIGENCIA 2021'!AM23+'SGTO POAI VIGENCIA 2021'!AM24+'SGTO POAI VIGENCIA 2021'!AM25+'SGTO POAI VIGENCIA 2021'!AM44+'SGTO POAI VIGENCIA 2021'!AM45+'SGTO POAI VIGENCIA 2021'!AM62+'SGTO POAI VIGENCIA 2021'!AM63+'SGTO POAI VIGENCIA 2021'!AM64+'SGTO POAI VIGENCIA 2021'!AM65+'SGTO POAI VIGENCIA 2021'!AM66+'SGTO POAI VIGENCIA 2021'!AM127+'SGTO POAI VIGENCIA 2021'!AM128+'SGTO POAI VIGENCIA 2021'!AM129+'SGTO POAI VIGENCIA 2021'!AM193+'SGTO POAI VIGENCIA 2021'!AM194+'SGTO POAI VIGENCIA 2021'!AM195+'SGTO POAI VIGENCIA 2021'!AM196+'SGTO POAI VIGENCIA 2021'!AM197+'SGTO POAI VIGENCIA 2021'!AM198+'SGTO POAI VIGENCIA 2021'!AM199+'SGTO POAI VIGENCIA 2021'!AM200</f>
        <v>6464833750.8400002</v>
      </c>
    </row>
    <row r="25" spans="2:4" ht="24.95" customHeight="1" x14ac:dyDescent="0.25">
      <c r="B25" s="33"/>
      <c r="C25" s="68" t="s">
        <v>1357</v>
      </c>
      <c r="D25" s="71">
        <f>D22+D17+D12+D3</f>
        <v>319490464131.91003</v>
      </c>
    </row>
    <row r="26" spans="2:4" ht="36.75" customHeight="1" x14ac:dyDescent="0.25"/>
    <row r="27" spans="2:4" ht="45.75" customHeight="1" x14ac:dyDescent="0.25">
      <c r="B27" s="477" t="s">
        <v>1656</v>
      </c>
      <c r="C27" s="478"/>
      <c r="D27" s="478"/>
    </row>
    <row r="28" spans="2:4" ht="24.95" customHeight="1" x14ac:dyDescent="0.25">
      <c r="B28" s="387">
        <v>1</v>
      </c>
      <c r="C28" s="388" t="s">
        <v>136</v>
      </c>
      <c r="D28" s="389">
        <f>SUM(D29:D30)</f>
        <v>8179890631.7399998</v>
      </c>
    </row>
    <row r="29" spans="2:4" ht="24.95" customHeight="1" x14ac:dyDescent="0.25">
      <c r="B29" s="34">
        <v>22</v>
      </c>
      <c r="C29" s="202" t="s">
        <v>156</v>
      </c>
      <c r="D29" s="96">
        <f>'SGTO POAI VIGENCIA 2021'!AM293</f>
        <v>329008863.94999999</v>
      </c>
    </row>
    <row r="30" spans="2:4" ht="24.95" customHeight="1" x14ac:dyDescent="0.25">
      <c r="B30" s="34">
        <v>43</v>
      </c>
      <c r="C30" s="202" t="s">
        <v>176</v>
      </c>
      <c r="D30" s="96">
        <f>'SGTO POAI VIGENCIA 2021'!AM286+'SGTO POAI VIGENCIA 2021'!AM287+'SGTO POAI VIGENCIA 2021'!AM288+'SGTO POAI VIGENCIA 2021'!AM289+'SGTO POAI VIGENCIA 2021'!AM290+'SGTO POAI VIGENCIA 2021'!AM291+'SGTO POAI VIGENCIA 2021'!AM292</f>
        <v>7850881767.79</v>
      </c>
    </row>
    <row r="31" spans="2:4" ht="24.95" customHeight="1" x14ac:dyDescent="0.25">
      <c r="B31" s="357">
        <v>3</v>
      </c>
      <c r="C31" s="349" t="s">
        <v>186</v>
      </c>
      <c r="D31" s="350">
        <f>SUM(D32:D33)</f>
        <v>1728023393.23</v>
      </c>
    </row>
    <row r="32" spans="2:4" ht="24.95" customHeight="1" x14ac:dyDescent="0.25">
      <c r="B32" s="34">
        <f>'SGTO POAI VIGENCIA 2021'!E294</f>
        <v>24</v>
      </c>
      <c r="C32" s="209" t="str">
        <f>'SGTO POAI VIGENCIA 2021'!F294</f>
        <v>Transporte</v>
      </c>
      <c r="D32" s="96">
        <f>'SGTO POAI VIGENCIA 2021'!AM294+'SGTO POAI VIGENCIA 2021'!AM302+'SGTO POAI VIGENCIA 2021'!AM303+'SGTO POAI VIGENCIA 2021'!AM304+'SGTO POAI VIGENCIA 2021'!AM305</f>
        <v>459106731.19999999</v>
      </c>
    </row>
    <row r="33" spans="2:4" ht="24.95" customHeight="1" x14ac:dyDescent="0.25">
      <c r="B33" s="34">
        <f>'SGTO POAI VIGENCIA 2021'!E295</f>
        <v>40</v>
      </c>
      <c r="C33" s="207" t="str">
        <f>'SGTO POAI VIGENCIA 2021'!F295</f>
        <v>Vivienda, Ciudad y Territorio</v>
      </c>
      <c r="D33" s="96">
        <f>'SGTO POAI VIGENCIA 2021'!AM295+'SGTO POAI VIGENCIA 2021'!AM296+'SGTO POAI VIGENCIA 2021'!AM297+'SGTO POAI VIGENCIA 2021'!AM298+'SGTO POAI VIGENCIA 2021'!AM299+'SGTO POAI VIGENCIA 2021'!AM300+'SGTO POAI VIGENCIA 2021'!AM301</f>
        <v>1268916662.03</v>
      </c>
    </row>
    <row r="34" spans="2:4" ht="24.95" customHeight="1" x14ac:dyDescent="0.25">
      <c r="B34" s="33"/>
      <c r="C34" s="68" t="s">
        <v>1358</v>
      </c>
      <c r="D34" s="71">
        <f>D28+D31</f>
        <v>9907914024.9699993</v>
      </c>
    </row>
    <row r="35" spans="2:4" x14ac:dyDescent="0.25">
      <c r="D35" s="206"/>
    </row>
    <row r="36" spans="2:4" ht="24.95" customHeight="1" x14ac:dyDescent="0.25">
      <c r="B36" s="479" t="s">
        <v>1359</v>
      </c>
      <c r="C36" s="480"/>
      <c r="D36" s="346">
        <f>D34+D25</f>
        <v>329398378156.88</v>
      </c>
    </row>
    <row r="41" spans="2:4" x14ac:dyDescent="0.25">
      <c r="D41" s="134"/>
    </row>
  </sheetData>
  <mergeCells count="3">
    <mergeCell ref="B1:D1"/>
    <mergeCell ref="B27:D27"/>
    <mergeCell ref="B36:C36"/>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67"/>
  <sheetViews>
    <sheetView showGridLines="0" zoomScale="70" zoomScaleNormal="70" workbookViewId="0"/>
  </sheetViews>
  <sheetFormatPr baseColWidth="10" defaultColWidth="11.42578125" defaultRowHeight="15" x14ac:dyDescent="0.25"/>
  <cols>
    <col min="3" max="3" width="64.42578125" customWidth="1"/>
    <col min="4" max="4" width="30.85546875" customWidth="1"/>
  </cols>
  <sheetData>
    <row r="1" spans="2:4" ht="69.75" customHeight="1" x14ac:dyDescent="0.25">
      <c r="B1" s="476" t="s">
        <v>1659</v>
      </c>
      <c r="C1" s="476"/>
      <c r="D1" s="476"/>
    </row>
    <row r="2" spans="2:4" ht="15.75" x14ac:dyDescent="0.25">
      <c r="B2" s="395" t="s">
        <v>1355</v>
      </c>
      <c r="C2" s="396" t="s">
        <v>1657</v>
      </c>
      <c r="D2" s="397" t="s">
        <v>1607</v>
      </c>
    </row>
    <row r="3" spans="2:4" ht="15.75" x14ac:dyDescent="0.25">
      <c r="B3" s="382">
        <v>1</v>
      </c>
      <c r="C3" s="383" t="s">
        <v>136</v>
      </c>
      <c r="D3" s="384">
        <f>SUM(D4:D21)</f>
        <v>289944507382.05005</v>
      </c>
    </row>
    <row r="4" spans="2:4" ht="21" customHeight="1" x14ac:dyDescent="0.25">
      <c r="B4" s="34">
        <v>1202</v>
      </c>
      <c r="C4" s="202" t="s">
        <v>138</v>
      </c>
      <c r="D4" s="96">
        <f>'RESUMEN POR UNIDAD'!E27+'RESUMEN POR UNIDAD'!E55</f>
        <v>160105000</v>
      </c>
    </row>
    <row r="5" spans="2:4" ht="36.75" customHeight="1" x14ac:dyDescent="0.25">
      <c r="B5" s="34">
        <v>1203</v>
      </c>
      <c r="C5" s="202" t="s">
        <v>265</v>
      </c>
      <c r="D5" s="96">
        <f>'RESUMEN POR UNIDAD'!E56</f>
        <v>67223401</v>
      </c>
    </row>
    <row r="6" spans="2:4" ht="40.5" customHeight="1" x14ac:dyDescent="0.25">
      <c r="B6" s="34">
        <v>1206</v>
      </c>
      <c r="C6" s="187" t="s">
        <v>271</v>
      </c>
      <c r="D6" s="96">
        <f>'RESUMEN POR UNIDAD'!E57</f>
        <v>30000000</v>
      </c>
    </row>
    <row r="7" spans="2:4" ht="27.75" customHeight="1" x14ac:dyDescent="0.25">
      <c r="B7" s="34">
        <v>1903</v>
      </c>
      <c r="C7" s="202" t="s">
        <v>987</v>
      </c>
      <c r="D7" s="96">
        <f>'RESUMEN POR UNIDAD'!E145</f>
        <v>3182666735.21</v>
      </c>
    </row>
    <row r="8" spans="2:4" ht="25.5" customHeight="1" x14ac:dyDescent="0.25">
      <c r="B8" s="34">
        <v>1905</v>
      </c>
      <c r="C8" s="202" t="s">
        <v>768</v>
      </c>
      <c r="D8" s="96">
        <f>'RESUMEN POR UNIDAD'!E125+'RESUMEN POR UNIDAD'!E146</f>
        <v>7162718049.7600002</v>
      </c>
    </row>
    <row r="9" spans="2:4" ht="38.25" customHeight="1" x14ac:dyDescent="0.25">
      <c r="B9" s="34">
        <v>1906</v>
      </c>
      <c r="C9" s="187" t="s">
        <v>148</v>
      </c>
      <c r="D9" s="96">
        <f>'RESUMEN POR UNIDAD'!E29+'RESUMEN POR UNIDAD'!E147</f>
        <v>65445974560.139999</v>
      </c>
    </row>
    <row r="10" spans="2:4" ht="39" customHeight="1" x14ac:dyDescent="0.25">
      <c r="B10" s="34">
        <v>2201</v>
      </c>
      <c r="C10" s="202" t="s">
        <v>157</v>
      </c>
      <c r="D10" s="96">
        <f>'RESUMEN POR UNIDAD'!E31+'RESUMEN POR UNIDAD'!E59+'RESUMEN POR UNIDAD'!E116</f>
        <v>194591103980.18005</v>
      </c>
    </row>
    <row r="11" spans="2:4" ht="37.5" customHeight="1" x14ac:dyDescent="0.25">
      <c r="B11" s="34">
        <v>2202</v>
      </c>
      <c r="C11" s="187" t="s">
        <v>1467</v>
      </c>
      <c r="D11" s="96">
        <f>'RESUMEN POR UNIDAD'!E117</f>
        <v>439058252</v>
      </c>
    </row>
    <row r="12" spans="2:4" ht="49.5" customHeight="1" x14ac:dyDescent="0.25">
      <c r="B12" s="34">
        <v>2301</v>
      </c>
      <c r="C12" s="202" t="s">
        <v>1199</v>
      </c>
      <c r="D12" s="96">
        <f>'RESUMEN POR UNIDAD'!E152</f>
        <v>674000000</v>
      </c>
    </row>
    <row r="13" spans="2:4" ht="63" customHeight="1" x14ac:dyDescent="0.25">
      <c r="B13" s="34">
        <v>2302</v>
      </c>
      <c r="C13" s="187" t="s">
        <v>1472</v>
      </c>
      <c r="D13" s="96">
        <f>'RESUMEN POR UNIDAD'!E153</f>
        <v>146000000</v>
      </c>
    </row>
    <row r="14" spans="2:4" ht="39" customHeight="1" x14ac:dyDescent="0.25">
      <c r="B14" s="34">
        <v>3301</v>
      </c>
      <c r="C14" s="187" t="s">
        <v>167</v>
      </c>
      <c r="D14" s="96">
        <f>'RESUMEN POR UNIDAD'!E33+'RESUMEN POR UNIDAD'!E77+'RESUMEN POR UNIDAD'!E127</f>
        <v>3838763873.0199995</v>
      </c>
    </row>
    <row r="15" spans="2:4" ht="37.5" customHeight="1" x14ac:dyDescent="0.25">
      <c r="B15" s="34">
        <v>3302</v>
      </c>
      <c r="C15" s="187" t="s">
        <v>389</v>
      </c>
      <c r="D15" s="96">
        <f>'RESUMEN POR UNIDAD'!E78</f>
        <v>274198236.30000001</v>
      </c>
    </row>
    <row r="16" spans="2:4" ht="38.25" customHeight="1" x14ac:dyDescent="0.25">
      <c r="B16" s="34">
        <v>4101</v>
      </c>
      <c r="C16" s="187" t="s">
        <v>285</v>
      </c>
      <c r="D16" s="96">
        <f>'RESUMEN POR UNIDAD'!E61</f>
        <v>502657113</v>
      </c>
    </row>
    <row r="17" spans="2:4" ht="57.75" customHeight="1" x14ac:dyDescent="0.25">
      <c r="B17" s="34">
        <v>4102</v>
      </c>
      <c r="C17" s="187" t="s">
        <v>785</v>
      </c>
      <c r="D17" s="96">
        <f>'RESUMEN POR UNIDAD'!E129</f>
        <v>1174562889</v>
      </c>
    </row>
    <row r="18" spans="2:4" ht="42.75" customHeight="1" x14ac:dyDescent="0.25">
      <c r="B18" s="34">
        <v>4103</v>
      </c>
      <c r="C18" s="187" t="s">
        <v>302</v>
      </c>
      <c r="D18" s="96">
        <f>'RESUMEN POR UNIDAD'!E62+'RESUMEN POR UNIDAD'!E130</f>
        <v>267821343</v>
      </c>
    </row>
    <row r="19" spans="2:4" ht="45" x14ac:dyDescent="0.25">
      <c r="B19" s="34">
        <v>4104</v>
      </c>
      <c r="C19" s="187" t="s">
        <v>893</v>
      </c>
      <c r="D19" s="96">
        <f>'RESUMEN POR UNIDAD'!E131</f>
        <v>4789370244.0100002</v>
      </c>
    </row>
    <row r="20" spans="2:4" ht="52.5" customHeight="1" x14ac:dyDescent="0.25">
      <c r="B20" s="34">
        <v>4301</v>
      </c>
      <c r="C20" s="187" t="s">
        <v>177</v>
      </c>
      <c r="D20" s="96">
        <f>'RESUMEN POR UNIDAD'!E35</f>
        <v>2760904177.1000004</v>
      </c>
    </row>
    <row r="21" spans="2:4" ht="41.25" customHeight="1" x14ac:dyDescent="0.25">
      <c r="B21" s="34">
        <v>4501</v>
      </c>
      <c r="C21" s="187" t="s">
        <v>311</v>
      </c>
      <c r="D21" s="96">
        <f>'RESUMEN POR UNIDAD'!E64</f>
        <v>4437379528.3299999</v>
      </c>
    </row>
    <row r="22" spans="2:4" ht="15.75" x14ac:dyDescent="0.25">
      <c r="B22" s="382">
        <v>2</v>
      </c>
      <c r="C22" s="383" t="s">
        <v>400</v>
      </c>
      <c r="D22" s="384">
        <f>SUM(D23:D34)</f>
        <v>5899994710.2399998</v>
      </c>
    </row>
    <row r="23" spans="2:4" ht="41.25" customHeight="1" x14ac:dyDescent="0.25">
      <c r="B23" s="34">
        <v>1702</v>
      </c>
      <c r="C23" s="187" t="s">
        <v>452</v>
      </c>
      <c r="D23" s="96">
        <f>'RESUMEN POR UNIDAD'!E90</f>
        <v>1562901499.6300001</v>
      </c>
    </row>
    <row r="24" spans="2:4" ht="36.75" customHeight="1" x14ac:dyDescent="0.25">
      <c r="B24" s="34">
        <v>1703</v>
      </c>
      <c r="C24" s="187" t="s">
        <v>500</v>
      </c>
      <c r="D24" s="96">
        <f>'RESUMEN POR UNIDAD'!E91+'RESUMEN POR UNIDAD'!E134</f>
        <v>343000000</v>
      </c>
    </row>
    <row r="25" spans="2:4" ht="36.75" customHeight="1" x14ac:dyDescent="0.25">
      <c r="B25" s="34">
        <v>1704</v>
      </c>
      <c r="C25" s="187" t="s">
        <v>507</v>
      </c>
      <c r="D25" s="96">
        <f>'RESUMEN POR UNIDAD'!E92</f>
        <v>69255500</v>
      </c>
    </row>
    <row r="26" spans="2:4" ht="43.5" customHeight="1" x14ac:dyDescent="0.25">
      <c r="B26" s="34">
        <v>1706</v>
      </c>
      <c r="C26" s="187" t="s">
        <v>516</v>
      </c>
      <c r="D26" s="96">
        <f>'RESUMEN POR UNIDAD'!E93</f>
        <v>20000000</v>
      </c>
    </row>
    <row r="27" spans="2:4" ht="39.75" customHeight="1" x14ac:dyDescent="0.25">
      <c r="B27" s="34">
        <v>1707</v>
      </c>
      <c r="C27" s="187" t="s">
        <v>523</v>
      </c>
      <c r="D27" s="96">
        <f>'RESUMEN POR UNIDAD'!E94</f>
        <v>43000000</v>
      </c>
    </row>
    <row r="28" spans="2:4" ht="40.5" customHeight="1" x14ac:dyDescent="0.25">
      <c r="B28" s="34">
        <v>1708</v>
      </c>
      <c r="C28" s="187" t="s">
        <v>530</v>
      </c>
      <c r="D28" s="96">
        <f>'RESUMEN POR UNIDAD'!E95</f>
        <v>37555000</v>
      </c>
    </row>
    <row r="29" spans="2:4" ht="38.25" customHeight="1" x14ac:dyDescent="0.25">
      <c r="B29" s="34">
        <v>1709</v>
      </c>
      <c r="C29" s="187" t="s">
        <v>539</v>
      </c>
      <c r="D29" s="96">
        <f>'RESUMEN POR UNIDAD'!E96</f>
        <v>108000000</v>
      </c>
    </row>
    <row r="30" spans="2:4" ht="39" customHeight="1" x14ac:dyDescent="0.25">
      <c r="B30" s="34">
        <v>3502</v>
      </c>
      <c r="C30" s="187" t="s">
        <v>402</v>
      </c>
      <c r="D30" s="96">
        <f>'RESUMEN POR UNIDAD'!E83+'RESUMEN POR UNIDAD'!E98+'RESUMEN POR UNIDAD'!E38</f>
        <v>3355087710.6100001</v>
      </c>
    </row>
    <row r="31" spans="2:4" ht="39" customHeight="1" x14ac:dyDescent="0.25">
      <c r="B31" s="34">
        <v>3602</v>
      </c>
      <c r="C31" s="187" t="s">
        <v>434</v>
      </c>
      <c r="D31" s="96">
        <f>'RESUMEN POR UNIDAD'!E85</f>
        <v>237500000</v>
      </c>
    </row>
    <row r="32" spans="2:4" ht="35.25" customHeight="1" x14ac:dyDescent="0.25">
      <c r="B32" s="34">
        <v>3604</v>
      </c>
      <c r="C32" s="202" t="s">
        <v>932</v>
      </c>
      <c r="D32" s="96">
        <f>'RESUMEN POR UNIDAD'!E136</f>
        <v>38195000</v>
      </c>
    </row>
    <row r="33" spans="2:4" ht="37.5" customHeight="1" x14ac:dyDescent="0.25">
      <c r="B33" s="34">
        <v>3903</v>
      </c>
      <c r="C33" s="187" t="s">
        <v>1240</v>
      </c>
      <c r="D33" s="96">
        <f>'RESUMEN POR UNIDAD'!E156</f>
        <v>60000000</v>
      </c>
    </row>
    <row r="34" spans="2:4" ht="41.25" customHeight="1" x14ac:dyDescent="0.25">
      <c r="B34" s="34">
        <v>3904</v>
      </c>
      <c r="C34" s="187" t="s">
        <v>759</v>
      </c>
      <c r="D34" s="96">
        <f>'RESUMEN POR UNIDAD'!E157+'RESUMEN POR UNIDAD'!E120</f>
        <v>25500000</v>
      </c>
    </row>
    <row r="35" spans="2:4" ht="15.75" x14ac:dyDescent="0.25">
      <c r="B35" s="382">
        <v>3</v>
      </c>
      <c r="C35" s="383" t="s">
        <v>186</v>
      </c>
      <c r="D35" s="384">
        <f>SUM(D36:D44)</f>
        <v>16883128288.780001</v>
      </c>
    </row>
    <row r="36" spans="2:4" ht="21.75" customHeight="1" x14ac:dyDescent="0.25">
      <c r="B36" s="34">
        <v>2402</v>
      </c>
      <c r="C36" s="187" t="s">
        <v>188</v>
      </c>
      <c r="D36" s="96">
        <f>'RESUMEN POR UNIDAD'!E41</f>
        <v>8590607588</v>
      </c>
    </row>
    <row r="37" spans="2:4" ht="36" customHeight="1" x14ac:dyDescent="0.25">
      <c r="B37" s="34">
        <v>3201</v>
      </c>
      <c r="C37" s="187" t="s">
        <v>558</v>
      </c>
      <c r="D37" s="96">
        <f>'RESUMEN POR UNIDAD'!E101</f>
        <v>81456499</v>
      </c>
    </row>
    <row r="38" spans="2:4" ht="35.25" customHeight="1" x14ac:dyDescent="0.25">
      <c r="B38" s="34">
        <v>3202</v>
      </c>
      <c r="C38" s="187" t="s">
        <v>568</v>
      </c>
      <c r="D38" s="96">
        <f>'RESUMEN POR UNIDAD'!E102</f>
        <v>1235631389</v>
      </c>
    </row>
    <row r="39" spans="2:4" ht="43.5" customHeight="1" x14ac:dyDescent="0.25">
      <c r="B39" s="34">
        <v>3204</v>
      </c>
      <c r="C39" s="187" t="s">
        <v>599</v>
      </c>
      <c r="D39" s="96">
        <f>'RESUMEN POR UNIDAD'!E103</f>
        <v>120000000</v>
      </c>
    </row>
    <row r="40" spans="2:4" ht="36" customHeight="1" x14ac:dyDescent="0.25">
      <c r="B40" s="34">
        <v>3205</v>
      </c>
      <c r="C40" s="187" t="s">
        <v>208</v>
      </c>
      <c r="D40" s="96">
        <f>'RESUMEN POR UNIDAD'!E104+'RESUMEN POR UNIDAD'!E43+'RESUMEN POR UNIDAD'!E67</f>
        <v>2588958067</v>
      </c>
    </row>
    <row r="41" spans="2:4" ht="45" x14ac:dyDescent="0.25">
      <c r="B41" s="34">
        <v>3206</v>
      </c>
      <c r="C41" s="187" t="s">
        <v>618</v>
      </c>
      <c r="D41" s="96">
        <f>'RESUMEN POR UNIDAD'!E105</f>
        <v>118000000</v>
      </c>
    </row>
    <row r="42" spans="2:4" ht="24" customHeight="1" x14ac:dyDescent="0.25">
      <c r="B42" s="34">
        <v>4001</v>
      </c>
      <c r="C42" s="187" t="s">
        <v>222</v>
      </c>
      <c r="D42" s="96">
        <f>'RESUMEN POR UNIDAD'!E45</f>
        <v>120000000.09999999</v>
      </c>
    </row>
    <row r="43" spans="2:4" ht="34.5" customHeight="1" x14ac:dyDescent="0.25">
      <c r="B43" s="34">
        <v>4003</v>
      </c>
      <c r="C43" s="187" t="s">
        <v>230</v>
      </c>
      <c r="D43" s="96">
        <f>'RESUMEN POR UNIDAD'!E46</f>
        <v>3500159641.6800003</v>
      </c>
    </row>
    <row r="44" spans="2:4" ht="33" customHeight="1" x14ac:dyDescent="0.25">
      <c r="B44" s="34">
        <v>4503</v>
      </c>
      <c r="C44" s="187" t="s">
        <v>1461</v>
      </c>
      <c r="D44" s="96">
        <f>'RESUMEN POR UNIDAD'!E69</f>
        <v>528315104</v>
      </c>
    </row>
    <row r="45" spans="2:4" ht="15.75" x14ac:dyDescent="0.25">
      <c r="B45" s="382">
        <v>4</v>
      </c>
      <c r="C45" s="383" t="s">
        <v>37</v>
      </c>
      <c r="D45" s="384">
        <f>SUM(D46:D48)</f>
        <v>6762833750.8400002</v>
      </c>
    </row>
    <row r="46" spans="2:4" ht="74.25" customHeight="1" x14ac:dyDescent="0.25">
      <c r="B46" s="45">
        <v>2302</v>
      </c>
      <c r="C46" s="48" t="s">
        <v>1472</v>
      </c>
      <c r="D46" s="205">
        <f>'RESUMEN POR UNIDAD'!E160</f>
        <v>298000000</v>
      </c>
    </row>
    <row r="47" spans="2:4" ht="39.75" customHeight="1" x14ac:dyDescent="0.25">
      <c r="B47" s="45">
        <v>4502</v>
      </c>
      <c r="C47" s="48" t="s">
        <v>60</v>
      </c>
      <c r="D47" s="205">
        <f>'RESUMEN POR UNIDAD'!E11+'RESUMEN POR UNIDAD'!E16+'RESUMEN POR UNIDAD'!E50+'RESUMEN POR UNIDAD'!E72+'RESUMEN POR UNIDAD'!E111+'RESUMEN POR UNIDAD'!E139</f>
        <v>1038584058.98</v>
      </c>
    </row>
    <row r="48" spans="2:4" ht="54.75" customHeight="1" x14ac:dyDescent="0.25">
      <c r="B48" s="45">
        <v>4599</v>
      </c>
      <c r="C48" s="47" t="s">
        <v>39</v>
      </c>
      <c r="D48" s="205">
        <f>'RESUMEN POR UNIDAD'!E10+'RESUMEN POR UNIDAD'!E17+'RESUMEN POR UNIDAD'!E22+'RESUMEN POR UNIDAD'!E49+'RESUMEN POR UNIDAD'!E110+'RESUMEN POR UNIDAD'!E140</f>
        <v>5426249691.8600006</v>
      </c>
    </row>
    <row r="49" spans="2:4" ht="21.75" customHeight="1" x14ac:dyDescent="0.25">
      <c r="B49" s="33"/>
      <c r="C49" s="68" t="s">
        <v>1357</v>
      </c>
      <c r="D49" s="71">
        <f>D45+D35+D22+D3</f>
        <v>319490464131.91003</v>
      </c>
    </row>
    <row r="50" spans="2:4" ht="27" customHeight="1" x14ac:dyDescent="0.25"/>
    <row r="51" spans="2:4" ht="45.75" customHeight="1" x14ac:dyDescent="0.25">
      <c r="B51" s="477" t="s">
        <v>1660</v>
      </c>
      <c r="C51" s="478"/>
      <c r="D51" s="478"/>
    </row>
    <row r="52" spans="2:4" ht="15.75" x14ac:dyDescent="0.25">
      <c r="B52" s="386">
        <v>1</v>
      </c>
      <c r="C52" s="394" t="s">
        <v>136</v>
      </c>
      <c r="D52" s="385">
        <f>SUM(D53:D55)</f>
        <v>8179890631.7399998</v>
      </c>
    </row>
    <row r="53" spans="2:4" ht="45" x14ac:dyDescent="0.25">
      <c r="B53" s="34">
        <v>2201</v>
      </c>
      <c r="C53" s="202" t="s">
        <v>277</v>
      </c>
      <c r="D53" s="96">
        <f>'RESUMEN POR UNIDAD'!E175</f>
        <v>329008863.94999999</v>
      </c>
    </row>
    <row r="54" spans="2:4" ht="51.75" customHeight="1" x14ac:dyDescent="0.25">
      <c r="B54" s="34">
        <v>4301</v>
      </c>
      <c r="C54" s="202" t="s">
        <v>177</v>
      </c>
      <c r="D54" s="96">
        <f>'RESUMEN POR UNIDAD'!E173+'RESUMEN POR UNIDAD'!E167</f>
        <v>3537751176.7399998</v>
      </c>
    </row>
    <row r="55" spans="2:4" ht="32.25" customHeight="1" x14ac:dyDescent="0.25">
      <c r="B55" s="34">
        <v>4302</v>
      </c>
      <c r="C55" s="202" t="s">
        <v>1287</v>
      </c>
      <c r="D55" s="96">
        <f>'RESUMEN POR UNIDAD'!E168</f>
        <v>4313130591.0500002</v>
      </c>
    </row>
    <row r="56" spans="2:4" ht="15.75" x14ac:dyDescent="0.25">
      <c r="B56" s="382">
        <v>3</v>
      </c>
      <c r="C56" s="383" t="s">
        <v>186</v>
      </c>
      <c r="D56" s="384">
        <f>SUM(D57:D59)</f>
        <v>1728023393.23</v>
      </c>
    </row>
    <row r="57" spans="2:4" ht="24" customHeight="1" x14ac:dyDescent="0.25">
      <c r="B57" s="34">
        <v>2402</v>
      </c>
      <c r="C57" s="209" t="s">
        <v>188</v>
      </c>
      <c r="D57" s="96">
        <f>'RESUMEN POR UNIDAD'!E178</f>
        <v>348896731.19999999</v>
      </c>
    </row>
    <row r="58" spans="2:4" ht="23.25" customHeight="1" x14ac:dyDescent="0.25">
      <c r="B58" s="34">
        <v>2409</v>
      </c>
      <c r="C58" s="207" t="s">
        <v>1334</v>
      </c>
      <c r="D58" s="96">
        <f>'RESUMEN POR UNIDAD'!E185</f>
        <v>110210000</v>
      </c>
    </row>
    <row r="59" spans="2:4" ht="23.25" customHeight="1" x14ac:dyDescent="0.25">
      <c r="B59" s="34">
        <v>4001</v>
      </c>
      <c r="C59" s="207" t="s">
        <v>222</v>
      </c>
      <c r="D59" s="96">
        <f>'RESUMEN POR UNIDAD'!E180</f>
        <v>1268916662.03</v>
      </c>
    </row>
    <row r="60" spans="2:4" ht="23.25" customHeight="1" x14ac:dyDescent="0.25">
      <c r="B60" s="33"/>
      <c r="C60" s="68" t="s">
        <v>1358</v>
      </c>
      <c r="D60" s="71">
        <f>D52+D56</f>
        <v>9907914024.9699993</v>
      </c>
    </row>
    <row r="61" spans="2:4" x14ac:dyDescent="0.25">
      <c r="D61" s="206"/>
    </row>
    <row r="62" spans="2:4" ht="26.25" customHeight="1" x14ac:dyDescent="0.25">
      <c r="B62" s="479" t="s">
        <v>1359</v>
      </c>
      <c r="C62" s="480"/>
      <c r="D62" s="346">
        <f>D60+D49</f>
        <v>329398378156.88</v>
      </c>
    </row>
    <row r="67" spans="4:4" x14ac:dyDescent="0.25">
      <c r="D67" s="134"/>
    </row>
  </sheetData>
  <mergeCells count="3">
    <mergeCell ref="B62:C62"/>
    <mergeCell ref="B1:D1"/>
    <mergeCell ref="B51:D5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D36"/>
  <sheetViews>
    <sheetView showGridLines="0" zoomScale="80" zoomScaleNormal="80" workbookViewId="0">
      <selection activeCell="E13" sqref="E13"/>
    </sheetView>
  </sheetViews>
  <sheetFormatPr baseColWidth="10" defaultColWidth="11.42578125" defaultRowHeight="15" x14ac:dyDescent="0.25"/>
  <cols>
    <col min="3" max="3" width="64.42578125" customWidth="1"/>
    <col min="4" max="4" width="32.7109375" customWidth="1"/>
  </cols>
  <sheetData>
    <row r="1" spans="2:4" ht="67.5" customHeight="1" x14ac:dyDescent="0.25">
      <c r="B1" s="476" t="s">
        <v>1651</v>
      </c>
      <c r="C1" s="476"/>
      <c r="D1" s="476"/>
    </row>
    <row r="2" spans="2:4" ht="24.95" customHeight="1" x14ac:dyDescent="0.25">
      <c r="B2" s="390" t="s">
        <v>1356</v>
      </c>
      <c r="C2" s="391" t="s">
        <v>1353</v>
      </c>
      <c r="D2" s="390" t="s">
        <v>1476</v>
      </c>
    </row>
    <row r="3" spans="2:4" ht="24.95" customHeight="1" x14ac:dyDescent="0.25">
      <c r="B3" s="398">
        <v>1</v>
      </c>
      <c r="C3" s="399" t="s">
        <v>1580</v>
      </c>
      <c r="D3" s="400">
        <f>PROGRAMAS!D3</f>
        <v>289944507382.05005</v>
      </c>
    </row>
    <row r="4" spans="2:4" ht="24.95" customHeight="1" x14ac:dyDescent="0.25">
      <c r="B4" s="45">
        <v>2</v>
      </c>
      <c r="C4" s="46" t="s">
        <v>1587</v>
      </c>
      <c r="D4" s="205">
        <f>PROGRAMAS!D22</f>
        <v>5899994710.2399998</v>
      </c>
    </row>
    <row r="5" spans="2:4" ht="24.95" customHeight="1" x14ac:dyDescent="0.25">
      <c r="B5" s="45">
        <v>3</v>
      </c>
      <c r="C5" s="207" t="s">
        <v>1582</v>
      </c>
      <c r="D5" s="205">
        <f>PROGRAMAS!D35</f>
        <v>16883128288.780001</v>
      </c>
    </row>
    <row r="6" spans="2:4" ht="24.95" customHeight="1" x14ac:dyDescent="0.25">
      <c r="B6" s="45">
        <v>4</v>
      </c>
      <c r="C6" s="208" t="s">
        <v>1578</v>
      </c>
      <c r="D6" s="205">
        <f>PROGRAMAS!D45</f>
        <v>6762833750.8400002</v>
      </c>
    </row>
    <row r="7" spans="2:4" ht="24.95" customHeight="1" x14ac:dyDescent="0.25">
      <c r="B7" s="33"/>
      <c r="C7" s="68" t="s">
        <v>1360</v>
      </c>
      <c r="D7" s="71">
        <f>SUM(D3:D6)</f>
        <v>319490464131.9101</v>
      </c>
    </row>
    <row r="14" spans="2:4" ht="64.5" customHeight="1" x14ac:dyDescent="0.25">
      <c r="B14" s="476" t="s">
        <v>1652</v>
      </c>
      <c r="C14" s="476"/>
      <c r="D14" s="476"/>
    </row>
    <row r="15" spans="2:4" ht="24.95" customHeight="1" x14ac:dyDescent="0.25">
      <c r="B15" s="390" t="s">
        <v>1356</v>
      </c>
      <c r="C15" s="391" t="s">
        <v>1353</v>
      </c>
      <c r="D15" s="390" t="s">
        <v>1476</v>
      </c>
    </row>
    <row r="16" spans="2:4" ht="24.95" customHeight="1" x14ac:dyDescent="0.25">
      <c r="B16" s="398">
        <v>1</v>
      </c>
      <c r="C16" s="399" t="s">
        <v>1578</v>
      </c>
      <c r="D16" s="400">
        <f>PROGRAMAS!D52</f>
        <v>8179890631.7399998</v>
      </c>
    </row>
    <row r="17" spans="2:4" ht="24.95" customHeight="1" x14ac:dyDescent="0.25">
      <c r="B17" s="45">
        <v>3</v>
      </c>
      <c r="C17" s="46" t="s">
        <v>1582</v>
      </c>
      <c r="D17" s="205">
        <f>PROGRAMAS!D56</f>
        <v>1728023393.23</v>
      </c>
    </row>
    <row r="18" spans="2:4" ht="24.95" customHeight="1" x14ac:dyDescent="0.25">
      <c r="B18" s="33"/>
      <c r="C18" s="68" t="s">
        <v>1360</v>
      </c>
      <c r="D18" s="71">
        <f>SUM(D16:D17)</f>
        <v>9907914024.9699993</v>
      </c>
    </row>
    <row r="30" spans="2:4" ht="60.75" customHeight="1" x14ac:dyDescent="0.25">
      <c r="B30" s="476" t="s">
        <v>1653</v>
      </c>
      <c r="C30" s="476"/>
      <c r="D30" s="476"/>
    </row>
    <row r="31" spans="2:4" ht="24.95" customHeight="1" x14ac:dyDescent="0.25">
      <c r="B31" s="390" t="s">
        <v>1356</v>
      </c>
      <c r="C31" s="391" t="s">
        <v>1632</v>
      </c>
      <c r="D31" s="390" t="s">
        <v>1476</v>
      </c>
    </row>
    <row r="32" spans="2:4" ht="24.95" customHeight="1" x14ac:dyDescent="0.25">
      <c r="B32" s="398">
        <v>1</v>
      </c>
      <c r="C32" s="399" t="s">
        <v>1580</v>
      </c>
      <c r="D32" s="400">
        <f>D3+D16</f>
        <v>298124398013.79004</v>
      </c>
    </row>
    <row r="33" spans="2:4" ht="24.95" customHeight="1" x14ac:dyDescent="0.25">
      <c r="B33" s="45">
        <v>2</v>
      </c>
      <c r="C33" s="46" t="s">
        <v>1587</v>
      </c>
      <c r="D33" s="205">
        <f>D4</f>
        <v>5899994710.2399998</v>
      </c>
    </row>
    <row r="34" spans="2:4" ht="24.95" customHeight="1" x14ac:dyDescent="0.25">
      <c r="B34" s="45">
        <v>3</v>
      </c>
      <c r="C34" s="46" t="s">
        <v>1582</v>
      </c>
      <c r="D34" s="205">
        <f>D5+D17</f>
        <v>18611151682.010002</v>
      </c>
    </row>
    <row r="35" spans="2:4" ht="24.95" customHeight="1" x14ac:dyDescent="0.25">
      <c r="B35" s="45">
        <v>4</v>
      </c>
      <c r="C35" s="208" t="s">
        <v>1578</v>
      </c>
      <c r="D35" s="205">
        <f>D6</f>
        <v>6762833750.8400002</v>
      </c>
    </row>
    <row r="36" spans="2:4" ht="24.95" customHeight="1" x14ac:dyDescent="0.25">
      <c r="B36" s="33"/>
      <c r="C36" s="68" t="s">
        <v>1360</v>
      </c>
      <c r="D36" s="71">
        <f>SUM(D32:D35)</f>
        <v>329398378156.88007</v>
      </c>
    </row>
  </sheetData>
  <mergeCells count="3">
    <mergeCell ref="B14:D14"/>
    <mergeCell ref="B30:D30"/>
    <mergeCell ref="B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166"/>
  <sheetViews>
    <sheetView showGridLines="0" zoomScale="80" zoomScaleNormal="80" workbookViewId="0">
      <selection activeCell="C7" sqref="C7"/>
    </sheetView>
  </sheetViews>
  <sheetFormatPr baseColWidth="10" defaultColWidth="11.42578125" defaultRowHeight="15" x14ac:dyDescent="0.2"/>
  <cols>
    <col min="1" max="1" width="20.5703125" style="7" customWidth="1"/>
    <col min="2" max="2" width="70.7109375" style="7" customWidth="1"/>
    <col min="3" max="3" width="25.7109375" style="67" customWidth="1"/>
    <col min="4" max="16384" width="11.42578125" style="7"/>
  </cols>
  <sheetData>
    <row r="1" spans="1:3" ht="60" customHeight="1" thickBot="1" x14ac:dyDescent="0.25">
      <c r="A1" s="487" t="s">
        <v>1654</v>
      </c>
      <c r="B1" s="488"/>
      <c r="C1" s="488"/>
    </row>
    <row r="2" spans="1:3" s="97" customFormat="1" ht="24" customHeight="1" x14ac:dyDescent="0.25">
      <c r="A2" s="481" t="s">
        <v>23</v>
      </c>
      <c r="B2" s="483" t="s">
        <v>24</v>
      </c>
      <c r="C2" s="499" t="s">
        <v>1361</v>
      </c>
    </row>
    <row r="3" spans="1:3" s="97" customFormat="1" ht="24" customHeight="1" thickBot="1" x14ac:dyDescent="0.3">
      <c r="A3" s="482"/>
      <c r="B3" s="484"/>
      <c r="C3" s="500"/>
    </row>
    <row r="4" spans="1:3" ht="20.100000000000001" customHeight="1" thickBot="1" x14ac:dyDescent="0.25">
      <c r="A4" s="495" t="s">
        <v>36</v>
      </c>
      <c r="B4" s="496"/>
      <c r="C4" s="405">
        <f>SUM(C5:C8)</f>
        <v>457524940</v>
      </c>
    </row>
    <row r="5" spans="1:3" ht="90" customHeight="1" thickBot="1" x14ac:dyDescent="0.25">
      <c r="A5" s="54" t="s">
        <v>46</v>
      </c>
      <c r="B5" s="61" t="s">
        <v>1362</v>
      </c>
      <c r="C5" s="317">
        <f>'SGTO POAI VIGENCIA 2021'!AM8</f>
        <v>179885000</v>
      </c>
    </row>
    <row r="6" spans="1:3" ht="90" customHeight="1" thickBot="1" x14ac:dyDescent="0.25">
      <c r="A6" s="54" t="s">
        <v>52</v>
      </c>
      <c r="B6" s="61" t="s">
        <v>53</v>
      </c>
      <c r="C6" s="317">
        <f>'SGTO POAI VIGENCIA 2021'!AM9</f>
        <v>154285400</v>
      </c>
    </row>
    <row r="7" spans="1:3" ht="90" customHeight="1" thickBot="1" x14ac:dyDescent="0.25">
      <c r="A7" s="55" t="s">
        <v>58</v>
      </c>
      <c r="B7" s="61" t="s">
        <v>1363</v>
      </c>
      <c r="C7" s="317">
        <f>'SGTO POAI VIGENCIA 2021'!AM10</f>
        <v>42811174</v>
      </c>
    </row>
    <row r="8" spans="1:3" ht="90" customHeight="1" thickBot="1" x14ac:dyDescent="0.25">
      <c r="A8" s="56" t="s">
        <v>66</v>
      </c>
      <c r="B8" s="61" t="s">
        <v>67</v>
      </c>
      <c r="C8" s="317">
        <f>'SGTO POAI VIGENCIA 2021'!AM11</f>
        <v>80543366</v>
      </c>
    </row>
    <row r="9" spans="1:3" ht="16.5" thickBot="1" x14ac:dyDescent="0.25">
      <c r="A9" s="485" t="s">
        <v>69</v>
      </c>
      <c r="B9" s="486"/>
      <c r="C9" s="405">
        <f>SUM(C10:C16)</f>
        <v>910965833</v>
      </c>
    </row>
    <row r="10" spans="1:3" ht="90" customHeight="1" thickBot="1" x14ac:dyDescent="0.25">
      <c r="A10" s="56" t="s">
        <v>75</v>
      </c>
      <c r="B10" s="61" t="s">
        <v>1364</v>
      </c>
      <c r="C10" s="317">
        <f>'SGTO POAI VIGENCIA 2021'!AM12</f>
        <v>110600000</v>
      </c>
    </row>
    <row r="11" spans="1:3" ht="90" customHeight="1" thickBot="1" x14ac:dyDescent="0.25">
      <c r="A11" s="56" t="s">
        <v>80</v>
      </c>
      <c r="B11" s="61" t="s">
        <v>1365</v>
      </c>
      <c r="C11" s="317">
        <f>'SGTO POAI VIGENCIA 2021'!AM13</f>
        <v>14925000</v>
      </c>
    </row>
    <row r="12" spans="1:3" ht="90" customHeight="1" thickBot="1" x14ac:dyDescent="0.25">
      <c r="A12" s="56" t="s">
        <v>87</v>
      </c>
      <c r="B12" s="61" t="s">
        <v>1366</v>
      </c>
      <c r="C12" s="317">
        <f>'SGTO POAI VIGENCIA 2021'!AM14</f>
        <v>220682500</v>
      </c>
    </row>
    <row r="13" spans="1:3" ht="90" customHeight="1" thickBot="1" x14ac:dyDescent="0.25">
      <c r="A13" s="56" t="s">
        <v>94</v>
      </c>
      <c r="B13" s="61" t="s">
        <v>1367</v>
      </c>
      <c r="C13" s="317">
        <f>'SGTO POAI VIGENCIA 2021'!AM15</f>
        <v>50776000</v>
      </c>
    </row>
    <row r="14" spans="1:3" ht="90" customHeight="1" thickBot="1" x14ac:dyDescent="0.25">
      <c r="A14" s="56" t="s">
        <v>98</v>
      </c>
      <c r="B14" s="61" t="s">
        <v>1368</v>
      </c>
      <c r="C14" s="317">
        <f>'SGTO POAI VIGENCIA 2021'!AM16</f>
        <v>298084000</v>
      </c>
    </row>
    <row r="15" spans="1:3" ht="90" customHeight="1" thickBot="1" x14ac:dyDescent="0.25">
      <c r="A15" s="56" t="s">
        <v>106</v>
      </c>
      <c r="B15" s="61" t="s">
        <v>1369</v>
      </c>
      <c r="C15" s="317">
        <f>'SGTO POAI VIGENCIA 2021'!AM17+'SGTO POAI VIGENCIA 2021'!AM18+'SGTO POAI VIGENCIA 2021'!AM19+'SGTO POAI VIGENCIA 2021'!AM20+'SGTO POAI VIGENCIA 2021'!AM21+'SGTO POAI VIGENCIA 2021'!AM22</f>
        <v>145168333</v>
      </c>
    </row>
    <row r="16" spans="1:3" ht="90" customHeight="1" thickBot="1" x14ac:dyDescent="0.25">
      <c r="A16" s="55" t="s">
        <v>118</v>
      </c>
      <c r="B16" s="61" t="s">
        <v>1370</v>
      </c>
      <c r="C16" s="317">
        <f>'SGTO POAI VIGENCIA 2021'!AM23</f>
        <v>70730000</v>
      </c>
    </row>
    <row r="17" spans="1:3" ht="20.100000000000001" customHeight="1" thickBot="1" x14ac:dyDescent="0.25">
      <c r="A17" s="497" t="s">
        <v>121</v>
      </c>
      <c r="B17" s="498"/>
      <c r="C17" s="404">
        <f>SUM(C18:C19)</f>
        <v>2801625342.8400002</v>
      </c>
    </row>
    <row r="18" spans="1:3" ht="90" customHeight="1" thickBot="1" x14ac:dyDescent="0.25">
      <c r="A18" s="56" t="s">
        <v>126</v>
      </c>
      <c r="B18" s="62" t="s">
        <v>127</v>
      </c>
      <c r="C18" s="317">
        <f>'SGTO POAI VIGENCIA 2021'!AM24</f>
        <v>2485625342.8400002</v>
      </c>
    </row>
    <row r="19" spans="1:3" ht="90" customHeight="1" thickBot="1" x14ac:dyDescent="0.25">
      <c r="A19" s="56" t="s">
        <v>132</v>
      </c>
      <c r="B19" s="62" t="s">
        <v>1371</v>
      </c>
      <c r="C19" s="317">
        <f>'SGTO POAI VIGENCIA 2021'!AM25</f>
        <v>316000000</v>
      </c>
    </row>
    <row r="20" spans="1:3" ht="20.100000000000001" customHeight="1" thickBot="1" x14ac:dyDescent="0.25">
      <c r="A20" s="485" t="s">
        <v>135</v>
      </c>
      <c r="B20" s="486"/>
      <c r="C20" s="405">
        <f>SUM(C21:C34)</f>
        <v>19845352105.279999</v>
      </c>
    </row>
    <row r="21" spans="1:3" ht="90" customHeight="1" thickBot="1" x14ac:dyDescent="0.25">
      <c r="A21" s="54" t="s">
        <v>144</v>
      </c>
      <c r="B21" s="63" t="s">
        <v>1372</v>
      </c>
      <c r="C21" s="317">
        <f>'SGTO POAI VIGENCIA 2021'!AM26</f>
        <v>24750000</v>
      </c>
    </row>
    <row r="22" spans="1:3" ht="90" customHeight="1" thickBot="1" x14ac:dyDescent="0.25">
      <c r="A22" s="54" t="s">
        <v>153</v>
      </c>
      <c r="B22" s="61" t="s">
        <v>1373</v>
      </c>
      <c r="C22" s="317">
        <f>'SGTO POAI VIGENCIA 2021'!AM27</f>
        <v>459746979</v>
      </c>
    </row>
    <row r="23" spans="1:3" ht="90" customHeight="1" thickBot="1" x14ac:dyDescent="0.25">
      <c r="A23" s="56" t="s">
        <v>163</v>
      </c>
      <c r="B23" s="61" t="s">
        <v>1374</v>
      </c>
      <c r="C23" s="317">
        <f>'SGTO POAI VIGENCIA 2021'!AM28</f>
        <v>1765974462.4000001</v>
      </c>
    </row>
    <row r="24" spans="1:3" ht="90" customHeight="1" thickBot="1" x14ac:dyDescent="0.25">
      <c r="A24" s="56" t="s">
        <v>173</v>
      </c>
      <c r="B24" s="61" t="s">
        <v>174</v>
      </c>
      <c r="C24" s="317">
        <f>'SGTO POAI VIGENCIA 2021'!AM29</f>
        <v>110104790</v>
      </c>
    </row>
    <row r="25" spans="1:3" ht="90" customHeight="1" thickBot="1" x14ac:dyDescent="0.25">
      <c r="A25" s="56" t="s">
        <v>183</v>
      </c>
      <c r="B25" s="61" t="s">
        <v>1375</v>
      </c>
      <c r="C25" s="317">
        <f>'SGTO POAI VIGENCIA 2021'!AM30</f>
        <v>2760904177.1000004</v>
      </c>
    </row>
    <row r="26" spans="1:3" ht="90" customHeight="1" thickBot="1" x14ac:dyDescent="0.25">
      <c r="A26" s="56" t="s">
        <v>1647</v>
      </c>
      <c r="B26" s="61" t="s">
        <v>1645</v>
      </c>
      <c r="C26" s="317">
        <f>'SGTO POAI VIGENCIA 2021'!AM31</f>
        <v>1</v>
      </c>
    </row>
    <row r="27" spans="1:3" ht="90" customHeight="1" thickBot="1" x14ac:dyDescent="0.25">
      <c r="A27" s="56" t="s">
        <v>193</v>
      </c>
      <c r="B27" s="61" t="s">
        <v>1376</v>
      </c>
      <c r="C27" s="317">
        <f>'SGTO POAI VIGENCIA 2021'!AM32+'SGTO POAI VIGENCIA 2021'!AM33</f>
        <v>8550607588</v>
      </c>
    </row>
    <row r="28" spans="1:3" ht="90" customHeight="1" thickBot="1" x14ac:dyDescent="0.25">
      <c r="A28" s="56" t="s">
        <v>204</v>
      </c>
      <c r="B28" s="61" t="s">
        <v>205</v>
      </c>
      <c r="C28" s="317">
        <f>'SGTO POAI VIGENCIA 2021'!AM34</f>
        <v>40000000</v>
      </c>
    </row>
    <row r="29" spans="1:3" ht="90" customHeight="1" thickBot="1" x14ac:dyDescent="0.25">
      <c r="A29" s="56" t="s">
        <v>213</v>
      </c>
      <c r="B29" s="61" t="s">
        <v>1377</v>
      </c>
      <c r="C29" s="317">
        <f>'SGTO POAI VIGENCIA 2021'!AM35</f>
        <v>1418800000</v>
      </c>
    </row>
    <row r="30" spans="1:3" ht="90" customHeight="1" thickBot="1" x14ac:dyDescent="0.25">
      <c r="A30" s="56" t="s">
        <v>218</v>
      </c>
      <c r="B30" s="61" t="s">
        <v>1378</v>
      </c>
      <c r="C30" s="317">
        <f>'SGTO POAI VIGENCIA 2021'!AM36</f>
        <v>844308067</v>
      </c>
    </row>
    <row r="31" spans="1:3" ht="90" customHeight="1" thickBot="1" x14ac:dyDescent="0.25">
      <c r="A31" s="56" t="s">
        <v>227</v>
      </c>
      <c r="B31" s="61" t="s">
        <v>228</v>
      </c>
      <c r="C31" s="317">
        <f>'SGTO POAI VIGENCIA 2021'!AM37</f>
        <v>120000000.09999999</v>
      </c>
    </row>
    <row r="32" spans="1:3" ht="90" customHeight="1" thickBot="1" x14ac:dyDescent="0.25">
      <c r="A32" s="54" t="s">
        <v>236</v>
      </c>
      <c r="B32" s="63" t="s">
        <v>237</v>
      </c>
      <c r="C32" s="317">
        <f>'SGTO POAI VIGENCIA 2021'!AM38+'SGTO POAI VIGENCIA 2021'!AM39+'SGTO POAI VIGENCIA 2021'!AM40+'SGTO POAI VIGENCIA 2021'!AM41+'SGTO POAI VIGENCIA 2021'!AM42+'SGTO POAI VIGENCIA 2021'!AM43</f>
        <v>3500159641.6800003</v>
      </c>
    </row>
    <row r="33" spans="1:3" ht="90" customHeight="1" thickBot="1" x14ac:dyDescent="0.25">
      <c r="A33" s="56" t="s">
        <v>254</v>
      </c>
      <c r="B33" s="61" t="s">
        <v>1379</v>
      </c>
      <c r="C33" s="317">
        <f>'SGTO POAI VIGENCIA 2021'!AM44</f>
        <v>218394939</v>
      </c>
    </row>
    <row r="34" spans="1:3" ht="90" customHeight="1" thickBot="1" x14ac:dyDescent="0.25">
      <c r="A34" s="56" t="s">
        <v>258</v>
      </c>
      <c r="B34" s="61" t="s">
        <v>259</v>
      </c>
      <c r="C34" s="317">
        <f>'SGTO POAI VIGENCIA 2021'!AM45</f>
        <v>31601460</v>
      </c>
    </row>
    <row r="35" spans="1:3" ht="20.100000000000001" customHeight="1" thickBot="1" x14ac:dyDescent="0.25">
      <c r="A35" s="485" t="s">
        <v>1380</v>
      </c>
      <c r="B35" s="486"/>
      <c r="C35" s="405">
        <f>SUM(C36:C47)</f>
        <v>6443722008.3299999</v>
      </c>
    </row>
    <row r="36" spans="1:3" ht="90" customHeight="1" thickBot="1" x14ac:dyDescent="0.25">
      <c r="A36" s="56" t="s">
        <v>263</v>
      </c>
      <c r="B36" s="63" t="s">
        <v>1381</v>
      </c>
      <c r="C36" s="317">
        <f>'SGTO POAI VIGENCIA 2021'!AM46</f>
        <v>135355000</v>
      </c>
    </row>
    <row r="37" spans="1:3" ht="90" customHeight="1" thickBot="1" x14ac:dyDescent="0.25">
      <c r="A37" s="56" t="s">
        <v>268</v>
      </c>
      <c r="B37" s="63" t="s">
        <v>1382</v>
      </c>
      <c r="C37" s="317">
        <f>'SGTO POAI VIGENCIA 2021'!AM47</f>
        <v>67223401</v>
      </c>
    </row>
    <row r="38" spans="1:3" ht="90" customHeight="1" thickBot="1" x14ac:dyDescent="0.25">
      <c r="A38" s="56" t="s">
        <v>274</v>
      </c>
      <c r="B38" s="63" t="s">
        <v>1383</v>
      </c>
      <c r="C38" s="317">
        <f>'SGTO POAI VIGENCIA 2021'!AM48</f>
        <v>30000000</v>
      </c>
    </row>
    <row r="39" spans="1:3" ht="90" customHeight="1" thickBot="1" x14ac:dyDescent="0.25">
      <c r="A39" s="56" t="s">
        <v>281</v>
      </c>
      <c r="B39" s="61" t="s">
        <v>1384</v>
      </c>
      <c r="C39" s="317">
        <f>'SGTO POAI VIGENCIA 2021'!AM49</f>
        <v>74287500</v>
      </c>
    </row>
    <row r="40" spans="1:3" ht="90" customHeight="1" thickBot="1" x14ac:dyDescent="0.25">
      <c r="A40" s="56" t="s">
        <v>289</v>
      </c>
      <c r="B40" s="62" t="s">
        <v>290</v>
      </c>
      <c r="C40" s="317">
        <f>'SGTO POAI VIGENCIA 2021'!AM50+'SGTO POAI VIGENCIA 2021'!AM51+'SGTO POAI VIGENCIA 2021'!AM52+'SGTO POAI VIGENCIA 2021'!AM53+'SGTO POAI VIGENCIA 2021'!AM54</f>
        <v>502657113</v>
      </c>
    </row>
    <row r="41" spans="1:3" ht="90" customHeight="1" thickBot="1" x14ac:dyDescent="0.25">
      <c r="A41" s="56" t="s">
        <v>308</v>
      </c>
      <c r="B41" s="61" t="s">
        <v>1385</v>
      </c>
      <c r="C41" s="317">
        <f>'SGTO POAI VIGENCIA 2021'!AM55</f>
        <v>34027629</v>
      </c>
    </row>
    <row r="42" spans="1:3" ht="90" customHeight="1" thickBot="1" x14ac:dyDescent="0.25">
      <c r="A42" s="56" t="s">
        <v>316</v>
      </c>
      <c r="B42" s="61" t="s">
        <v>1386</v>
      </c>
      <c r="C42" s="317">
        <f>'SGTO POAI VIGENCIA 2021'!AM56</f>
        <v>4387879528.3299999</v>
      </c>
    </row>
    <row r="43" spans="1:3" ht="90" customHeight="1" thickBot="1" x14ac:dyDescent="0.25">
      <c r="A43" s="56" t="s">
        <v>343</v>
      </c>
      <c r="B43" s="61" t="s">
        <v>1387</v>
      </c>
      <c r="C43" s="317">
        <f>'SGTO POAI VIGENCIA 2021'!AM62</f>
        <v>89000000</v>
      </c>
    </row>
    <row r="44" spans="1:3" ht="90" customHeight="1" thickBot="1" x14ac:dyDescent="0.25">
      <c r="A44" s="56" t="s">
        <v>320</v>
      </c>
      <c r="B44" s="61" t="s">
        <v>1388</v>
      </c>
      <c r="C44" s="317">
        <f>'SGTO POAI VIGENCIA 2021'!AM57</f>
        <v>49500000</v>
      </c>
    </row>
    <row r="45" spans="1:3" ht="90" customHeight="1" thickBot="1" x14ac:dyDescent="0.25">
      <c r="A45" s="56" t="s">
        <v>325</v>
      </c>
      <c r="B45" s="62" t="s">
        <v>1389</v>
      </c>
      <c r="C45" s="317">
        <f>'SGTO POAI VIGENCIA 2021'!AM58</f>
        <v>243850000</v>
      </c>
    </row>
    <row r="46" spans="1:3" ht="90" customHeight="1" thickBot="1" x14ac:dyDescent="0.25">
      <c r="A46" s="56" t="s">
        <v>331</v>
      </c>
      <c r="B46" s="62" t="s">
        <v>332</v>
      </c>
      <c r="C46" s="317">
        <f>'SGTO POAI VIGENCIA 2021'!AM59+'SGTO POAI VIGENCIA 2021'!AM60+'SGTO POAI VIGENCIA 2021'!AM61</f>
        <v>528315104</v>
      </c>
    </row>
    <row r="47" spans="1:3" ht="90" customHeight="1" thickBot="1" x14ac:dyDescent="0.25">
      <c r="A47" s="56" t="s">
        <v>347</v>
      </c>
      <c r="B47" s="63" t="s">
        <v>1390</v>
      </c>
      <c r="C47" s="317">
        <f>'SGTO POAI VIGENCIA 2021'!AM63+'SGTO POAI VIGENCIA 2021'!AM64+'SGTO POAI VIGENCIA 2021'!AM65+'SGTO POAI VIGENCIA 2021'!AM66</f>
        <v>301626733</v>
      </c>
    </row>
    <row r="48" spans="1:3" ht="20.100000000000001" customHeight="1" thickBot="1" x14ac:dyDescent="0.25">
      <c r="A48" s="485" t="s">
        <v>359</v>
      </c>
      <c r="B48" s="486"/>
      <c r="C48" s="405">
        <f>SUM(C49:C52)</f>
        <v>3988607319.3200002</v>
      </c>
    </row>
    <row r="49" spans="1:3" ht="90" customHeight="1" thickBot="1" x14ac:dyDescent="0.25">
      <c r="A49" s="54" t="s">
        <v>362</v>
      </c>
      <c r="B49" s="61" t="s">
        <v>1391</v>
      </c>
      <c r="C49" s="317">
        <f>'SGTO POAI VIGENCIA 2021'!AM67+'SGTO POAI VIGENCIA 2021'!AM68+'SGTO POAI VIGENCIA 2021'!AM69+'SGTO POAI VIGENCIA 2021'!AM70+'SGTO POAI VIGENCIA 2021'!AM71</f>
        <v>1980078703.8999999</v>
      </c>
    </row>
    <row r="50" spans="1:3" ht="90" customHeight="1" thickBot="1" x14ac:dyDescent="0.25">
      <c r="A50" s="54" t="s">
        <v>377</v>
      </c>
      <c r="B50" s="62" t="s">
        <v>1392</v>
      </c>
      <c r="C50" s="317">
        <f>'SGTO POAI VIGENCIA 2021'!AM72+'SGTO POAI VIGENCIA 2021'!AM73</f>
        <v>333103297.60000002</v>
      </c>
    </row>
    <row r="51" spans="1:3" ht="90" customHeight="1" thickBot="1" x14ac:dyDescent="0.25">
      <c r="A51" s="56" t="s">
        <v>386</v>
      </c>
      <c r="B51" s="63" t="s">
        <v>1393</v>
      </c>
      <c r="C51" s="317">
        <f>'SGTO POAI VIGENCIA 2021'!AM74</f>
        <v>1401227081.52</v>
      </c>
    </row>
    <row r="52" spans="1:3" ht="90" customHeight="1" thickBot="1" x14ac:dyDescent="0.25">
      <c r="A52" s="56" t="s">
        <v>394</v>
      </c>
      <c r="B52" s="63" t="s">
        <v>395</v>
      </c>
      <c r="C52" s="317">
        <f>'SGTO POAI VIGENCIA 2021'!AM75+'SGTO POAI VIGENCIA 2021'!AM76</f>
        <v>274198236.30000001</v>
      </c>
    </row>
    <row r="53" spans="1:3" ht="20.100000000000001" customHeight="1" thickBot="1" x14ac:dyDescent="0.25">
      <c r="A53" s="485" t="s">
        <v>399</v>
      </c>
      <c r="B53" s="486"/>
      <c r="C53" s="405">
        <f>SUM(C54:C58)</f>
        <v>3556587709.6100001</v>
      </c>
    </row>
    <row r="54" spans="1:3" ht="90" customHeight="1" thickBot="1" x14ac:dyDescent="0.25">
      <c r="A54" s="56" t="s">
        <v>407</v>
      </c>
      <c r="B54" s="63" t="s">
        <v>1394</v>
      </c>
      <c r="C54" s="317">
        <f>'SGTO POAI VIGENCIA 2021'!AM77+'SGTO POAI VIGENCIA 2021'!AM78</f>
        <v>143000000</v>
      </c>
    </row>
    <row r="55" spans="1:3" ht="90" customHeight="1" thickBot="1" x14ac:dyDescent="0.25">
      <c r="A55" s="56" t="s">
        <v>415</v>
      </c>
      <c r="B55" s="61" t="s">
        <v>1395</v>
      </c>
      <c r="C55" s="317">
        <f>'SGTO POAI VIGENCIA 2021'!AM79+'SGTO POAI VIGENCIA 2021'!AM80</f>
        <v>124000000</v>
      </c>
    </row>
    <row r="56" spans="1:3" ht="90" customHeight="1" thickBot="1" x14ac:dyDescent="0.25">
      <c r="A56" s="56" t="s">
        <v>423</v>
      </c>
      <c r="B56" s="61" t="s">
        <v>1396</v>
      </c>
      <c r="C56" s="317">
        <f>'SGTO POAI VIGENCIA 2021'!AM81+'SGTO POAI VIGENCIA 2021'!AM82+'SGTO POAI VIGENCIA 2021'!AM83</f>
        <v>1791856036</v>
      </c>
    </row>
    <row r="57" spans="1:3" ht="90" customHeight="1" thickBot="1" x14ac:dyDescent="0.25">
      <c r="A57" s="56" t="s">
        <v>430</v>
      </c>
      <c r="B57" s="61" t="s">
        <v>1397</v>
      </c>
      <c r="C57" s="317">
        <f>'SGTO POAI VIGENCIA 2021'!AM84</f>
        <v>1260231673.6100001</v>
      </c>
    </row>
    <row r="58" spans="1:3" ht="90" customHeight="1" thickBot="1" x14ac:dyDescent="0.25">
      <c r="A58" s="56" t="s">
        <v>438</v>
      </c>
      <c r="B58" s="62" t="s">
        <v>439</v>
      </c>
      <c r="C58" s="317">
        <f>'SGTO POAI VIGENCIA 2021'!AM85+'SGTO POAI VIGENCIA 2021'!AM86+'SGTO POAI VIGENCIA 2021'!AM87+'SGTO POAI VIGENCIA 2021'!AM88</f>
        <v>237500000</v>
      </c>
    </row>
    <row r="59" spans="1:3" ht="20.100000000000001" customHeight="1" thickBot="1" x14ac:dyDescent="0.25">
      <c r="A59" s="485" t="s">
        <v>450</v>
      </c>
      <c r="B59" s="486"/>
      <c r="C59" s="405">
        <f>SUM(C60:C78)</f>
        <v>3838799887.6300001</v>
      </c>
    </row>
    <row r="60" spans="1:3" ht="90" customHeight="1" thickBot="1" x14ac:dyDescent="0.25">
      <c r="A60" s="56" t="s">
        <v>457</v>
      </c>
      <c r="B60" s="62" t="s">
        <v>458</v>
      </c>
      <c r="C60" s="317">
        <f>'SGTO POAI VIGENCIA 2021'!AM89+'SGTO POAI VIGENCIA 2021'!AM90+'SGTO POAI VIGENCIA 2021'!AM91</f>
        <v>739000000</v>
      </c>
    </row>
    <row r="61" spans="1:3" ht="90" customHeight="1" thickBot="1" x14ac:dyDescent="0.25">
      <c r="A61" s="54" t="s">
        <v>469</v>
      </c>
      <c r="B61" s="62" t="s">
        <v>470</v>
      </c>
      <c r="C61" s="317">
        <f>'SGTO POAI VIGENCIA 2021'!AM92+'SGTO POAI VIGENCIA 2021'!AM93+'SGTO POAI VIGENCIA 2021'!AM94</f>
        <v>530052526.97000003</v>
      </c>
    </row>
    <row r="62" spans="1:3" ht="90" customHeight="1" thickBot="1" x14ac:dyDescent="0.25">
      <c r="A62" s="56" t="s">
        <v>481</v>
      </c>
      <c r="B62" s="62" t="s">
        <v>1398</v>
      </c>
      <c r="C62" s="317">
        <f>'SGTO POAI VIGENCIA 2021'!AM95+'SGTO POAI VIGENCIA 2021'!AM96</f>
        <v>188606585.66</v>
      </c>
    </row>
    <row r="63" spans="1:3" ht="90" customHeight="1" thickBot="1" x14ac:dyDescent="0.25">
      <c r="A63" s="54" t="s">
        <v>488</v>
      </c>
      <c r="B63" s="61" t="s">
        <v>489</v>
      </c>
      <c r="C63" s="317">
        <f>'SGTO POAI VIGENCIA 2021'!AM97+'SGTO POAI VIGENCIA 2021'!AM98</f>
        <v>78242387</v>
      </c>
    </row>
    <row r="64" spans="1:3" ht="90" customHeight="1" thickBot="1" x14ac:dyDescent="0.25">
      <c r="A64" s="56" t="s">
        <v>497</v>
      </c>
      <c r="B64" s="62" t="s">
        <v>1399</v>
      </c>
      <c r="C64" s="317">
        <f>'SGTO POAI VIGENCIA 2021'!AM99</f>
        <v>27000000</v>
      </c>
    </row>
    <row r="65" spans="1:3" ht="90" customHeight="1" thickBot="1" x14ac:dyDescent="0.25">
      <c r="A65" s="56" t="s">
        <v>504</v>
      </c>
      <c r="B65" s="61" t="s">
        <v>505</v>
      </c>
      <c r="C65" s="317">
        <f>'SGTO POAI VIGENCIA 2021'!AM100</f>
        <v>325000000</v>
      </c>
    </row>
    <row r="66" spans="1:3" ht="90" customHeight="1" thickBot="1" x14ac:dyDescent="0.25">
      <c r="A66" s="54" t="s">
        <v>510</v>
      </c>
      <c r="B66" s="62" t="s">
        <v>511</v>
      </c>
      <c r="C66" s="317">
        <f>'SGTO POAI VIGENCIA 2021'!AM101+'SGTO POAI VIGENCIA 2021'!AM102</f>
        <v>69255500</v>
      </c>
    </row>
    <row r="67" spans="1:3" ht="90" customHeight="1" thickBot="1" x14ac:dyDescent="0.25">
      <c r="A67" s="56" t="s">
        <v>520</v>
      </c>
      <c r="B67" s="62" t="s">
        <v>1400</v>
      </c>
      <c r="C67" s="317">
        <f>'SGTO POAI VIGENCIA 2021'!AM103</f>
        <v>20000000</v>
      </c>
    </row>
    <row r="68" spans="1:3" ht="90" customHeight="1" thickBot="1" x14ac:dyDescent="0.25">
      <c r="A68" s="56" t="s">
        <v>527</v>
      </c>
      <c r="B68" s="61" t="s">
        <v>1401</v>
      </c>
      <c r="C68" s="317">
        <f>'SGTO POAI VIGENCIA 2021'!AM104</f>
        <v>43000000</v>
      </c>
    </row>
    <row r="69" spans="1:3" ht="90" customHeight="1" thickBot="1" x14ac:dyDescent="0.25">
      <c r="A69" s="54" t="s">
        <v>533</v>
      </c>
      <c r="B69" s="62" t="s">
        <v>534</v>
      </c>
      <c r="C69" s="317">
        <f>'SGTO POAI VIGENCIA 2021'!AM105+'SGTO POAI VIGENCIA 2021'!AM106</f>
        <v>37555000</v>
      </c>
    </row>
    <row r="70" spans="1:3" ht="90" customHeight="1" thickBot="1" x14ac:dyDescent="0.25">
      <c r="A70" s="57" t="s">
        <v>541</v>
      </c>
      <c r="B70" s="61" t="s">
        <v>542</v>
      </c>
      <c r="C70" s="317">
        <f>'SGTO POAI VIGENCIA 2021'!AM107+'SGTO POAI VIGENCIA 2021'!AM108+'SGTO POAI VIGENCIA 2021'!AM109</f>
        <v>108000000</v>
      </c>
    </row>
    <row r="71" spans="1:3" ht="90" customHeight="1" thickBot="1" x14ac:dyDescent="0.25">
      <c r="A71" s="56" t="s">
        <v>553</v>
      </c>
      <c r="B71" s="62" t="s">
        <v>1402</v>
      </c>
      <c r="C71" s="317">
        <f>'SGTO POAI VIGENCIA 2021'!AM110+'SGTO POAI VIGENCIA 2021'!AM111</f>
        <v>36000000</v>
      </c>
    </row>
    <row r="72" spans="1:3" ht="90" customHeight="1" thickBot="1" x14ac:dyDescent="0.25">
      <c r="A72" s="57" t="s">
        <v>562</v>
      </c>
      <c r="B72" s="62" t="s">
        <v>1403</v>
      </c>
      <c r="C72" s="317">
        <f>'SGTO POAI VIGENCIA 2021'!AM112+'SGTO POAI VIGENCIA 2021'!AM113</f>
        <v>81456499</v>
      </c>
    </row>
    <row r="73" spans="1:3" ht="90" customHeight="1" thickBot="1" x14ac:dyDescent="0.25">
      <c r="A73" s="56" t="s">
        <v>573</v>
      </c>
      <c r="B73" s="62" t="s">
        <v>574</v>
      </c>
      <c r="C73" s="317">
        <f>'SGTO POAI VIGENCIA 2021'!AM114+'SGTO POAI VIGENCIA 2021'!AM115+'SGTO POAI VIGENCIA 2021'!AM116+'SGTO POAI VIGENCIA 2021'!AM117</f>
        <v>1145631389</v>
      </c>
    </row>
    <row r="74" spans="1:3" ht="90" customHeight="1" thickBot="1" x14ac:dyDescent="0.25">
      <c r="A74" s="54" t="s">
        <v>590</v>
      </c>
      <c r="B74" s="62" t="s">
        <v>1404</v>
      </c>
      <c r="C74" s="317">
        <f>'SGTO POAI VIGENCIA 2021'!AM118</f>
        <v>36000000</v>
      </c>
    </row>
    <row r="75" spans="1:3" ht="90" customHeight="1" thickBot="1" x14ac:dyDescent="0.25">
      <c r="A75" s="54" t="s">
        <v>595</v>
      </c>
      <c r="B75" s="62" t="s">
        <v>1405</v>
      </c>
      <c r="C75" s="317">
        <f>'SGTO POAI VIGENCIA 2021'!AM119</f>
        <v>54000000</v>
      </c>
    </row>
    <row r="76" spans="1:3" ht="90" customHeight="1" thickBot="1" x14ac:dyDescent="0.25">
      <c r="A76" s="54" t="s">
        <v>603</v>
      </c>
      <c r="B76" s="62" t="s">
        <v>604</v>
      </c>
      <c r="C76" s="317">
        <f>'SGTO POAI VIGENCIA 2021'!AM120</f>
        <v>120000000</v>
      </c>
    </row>
    <row r="77" spans="1:3" ht="90" customHeight="1" thickBot="1" x14ac:dyDescent="0.25">
      <c r="A77" s="54" t="s">
        <v>610</v>
      </c>
      <c r="B77" s="62" t="s">
        <v>611</v>
      </c>
      <c r="C77" s="317">
        <f>'SGTO POAI VIGENCIA 2021'!AM121+'SGTO POAI VIGENCIA 2021'!AM122+'SGTO POAI VIGENCIA 2021'!AM123</f>
        <v>82000000</v>
      </c>
    </row>
    <row r="78" spans="1:3" ht="90" customHeight="1" thickBot="1" x14ac:dyDescent="0.25">
      <c r="A78" s="56" t="s">
        <v>623</v>
      </c>
      <c r="B78" s="62" t="s">
        <v>1406</v>
      </c>
      <c r="C78" s="317">
        <f>'SGTO POAI VIGENCIA 2021'!AM124+'SGTO POAI VIGENCIA 2021'!AM125+'SGTO POAI VIGENCIA 2021'!AM126</f>
        <v>118000000</v>
      </c>
    </row>
    <row r="79" spans="1:3" ht="20.100000000000001" customHeight="1" thickBot="1" x14ac:dyDescent="0.25">
      <c r="A79" s="485" t="s">
        <v>633</v>
      </c>
      <c r="B79" s="486"/>
      <c r="C79" s="405">
        <f>SUM(C80:C82)</f>
        <v>1177000000</v>
      </c>
    </row>
    <row r="80" spans="1:3" ht="90" customHeight="1" thickBot="1" x14ac:dyDescent="0.25">
      <c r="A80" s="56" t="s">
        <v>638</v>
      </c>
      <c r="B80" s="64" t="s">
        <v>1407</v>
      </c>
      <c r="C80" s="317">
        <f>'SGTO POAI VIGENCIA 2021'!AM127</f>
        <v>249636991.63999999</v>
      </c>
    </row>
    <row r="81" spans="1:3" ht="90" customHeight="1" thickBot="1" x14ac:dyDescent="0.25">
      <c r="A81" s="56" t="s">
        <v>643</v>
      </c>
      <c r="B81" s="62" t="s">
        <v>1408</v>
      </c>
      <c r="C81" s="317">
        <f>'SGTO POAI VIGENCIA 2021'!AM128</f>
        <v>783075508.38</v>
      </c>
    </row>
    <row r="82" spans="1:3" ht="90" customHeight="1" thickBot="1" x14ac:dyDescent="0.25">
      <c r="A82" s="57" t="s">
        <v>648</v>
      </c>
      <c r="B82" s="61" t="s">
        <v>1409</v>
      </c>
      <c r="C82" s="317">
        <f>'SGTO POAI VIGENCIA 2021'!AM129</f>
        <v>144287499.97999999</v>
      </c>
    </row>
    <row r="83" spans="1:3" ht="20.100000000000001" customHeight="1" thickBot="1" x14ac:dyDescent="0.25">
      <c r="A83" s="485" t="s">
        <v>651</v>
      </c>
      <c r="B83" s="486"/>
      <c r="C83" s="405">
        <f>SUM(C84:C92)</f>
        <v>193197400269.77997</v>
      </c>
    </row>
    <row r="84" spans="1:3" ht="90" customHeight="1" thickBot="1" x14ac:dyDescent="0.25">
      <c r="A84" s="56" t="s">
        <v>655</v>
      </c>
      <c r="B84" s="63" t="s">
        <v>656</v>
      </c>
      <c r="C84" s="317">
        <f>'SGTO POAI VIGENCIA 2021'!AM130+'SGTO POAI VIGENCIA 2021'!AM131+'SGTO POAI VIGENCIA 2021'!AM132+'SGTO POAI VIGENCIA 2021'!AM133+'SGTO POAI VIGENCIA 2021'!AM134+'SGTO POAI VIGENCIA 2021'!AM135+'SGTO POAI VIGENCIA 2021'!AM136+'SGTO POAI VIGENCIA 2021'!AM137+'SGTO POAI VIGENCIA 2021'!AM138+'SGTO POAI VIGENCIA 2021'!AM139</f>
        <v>16569672696.32</v>
      </c>
    </row>
    <row r="85" spans="1:3" ht="90" customHeight="1" thickBot="1" x14ac:dyDescent="0.25">
      <c r="A85" s="56" t="s">
        <v>684</v>
      </c>
      <c r="B85" s="63" t="s">
        <v>685</v>
      </c>
      <c r="C85" s="317">
        <f>'SGTO POAI VIGENCIA 2021'!AM140+'SGTO POAI VIGENCIA 2021'!AM141</f>
        <v>10000000</v>
      </c>
    </row>
    <row r="86" spans="1:3" ht="90" customHeight="1" thickBot="1" x14ac:dyDescent="0.25">
      <c r="A86" s="56" t="s">
        <v>693</v>
      </c>
      <c r="B86" s="63" t="s">
        <v>694</v>
      </c>
      <c r="C86" s="317">
        <f>'SGTO POAI VIGENCIA 2021'!AM142+'SGTO POAI VIGENCIA 2021'!AM143+'SGTO POAI VIGENCIA 2021'!AM144+'SGTO POAI VIGENCIA 2021'!AM145+'SGTO POAI VIGENCIA 2021'!AM146+'SGTO POAI VIGENCIA 2021'!AM147+'SGTO POAI VIGENCIA 2021'!AM148+'SGTO POAI VIGENCIA 2021'!AM149+'SGTO POAI VIGENCIA 2021'!AM150+'SGTO POAI VIGENCIA 2021'!AM151</f>
        <v>152973653.47999999</v>
      </c>
    </row>
    <row r="87" spans="1:3" ht="90" customHeight="1" thickBot="1" x14ac:dyDescent="0.25">
      <c r="A87" s="54" t="s">
        <v>719</v>
      </c>
      <c r="B87" s="63" t="s">
        <v>720</v>
      </c>
      <c r="C87" s="317">
        <f>'SGTO POAI VIGENCIA 2021'!AM152+'SGTO POAI VIGENCIA 2021'!AM153+'SGTO POAI VIGENCIA 2021'!AM154+'SGTO POAI VIGENCIA 2021'!AM155</f>
        <v>175372150060.97</v>
      </c>
    </row>
    <row r="88" spans="1:3" ht="90" customHeight="1" thickBot="1" x14ac:dyDescent="0.25">
      <c r="A88" s="56" t="s">
        <v>731</v>
      </c>
      <c r="B88" s="62" t="s">
        <v>1410</v>
      </c>
      <c r="C88" s="317">
        <f>'SGTO POAI VIGENCIA 2021'!AM156+'SGTO POAI VIGENCIA 2021'!AM157+'SGTO POAI VIGENCIA 2021'!AM158</f>
        <v>611945607.01999998</v>
      </c>
    </row>
    <row r="89" spans="1:3" ht="90" customHeight="1" thickBot="1" x14ac:dyDescent="0.25">
      <c r="A89" s="54" t="s">
        <v>741</v>
      </c>
      <c r="B89" s="63" t="s">
        <v>742</v>
      </c>
      <c r="C89" s="317">
        <f>'SGTO POAI VIGENCIA 2021'!AM159+'SGTO POAI VIGENCIA 2021'!AM160+'SGTO POAI VIGENCIA 2021'!AM161</f>
        <v>19999999.990000002</v>
      </c>
    </row>
    <row r="90" spans="1:3" ht="90" customHeight="1" thickBot="1" x14ac:dyDescent="0.25">
      <c r="A90" s="56" t="s">
        <v>748</v>
      </c>
      <c r="B90" s="63" t="s">
        <v>749</v>
      </c>
      <c r="C90" s="317">
        <f>'SGTO POAI VIGENCIA 2021'!AM162+'SGTO POAI VIGENCIA 2021'!AM163</f>
        <v>14100000</v>
      </c>
    </row>
    <row r="91" spans="1:3" ht="90" customHeight="1" thickBot="1" x14ac:dyDescent="0.25">
      <c r="A91" s="56" t="s">
        <v>756</v>
      </c>
      <c r="B91" s="63" t="s">
        <v>1411</v>
      </c>
      <c r="C91" s="317">
        <f>'SGTO POAI VIGENCIA 2021'!AM164</f>
        <v>439058252</v>
      </c>
    </row>
    <row r="92" spans="1:3" ht="90" customHeight="1" thickBot="1" x14ac:dyDescent="0.25">
      <c r="A92" s="56" t="s">
        <v>764</v>
      </c>
      <c r="B92" s="63" t="s">
        <v>1412</v>
      </c>
      <c r="C92" s="317">
        <f>'SGTO POAI VIGENCIA 2021'!AM165</f>
        <v>7500000</v>
      </c>
    </row>
    <row r="93" spans="1:3" ht="20.100000000000001" customHeight="1" thickBot="1" x14ac:dyDescent="0.25">
      <c r="A93" s="485" t="s">
        <v>767</v>
      </c>
      <c r="B93" s="486"/>
      <c r="C93" s="405">
        <f>SUM(C94:C121)</f>
        <v>6915266350.0100002</v>
      </c>
    </row>
    <row r="94" spans="1:3" ht="90" customHeight="1" thickBot="1" x14ac:dyDescent="0.25">
      <c r="A94" s="55" t="s">
        <v>772</v>
      </c>
      <c r="B94" s="63" t="s">
        <v>1413</v>
      </c>
      <c r="C94" s="317">
        <f>'SGTO POAI VIGENCIA 2021'!AM166+'SGTO POAI VIGENCIA 2021'!AM167</f>
        <v>170000000</v>
      </c>
    </row>
    <row r="95" spans="1:3" ht="90" customHeight="1" thickBot="1" x14ac:dyDescent="0.25">
      <c r="A95" s="56" t="s">
        <v>781</v>
      </c>
      <c r="B95" s="62" t="s">
        <v>1414</v>
      </c>
      <c r="C95" s="317">
        <f>'SGTO POAI VIGENCIA 2021'!AM168</f>
        <v>14250000</v>
      </c>
    </row>
    <row r="96" spans="1:3" ht="90" customHeight="1" thickBot="1" x14ac:dyDescent="0.25">
      <c r="A96" s="56" t="s">
        <v>789</v>
      </c>
      <c r="B96" s="62" t="s">
        <v>1415</v>
      </c>
      <c r="C96" s="317">
        <f>'SGTO POAI VIGENCIA 2021'!AM169+'SGTO POAI VIGENCIA 2021'!AM170</f>
        <v>101930000</v>
      </c>
    </row>
    <row r="97" spans="1:3" ht="90" customHeight="1" thickBot="1" x14ac:dyDescent="0.25">
      <c r="A97" s="56" t="s">
        <v>803</v>
      </c>
      <c r="B97" s="62" t="s">
        <v>1416</v>
      </c>
      <c r="C97" s="317">
        <f>'SGTO POAI VIGENCIA 2021'!AM171</f>
        <v>132000000</v>
      </c>
    </row>
    <row r="98" spans="1:3" ht="90" customHeight="1" thickBot="1" x14ac:dyDescent="0.25">
      <c r="A98" s="56" t="s">
        <v>812</v>
      </c>
      <c r="B98" s="62" t="s">
        <v>1417</v>
      </c>
      <c r="C98" s="317">
        <f>'SGTO POAI VIGENCIA 2021'!AM172+'SGTO POAI VIGENCIA 2021'!AM173</f>
        <v>624647889</v>
      </c>
    </row>
    <row r="99" spans="1:3" ht="90" customHeight="1" thickBot="1" x14ac:dyDescent="0.25">
      <c r="A99" s="56" t="s">
        <v>823</v>
      </c>
      <c r="B99" s="62" t="s">
        <v>1418</v>
      </c>
      <c r="C99" s="317">
        <f>'SGTO POAI VIGENCIA 2021'!AM174</f>
        <v>200000000</v>
      </c>
    </row>
    <row r="100" spans="1:3" ht="90" customHeight="1" thickBot="1" x14ac:dyDescent="0.25">
      <c r="A100" s="56" t="s">
        <v>831</v>
      </c>
      <c r="B100" s="62" t="s">
        <v>1419</v>
      </c>
      <c r="C100" s="317">
        <f>'SGTO POAI VIGENCIA 2021'!AM175</f>
        <v>28000000</v>
      </c>
    </row>
    <row r="101" spans="1:3" ht="90" customHeight="1" thickBot="1" x14ac:dyDescent="0.25">
      <c r="A101" s="56" t="s">
        <v>839</v>
      </c>
      <c r="B101" s="62" t="s">
        <v>840</v>
      </c>
      <c r="C101" s="317">
        <f>'SGTO POAI VIGENCIA 2021'!AM176+'SGTO POAI VIGENCIA 2021'!AM177</f>
        <v>50985000</v>
      </c>
    </row>
    <row r="102" spans="1:3" ht="90" customHeight="1" thickBot="1" x14ac:dyDescent="0.25">
      <c r="A102" s="56" t="s">
        <v>851</v>
      </c>
      <c r="B102" s="62" t="s">
        <v>1420</v>
      </c>
      <c r="C102" s="317">
        <f>'SGTO POAI VIGENCIA 2021'!AM178</f>
        <v>37000000</v>
      </c>
    </row>
    <row r="103" spans="1:3" ht="90" customHeight="1" thickBot="1" x14ac:dyDescent="0.25">
      <c r="A103" s="56" t="s">
        <v>857</v>
      </c>
      <c r="B103" s="61" t="s">
        <v>1421</v>
      </c>
      <c r="C103" s="317">
        <f>'SGTO POAI VIGENCIA 2021'!AM179</f>
        <v>15000000</v>
      </c>
    </row>
    <row r="104" spans="1:3" ht="90" customHeight="1" thickBot="1" x14ac:dyDescent="0.25">
      <c r="A104" s="56" t="s">
        <v>862</v>
      </c>
      <c r="B104" s="61" t="s">
        <v>1422</v>
      </c>
      <c r="C104" s="317">
        <f>'SGTO POAI VIGENCIA 2021'!AM180</f>
        <v>20000000</v>
      </c>
    </row>
    <row r="105" spans="1:3" ht="90" customHeight="1" thickBot="1" x14ac:dyDescent="0.25">
      <c r="A105" s="56" t="s">
        <v>867</v>
      </c>
      <c r="B105" s="61" t="s">
        <v>1423</v>
      </c>
      <c r="C105" s="317">
        <f>'SGTO POAI VIGENCIA 2021'!AM181</f>
        <v>25000000</v>
      </c>
    </row>
    <row r="106" spans="1:3" ht="90" customHeight="1" thickBot="1" x14ac:dyDescent="0.25">
      <c r="A106" s="56" t="s">
        <v>873</v>
      </c>
      <c r="B106" s="61" t="s">
        <v>1424</v>
      </c>
      <c r="C106" s="317">
        <f>'SGTO POAI VIGENCIA 2021'!AM182</f>
        <v>75112368</v>
      </c>
    </row>
    <row r="107" spans="1:3" ht="90" customHeight="1" thickBot="1" x14ac:dyDescent="0.25">
      <c r="A107" s="56" t="s">
        <v>881</v>
      </c>
      <c r="B107" s="61" t="s">
        <v>1425</v>
      </c>
      <c r="C107" s="317">
        <f>'SGTO POAI VIGENCIA 2021'!AM183+'SGTO POAI VIGENCIA 2021'!AM184</f>
        <v>47000000</v>
      </c>
    </row>
    <row r="108" spans="1:3" ht="90" customHeight="1" thickBot="1" x14ac:dyDescent="0.25">
      <c r="A108" s="56" t="s">
        <v>890</v>
      </c>
      <c r="B108" s="61" t="s">
        <v>891</v>
      </c>
      <c r="C108" s="317">
        <f>'SGTO POAI VIGENCIA 2021'!AM185</f>
        <v>51681346</v>
      </c>
    </row>
    <row r="109" spans="1:3" ht="90" customHeight="1" thickBot="1" x14ac:dyDescent="0.25">
      <c r="A109" s="56" t="s">
        <v>899</v>
      </c>
      <c r="B109" s="62" t="s">
        <v>900</v>
      </c>
      <c r="C109" s="317">
        <f>'SGTO POAI VIGENCIA 2021'!AM186+'SGTO POAI VIGENCIA 2021'!AM187</f>
        <v>102080000</v>
      </c>
    </row>
    <row r="110" spans="1:3" ht="90" customHeight="1" thickBot="1" x14ac:dyDescent="0.25">
      <c r="A110" s="55" t="s">
        <v>909</v>
      </c>
      <c r="B110" s="61" t="s">
        <v>1426</v>
      </c>
      <c r="C110" s="317">
        <f>'SGTO POAI VIGENCIA 2021'!AM188</f>
        <v>35000000</v>
      </c>
    </row>
    <row r="111" spans="1:3" ht="90" customHeight="1" thickBot="1" x14ac:dyDescent="0.25">
      <c r="A111" s="56" t="s">
        <v>956</v>
      </c>
      <c r="B111" s="61" t="s">
        <v>1427</v>
      </c>
      <c r="C111" s="317">
        <f>'SGTO POAI VIGENCIA 2021'!AM195</f>
        <v>90000000</v>
      </c>
    </row>
    <row r="112" spans="1:3" ht="90" customHeight="1" thickBot="1" x14ac:dyDescent="0.25">
      <c r="A112" s="56" t="s">
        <v>950</v>
      </c>
      <c r="B112" s="61" t="s">
        <v>951</v>
      </c>
      <c r="C112" s="317">
        <f>'SGTO POAI VIGENCIA 2021'!AM194</f>
        <v>77000000</v>
      </c>
    </row>
    <row r="113" spans="1:3" ht="90" customHeight="1" thickBot="1" x14ac:dyDescent="0.25">
      <c r="A113" s="56" t="s">
        <v>917</v>
      </c>
      <c r="B113" s="62" t="s">
        <v>1428</v>
      </c>
      <c r="C113" s="317">
        <f>'SGTO POAI VIGENCIA 2021'!AM189+'SGTO POAI VIGENCIA 2021'!AM190</f>
        <v>4652290244.0100002</v>
      </c>
    </row>
    <row r="114" spans="1:3" ht="90" customHeight="1" thickBot="1" x14ac:dyDescent="0.25">
      <c r="A114" s="56" t="s">
        <v>983</v>
      </c>
      <c r="B114" s="61" t="s">
        <v>1429</v>
      </c>
      <c r="C114" s="317">
        <f>'SGTO POAI VIGENCIA 2021'!AM200</f>
        <v>143094503</v>
      </c>
    </row>
    <row r="115" spans="1:3" ht="90" customHeight="1" thickBot="1" x14ac:dyDescent="0.25">
      <c r="A115" s="56" t="s">
        <v>962</v>
      </c>
      <c r="B115" s="61" t="s">
        <v>1430</v>
      </c>
      <c r="C115" s="317">
        <f>'SGTO POAI VIGENCIA 2021'!AM196</f>
        <v>33000000</v>
      </c>
    </row>
    <row r="116" spans="1:3" ht="90" customHeight="1" thickBot="1" x14ac:dyDescent="0.25">
      <c r="A116" s="56" t="s">
        <v>966</v>
      </c>
      <c r="B116" s="62" t="s">
        <v>967</v>
      </c>
      <c r="C116" s="317">
        <f>'SGTO POAI VIGENCIA 2021'!AM197</f>
        <v>48000000</v>
      </c>
    </row>
    <row r="117" spans="1:3" ht="90" customHeight="1" thickBot="1" x14ac:dyDescent="0.25">
      <c r="A117" s="56" t="s">
        <v>929</v>
      </c>
      <c r="B117" s="62" t="s">
        <v>1431</v>
      </c>
      <c r="C117" s="317">
        <f>'SGTO POAI VIGENCIA 2021'!AM191</f>
        <v>18000000</v>
      </c>
    </row>
    <row r="118" spans="1:3" ht="90" customHeight="1" thickBot="1" x14ac:dyDescent="0.25">
      <c r="A118" s="56" t="s">
        <v>935</v>
      </c>
      <c r="B118" s="62" t="s">
        <v>1432</v>
      </c>
      <c r="C118" s="317">
        <f>'SGTO POAI VIGENCIA 2021'!AM192</f>
        <v>38195000</v>
      </c>
    </row>
    <row r="119" spans="1:3" ht="90" customHeight="1" thickBot="1" x14ac:dyDescent="0.25">
      <c r="A119" s="56" t="s">
        <v>942</v>
      </c>
      <c r="B119" s="62" t="s">
        <v>1433</v>
      </c>
      <c r="C119" s="317">
        <f>'SGTO POAI VIGENCIA 2021'!AM193</f>
        <v>18000000</v>
      </c>
    </row>
    <row r="120" spans="1:3" ht="90" customHeight="1" thickBot="1" x14ac:dyDescent="0.25">
      <c r="A120" s="79" t="str">
        <f>'SGTO POAI VIGENCIA 2021'!V198</f>
        <v>202000363-0150</v>
      </c>
      <c r="B120" s="63" t="s">
        <v>1434</v>
      </c>
      <c r="C120" s="317">
        <f>'SGTO POAI VIGENCIA 2021'!AM198</f>
        <v>50000000</v>
      </c>
    </row>
    <row r="121" spans="1:3" ht="90" customHeight="1" thickBot="1" x14ac:dyDescent="0.25">
      <c r="A121" s="80" t="str">
        <f>'SGTO POAI VIGENCIA 2021'!V199</f>
        <v>202000363-0151</v>
      </c>
      <c r="B121" s="61" t="s">
        <v>979</v>
      </c>
      <c r="C121" s="317">
        <f>'SGTO POAI VIGENCIA 2021'!AM199</f>
        <v>18000000</v>
      </c>
    </row>
    <row r="122" spans="1:3" ht="20.100000000000001" customHeight="1" thickBot="1" x14ac:dyDescent="0.25">
      <c r="A122" s="485" t="s">
        <v>986</v>
      </c>
      <c r="B122" s="486"/>
      <c r="C122" s="405">
        <f>SUM(C123:C145)</f>
        <v>75161612366.110001</v>
      </c>
    </row>
    <row r="123" spans="1:3" ht="90" customHeight="1" thickBot="1" x14ac:dyDescent="0.25">
      <c r="A123" s="56" t="s">
        <v>992</v>
      </c>
      <c r="B123" s="63" t="s">
        <v>993</v>
      </c>
      <c r="C123" s="317">
        <f>'SGTO POAI VIGENCIA 2021'!AM201+'SGTO POAI VIGENCIA 2021'!AM202+'SGTO POAI VIGENCIA 2021'!AM203+'SGTO POAI VIGENCIA 2021'!AM204+'SGTO POAI VIGENCIA 2021'!AM205+'SGTO POAI VIGENCIA 2021'!AM206+'SGTO POAI VIGENCIA 2021'!AM207+'SGTO POAI VIGENCIA 2021'!AM208</f>
        <v>1689281421.21</v>
      </c>
    </row>
    <row r="124" spans="1:3" ht="90" customHeight="1" thickBot="1" x14ac:dyDescent="0.25">
      <c r="A124" s="56" t="s">
        <v>1018</v>
      </c>
      <c r="B124" s="62" t="s">
        <v>1435</v>
      </c>
      <c r="C124" s="317">
        <f>'SGTO POAI VIGENCIA 2021'!AM209+'SGTO POAI VIGENCIA 2021'!AM210</f>
        <v>293000000</v>
      </c>
    </row>
    <row r="125" spans="1:3" ht="90" customHeight="1" thickBot="1" x14ac:dyDescent="0.25">
      <c r="A125" s="56" t="s">
        <v>1027</v>
      </c>
      <c r="B125" s="62" t="s">
        <v>1436</v>
      </c>
      <c r="C125" s="317">
        <f>'SGTO POAI VIGENCIA 2021'!AM211+'SGTO POAI VIGENCIA 2021'!AM212+'SGTO POAI VIGENCIA 2021'!AM213</f>
        <v>947714309</v>
      </c>
    </row>
    <row r="126" spans="1:3" ht="90" customHeight="1" thickBot="1" x14ac:dyDescent="0.25">
      <c r="A126" s="56" t="s">
        <v>1035</v>
      </c>
      <c r="B126" s="62" t="s">
        <v>1036</v>
      </c>
      <c r="C126" s="317">
        <f>'SGTO POAI VIGENCIA 2021'!AM214</f>
        <v>96954000</v>
      </c>
    </row>
    <row r="127" spans="1:3" ht="90" customHeight="1" thickBot="1" x14ac:dyDescent="0.25">
      <c r="A127" s="56" t="s">
        <v>1041</v>
      </c>
      <c r="B127" s="62" t="s">
        <v>1042</v>
      </c>
      <c r="C127" s="317">
        <f>'SGTO POAI VIGENCIA 2021'!AM215+'SGTO POAI VIGENCIA 2021'!AM216+'SGTO POAI VIGENCIA 2021'!AM217+'SGTO POAI VIGENCIA 2021'!AM218</f>
        <v>64636000</v>
      </c>
    </row>
    <row r="128" spans="1:3" ht="90" customHeight="1" thickBot="1" x14ac:dyDescent="0.25">
      <c r="A128" s="56" t="s">
        <v>1051</v>
      </c>
      <c r="B128" s="62" t="s">
        <v>1052</v>
      </c>
      <c r="C128" s="317">
        <f>'SGTO POAI VIGENCIA 2021'!AM219+'SGTO POAI VIGENCIA 2021'!AM220+'SGTO POAI VIGENCIA 2021'!AM221+'SGTO POAI VIGENCIA 2021'!AM222</f>
        <v>91081005</v>
      </c>
    </row>
    <row r="129" spans="1:3" ht="90" customHeight="1" thickBot="1" x14ac:dyDescent="0.25">
      <c r="A129" s="56" t="s">
        <v>1064</v>
      </c>
      <c r="B129" s="62" t="s">
        <v>1437</v>
      </c>
      <c r="C129" s="317">
        <f>'SGTO POAI VIGENCIA 2021'!AM223+'SGTO POAI VIGENCIA 2021'!AM224</f>
        <v>76000000</v>
      </c>
    </row>
    <row r="130" spans="1:3" ht="90" customHeight="1" thickBot="1" x14ac:dyDescent="0.25">
      <c r="A130" s="56" t="s">
        <v>1071</v>
      </c>
      <c r="B130" s="62" t="s">
        <v>1438</v>
      </c>
      <c r="C130" s="317">
        <f>'SGTO POAI VIGENCIA 2021'!AM225+'SGTO POAI VIGENCIA 2021'!AM226+'SGTO POAI VIGENCIA 2021'!AM227+'SGTO POAI VIGENCIA 2021'!AM228+'SGTO POAI VIGENCIA 2021'!AM229+'SGTO POAI VIGENCIA 2021'!AM230+'SGTO POAI VIGENCIA 2021'!AM231</f>
        <v>200000000</v>
      </c>
    </row>
    <row r="131" spans="1:3" ht="90" customHeight="1" thickBot="1" x14ac:dyDescent="0.25">
      <c r="A131" s="56" t="s">
        <v>1093</v>
      </c>
      <c r="B131" s="62" t="s">
        <v>1094</v>
      </c>
      <c r="C131" s="317">
        <f>'SGTO POAI VIGENCIA 2021'!AM232+'SGTO POAI VIGENCIA 2021'!AM233</f>
        <v>161000000</v>
      </c>
    </row>
    <row r="132" spans="1:3" ht="90" customHeight="1" thickBot="1" x14ac:dyDescent="0.25">
      <c r="A132" s="55" t="s">
        <v>1101</v>
      </c>
      <c r="B132" s="61" t="s">
        <v>1102</v>
      </c>
      <c r="C132" s="317">
        <f>'SGTO POAI VIGENCIA 2021'!AM234+'SGTO POAI VIGENCIA 2021'!AM235+'SGTO POAI VIGENCIA 2021'!AM236</f>
        <v>701597644</v>
      </c>
    </row>
    <row r="133" spans="1:3" ht="90" customHeight="1" thickBot="1" x14ac:dyDescent="0.25">
      <c r="A133" s="55" t="s">
        <v>1111</v>
      </c>
      <c r="B133" s="61" t="s">
        <v>1112</v>
      </c>
      <c r="C133" s="317">
        <f>'SGTO POAI VIGENCIA 2021'!AM237+'SGTO POAI VIGENCIA 2021'!AM238</f>
        <v>181000000</v>
      </c>
    </row>
    <row r="134" spans="1:3" ht="90" customHeight="1" thickBot="1" x14ac:dyDescent="0.25">
      <c r="A134" s="55" t="s">
        <v>1116</v>
      </c>
      <c r="B134" s="61" t="s">
        <v>1117</v>
      </c>
      <c r="C134" s="317">
        <f>'SGTO POAI VIGENCIA 2021'!AM239+'SGTO POAI VIGENCIA 2021'!AM240+'SGTO POAI VIGENCIA 2021'!AM241</f>
        <v>1299584216.27</v>
      </c>
    </row>
    <row r="135" spans="1:3" ht="90" customHeight="1" thickBot="1" x14ac:dyDescent="0.25">
      <c r="A135" s="56" t="s">
        <v>1126</v>
      </c>
      <c r="B135" s="61" t="s">
        <v>1127</v>
      </c>
      <c r="C135" s="317">
        <f>'SGTO POAI VIGENCIA 2021'!AM242+'SGTO POAI VIGENCIA 2021'!AM243</f>
        <v>543927149</v>
      </c>
    </row>
    <row r="136" spans="1:3" ht="90" customHeight="1" thickBot="1" x14ac:dyDescent="0.25">
      <c r="A136" s="55" t="s">
        <v>1129</v>
      </c>
      <c r="B136" s="61" t="s">
        <v>1130</v>
      </c>
      <c r="C136" s="317">
        <f>'SGTO POAI VIGENCIA 2021'!AM244+'SGTO POAI VIGENCIA 2021'!AM245</f>
        <v>222424239</v>
      </c>
    </row>
    <row r="137" spans="1:3" ht="90" customHeight="1" thickBot="1" x14ac:dyDescent="0.25">
      <c r="A137" s="56" t="s">
        <v>1133</v>
      </c>
      <c r="B137" s="61" t="s">
        <v>1134</v>
      </c>
      <c r="C137" s="317">
        <f>'SGTO POAI VIGENCIA 2021'!AM246</f>
        <v>1100000000</v>
      </c>
    </row>
    <row r="138" spans="1:3" ht="90" customHeight="1" thickBot="1" x14ac:dyDescent="0.25">
      <c r="A138" s="56" t="s">
        <v>1139</v>
      </c>
      <c r="B138" s="61" t="s">
        <v>1140</v>
      </c>
      <c r="C138" s="317">
        <f>'SGTO POAI VIGENCIA 2021'!AM247</f>
        <v>20000000</v>
      </c>
    </row>
    <row r="139" spans="1:3" ht="90" customHeight="1" thickBot="1" x14ac:dyDescent="0.25">
      <c r="A139" s="56" t="s">
        <v>1144</v>
      </c>
      <c r="B139" s="61" t="s">
        <v>1145</v>
      </c>
      <c r="C139" s="317">
        <f>'SGTO POAI VIGENCIA 2021'!AM248</f>
        <v>84414100</v>
      </c>
    </row>
    <row r="140" spans="1:3" ht="90" customHeight="1" thickBot="1" x14ac:dyDescent="0.25">
      <c r="A140" s="56" t="s">
        <v>1148</v>
      </c>
      <c r="B140" s="61" t="s">
        <v>1149</v>
      </c>
      <c r="C140" s="317">
        <f>'SGTO POAI VIGENCIA 2021'!AM249</f>
        <v>320000000</v>
      </c>
    </row>
    <row r="141" spans="1:3" ht="90" customHeight="1" thickBot="1" x14ac:dyDescent="0.25">
      <c r="A141" s="56" t="s">
        <v>1158</v>
      </c>
      <c r="B141" s="62" t="s">
        <v>1159</v>
      </c>
      <c r="C141" s="317">
        <f>'SGTO POAI VIGENCIA 2021'!AM250</f>
        <v>321904376</v>
      </c>
    </row>
    <row r="142" spans="1:3" ht="90" customHeight="1" thickBot="1" x14ac:dyDescent="0.25">
      <c r="A142" s="56" t="s">
        <v>1161</v>
      </c>
      <c r="B142" s="62" t="s">
        <v>1162</v>
      </c>
      <c r="C142" s="317">
        <f>'SGTO POAI VIGENCIA 2021'!AM251</f>
        <v>1760866325.49</v>
      </c>
    </row>
    <row r="143" spans="1:3" ht="90" customHeight="1" thickBot="1" x14ac:dyDescent="0.25">
      <c r="A143" s="55" t="s">
        <v>1166</v>
      </c>
      <c r="B143" s="61" t="s">
        <v>1167</v>
      </c>
      <c r="C143" s="317">
        <f>'SGTO POAI VIGENCIA 2021'!AM252+'SGTO POAI VIGENCIA 2021'!AM253</f>
        <v>35074003100.099998</v>
      </c>
    </row>
    <row r="144" spans="1:3" ht="90" customHeight="1" thickBot="1" x14ac:dyDescent="0.25">
      <c r="A144" s="55" t="s">
        <v>1177</v>
      </c>
      <c r="B144" s="61" t="s">
        <v>1439</v>
      </c>
      <c r="C144" s="317">
        <f>'SGTO POAI VIGENCIA 2021'!AM254+'SGTO POAI VIGENCIA 2021'!AM255+'SGTO POAI VIGENCIA 2021'!AM256</f>
        <v>27242543268.709999</v>
      </c>
    </row>
    <row r="145" spans="1:3" ht="90" customHeight="1" thickBot="1" x14ac:dyDescent="0.25">
      <c r="A145" s="56" t="s">
        <v>1188</v>
      </c>
      <c r="B145" s="62" t="s">
        <v>1189</v>
      </c>
      <c r="C145" s="317">
        <f>'SGTO POAI VIGENCIA 2021'!AM257+'SGTO POAI VIGENCIA 2021'!AM258+'SGTO POAI VIGENCIA 2021'!AM259+'SGTO POAI VIGENCIA 2021'!AM260+'SGTO POAI VIGENCIA 2021'!AM261</f>
        <v>2669681212.3299999</v>
      </c>
    </row>
    <row r="146" spans="1:3" ht="20.100000000000001" customHeight="1" thickBot="1" x14ac:dyDescent="0.25">
      <c r="A146" s="485" t="s">
        <v>1440</v>
      </c>
      <c r="B146" s="486"/>
      <c r="C146" s="405">
        <f>SUM(C147:C152)</f>
        <v>1196000000</v>
      </c>
    </row>
    <row r="147" spans="1:3" ht="90" customHeight="1" thickBot="1" x14ac:dyDescent="0.25">
      <c r="A147" s="55" t="s">
        <v>1203</v>
      </c>
      <c r="B147" s="63" t="s">
        <v>1441</v>
      </c>
      <c r="C147" s="317">
        <f>'SGTO POAI VIGENCIA 2021'!AM262+'SGTO POAI VIGENCIA 2021'!AM263+'SGTO POAI VIGENCIA 2021'!AM264+'SGTO POAI VIGENCIA 2021'!AM265</f>
        <v>325460000</v>
      </c>
    </row>
    <row r="148" spans="1:3" ht="90" customHeight="1" thickBot="1" x14ac:dyDescent="0.25">
      <c r="A148" s="58" t="s">
        <v>1216</v>
      </c>
      <c r="B148" s="61" t="s">
        <v>1217</v>
      </c>
      <c r="C148" s="317">
        <f>'SGTO POAI VIGENCIA 2021'!AM266+'SGTO POAI VIGENCIA 2021'!AM267+'SGTO POAI VIGENCIA 2021'!AM268+'SGTO POAI VIGENCIA 2021'!AM269+'SGTO POAI VIGENCIA 2021'!AM270</f>
        <v>348540000</v>
      </c>
    </row>
    <row r="149" spans="1:3" ht="90" customHeight="1" thickBot="1" x14ac:dyDescent="0.25">
      <c r="A149" s="57" t="s">
        <v>1227</v>
      </c>
      <c r="B149" s="62" t="s">
        <v>1228</v>
      </c>
      <c r="C149" s="317">
        <f>'SGTO POAI VIGENCIA 2021'!AM271+'SGTO POAI VIGENCIA 2021'!AM272+'SGTO POAI VIGENCIA 2021'!AM273+'SGTO POAI VIGENCIA 2021'!AM274+'SGTO POAI VIGENCIA 2021'!AM275</f>
        <v>146000000</v>
      </c>
    </row>
    <row r="150" spans="1:3" ht="90" customHeight="1" thickBot="1" x14ac:dyDescent="0.25">
      <c r="A150" s="57" t="s">
        <v>1245</v>
      </c>
      <c r="B150" s="61" t="s">
        <v>1246</v>
      </c>
      <c r="C150" s="317">
        <f>'SGTO POAI VIGENCIA 2021'!AM276+'SGTO POAI VIGENCIA 2021'!AM277+'SGTO POAI VIGENCIA 2021'!AM278</f>
        <v>60000000</v>
      </c>
    </row>
    <row r="151" spans="1:3" ht="90" customHeight="1" thickBot="1" x14ac:dyDescent="0.25">
      <c r="A151" s="57" t="s">
        <v>1255</v>
      </c>
      <c r="B151" s="61" t="s">
        <v>1442</v>
      </c>
      <c r="C151" s="317">
        <f>'SGTO POAI VIGENCIA 2021'!AM279</f>
        <v>18000000</v>
      </c>
    </row>
    <row r="152" spans="1:3" ht="90" customHeight="1" thickBot="1" x14ac:dyDescent="0.25">
      <c r="A152" s="57" t="s">
        <v>1261</v>
      </c>
      <c r="B152" s="62" t="s">
        <v>1443</v>
      </c>
      <c r="C152" s="317">
        <f>'SGTO POAI VIGENCIA 2021'!AM280+'SGTO POAI VIGENCIA 2021'!AM281+'SGTO POAI VIGENCIA 2021'!AM282+'SGTO POAI VIGENCIA 2021'!AM283+'SGTO POAI VIGENCIA 2021'!AM284+'SGTO POAI VIGENCIA 2021'!AM285</f>
        <v>298000000</v>
      </c>
    </row>
    <row r="153" spans="1:3" s="67" customFormat="1" ht="20.100000000000001" customHeight="1" thickBot="1" x14ac:dyDescent="0.3">
      <c r="A153" s="491" t="s">
        <v>1444</v>
      </c>
      <c r="B153" s="492"/>
      <c r="C153" s="402">
        <f>C146+C122+C93+C83+C79+C59+C53+C48+C35+C20+C17+C9+C4</f>
        <v>319490464131.90997</v>
      </c>
    </row>
    <row r="154" spans="1:3" ht="20.100000000000001" customHeight="1" thickBot="1" x14ac:dyDescent="0.25">
      <c r="A154" s="485" t="s">
        <v>1273</v>
      </c>
      <c r="B154" s="486"/>
      <c r="C154" s="405">
        <f>SUM(C155:C157)</f>
        <v>7160417690.0299997</v>
      </c>
    </row>
    <row r="155" spans="1:3" ht="90" customHeight="1" thickBot="1" x14ac:dyDescent="0.25">
      <c r="A155" s="59" t="s">
        <v>1445</v>
      </c>
      <c r="B155" s="62" t="s">
        <v>1277</v>
      </c>
      <c r="C155" s="317">
        <f>'SGTO POAI VIGENCIA 2021'!AM286+'SGTO POAI VIGENCIA 2021'!AM287+'SGTO POAI VIGENCIA 2021'!AM288+'SGTO POAI VIGENCIA 2021'!AM289</f>
        <v>2847287098.98</v>
      </c>
    </row>
    <row r="156" spans="1:3" ht="90" customHeight="1" thickBot="1" x14ac:dyDescent="0.25">
      <c r="A156" s="59" t="s">
        <v>1446</v>
      </c>
      <c r="B156" s="61" t="s">
        <v>1291</v>
      </c>
      <c r="C156" s="317">
        <f>'SGTO POAI VIGENCIA 2021'!AM290</f>
        <v>4186248516.4099998</v>
      </c>
    </row>
    <row r="157" spans="1:3" ht="90" customHeight="1" thickBot="1" x14ac:dyDescent="0.25">
      <c r="A157" s="60" t="s">
        <v>1447</v>
      </c>
      <c r="B157" s="61" t="s">
        <v>1448</v>
      </c>
      <c r="C157" s="317">
        <f>'SGTO POAI VIGENCIA 2021'!AM291</f>
        <v>126882074.64</v>
      </c>
    </row>
    <row r="158" spans="1:3" ht="20.100000000000001" customHeight="1" thickBot="1" x14ac:dyDescent="0.25">
      <c r="A158" s="485" t="s">
        <v>1299</v>
      </c>
      <c r="B158" s="486"/>
      <c r="C158" s="405">
        <f>SUM(C159:C162)</f>
        <v>2637286334.9400001</v>
      </c>
    </row>
    <row r="159" spans="1:3" ht="90" customHeight="1" thickBot="1" x14ac:dyDescent="0.25">
      <c r="A159" s="57" t="s">
        <v>1302</v>
      </c>
      <c r="B159" s="62" t="s">
        <v>1449</v>
      </c>
      <c r="C159" s="317">
        <f>'SGTO POAI VIGENCIA 2021'!AM292</f>
        <v>690464077.75999999</v>
      </c>
    </row>
    <row r="160" spans="1:3" ht="90" customHeight="1" thickBot="1" x14ac:dyDescent="0.25">
      <c r="A160" s="57" t="s">
        <v>1305</v>
      </c>
      <c r="B160" s="62" t="s">
        <v>1306</v>
      </c>
      <c r="C160" s="317">
        <f>'SGTO POAI VIGENCIA 2021'!AM293</f>
        <v>329008863.94999999</v>
      </c>
    </row>
    <row r="161" spans="1:3" ht="90" customHeight="1" thickBot="1" x14ac:dyDescent="0.25">
      <c r="A161" s="57" t="s">
        <v>1309</v>
      </c>
      <c r="B161" s="62" t="s">
        <v>1450</v>
      </c>
      <c r="C161" s="317">
        <f>'SGTO POAI VIGENCIA 2021'!AM294</f>
        <v>348896731.19999999</v>
      </c>
    </row>
    <row r="162" spans="1:3" ht="90" customHeight="1" thickBot="1" x14ac:dyDescent="0.25">
      <c r="A162" s="57" t="s">
        <v>1315</v>
      </c>
      <c r="B162" s="62" t="s">
        <v>1451</v>
      </c>
      <c r="C162" s="317">
        <f>'SGTO POAI VIGENCIA 2021'!AM295+'SGTO POAI VIGENCIA 2021'!AM296+'SGTO POAI VIGENCIA 2021'!AM297+'SGTO POAI VIGENCIA 2021'!AM298+'SGTO POAI VIGENCIA 2021'!AM299+'SGTO POAI VIGENCIA 2021'!AM300+'SGTO POAI VIGENCIA 2021'!AM301</f>
        <v>1268916662.03</v>
      </c>
    </row>
    <row r="163" spans="1:3" ht="20.100000000000001" customHeight="1" thickBot="1" x14ac:dyDescent="0.25">
      <c r="A163" s="493" t="s">
        <v>1333</v>
      </c>
      <c r="B163" s="494"/>
      <c r="C163" s="405">
        <f>SUM(C164)</f>
        <v>110210000</v>
      </c>
    </row>
    <row r="164" spans="1:3" ht="90" customHeight="1" thickBot="1" x14ac:dyDescent="0.25">
      <c r="A164" s="65" t="s">
        <v>1340</v>
      </c>
      <c r="B164" s="66" t="s">
        <v>1452</v>
      </c>
      <c r="C164" s="318">
        <f>'SGTO POAI VIGENCIA 2021'!AM302+'SGTO POAI VIGENCIA 2021'!AM303+'SGTO POAI VIGENCIA 2021'!AM304+'SGTO POAI VIGENCIA 2021'!AM305</f>
        <v>110210000</v>
      </c>
    </row>
    <row r="165" spans="1:3" s="67" customFormat="1" ht="20.100000000000001" customHeight="1" thickBot="1" x14ac:dyDescent="0.3">
      <c r="A165" s="491" t="s">
        <v>1453</v>
      </c>
      <c r="B165" s="492"/>
      <c r="C165" s="401">
        <f>C163+C158+C154</f>
        <v>9907914024.9699993</v>
      </c>
    </row>
    <row r="166" spans="1:3" s="67" customFormat="1" ht="20.100000000000001" customHeight="1" thickBot="1" x14ac:dyDescent="0.3">
      <c r="A166" s="489" t="s">
        <v>1454</v>
      </c>
      <c r="B166" s="490"/>
      <c r="C166" s="403">
        <f>C165+C153</f>
        <v>329398378156.87994</v>
      </c>
    </row>
  </sheetData>
  <mergeCells count="23">
    <mergeCell ref="A79:B79"/>
    <mergeCell ref="A83:B83"/>
    <mergeCell ref="A53:B53"/>
    <mergeCell ref="A59:B59"/>
    <mergeCell ref="A1:C1"/>
    <mergeCell ref="A166:B166"/>
    <mergeCell ref="A153:B153"/>
    <mergeCell ref="A165:B165"/>
    <mergeCell ref="A146:B146"/>
    <mergeCell ref="A154:B154"/>
    <mergeCell ref="A158:B158"/>
    <mergeCell ref="A163:B163"/>
    <mergeCell ref="A93:B93"/>
    <mergeCell ref="A122:B122"/>
    <mergeCell ref="A4:B4"/>
    <mergeCell ref="A9:B9"/>
    <mergeCell ref="A17:B17"/>
    <mergeCell ref="C2:C3"/>
    <mergeCell ref="A2:A3"/>
    <mergeCell ref="B2:B3"/>
    <mergeCell ref="A20:B20"/>
    <mergeCell ref="A35:B35"/>
    <mergeCell ref="A48:B48"/>
  </mergeCells>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Q77"/>
  <sheetViews>
    <sheetView showGridLines="0" zoomScale="80" zoomScaleNormal="80" workbookViewId="0">
      <selection activeCell="B30" sqref="B30"/>
    </sheetView>
  </sheetViews>
  <sheetFormatPr baseColWidth="10" defaultRowHeight="12.75" x14ac:dyDescent="0.2"/>
  <cols>
    <col min="1" max="1" width="13.28515625" style="98" customWidth="1"/>
    <col min="2" max="2" width="32.140625" style="118" customWidth="1"/>
    <col min="3" max="3" width="24.28515625" style="117" customWidth="1"/>
    <col min="4" max="4" width="10.140625" style="117" customWidth="1"/>
    <col min="5" max="5" width="25.5703125" style="117" customWidth="1"/>
    <col min="6" max="6" width="14" style="117" customWidth="1"/>
    <col min="7" max="7" width="25.7109375" style="117" customWidth="1"/>
    <col min="8" max="8" width="12.5703125" style="117" customWidth="1"/>
    <col min="9" max="9" width="24.7109375" style="117" customWidth="1"/>
    <col min="10" max="10" width="10.28515625" style="117" customWidth="1"/>
    <col min="11" max="11" width="22.85546875" style="117" customWidth="1"/>
    <col min="12" max="12" width="11.7109375" style="117" customWidth="1"/>
    <col min="13" max="13" width="23.140625" style="117" customWidth="1"/>
    <col min="14" max="14" width="13.5703125" style="98" customWidth="1"/>
    <col min="15" max="256" width="11.42578125" style="98"/>
    <col min="257" max="257" width="13.28515625" style="98" customWidth="1"/>
    <col min="258" max="258" width="32.140625" style="98" customWidth="1"/>
    <col min="259" max="259" width="20.7109375" style="98" customWidth="1"/>
    <col min="260" max="260" width="10.42578125" style="98" customWidth="1"/>
    <col min="261" max="261" width="18.5703125" style="98" customWidth="1"/>
    <col min="262" max="262" width="11.7109375" style="98" customWidth="1"/>
    <col min="263" max="263" width="19.28515625" style="98" customWidth="1"/>
    <col min="264" max="264" width="10.28515625" style="98" customWidth="1"/>
    <col min="265" max="265" width="19.42578125" style="98" customWidth="1"/>
    <col min="266" max="266" width="10.28515625" style="98" customWidth="1"/>
    <col min="267" max="267" width="19.5703125" style="98" customWidth="1"/>
    <col min="268" max="268" width="10.42578125" style="98" customWidth="1"/>
    <col min="269" max="269" width="21.140625" style="98" customWidth="1"/>
    <col min="270" max="270" width="11.7109375" style="98" customWidth="1"/>
    <col min="271" max="512" width="11.42578125" style="98"/>
    <col min="513" max="513" width="13.28515625" style="98" customWidth="1"/>
    <col min="514" max="514" width="32.140625" style="98" customWidth="1"/>
    <col min="515" max="515" width="20.7109375" style="98" customWidth="1"/>
    <col min="516" max="516" width="10.42578125" style="98" customWidth="1"/>
    <col min="517" max="517" width="18.5703125" style="98" customWidth="1"/>
    <col min="518" max="518" width="11.7109375" style="98" customWidth="1"/>
    <col min="519" max="519" width="19.28515625" style="98" customWidth="1"/>
    <col min="520" max="520" width="10.28515625" style="98" customWidth="1"/>
    <col min="521" max="521" width="19.42578125" style="98" customWidth="1"/>
    <col min="522" max="522" width="10.28515625" style="98" customWidth="1"/>
    <col min="523" max="523" width="19.5703125" style="98" customWidth="1"/>
    <col min="524" max="524" width="10.42578125" style="98" customWidth="1"/>
    <col min="525" max="525" width="21.140625" style="98" customWidth="1"/>
    <col min="526" max="526" width="11.7109375" style="98" customWidth="1"/>
    <col min="527" max="768" width="11.42578125" style="98"/>
    <col min="769" max="769" width="13.28515625" style="98" customWidth="1"/>
    <col min="770" max="770" width="32.140625" style="98" customWidth="1"/>
    <col min="771" max="771" width="20.7109375" style="98" customWidth="1"/>
    <col min="772" max="772" width="10.42578125" style="98" customWidth="1"/>
    <col min="773" max="773" width="18.5703125" style="98" customWidth="1"/>
    <col min="774" max="774" width="11.7109375" style="98" customWidth="1"/>
    <col min="775" max="775" width="19.28515625" style="98" customWidth="1"/>
    <col min="776" max="776" width="10.28515625" style="98" customWidth="1"/>
    <col min="777" max="777" width="19.42578125" style="98" customWidth="1"/>
    <col min="778" max="778" width="10.28515625" style="98" customWidth="1"/>
    <col min="779" max="779" width="19.5703125" style="98" customWidth="1"/>
    <col min="780" max="780" width="10.42578125" style="98" customWidth="1"/>
    <col min="781" max="781" width="21.140625" style="98" customWidth="1"/>
    <col min="782" max="782" width="11.7109375" style="98" customWidth="1"/>
    <col min="783" max="1024" width="11.42578125" style="98"/>
    <col min="1025" max="1025" width="13.28515625" style="98" customWidth="1"/>
    <col min="1026" max="1026" width="32.140625" style="98" customWidth="1"/>
    <col min="1027" max="1027" width="20.7109375" style="98" customWidth="1"/>
    <col min="1028" max="1028" width="10.42578125" style="98" customWidth="1"/>
    <col min="1029" max="1029" width="18.5703125" style="98" customWidth="1"/>
    <col min="1030" max="1030" width="11.7109375" style="98" customWidth="1"/>
    <col min="1031" max="1031" width="19.28515625" style="98" customWidth="1"/>
    <col min="1032" max="1032" width="10.28515625" style="98" customWidth="1"/>
    <col min="1033" max="1033" width="19.42578125" style="98" customWidth="1"/>
    <col min="1034" max="1034" width="10.28515625" style="98" customWidth="1"/>
    <col min="1035" max="1035" width="19.5703125" style="98" customWidth="1"/>
    <col min="1036" max="1036" width="10.42578125" style="98" customWidth="1"/>
    <col min="1037" max="1037" width="21.140625" style="98" customWidth="1"/>
    <col min="1038" max="1038" width="11.7109375" style="98" customWidth="1"/>
    <col min="1039" max="1280" width="11.42578125" style="98"/>
    <col min="1281" max="1281" width="13.28515625" style="98" customWidth="1"/>
    <col min="1282" max="1282" width="32.140625" style="98" customWidth="1"/>
    <col min="1283" max="1283" width="20.7109375" style="98" customWidth="1"/>
    <col min="1284" max="1284" width="10.42578125" style="98" customWidth="1"/>
    <col min="1285" max="1285" width="18.5703125" style="98" customWidth="1"/>
    <col min="1286" max="1286" width="11.7109375" style="98" customWidth="1"/>
    <col min="1287" max="1287" width="19.28515625" style="98" customWidth="1"/>
    <col min="1288" max="1288" width="10.28515625" style="98" customWidth="1"/>
    <col min="1289" max="1289" width="19.42578125" style="98" customWidth="1"/>
    <col min="1290" max="1290" width="10.28515625" style="98" customWidth="1"/>
    <col min="1291" max="1291" width="19.5703125" style="98" customWidth="1"/>
    <col min="1292" max="1292" width="10.42578125" style="98" customWidth="1"/>
    <col min="1293" max="1293" width="21.140625" style="98" customWidth="1"/>
    <col min="1294" max="1294" width="11.7109375" style="98" customWidth="1"/>
    <col min="1295" max="1536" width="11.42578125" style="98"/>
    <col min="1537" max="1537" width="13.28515625" style="98" customWidth="1"/>
    <col min="1538" max="1538" width="32.140625" style="98" customWidth="1"/>
    <col min="1539" max="1539" width="20.7109375" style="98" customWidth="1"/>
    <col min="1540" max="1540" width="10.42578125" style="98" customWidth="1"/>
    <col min="1541" max="1541" width="18.5703125" style="98" customWidth="1"/>
    <col min="1542" max="1542" width="11.7109375" style="98" customWidth="1"/>
    <col min="1543" max="1543" width="19.28515625" style="98" customWidth="1"/>
    <col min="1544" max="1544" width="10.28515625" style="98" customWidth="1"/>
    <col min="1545" max="1545" width="19.42578125" style="98" customWidth="1"/>
    <col min="1546" max="1546" width="10.28515625" style="98" customWidth="1"/>
    <col min="1547" max="1547" width="19.5703125" style="98" customWidth="1"/>
    <col min="1548" max="1548" width="10.42578125" style="98" customWidth="1"/>
    <col min="1549" max="1549" width="21.140625" style="98" customWidth="1"/>
    <col min="1550" max="1550" width="11.7109375" style="98" customWidth="1"/>
    <col min="1551" max="1792" width="11.42578125" style="98"/>
    <col min="1793" max="1793" width="13.28515625" style="98" customWidth="1"/>
    <col min="1794" max="1794" width="32.140625" style="98" customWidth="1"/>
    <col min="1795" max="1795" width="20.7109375" style="98" customWidth="1"/>
    <col min="1796" max="1796" width="10.42578125" style="98" customWidth="1"/>
    <col min="1797" max="1797" width="18.5703125" style="98" customWidth="1"/>
    <col min="1798" max="1798" width="11.7109375" style="98" customWidth="1"/>
    <col min="1799" max="1799" width="19.28515625" style="98" customWidth="1"/>
    <col min="1800" max="1800" width="10.28515625" style="98" customWidth="1"/>
    <col min="1801" max="1801" width="19.42578125" style="98" customWidth="1"/>
    <col min="1802" max="1802" width="10.28515625" style="98" customWidth="1"/>
    <col min="1803" max="1803" width="19.5703125" style="98" customWidth="1"/>
    <col min="1804" max="1804" width="10.42578125" style="98" customWidth="1"/>
    <col min="1805" max="1805" width="21.140625" style="98" customWidth="1"/>
    <col min="1806" max="1806" width="11.7109375" style="98" customWidth="1"/>
    <col min="1807" max="2048" width="11.42578125" style="98"/>
    <col min="2049" max="2049" width="13.28515625" style="98" customWidth="1"/>
    <col min="2050" max="2050" width="32.140625" style="98" customWidth="1"/>
    <col min="2051" max="2051" width="20.7109375" style="98" customWidth="1"/>
    <col min="2052" max="2052" width="10.42578125" style="98" customWidth="1"/>
    <col min="2053" max="2053" width="18.5703125" style="98" customWidth="1"/>
    <col min="2054" max="2054" width="11.7109375" style="98" customWidth="1"/>
    <col min="2055" max="2055" width="19.28515625" style="98" customWidth="1"/>
    <col min="2056" max="2056" width="10.28515625" style="98" customWidth="1"/>
    <col min="2057" max="2057" width="19.42578125" style="98" customWidth="1"/>
    <col min="2058" max="2058" width="10.28515625" style="98" customWidth="1"/>
    <col min="2059" max="2059" width="19.5703125" style="98" customWidth="1"/>
    <col min="2060" max="2060" width="10.42578125" style="98" customWidth="1"/>
    <col min="2061" max="2061" width="21.140625" style="98" customWidth="1"/>
    <col min="2062" max="2062" width="11.7109375" style="98" customWidth="1"/>
    <col min="2063" max="2304" width="11.42578125" style="98"/>
    <col min="2305" max="2305" width="13.28515625" style="98" customWidth="1"/>
    <col min="2306" max="2306" width="32.140625" style="98" customWidth="1"/>
    <col min="2307" max="2307" width="20.7109375" style="98" customWidth="1"/>
    <col min="2308" max="2308" width="10.42578125" style="98" customWidth="1"/>
    <col min="2309" max="2309" width="18.5703125" style="98" customWidth="1"/>
    <col min="2310" max="2310" width="11.7109375" style="98" customWidth="1"/>
    <col min="2311" max="2311" width="19.28515625" style="98" customWidth="1"/>
    <col min="2312" max="2312" width="10.28515625" style="98" customWidth="1"/>
    <col min="2313" max="2313" width="19.42578125" style="98" customWidth="1"/>
    <col min="2314" max="2314" width="10.28515625" style="98" customWidth="1"/>
    <col min="2315" max="2315" width="19.5703125" style="98" customWidth="1"/>
    <col min="2316" max="2316" width="10.42578125" style="98" customWidth="1"/>
    <col min="2317" max="2317" width="21.140625" style="98" customWidth="1"/>
    <col min="2318" max="2318" width="11.7109375" style="98" customWidth="1"/>
    <col min="2319" max="2560" width="11.42578125" style="98"/>
    <col min="2561" max="2561" width="13.28515625" style="98" customWidth="1"/>
    <col min="2562" max="2562" width="32.140625" style="98" customWidth="1"/>
    <col min="2563" max="2563" width="20.7109375" style="98" customWidth="1"/>
    <col min="2564" max="2564" width="10.42578125" style="98" customWidth="1"/>
    <col min="2565" max="2565" width="18.5703125" style="98" customWidth="1"/>
    <col min="2566" max="2566" width="11.7109375" style="98" customWidth="1"/>
    <col min="2567" max="2567" width="19.28515625" style="98" customWidth="1"/>
    <col min="2568" max="2568" width="10.28515625" style="98" customWidth="1"/>
    <col min="2569" max="2569" width="19.42578125" style="98" customWidth="1"/>
    <col min="2570" max="2570" width="10.28515625" style="98" customWidth="1"/>
    <col min="2571" max="2571" width="19.5703125" style="98" customWidth="1"/>
    <col min="2572" max="2572" width="10.42578125" style="98" customWidth="1"/>
    <col min="2573" max="2573" width="21.140625" style="98" customWidth="1"/>
    <col min="2574" max="2574" width="11.7109375" style="98" customWidth="1"/>
    <col min="2575" max="2816" width="11.42578125" style="98"/>
    <col min="2817" max="2817" width="13.28515625" style="98" customWidth="1"/>
    <col min="2818" max="2818" width="32.140625" style="98" customWidth="1"/>
    <col min="2819" max="2819" width="20.7109375" style="98" customWidth="1"/>
    <col min="2820" max="2820" width="10.42578125" style="98" customWidth="1"/>
    <col min="2821" max="2821" width="18.5703125" style="98" customWidth="1"/>
    <col min="2822" max="2822" width="11.7109375" style="98" customWidth="1"/>
    <col min="2823" max="2823" width="19.28515625" style="98" customWidth="1"/>
    <col min="2824" max="2824" width="10.28515625" style="98" customWidth="1"/>
    <col min="2825" max="2825" width="19.42578125" style="98" customWidth="1"/>
    <col min="2826" max="2826" width="10.28515625" style="98" customWidth="1"/>
    <col min="2827" max="2827" width="19.5703125" style="98" customWidth="1"/>
    <col min="2828" max="2828" width="10.42578125" style="98" customWidth="1"/>
    <col min="2829" max="2829" width="21.140625" style="98" customWidth="1"/>
    <col min="2830" max="2830" width="11.7109375" style="98" customWidth="1"/>
    <col min="2831" max="3072" width="11.42578125" style="98"/>
    <col min="3073" max="3073" width="13.28515625" style="98" customWidth="1"/>
    <col min="3074" max="3074" width="32.140625" style="98" customWidth="1"/>
    <col min="3075" max="3075" width="20.7109375" style="98" customWidth="1"/>
    <col min="3076" max="3076" width="10.42578125" style="98" customWidth="1"/>
    <col min="3077" max="3077" width="18.5703125" style="98" customWidth="1"/>
    <col min="3078" max="3078" width="11.7109375" style="98" customWidth="1"/>
    <col min="3079" max="3079" width="19.28515625" style="98" customWidth="1"/>
    <col min="3080" max="3080" width="10.28515625" style="98" customWidth="1"/>
    <col min="3081" max="3081" width="19.42578125" style="98" customWidth="1"/>
    <col min="3082" max="3082" width="10.28515625" style="98" customWidth="1"/>
    <col min="3083" max="3083" width="19.5703125" style="98" customWidth="1"/>
    <col min="3084" max="3084" width="10.42578125" style="98" customWidth="1"/>
    <col min="3085" max="3085" width="21.140625" style="98" customWidth="1"/>
    <col min="3086" max="3086" width="11.7109375" style="98" customWidth="1"/>
    <col min="3087" max="3328" width="11.42578125" style="98"/>
    <col min="3329" max="3329" width="13.28515625" style="98" customWidth="1"/>
    <col min="3330" max="3330" width="32.140625" style="98" customWidth="1"/>
    <col min="3331" max="3331" width="20.7109375" style="98" customWidth="1"/>
    <col min="3332" max="3332" width="10.42578125" style="98" customWidth="1"/>
    <col min="3333" max="3333" width="18.5703125" style="98" customWidth="1"/>
    <col min="3334" max="3334" width="11.7109375" style="98" customWidth="1"/>
    <col min="3335" max="3335" width="19.28515625" style="98" customWidth="1"/>
    <col min="3336" max="3336" width="10.28515625" style="98" customWidth="1"/>
    <col min="3337" max="3337" width="19.42578125" style="98" customWidth="1"/>
    <col min="3338" max="3338" width="10.28515625" style="98" customWidth="1"/>
    <col min="3339" max="3339" width="19.5703125" style="98" customWidth="1"/>
    <col min="3340" max="3340" width="10.42578125" style="98" customWidth="1"/>
    <col min="3341" max="3341" width="21.140625" style="98" customWidth="1"/>
    <col min="3342" max="3342" width="11.7109375" style="98" customWidth="1"/>
    <col min="3343" max="3584" width="11.42578125" style="98"/>
    <col min="3585" max="3585" width="13.28515625" style="98" customWidth="1"/>
    <col min="3586" max="3586" width="32.140625" style="98" customWidth="1"/>
    <col min="3587" max="3587" width="20.7109375" style="98" customWidth="1"/>
    <col min="3588" max="3588" width="10.42578125" style="98" customWidth="1"/>
    <col min="3589" max="3589" width="18.5703125" style="98" customWidth="1"/>
    <col min="3590" max="3590" width="11.7109375" style="98" customWidth="1"/>
    <col min="3591" max="3591" width="19.28515625" style="98" customWidth="1"/>
    <col min="3592" max="3592" width="10.28515625" style="98" customWidth="1"/>
    <col min="3593" max="3593" width="19.42578125" style="98" customWidth="1"/>
    <col min="3594" max="3594" width="10.28515625" style="98" customWidth="1"/>
    <col min="3595" max="3595" width="19.5703125" style="98" customWidth="1"/>
    <col min="3596" max="3596" width="10.42578125" style="98" customWidth="1"/>
    <col min="3597" max="3597" width="21.140625" style="98" customWidth="1"/>
    <col min="3598" max="3598" width="11.7109375" style="98" customWidth="1"/>
    <col min="3599" max="3840" width="11.42578125" style="98"/>
    <col min="3841" max="3841" width="13.28515625" style="98" customWidth="1"/>
    <col min="3842" max="3842" width="32.140625" style="98" customWidth="1"/>
    <col min="3843" max="3843" width="20.7109375" style="98" customWidth="1"/>
    <col min="3844" max="3844" width="10.42578125" style="98" customWidth="1"/>
    <col min="3845" max="3845" width="18.5703125" style="98" customWidth="1"/>
    <col min="3846" max="3846" width="11.7109375" style="98" customWidth="1"/>
    <col min="3847" max="3847" width="19.28515625" style="98" customWidth="1"/>
    <col min="3848" max="3848" width="10.28515625" style="98" customWidth="1"/>
    <col min="3849" max="3849" width="19.42578125" style="98" customWidth="1"/>
    <col min="3850" max="3850" width="10.28515625" style="98" customWidth="1"/>
    <col min="3851" max="3851" width="19.5703125" style="98" customWidth="1"/>
    <col min="3852" max="3852" width="10.42578125" style="98" customWidth="1"/>
    <col min="3853" max="3853" width="21.140625" style="98" customWidth="1"/>
    <col min="3854" max="3854" width="11.7109375" style="98" customWidth="1"/>
    <col min="3855" max="4096" width="11.42578125" style="98"/>
    <col min="4097" max="4097" width="13.28515625" style="98" customWidth="1"/>
    <col min="4098" max="4098" width="32.140625" style="98" customWidth="1"/>
    <col min="4099" max="4099" width="20.7109375" style="98" customWidth="1"/>
    <col min="4100" max="4100" width="10.42578125" style="98" customWidth="1"/>
    <col min="4101" max="4101" width="18.5703125" style="98" customWidth="1"/>
    <col min="4102" max="4102" width="11.7109375" style="98" customWidth="1"/>
    <col min="4103" max="4103" width="19.28515625" style="98" customWidth="1"/>
    <col min="4104" max="4104" width="10.28515625" style="98" customWidth="1"/>
    <col min="4105" max="4105" width="19.42578125" style="98" customWidth="1"/>
    <col min="4106" max="4106" width="10.28515625" style="98" customWidth="1"/>
    <col min="4107" max="4107" width="19.5703125" style="98" customWidth="1"/>
    <col min="4108" max="4108" width="10.42578125" style="98" customWidth="1"/>
    <col min="4109" max="4109" width="21.140625" style="98" customWidth="1"/>
    <col min="4110" max="4110" width="11.7109375" style="98" customWidth="1"/>
    <col min="4111" max="4352" width="11.42578125" style="98"/>
    <col min="4353" max="4353" width="13.28515625" style="98" customWidth="1"/>
    <col min="4354" max="4354" width="32.140625" style="98" customWidth="1"/>
    <col min="4355" max="4355" width="20.7109375" style="98" customWidth="1"/>
    <col min="4356" max="4356" width="10.42578125" style="98" customWidth="1"/>
    <col min="4357" max="4357" width="18.5703125" style="98" customWidth="1"/>
    <col min="4358" max="4358" width="11.7109375" style="98" customWidth="1"/>
    <col min="4359" max="4359" width="19.28515625" style="98" customWidth="1"/>
    <col min="4360" max="4360" width="10.28515625" style="98" customWidth="1"/>
    <col min="4361" max="4361" width="19.42578125" style="98" customWidth="1"/>
    <col min="4362" max="4362" width="10.28515625" style="98" customWidth="1"/>
    <col min="4363" max="4363" width="19.5703125" style="98" customWidth="1"/>
    <col min="4364" max="4364" width="10.42578125" style="98" customWidth="1"/>
    <col min="4365" max="4365" width="21.140625" style="98" customWidth="1"/>
    <col min="4366" max="4366" width="11.7109375" style="98" customWidth="1"/>
    <col min="4367" max="4608" width="11.42578125" style="98"/>
    <col min="4609" max="4609" width="13.28515625" style="98" customWidth="1"/>
    <col min="4610" max="4610" width="32.140625" style="98" customWidth="1"/>
    <col min="4611" max="4611" width="20.7109375" style="98" customWidth="1"/>
    <col min="4612" max="4612" width="10.42578125" style="98" customWidth="1"/>
    <col min="4613" max="4613" width="18.5703125" style="98" customWidth="1"/>
    <col min="4614" max="4614" width="11.7109375" style="98" customWidth="1"/>
    <col min="4615" max="4615" width="19.28515625" style="98" customWidth="1"/>
    <col min="4616" max="4616" width="10.28515625" style="98" customWidth="1"/>
    <col min="4617" max="4617" width="19.42578125" style="98" customWidth="1"/>
    <col min="4618" max="4618" width="10.28515625" style="98" customWidth="1"/>
    <col min="4619" max="4619" width="19.5703125" style="98" customWidth="1"/>
    <col min="4620" max="4620" width="10.42578125" style="98" customWidth="1"/>
    <col min="4621" max="4621" width="21.140625" style="98" customWidth="1"/>
    <col min="4622" max="4622" width="11.7109375" style="98" customWidth="1"/>
    <col min="4623" max="4864" width="11.42578125" style="98"/>
    <col min="4865" max="4865" width="13.28515625" style="98" customWidth="1"/>
    <col min="4866" max="4866" width="32.140625" style="98" customWidth="1"/>
    <col min="4867" max="4867" width="20.7109375" style="98" customWidth="1"/>
    <col min="4868" max="4868" width="10.42578125" style="98" customWidth="1"/>
    <col min="4869" max="4869" width="18.5703125" style="98" customWidth="1"/>
    <col min="4870" max="4870" width="11.7109375" style="98" customWidth="1"/>
    <col min="4871" max="4871" width="19.28515625" style="98" customWidth="1"/>
    <col min="4872" max="4872" width="10.28515625" style="98" customWidth="1"/>
    <col min="4873" max="4873" width="19.42578125" style="98" customWidth="1"/>
    <col min="4874" max="4874" width="10.28515625" style="98" customWidth="1"/>
    <col min="4875" max="4875" width="19.5703125" style="98" customWidth="1"/>
    <col min="4876" max="4876" width="10.42578125" style="98" customWidth="1"/>
    <col min="4877" max="4877" width="21.140625" style="98" customWidth="1"/>
    <col min="4878" max="4878" width="11.7109375" style="98" customWidth="1"/>
    <col min="4879" max="5120" width="11.42578125" style="98"/>
    <col min="5121" max="5121" width="13.28515625" style="98" customWidth="1"/>
    <col min="5122" max="5122" width="32.140625" style="98" customWidth="1"/>
    <col min="5123" max="5123" width="20.7109375" style="98" customWidth="1"/>
    <col min="5124" max="5124" width="10.42578125" style="98" customWidth="1"/>
    <col min="5125" max="5125" width="18.5703125" style="98" customWidth="1"/>
    <col min="5126" max="5126" width="11.7109375" style="98" customWidth="1"/>
    <col min="5127" max="5127" width="19.28515625" style="98" customWidth="1"/>
    <col min="5128" max="5128" width="10.28515625" style="98" customWidth="1"/>
    <col min="5129" max="5129" width="19.42578125" style="98" customWidth="1"/>
    <col min="5130" max="5130" width="10.28515625" style="98" customWidth="1"/>
    <col min="5131" max="5131" width="19.5703125" style="98" customWidth="1"/>
    <col min="5132" max="5132" width="10.42578125" style="98" customWidth="1"/>
    <col min="5133" max="5133" width="21.140625" style="98" customWidth="1"/>
    <col min="5134" max="5134" width="11.7109375" style="98" customWidth="1"/>
    <col min="5135" max="5376" width="11.42578125" style="98"/>
    <col min="5377" max="5377" width="13.28515625" style="98" customWidth="1"/>
    <col min="5378" max="5378" width="32.140625" style="98" customWidth="1"/>
    <col min="5379" max="5379" width="20.7109375" style="98" customWidth="1"/>
    <col min="5380" max="5380" width="10.42578125" style="98" customWidth="1"/>
    <col min="5381" max="5381" width="18.5703125" style="98" customWidth="1"/>
    <col min="5382" max="5382" width="11.7109375" style="98" customWidth="1"/>
    <col min="5383" max="5383" width="19.28515625" style="98" customWidth="1"/>
    <col min="5384" max="5384" width="10.28515625" style="98" customWidth="1"/>
    <col min="5385" max="5385" width="19.42578125" style="98" customWidth="1"/>
    <col min="5386" max="5386" width="10.28515625" style="98" customWidth="1"/>
    <col min="5387" max="5387" width="19.5703125" style="98" customWidth="1"/>
    <col min="5388" max="5388" width="10.42578125" style="98" customWidth="1"/>
    <col min="5389" max="5389" width="21.140625" style="98" customWidth="1"/>
    <col min="5390" max="5390" width="11.7109375" style="98" customWidth="1"/>
    <col min="5391" max="5632" width="11.42578125" style="98"/>
    <col min="5633" max="5633" width="13.28515625" style="98" customWidth="1"/>
    <col min="5634" max="5634" width="32.140625" style="98" customWidth="1"/>
    <col min="5635" max="5635" width="20.7109375" style="98" customWidth="1"/>
    <col min="5636" max="5636" width="10.42578125" style="98" customWidth="1"/>
    <col min="5637" max="5637" width="18.5703125" style="98" customWidth="1"/>
    <col min="5638" max="5638" width="11.7109375" style="98" customWidth="1"/>
    <col min="5639" max="5639" width="19.28515625" style="98" customWidth="1"/>
    <col min="5640" max="5640" width="10.28515625" style="98" customWidth="1"/>
    <col min="5641" max="5641" width="19.42578125" style="98" customWidth="1"/>
    <col min="5642" max="5642" width="10.28515625" style="98" customWidth="1"/>
    <col min="5643" max="5643" width="19.5703125" style="98" customWidth="1"/>
    <col min="5644" max="5644" width="10.42578125" style="98" customWidth="1"/>
    <col min="5645" max="5645" width="21.140625" style="98" customWidth="1"/>
    <col min="5646" max="5646" width="11.7109375" style="98" customWidth="1"/>
    <col min="5647" max="5888" width="11.42578125" style="98"/>
    <col min="5889" max="5889" width="13.28515625" style="98" customWidth="1"/>
    <col min="5890" max="5890" width="32.140625" style="98" customWidth="1"/>
    <col min="5891" max="5891" width="20.7109375" style="98" customWidth="1"/>
    <col min="5892" max="5892" width="10.42578125" style="98" customWidth="1"/>
    <col min="5893" max="5893" width="18.5703125" style="98" customWidth="1"/>
    <col min="5894" max="5894" width="11.7109375" style="98" customWidth="1"/>
    <col min="5895" max="5895" width="19.28515625" style="98" customWidth="1"/>
    <col min="5896" max="5896" width="10.28515625" style="98" customWidth="1"/>
    <col min="5897" max="5897" width="19.42578125" style="98" customWidth="1"/>
    <col min="5898" max="5898" width="10.28515625" style="98" customWidth="1"/>
    <col min="5899" max="5899" width="19.5703125" style="98" customWidth="1"/>
    <col min="5900" max="5900" width="10.42578125" style="98" customWidth="1"/>
    <col min="5901" max="5901" width="21.140625" style="98" customWidth="1"/>
    <col min="5902" max="5902" width="11.7109375" style="98" customWidth="1"/>
    <col min="5903" max="6144" width="11.42578125" style="98"/>
    <col min="6145" max="6145" width="13.28515625" style="98" customWidth="1"/>
    <col min="6146" max="6146" width="32.140625" style="98" customWidth="1"/>
    <col min="6147" max="6147" width="20.7109375" style="98" customWidth="1"/>
    <col min="6148" max="6148" width="10.42578125" style="98" customWidth="1"/>
    <col min="6149" max="6149" width="18.5703125" style="98" customWidth="1"/>
    <col min="6150" max="6150" width="11.7109375" style="98" customWidth="1"/>
    <col min="6151" max="6151" width="19.28515625" style="98" customWidth="1"/>
    <col min="6152" max="6152" width="10.28515625" style="98" customWidth="1"/>
    <col min="6153" max="6153" width="19.42578125" style="98" customWidth="1"/>
    <col min="6154" max="6154" width="10.28515625" style="98" customWidth="1"/>
    <col min="6155" max="6155" width="19.5703125" style="98" customWidth="1"/>
    <col min="6156" max="6156" width="10.42578125" style="98" customWidth="1"/>
    <col min="6157" max="6157" width="21.140625" style="98" customWidth="1"/>
    <col min="6158" max="6158" width="11.7109375" style="98" customWidth="1"/>
    <col min="6159" max="6400" width="11.42578125" style="98"/>
    <col min="6401" max="6401" width="13.28515625" style="98" customWidth="1"/>
    <col min="6402" max="6402" width="32.140625" style="98" customWidth="1"/>
    <col min="6403" max="6403" width="20.7109375" style="98" customWidth="1"/>
    <col min="6404" max="6404" width="10.42578125" style="98" customWidth="1"/>
    <col min="6405" max="6405" width="18.5703125" style="98" customWidth="1"/>
    <col min="6406" max="6406" width="11.7109375" style="98" customWidth="1"/>
    <col min="6407" max="6407" width="19.28515625" style="98" customWidth="1"/>
    <col min="6408" max="6408" width="10.28515625" style="98" customWidth="1"/>
    <col min="6409" max="6409" width="19.42578125" style="98" customWidth="1"/>
    <col min="6410" max="6410" width="10.28515625" style="98" customWidth="1"/>
    <col min="6411" max="6411" width="19.5703125" style="98" customWidth="1"/>
    <col min="6412" max="6412" width="10.42578125" style="98" customWidth="1"/>
    <col min="6413" max="6413" width="21.140625" style="98" customWidth="1"/>
    <col min="6414" max="6414" width="11.7109375" style="98" customWidth="1"/>
    <col min="6415" max="6656" width="11.42578125" style="98"/>
    <col min="6657" max="6657" width="13.28515625" style="98" customWidth="1"/>
    <col min="6658" max="6658" width="32.140625" style="98" customWidth="1"/>
    <col min="6659" max="6659" width="20.7109375" style="98" customWidth="1"/>
    <col min="6660" max="6660" width="10.42578125" style="98" customWidth="1"/>
    <col min="6661" max="6661" width="18.5703125" style="98" customWidth="1"/>
    <col min="6662" max="6662" width="11.7109375" style="98" customWidth="1"/>
    <col min="6663" max="6663" width="19.28515625" style="98" customWidth="1"/>
    <col min="6664" max="6664" width="10.28515625" style="98" customWidth="1"/>
    <col min="6665" max="6665" width="19.42578125" style="98" customWidth="1"/>
    <col min="6666" max="6666" width="10.28515625" style="98" customWidth="1"/>
    <col min="6667" max="6667" width="19.5703125" style="98" customWidth="1"/>
    <col min="6668" max="6668" width="10.42578125" style="98" customWidth="1"/>
    <col min="6669" max="6669" width="21.140625" style="98" customWidth="1"/>
    <col min="6670" max="6670" width="11.7109375" style="98" customWidth="1"/>
    <col min="6671" max="6912" width="11.42578125" style="98"/>
    <col min="6913" max="6913" width="13.28515625" style="98" customWidth="1"/>
    <col min="6914" max="6914" width="32.140625" style="98" customWidth="1"/>
    <col min="6915" max="6915" width="20.7109375" style="98" customWidth="1"/>
    <col min="6916" max="6916" width="10.42578125" style="98" customWidth="1"/>
    <col min="6917" max="6917" width="18.5703125" style="98" customWidth="1"/>
    <col min="6918" max="6918" width="11.7109375" style="98" customWidth="1"/>
    <col min="6919" max="6919" width="19.28515625" style="98" customWidth="1"/>
    <col min="6920" max="6920" width="10.28515625" style="98" customWidth="1"/>
    <col min="6921" max="6921" width="19.42578125" style="98" customWidth="1"/>
    <col min="6922" max="6922" width="10.28515625" style="98" customWidth="1"/>
    <col min="6923" max="6923" width="19.5703125" style="98" customWidth="1"/>
    <col min="6924" max="6924" width="10.42578125" style="98" customWidth="1"/>
    <col min="6925" max="6925" width="21.140625" style="98" customWidth="1"/>
    <col min="6926" max="6926" width="11.7109375" style="98" customWidth="1"/>
    <col min="6927" max="7168" width="11.42578125" style="98"/>
    <col min="7169" max="7169" width="13.28515625" style="98" customWidth="1"/>
    <col min="7170" max="7170" width="32.140625" style="98" customWidth="1"/>
    <col min="7171" max="7171" width="20.7109375" style="98" customWidth="1"/>
    <col min="7172" max="7172" width="10.42578125" style="98" customWidth="1"/>
    <col min="7173" max="7173" width="18.5703125" style="98" customWidth="1"/>
    <col min="7174" max="7174" width="11.7109375" style="98" customWidth="1"/>
    <col min="7175" max="7175" width="19.28515625" style="98" customWidth="1"/>
    <col min="7176" max="7176" width="10.28515625" style="98" customWidth="1"/>
    <col min="7177" max="7177" width="19.42578125" style="98" customWidth="1"/>
    <col min="7178" max="7178" width="10.28515625" style="98" customWidth="1"/>
    <col min="7179" max="7179" width="19.5703125" style="98" customWidth="1"/>
    <col min="7180" max="7180" width="10.42578125" style="98" customWidth="1"/>
    <col min="7181" max="7181" width="21.140625" style="98" customWidth="1"/>
    <col min="7182" max="7182" width="11.7109375" style="98" customWidth="1"/>
    <col min="7183" max="7424" width="11.42578125" style="98"/>
    <col min="7425" max="7425" width="13.28515625" style="98" customWidth="1"/>
    <col min="7426" max="7426" width="32.140625" style="98" customWidth="1"/>
    <col min="7427" max="7427" width="20.7109375" style="98" customWidth="1"/>
    <col min="7428" max="7428" width="10.42578125" style="98" customWidth="1"/>
    <col min="7429" max="7429" width="18.5703125" style="98" customWidth="1"/>
    <col min="7430" max="7430" width="11.7109375" style="98" customWidth="1"/>
    <col min="7431" max="7431" width="19.28515625" style="98" customWidth="1"/>
    <col min="7432" max="7432" width="10.28515625" style="98" customWidth="1"/>
    <col min="7433" max="7433" width="19.42578125" style="98" customWidth="1"/>
    <col min="7434" max="7434" width="10.28515625" style="98" customWidth="1"/>
    <col min="7435" max="7435" width="19.5703125" style="98" customWidth="1"/>
    <col min="7436" max="7436" width="10.42578125" style="98" customWidth="1"/>
    <col min="7437" max="7437" width="21.140625" style="98" customWidth="1"/>
    <col min="7438" max="7438" width="11.7109375" style="98" customWidth="1"/>
    <col min="7439" max="7680" width="11.42578125" style="98"/>
    <col min="7681" max="7681" width="13.28515625" style="98" customWidth="1"/>
    <col min="7682" max="7682" width="32.140625" style="98" customWidth="1"/>
    <col min="7683" max="7683" width="20.7109375" style="98" customWidth="1"/>
    <col min="7684" max="7684" width="10.42578125" style="98" customWidth="1"/>
    <col min="7685" max="7685" width="18.5703125" style="98" customWidth="1"/>
    <col min="7686" max="7686" width="11.7109375" style="98" customWidth="1"/>
    <col min="7687" max="7687" width="19.28515625" style="98" customWidth="1"/>
    <col min="7688" max="7688" width="10.28515625" style="98" customWidth="1"/>
    <col min="7689" max="7689" width="19.42578125" style="98" customWidth="1"/>
    <col min="7690" max="7690" width="10.28515625" style="98" customWidth="1"/>
    <col min="7691" max="7691" width="19.5703125" style="98" customWidth="1"/>
    <col min="7692" max="7692" width="10.42578125" style="98" customWidth="1"/>
    <col min="7693" max="7693" width="21.140625" style="98" customWidth="1"/>
    <col min="7694" max="7694" width="11.7109375" style="98" customWidth="1"/>
    <col min="7695" max="7936" width="11.42578125" style="98"/>
    <col min="7937" max="7937" width="13.28515625" style="98" customWidth="1"/>
    <col min="7938" max="7938" width="32.140625" style="98" customWidth="1"/>
    <col min="7939" max="7939" width="20.7109375" style="98" customWidth="1"/>
    <col min="7940" max="7940" width="10.42578125" style="98" customWidth="1"/>
    <col min="7941" max="7941" width="18.5703125" style="98" customWidth="1"/>
    <col min="7942" max="7942" width="11.7109375" style="98" customWidth="1"/>
    <col min="7943" max="7943" width="19.28515625" style="98" customWidth="1"/>
    <col min="7944" max="7944" width="10.28515625" style="98" customWidth="1"/>
    <col min="7945" max="7945" width="19.42578125" style="98" customWidth="1"/>
    <col min="7946" max="7946" width="10.28515625" style="98" customWidth="1"/>
    <col min="7947" max="7947" width="19.5703125" style="98" customWidth="1"/>
    <col min="7948" max="7948" width="10.42578125" style="98" customWidth="1"/>
    <col min="7949" max="7949" width="21.140625" style="98" customWidth="1"/>
    <col min="7950" max="7950" width="11.7109375" style="98" customWidth="1"/>
    <col min="7951" max="8192" width="11.42578125" style="98"/>
    <col min="8193" max="8193" width="13.28515625" style="98" customWidth="1"/>
    <col min="8194" max="8194" width="32.140625" style="98" customWidth="1"/>
    <col min="8195" max="8195" width="20.7109375" style="98" customWidth="1"/>
    <col min="8196" max="8196" width="10.42578125" style="98" customWidth="1"/>
    <col min="8197" max="8197" width="18.5703125" style="98" customWidth="1"/>
    <col min="8198" max="8198" width="11.7109375" style="98" customWidth="1"/>
    <col min="8199" max="8199" width="19.28515625" style="98" customWidth="1"/>
    <col min="8200" max="8200" width="10.28515625" style="98" customWidth="1"/>
    <col min="8201" max="8201" width="19.42578125" style="98" customWidth="1"/>
    <col min="8202" max="8202" width="10.28515625" style="98" customWidth="1"/>
    <col min="8203" max="8203" width="19.5703125" style="98" customWidth="1"/>
    <col min="8204" max="8204" width="10.42578125" style="98" customWidth="1"/>
    <col min="8205" max="8205" width="21.140625" style="98" customWidth="1"/>
    <col min="8206" max="8206" width="11.7109375" style="98" customWidth="1"/>
    <col min="8207" max="8448" width="11.42578125" style="98"/>
    <col min="8449" max="8449" width="13.28515625" style="98" customWidth="1"/>
    <col min="8450" max="8450" width="32.140625" style="98" customWidth="1"/>
    <col min="8451" max="8451" width="20.7109375" style="98" customWidth="1"/>
    <col min="8452" max="8452" width="10.42578125" style="98" customWidth="1"/>
    <col min="8453" max="8453" width="18.5703125" style="98" customWidth="1"/>
    <col min="8454" max="8454" width="11.7109375" style="98" customWidth="1"/>
    <col min="8455" max="8455" width="19.28515625" style="98" customWidth="1"/>
    <col min="8456" max="8456" width="10.28515625" style="98" customWidth="1"/>
    <col min="8457" max="8457" width="19.42578125" style="98" customWidth="1"/>
    <col min="8458" max="8458" width="10.28515625" style="98" customWidth="1"/>
    <col min="8459" max="8459" width="19.5703125" style="98" customWidth="1"/>
    <col min="8460" max="8460" width="10.42578125" style="98" customWidth="1"/>
    <col min="8461" max="8461" width="21.140625" style="98" customWidth="1"/>
    <col min="8462" max="8462" width="11.7109375" style="98" customWidth="1"/>
    <col min="8463" max="8704" width="11.42578125" style="98"/>
    <col min="8705" max="8705" width="13.28515625" style="98" customWidth="1"/>
    <col min="8706" max="8706" width="32.140625" style="98" customWidth="1"/>
    <col min="8707" max="8707" width="20.7109375" style="98" customWidth="1"/>
    <col min="8708" max="8708" width="10.42578125" style="98" customWidth="1"/>
    <col min="8709" max="8709" width="18.5703125" style="98" customWidth="1"/>
    <col min="8710" max="8710" width="11.7109375" style="98" customWidth="1"/>
    <col min="8711" max="8711" width="19.28515625" style="98" customWidth="1"/>
    <col min="8712" max="8712" width="10.28515625" style="98" customWidth="1"/>
    <col min="8713" max="8713" width="19.42578125" style="98" customWidth="1"/>
    <col min="8714" max="8714" width="10.28515625" style="98" customWidth="1"/>
    <col min="8715" max="8715" width="19.5703125" style="98" customWidth="1"/>
    <col min="8716" max="8716" width="10.42578125" style="98" customWidth="1"/>
    <col min="8717" max="8717" width="21.140625" style="98" customWidth="1"/>
    <col min="8718" max="8718" width="11.7109375" style="98" customWidth="1"/>
    <col min="8719" max="8960" width="11.42578125" style="98"/>
    <col min="8961" max="8961" width="13.28515625" style="98" customWidth="1"/>
    <col min="8962" max="8962" width="32.140625" style="98" customWidth="1"/>
    <col min="8963" max="8963" width="20.7109375" style="98" customWidth="1"/>
    <col min="8964" max="8964" width="10.42578125" style="98" customWidth="1"/>
    <col min="8965" max="8965" width="18.5703125" style="98" customWidth="1"/>
    <col min="8966" max="8966" width="11.7109375" style="98" customWidth="1"/>
    <col min="8967" max="8967" width="19.28515625" style="98" customWidth="1"/>
    <col min="8968" max="8968" width="10.28515625" style="98" customWidth="1"/>
    <col min="8969" max="8969" width="19.42578125" style="98" customWidth="1"/>
    <col min="8970" max="8970" width="10.28515625" style="98" customWidth="1"/>
    <col min="8971" max="8971" width="19.5703125" style="98" customWidth="1"/>
    <col min="8972" max="8972" width="10.42578125" style="98" customWidth="1"/>
    <col min="8973" max="8973" width="21.140625" style="98" customWidth="1"/>
    <col min="8974" max="8974" width="11.7109375" style="98" customWidth="1"/>
    <col min="8975" max="9216" width="11.42578125" style="98"/>
    <col min="9217" max="9217" width="13.28515625" style="98" customWidth="1"/>
    <col min="9218" max="9218" width="32.140625" style="98" customWidth="1"/>
    <col min="9219" max="9219" width="20.7109375" style="98" customWidth="1"/>
    <col min="9220" max="9220" width="10.42578125" style="98" customWidth="1"/>
    <col min="9221" max="9221" width="18.5703125" style="98" customWidth="1"/>
    <col min="9222" max="9222" width="11.7109375" style="98" customWidth="1"/>
    <col min="9223" max="9223" width="19.28515625" style="98" customWidth="1"/>
    <col min="9224" max="9224" width="10.28515625" style="98" customWidth="1"/>
    <col min="9225" max="9225" width="19.42578125" style="98" customWidth="1"/>
    <col min="9226" max="9226" width="10.28515625" style="98" customWidth="1"/>
    <col min="9227" max="9227" width="19.5703125" style="98" customWidth="1"/>
    <col min="9228" max="9228" width="10.42578125" style="98" customWidth="1"/>
    <col min="9229" max="9229" width="21.140625" style="98" customWidth="1"/>
    <col min="9230" max="9230" width="11.7109375" style="98" customWidth="1"/>
    <col min="9231" max="9472" width="11.42578125" style="98"/>
    <col min="9473" max="9473" width="13.28515625" style="98" customWidth="1"/>
    <col min="9474" max="9474" width="32.140625" style="98" customWidth="1"/>
    <col min="9475" max="9475" width="20.7109375" style="98" customWidth="1"/>
    <col min="9476" max="9476" width="10.42578125" style="98" customWidth="1"/>
    <col min="9477" max="9477" width="18.5703125" style="98" customWidth="1"/>
    <col min="9478" max="9478" width="11.7109375" style="98" customWidth="1"/>
    <col min="9479" max="9479" width="19.28515625" style="98" customWidth="1"/>
    <col min="9480" max="9480" width="10.28515625" style="98" customWidth="1"/>
    <col min="9481" max="9481" width="19.42578125" style="98" customWidth="1"/>
    <col min="9482" max="9482" width="10.28515625" style="98" customWidth="1"/>
    <col min="9483" max="9483" width="19.5703125" style="98" customWidth="1"/>
    <col min="9484" max="9484" width="10.42578125" style="98" customWidth="1"/>
    <col min="9485" max="9485" width="21.140625" style="98" customWidth="1"/>
    <col min="9486" max="9486" width="11.7109375" style="98" customWidth="1"/>
    <col min="9487" max="9728" width="11.42578125" style="98"/>
    <col min="9729" max="9729" width="13.28515625" style="98" customWidth="1"/>
    <col min="9730" max="9730" width="32.140625" style="98" customWidth="1"/>
    <col min="9731" max="9731" width="20.7109375" style="98" customWidth="1"/>
    <col min="9732" max="9732" width="10.42578125" style="98" customWidth="1"/>
    <col min="9733" max="9733" width="18.5703125" style="98" customWidth="1"/>
    <col min="9734" max="9734" width="11.7109375" style="98" customWidth="1"/>
    <col min="9735" max="9735" width="19.28515625" style="98" customWidth="1"/>
    <col min="9736" max="9736" width="10.28515625" style="98" customWidth="1"/>
    <col min="9737" max="9737" width="19.42578125" style="98" customWidth="1"/>
    <col min="9738" max="9738" width="10.28515625" style="98" customWidth="1"/>
    <col min="9739" max="9739" width="19.5703125" style="98" customWidth="1"/>
    <col min="9740" max="9740" width="10.42578125" style="98" customWidth="1"/>
    <col min="9741" max="9741" width="21.140625" style="98" customWidth="1"/>
    <col min="9742" max="9742" width="11.7109375" style="98" customWidth="1"/>
    <col min="9743" max="9984" width="11.42578125" style="98"/>
    <col min="9985" max="9985" width="13.28515625" style="98" customWidth="1"/>
    <col min="9986" max="9986" width="32.140625" style="98" customWidth="1"/>
    <col min="9987" max="9987" width="20.7109375" style="98" customWidth="1"/>
    <col min="9988" max="9988" width="10.42578125" style="98" customWidth="1"/>
    <col min="9989" max="9989" width="18.5703125" style="98" customWidth="1"/>
    <col min="9990" max="9990" width="11.7109375" style="98" customWidth="1"/>
    <col min="9991" max="9991" width="19.28515625" style="98" customWidth="1"/>
    <col min="9992" max="9992" width="10.28515625" style="98" customWidth="1"/>
    <col min="9993" max="9993" width="19.42578125" style="98" customWidth="1"/>
    <col min="9994" max="9994" width="10.28515625" style="98" customWidth="1"/>
    <col min="9995" max="9995" width="19.5703125" style="98" customWidth="1"/>
    <col min="9996" max="9996" width="10.42578125" style="98" customWidth="1"/>
    <col min="9997" max="9997" width="21.140625" style="98" customWidth="1"/>
    <col min="9998" max="9998" width="11.7109375" style="98" customWidth="1"/>
    <col min="9999" max="10240" width="11.42578125" style="98"/>
    <col min="10241" max="10241" width="13.28515625" style="98" customWidth="1"/>
    <col min="10242" max="10242" width="32.140625" style="98" customWidth="1"/>
    <col min="10243" max="10243" width="20.7109375" style="98" customWidth="1"/>
    <col min="10244" max="10244" width="10.42578125" style="98" customWidth="1"/>
    <col min="10245" max="10245" width="18.5703125" style="98" customWidth="1"/>
    <col min="10246" max="10246" width="11.7109375" style="98" customWidth="1"/>
    <col min="10247" max="10247" width="19.28515625" style="98" customWidth="1"/>
    <col min="10248" max="10248" width="10.28515625" style="98" customWidth="1"/>
    <col min="10249" max="10249" width="19.42578125" style="98" customWidth="1"/>
    <col min="10250" max="10250" width="10.28515625" style="98" customWidth="1"/>
    <col min="10251" max="10251" width="19.5703125" style="98" customWidth="1"/>
    <col min="10252" max="10252" width="10.42578125" style="98" customWidth="1"/>
    <col min="10253" max="10253" width="21.140625" style="98" customWidth="1"/>
    <col min="10254" max="10254" width="11.7109375" style="98" customWidth="1"/>
    <col min="10255" max="10496" width="11.42578125" style="98"/>
    <col min="10497" max="10497" width="13.28515625" style="98" customWidth="1"/>
    <col min="10498" max="10498" width="32.140625" style="98" customWidth="1"/>
    <col min="10499" max="10499" width="20.7109375" style="98" customWidth="1"/>
    <col min="10500" max="10500" width="10.42578125" style="98" customWidth="1"/>
    <col min="10501" max="10501" width="18.5703125" style="98" customWidth="1"/>
    <col min="10502" max="10502" width="11.7109375" style="98" customWidth="1"/>
    <col min="10503" max="10503" width="19.28515625" style="98" customWidth="1"/>
    <col min="10504" max="10504" width="10.28515625" style="98" customWidth="1"/>
    <col min="10505" max="10505" width="19.42578125" style="98" customWidth="1"/>
    <col min="10506" max="10506" width="10.28515625" style="98" customWidth="1"/>
    <col min="10507" max="10507" width="19.5703125" style="98" customWidth="1"/>
    <col min="10508" max="10508" width="10.42578125" style="98" customWidth="1"/>
    <col min="10509" max="10509" width="21.140625" style="98" customWidth="1"/>
    <col min="10510" max="10510" width="11.7109375" style="98" customWidth="1"/>
    <col min="10511" max="10752" width="11.42578125" style="98"/>
    <col min="10753" max="10753" width="13.28515625" style="98" customWidth="1"/>
    <col min="10754" max="10754" width="32.140625" style="98" customWidth="1"/>
    <col min="10755" max="10755" width="20.7109375" style="98" customWidth="1"/>
    <col min="10756" max="10756" width="10.42578125" style="98" customWidth="1"/>
    <col min="10757" max="10757" width="18.5703125" style="98" customWidth="1"/>
    <col min="10758" max="10758" width="11.7109375" style="98" customWidth="1"/>
    <col min="10759" max="10759" width="19.28515625" style="98" customWidth="1"/>
    <col min="10760" max="10760" width="10.28515625" style="98" customWidth="1"/>
    <col min="10761" max="10761" width="19.42578125" style="98" customWidth="1"/>
    <col min="10762" max="10762" width="10.28515625" style="98" customWidth="1"/>
    <col min="10763" max="10763" width="19.5703125" style="98" customWidth="1"/>
    <col min="10764" max="10764" width="10.42578125" style="98" customWidth="1"/>
    <col min="10765" max="10765" width="21.140625" style="98" customWidth="1"/>
    <col min="10766" max="10766" width="11.7109375" style="98" customWidth="1"/>
    <col min="10767" max="11008" width="11.42578125" style="98"/>
    <col min="11009" max="11009" width="13.28515625" style="98" customWidth="1"/>
    <col min="11010" max="11010" width="32.140625" style="98" customWidth="1"/>
    <col min="11011" max="11011" width="20.7109375" style="98" customWidth="1"/>
    <col min="11012" max="11012" width="10.42578125" style="98" customWidth="1"/>
    <col min="11013" max="11013" width="18.5703125" style="98" customWidth="1"/>
    <col min="11014" max="11014" width="11.7109375" style="98" customWidth="1"/>
    <col min="11015" max="11015" width="19.28515625" style="98" customWidth="1"/>
    <col min="11016" max="11016" width="10.28515625" style="98" customWidth="1"/>
    <col min="11017" max="11017" width="19.42578125" style="98" customWidth="1"/>
    <col min="11018" max="11018" width="10.28515625" style="98" customWidth="1"/>
    <col min="11019" max="11019" width="19.5703125" style="98" customWidth="1"/>
    <col min="11020" max="11020" width="10.42578125" style="98" customWidth="1"/>
    <col min="11021" max="11021" width="21.140625" style="98" customWidth="1"/>
    <col min="11022" max="11022" width="11.7109375" style="98" customWidth="1"/>
    <col min="11023" max="11264" width="11.42578125" style="98"/>
    <col min="11265" max="11265" width="13.28515625" style="98" customWidth="1"/>
    <col min="11266" max="11266" width="32.140625" style="98" customWidth="1"/>
    <col min="11267" max="11267" width="20.7109375" style="98" customWidth="1"/>
    <col min="11268" max="11268" width="10.42578125" style="98" customWidth="1"/>
    <col min="11269" max="11269" width="18.5703125" style="98" customWidth="1"/>
    <col min="11270" max="11270" width="11.7109375" style="98" customWidth="1"/>
    <col min="11271" max="11271" width="19.28515625" style="98" customWidth="1"/>
    <col min="11272" max="11272" width="10.28515625" style="98" customWidth="1"/>
    <col min="11273" max="11273" width="19.42578125" style="98" customWidth="1"/>
    <col min="11274" max="11274" width="10.28515625" style="98" customWidth="1"/>
    <col min="11275" max="11275" width="19.5703125" style="98" customWidth="1"/>
    <col min="11276" max="11276" width="10.42578125" style="98" customWidth="1"/>
    <col min="11277" max="11277" width="21.140625" style="98" customWidth="1"/>
    <col min="11278" max="11278" width="11.7109375" style="98" customWidth="1"/>
    <col min="11279" max="11520" width="11.42578125" style="98"/>
    <col min="11521" max="11521" width="13.28515625" style="98" customWidth="1"/>
    <col min="11522" max="11522" width="32.140625" style="98" customWidth="1"/>
    <col min="11523" max="11523" width="20.7109375" style="98" customWidth="1"/>
    <col min="11524" max="11524" width="10.42578125" style="98" customWidth="1"/>
    <col min="11525" max="11525" width="18.5703125" style="98" customWidth="1"/>
    <col min="11526" max="11526" width="11.7109375" style="98" customWidth="1"/>
    <col min="11527" max="11527" width="19.28515625" style="98" customWidth="1"/>
    <col min="11528" max="11528" width="10.28515625" style="98" customWidth="1"/>
    <col min="11529" max="11529" width="19.42578125" style="98" customWidth="1"/>
    <col min="11530" max="11530" width="10.28515625" style="98" customWidth="1"/>
    <col min="11531" max="11531" width="19.5703125" style="98" customWidth="1"/>
    <col min="11532" max="11532" width="10.42578125" style="98" customWidth="1"/>
    <col min="11533" max="11533" width="21.140625" style="98" customWidth="1"/>
    <col min="11534" max="11534" width="11.7109375" style="98" customWidth="1"/>
    <col min="11535" max="11776" width="11.42578125" style="98"/>
    <col min="11777" max="11777" width="13.28515625" style="98" customWidth="1"/>
    <col min="11778" max="11778" width="32.140625" style="98" customWidth="1"/>
    <col min="11779" max="11779" width="20.7109375" style="98" customWidth="1"/>
    <col min="11780" max="11780" width="10.42578125" style="98" customWidth="1"/>
    <col min="11781" max="11781" width="18.5703125" style="98" customWidth="1"/>
    <col min="11782" max="11782" width="11.7109375" style="98" customWidth="1"/>
    <col min="11783" max="11783" width="19.28515625" style="98" customWidth="1"/>
    <col min="11784" max="11784" width="10.28515625" style="98" customWidth="1"/>
    <col min="11785" max="11785" width="19.42578125" style="98" customWidth="1"/>
    <col min="11786" max="11786" width="10.28515625" style="98" customWidth="1"/>
    <col min="11787" max="11787" width="19.5703125" style="98" customWidth="1"/>
    <col min="11788" max="11788" width="10.42578125" style="98" customWidth="1"/>
    <col min="11789" max="11789" width="21.140625" style="98" customWidth="1"/>
    <col min="11790" max="11790" width="11.7109375" style="98" customWidth="1"/>
    <col min="11791" max="12032" width="11.42578125" style="98"/>
    <col min="12033" max="12033" width="13.28515625" style="98" customWidth="1"/>
    <col min="12034" max="12034" width="32.140625" style="98" customWidth="1"/>
    <col min="12035" max="12035" width="20.7109375" style="98" customWidth="1"/>
    <col min="12036" max="12036" width="10.42578125" style="98" customWidth="1"/>
    <col min="12037" max="12037" width="18.5703125" style="98" customWidth="1"/>
    <col min="12038" max="12038" width="11.7109375" style="98" customWidth="1"/>
    <col min="12039" max="12039" width="19.28515625" style="98" customWidth="1"/>
    <col min="12040" max="12040" width="10.28515625" style="98" customWidth="1"/>
    <col min="12041" max="12041" width="19.42578125" style="98" customWidth="1"/>
    <col min="12042" max="12042" width="10.28515625" style="98" customWidth="1"/>
    <col min="12043" max="12043" width="19.5703125" style="98" customWidth="1"/>
    <col min="12044" max="12044" width="10.42578125" style="98" customWidth="1"/>
    <col min="12045" max="12045" width="21.140625" style="98" customWidth="1"/>
    <col min="12046" max="12046" width="11.7109375" style="98" customWidth="1"/>
    <col min="12047" max="12288" width="11.42578125" style="98"/>
    <col min="12289" max="12289" width="13.28515625" style="98" customWidth="1"/>
    <col min="12290" max="12290" width="32.140625" style="98" customWidth="1"/>
    <col min="12291" max="12291" width="20.7109375" style="98" customWidth="1"/>
    <col min="12292" max="12292" width="10.42578125" style="98" customWidth="1"/>
    <col min="12293" max="12293" width="18.5703125" style="98" customWidth="1"/>
    <col min="12294" max="12294" width="11.7109375" style="98" customWidth="1"/>
    <col min="12295" max="12295" width="19.28515625" style="98" customWidth="1"/>
    <col min="12296" max="12296" width="10.28515625" style="98" customWidth="1"/>
    <col min="12297" max="12297" width="19.42578125" style="98" customWidth="1"/>
    <col min="12298" max="12298" width="10.28515625" style="98" customWidth="1"/>
    <col min="12299" max="12299" width="19.5703125" style="98" customWidth="1"/>
    <col min="12300" max="12300" width="10.42578125" style="98" customWidth="1"/>
    <col min="12301" max="12301" width="21.140625" style="98" customWidth="1"/>
    <col min="12302" max="12302" width="11.7109375" style="98" customWidth="1"/>
    <col min="12303" max="12544" width="11.42578125" style="98"/>
    <col min="12545" max="12545" width="13.28515625" style="98" customWidth="1"/>
    <col min="12546" max="12546" width="32.140625" style="98" customWidth="1"/>
    <col min="12547" max="12547" width="20.7109375" style="98" customWidth="1"/>
    <col min="12548" max="12548" width="10.42578125" style="98" customWidth="1"/>
    <col min="12549" max="12549" width="18.5703125" style="98" customWidth="1"/>
    <col min="12550" max="12550" width="11.7109375" style="98" customWidth="1"/>
    <col min="12551" max="12551" width="19.28515625" style="98" customWidth="1"/>
    <col min="12552" max="12552" width="10.28515625" style="98" customWidth="1"/>
    <col min="12553" max="12553" width="19.42578125" style="98" customWidth="1"/>
    <col min="12554" max="12554" width="10.28515625" style="98" customWidth="1"/>
    <col min="12555" max="12555" width="19.5703125" style="98" customWidth="1"/>
    <col min="12556" max="12556" width="10.42578125" style="98" customWidth="1"/>
    <col min="12557" max="12557" width="21.140625" style="98" customWidth="1"/>
    <col min="12558" max="12558" width="11.7109375" style="98" customWidth="1"/>
    <col min="12559" max="12800" width="11.42578125" style="98"/>
    <col min="12801" max="12801" width="13.28515625" style="98" customWidth="1"/>
    <col min="12802" max="12802" width="32.140625" style="98" customWidth="1"/>
    <col min="12803" max="12803" width="20.7109375" style="98" customWidth="1"/>
    <col min="12804" max="12804" width="10.42578125" style="98" customWidth="1"/>
    <col min="12805" max="12805" width="18.5703125" style="98" customWidth="1"/>
    <col min="12806" max="12806" width="11.7109375" style="98" customWidth="1"/>
    <col min="12807" max="12807" width="19.28515625" style="98" customWidth="1"/>
    <col min="12808" max="12808" width="10.28515625" style="98" customWidth="1"/>
    <col min="12809" max="12809" width="19.42578125" style="98" customWidth="1"/>
    <col min="12810" max="12810" width="10.28515625" style="98" customWidth="1"/>
    <col min="12811" max="12811" width="19.5703125" style="98" customWidth="1"/>
    <col min="12812" max="12812" width="10.42578125" style="98" customWidth="1"/>
    <col min="12813" max="12813" width="21.140625" style="98" customWidth="1"/>
    <col min="12814" max="12814" width="11.7109375" style="98" customWidth="1"/>
    <col min="12815" max="13056" width="11.42578125" style="98"/>
    <col min="13057" max="13057" width="13.28515625" style="98" customWidth="1"/>
    <col min="13058" max="13058" width="32.140625" style="98" customWidth="1"/>
    <col min="13059" max="13059" width="20.7109375" style="98" customWidth="1"/>
    <col min="13060" max="13060" width="10.42578125" style="98" customWidth="1"/>
    <col min="13061" max="13061" width="18.5703125" style="98" customWidth="1"/>
    <col min="13062" max="13062" width="11.7109375" style="98" customWidth="1"/>
    <col min="13063" max="13063" width="19.28515625" style="98" customWidth="1"/>
    <col min="13064" max="13064" width="10.28515625" style="98" customWidth="1"/>
    <col min="13065" max="13065" width="19.42578125" style="98" customWidth="1"/>
    <col min="13066" max="13066" width="10.28515625" style="98" customWidth="1"/>
    <col min="13067" max="13067" width="19.5703125" style="98" customWidth="1"/>
    <col min="13068" max="13068" width="10.42578125" style="98" customWidth="1"/>
    <col min="13069" max="13069" width="21.140625" style="98" customWidth="1"/>
    <col min="13070" max="13070" width="11.7109375" style="98" customWidth="1"/>
    <col min="13071" max="13312" width="11.42578125" style="98"/>
    <col min="13313" max="13313" width="13.28515625" style="98" customWidth="1"/>
    <col min="13314" max="13314" width="32.140625" style="98" customWidth="1"/>
    <col min="13315" max="13315" width="20.7109375" style="98" customWidth="1"/>
    <col min="13316" max="13316" width="10.42578125" style="98" customWidth="1"/>
    <col min="13317" max="13317" width="18.5703125" style="98" customWidth="1"/>
    <col min="13318" max="13318" width="11.7109375" style="98" customWidth="1"/>
    <col min="13319" max="13319" width="19.28515625" style="98" customWidth="1"/>
    <col min="13320" max="13320" width="10.28515625" style="98" customWidth="1"/>
    <col min="13321" max="13321" width="19.42578125" style="98" customWidth="1"/>
    <col min="13322" max="13322" width="10.28515625" style="98" customWidth="1"/>
    <col min="13323" max="13323" width="19.5703125" style="98" customWidth="1"/>
    <col min="13324" max="13324" width="10.42578125" style="98" customWidth="1"/>
    <col min="13325" max="13325" width="21.140625" style="98" customWidth="1"/>
    <col min="13326" max="13326" width="11.7109375" style="98" customWidth="1"/>
    <col min="13327" max="13568" width="11.42578125" style="98"/>
    <col min="13569" max="13569" width="13.28515625" style="98" customWidth="1"/>
    <col min="13570" max="13570" width="32.140625" style="98" customWidth="1"/>
    <col min="13571" max="13571" width="20.7109375" style="98" customWidth="1"/>
    <col min="13572" max="13572" width="10.42578125" style="98" customWidth="1"/>
    <col min="13573" max="13573" width="18.5703125" style="98" customWidth="1"/>
    <col min="13574" max="13574" width="11.7109375" style="98" customWidth="1"/>
    <col min="13575" max="13575" width="19.28515625" style="98" customWidth="1"/>
    <col min="13576" max="13576" width="10.28515625" style="98" customWidth="1"/>
    <col min="13577" max="13577" width="19.42578125" style="98" customWidth="1"/>
    <col min="13578" max="13578" width="10.28515625" style="98" customWidth="1"/>
    <col min="13579" max="13579" width="19.5703125" style="98" customWidth="1"/>
    <col min="13580" max="13580" width="10.42578125" style="98" customWidth="1"/>
    <col min="13581" max="13581" width="21.140625" style="98" customWidth="1"/>
    <col min="13582" max="13582" width="11.7109375" style="98" customWidth="1"/>
    <col min="13583" max="13824" width="11.42578125" style="98"/>
    <col min="13825" max="13825" width="13.28515625" style="98" customWidth="1"/>
    <col min="13826" max="13826" width="32.140625" style="98" customWidth="1"/>
    <col min="13827" max="13827" width="20.7109375" style="98" customWidth="1"/>
    <col min="13828" max="13828" width="10.42578125" style="98" customWidth="1"/>
    <col min="13829" max="13829" width="18.5703125" style="98" customWidth="1"/>
    <col min="13830" max="13830" width="11.7109375" style="98" customWidth="1"/>
    <col min="13831" max="13831" width="19.28515625" style="98" customWidth="1"/>
    <col min="13832" max="13832" width="10.28515625" style="98" customWidth="1"/>
    <col min="13833" max="13833" width="19.42578125" style="98" customWidth="1"/>
    <col min="13834" max="13834" width="10.28515625" style="98" customWidth="1"/>
    <col min="13835" max="13835" width="19.5703125" style="98" customWidth="1"/>
    <col min="13836" max="13836" width="10.42578125" style="98" customWidth="1"/>
    <col min="13837" max="13837" width="21.140625" style="98" customWidth="1"/>
    <col min="13838" max="13838" width="11.7109375" style="98" customWidth="1"/>
    <col min="13839" max="14080" width="11.42578125" style="98"/>
    <col min="14081" max="14081" width="13.28515625" style="98" customWidth="1"/>
    <col min="14082" max="14082" width="32.140625" style="98" customWidth="1"/>
    <col min="14083" max="14083" width="20.7109375" style="98" customWidth="1"/>
    <col min="14084" max="14084" width="10.42578125" style="98" customWidth="1"/>
    <col min="14085" max="14085" width="18.5703125" style="98" customWidth="1"/>
    <col min="14086" max="14086" width="11.7109375" style="98" customWidth="1"/>
    <col min="14087" max="14087" width="19.28515625" style="98" customWidth="1"/>
    <col min="14088" max="14088" width="10.28515625" style="98" customWidth="1"/>
    <col min="14089" max="14089" width="19.42578125" style="98" customWidth="1"/>
    <col min="14090" max="14090" width="10.28515625" style="98" customWidth="1"/>
    <col min="14091" max="14091" width="19.5703125" style="98" customWidth="1"/>
    <col min="14092" max="14092" width="10.42578125" style="98" customWidth="1"/>
    <col min="14093" max="14093" width="21.140625" style="98" customWidth="1"/>
    <col min="14094" max="14094" width="11.7109375" style="98" customWidth="1"/>
    <col min="14095" max="14336" width="11.42578125" style="98"/>
    <col min="14337" max="14337" width="13.28515625" style="98" customWidth="1"/>
    <col min="14338" max="14338" width="32.140625" style="98" customWidth="1"/>
    <col min="14339" max="14339" width="20.7109375" style="98" customWidth="1"/>
    <col min="14340" max="14340" width="10.42578125" style="98" customWidth="1"/>
    <col min="14341" max="14341" width="18.5703125" style="98" customWidth="1"/>
    <col min="14342" max="14342" width="11.7109375" style="98" customWidth="1"/>
    <col min="14343" max="14343" width="19.28515625" style="98" customWidth="1"/>
    <col min="14344" max="14344" width="10.28515625" style="98" customWidth="1"/>
    <col min="14345" max="14345" width="19.42578125" style="98" customWidth="1"/>
    <col min="14346" max="14346" width="10.28515625" style="98" customWidth="1"/>
    <col min="14347" max="14347" width="19.5703125" style="98" customWidth="1"/>
    <col min="14348" max="14348" width="10.42578125" style="98" customWidth="1"/>
    <col min="14349" max="14349" width="21.140625" style="98" customWidth="1"/>
    <col min="14350" max="14350" width="11.7109375" style="98" customWidth="1"/>
    <col min="14351" max="14592" width="11.42578125" style="98"/>
    <col min="14593" max="14593" width="13.28515625" style="98" customWidth="1"/>
    <col min="14594" max="14594" width="32.140625" style="98" customWidth="1"/>
    <col min="14595" max="14595" width="20.7109375" style="98" customWidth="1"/>
    <col min="14596" max="14596" width="10.42578125" style="98" customWidth="1"/>
    <col min="14597" max="14597" width="18.5703125" style="98" customWidth="1"/>
    <col min="14598" max="14598" width="11.7109375" style="98" customWidth="1"/>
    <col min="14599" max="14599" width="19.28515625" style="98" customWidth="1"/>
    <col min="14600" max="14600" width="10.28515625" style="98" customWidth="1"/>
    <col min="14601" max="14601" width="19.42578125" style="98" customWidth="1"/>
    <col min="14602" max="14602" width="10.28515625" style="98" customWidth="1"/>
    <col min="14603" max="14603" width="19.5703125" style="98" customWidth="1"/>
    <col min="14604" max="14604" width="10.42578125" style="98" customWidth="1"/>
    <col min="14605" max="14605" width="21.140625" style="98" customWidth="1"/>
    <col min="14606" max="14606" width="11.7109375" style="98" customWidth="1"/>
    <col min="14607" max="14848" width="11.42578125" style="98"/>
    <col min="14849" max="14849" width="13.28515625" style="98" customWidth="1"/>
    <col min="14850" max="14850" width="32.140625" style="98" customWidth="1"/>
    <col min="14851" max="14851" width="20.7109375" style="98" customWidth="1"/>
    <col min="14852" max="14852" width="10.42578125" style="98" customWidth="1"/>
    <col min="14853" max="14853" width="18.5703125" style="98" customWidth="1"/>
    <col min="14854" max="14854" width="11.7109375" style="98" customWidth="1"/>
    <col min="14855" max="14855" width="19.28515625" style="98" customWidth="1"/>
    <col min="14856" max="14856" width="10.28515625" style="98" customWidth="1"/>
    <col min="14857" max="14857" width="19.42578125" style="98" customWidth="1"/>
    <col min="14858" max="14858" width="10.28515625" style="98" customWidth="1"/>
    <col min="14859" max="14859" width="19.5703125" style="98" customWidth="1"/>
    <col min="14860" max="14860" width="10.42578125" style="98" customWidth="1"/>
    <col min="14861" max="14861" width="21.140625" style="98" customWidth="1"/>
    <col min="14862" max="14862" width="11.7109375" style="98" customWidth="1"/>
    <col min="14863" max="15104" width="11.42578125" style="98"/>
    <col min="15105" max="15105" width="13.28515625" style="98" customWidth="1"/>
    <col min="15106" max="15106" width="32.140625" style="98" customWidth="1"/>
    <col min="15107" max="15107" width="20.7109375" style="98" customWidth="1"/>
    <col min="15108" max="15108" width="10.42578125" style="98" customWidth="1"/>
    <col min="15109" max="15109" width="18.5703125" style="98" customWidth="1"/>
    <col min="15110" max="15110" width="11.7109375" style="98" customWidth="1"/>
    <col min="15111" max="15111" width="19.28515625" style="98" customWidth="1"/>
    <col min="15112" max="15112" width="10.28515625" style="98" customWidth="1"/>
    <col min="15113" max="15113" width="19.42578125" style="98" customWidth="1"/>
    <col min="15114" max="15114" width="10.28515625" style="98" customWidth="1"/>
    <col min="15115" max="15115" width="19.5703125" style="98" customWidth="1"/>
    <col min="15116" max="15116" width="10.42578125" style="98" customWidth="1"/>
    <col min="15117" max="15117" width="21.140625" style="98" customWidth="1"/>
    <col min="15118" max="15118" width="11.7109375" style="98" customWidth="1"/>
    <col min="15119" max="15360" width="11.42578125" style="98"/>
    <col min="15361" max="15361" width="13.28515625" style="98" customWidth="1"/>
    <col min="15362" max="15362" width="32.140625" style="98" customWidth="1"/>
    <col min="15363" max="15363" width="20.7109375" style="98" customWidth="1"/>
    <col min="15364" max="15364" width="10.42578125" style="98" customWidth="1"/>
    <col min="15365" max="15365" width="18.5703125" style="98" customWidth="1"/>
    <col min="15366" max="15366" width="11.7109375" style="98" customWidth="1"/>
    <col min="15367" max="15367" width="19.28515625" style="98" customWidth="1"/>
    <col min="15368" max="15368" width="10.28515625" style="98" customWidth="1"/>
    <col min="15369" max="15369" width="19.42578125" style="98" customWidth="1"/>
    <col min="15370" max="15370" width="10.28515625" style="98" customWidth="1"/>
    <col min="15371" max="15371" width="19.5703125" style="98" customWidth="1"/>
    <col min="15372" max="15372" width="10.42578125" style="98" customWidth="1"/>
    <col min="15373" max="15373" width="21.140625" style="98" customWidth="1"/>
    <col min="15374" max="15374" width="11.7109375" style="98" customWidth="1"/>
    <col min="15375" max="15616" width="11.42578125" style="98"/>
    <col min="15617" max="15617" width="13.28515625" style="98" customWidth="1"/>
    <col min="15618" max="15618" width="32.140625" style="98" customWidth="1"/>
    <col min="15619" max="15619" width="20.7109375" style="98" customWidth="1"/>
    <col min="15620" max="15620" width="10.42578125" style="98" customWidth="1"/>
    <col min="15621" max="15621" width="18.5703125" style="98" customWidth="1"/>
    <col min="15622" max="15622" width="11.7109375" style="98" customWidth="1"/>
    <col min="15623" max="15623" width="19.28515625" style="98" customWidth="1"/>
    <col min="15624" max="15624" width="10.28515625" style="98" customWidth="1"/>
    <col min="15625" max="15625" width="19.42578125" style="98" customWidth="1"/>
    <col min="15626" max="15626" width="10.28515625" style="98" customWidth="1"/>
    <col min="15627" max="15627" width="19.5703125" style="98" customWidth="1"/>
    <col min="15628" max="15628" width="10.42578125" style="98" customWidth="1"/>
    <col min="15629" max="15629" width="21.140625" style="98" customWidth="1"/>
    <col min="15630" max="15630" width="11.7109375" style="98" customWidth="1"/>
    <col min="15631" max="15872" width="11.42578125" style="98"/>
    <col min="15873" max="15873" width="13.28515625" style="98" customWidth="1"/>
    <col min="15874" max="15874" width="32.140625" style="98" customWidth="1"/>
    <col min="15875" max="15875" width="20.7109375" style="98" customWidth="1"/>
    <col min="15876" max="15876" width="10.42578125" style="98" customWidth="1"/>
    <col min="15877" max="15877" width="18.5703125" style="98" customWidth="1"/>
    <col min="15878" max="15878" width="11.7109375" style="98" customWidth="1"/>
    <col min="15879" max="15879" width="19.28515625" style="98" customWidth="1"/>
    <col min="15880" max="15880" width="10.28515625" style="98" customWidth="1"/>
    <col min="15881" max="15881" width="19.42578125" style="98" customWidth="1"/>
    <col min="15882" max="15882" width="10.28515625" style="98" customWidth="1"/>
    <col min="15883" max="15883" width="19.5703125" style="98" customWidth="1"/>
    <col min="15884" max="15884" width="10.42578125" style="98" customWidth="1"/>
    <col min="15885" max="15885" width="21.140625" style="98" customWidth="1"/>
    <col min="15886" max="15886" width="11.7109375" style="98" customWidth="1"/>
    <col min="15887" max="16128" width="11.42578125" style="98"/>
    <col min="16129" max="16129" width="13.28515625" style="98" customWidth="1"/>
    <col min="16130" max="16130" width="32.140625" style="98" customWidth="1"/>
    <col min="16131" max="16131" width="20.7109375" style="98" customWidth="1"/>
    <col min="16132" max="16132" width="10.42578125" style="98" customWidth="1"/>
    <col min="16133" max="16133" width="18.5703125" style="98" customWidth="1"/>
    <col min="16134" max="16134" width="11.7109375" style="98" customWidth="1"/>
    <col min="16135" max="16135" width="19.28515625" style="98" customWidth="1"/>
    <col min="16136" max="16136" width="10.28515625" style="98" customWidth="1"/>
    <col min="16137" max="16137" width="19.42578125" style="98" customWidth="1"/>
    <col min="16138" max="16138" width="10.28515625" style="98" customWidth="1"/>
    <col min="16139" max="16139" width="19.5703125" style="98" customWidth="1"/>
    <col min="16140" max="16140" width="10.42578125" style="98" customWidth="1"/>
    <col min="16141" max="16141" width="21.140625" style="98" customWidth="1"/>
    <col min="16142" max="16142" width="11.7109375" style="98" customWidth="1"/>
    <col min="16143" max="16384" width="11.42578125" style="98"/>
  </cols>
  <sheetData>
    <row r="1" spans="1:14" ht="67.5" customHeight="1" x14ac:dyDescent="0.2">
      <c r="A1" s="503" t="s">
        <v>1664</v>
      </c>
      <c r="B1" s="504"/>
      <c r="C1" s="504"/>
      <c r="D1" s="504"/>
      <c r="E1" s="504"/>
      <c r="F1" s="504"/>
      <c r="G1" s="504"/>
      <c r="H1" s="504"/>
      <c r="I1" s="504"/>
      <c r="J1" s="504"/>
      <c r="K1" s="504"/>
      <c r="L1" s="504"/>
      <c r="M1" s="504"/>
      <c r="N1" s="504"/>
    </row>
    <row r="2" spans="1:14" s="99" customFormat="1" ht="44.25" customHeight="1" x14ac:dyDescent="0.2">
      <c r="A2" s="414"/>
      <c r="B2" s="415" t="s">
        <v>4</v>
      </c>
      <c r="C2" s="416" t="s">
        <v>1482</v>
      </c>
      <c r="D2" s="416" t="s">
        <v>1483</v>
      </c>
      <c r="E2" s="416" t="s">
        <v>1484</v>
      </c>
      <c r="F2" s="416" t="s">
        <v>1485</v>
      </c>
      <c r="G2" s="416" t="s">
        <v>1475</v>
      </c>
      <c r="H2" s="417" t="s">
        <v>1486</v>
      </c>
      <c r="I2" s="416" t="s">
        <v>1487</v>
      </c>
      <c r="J2" s="416" t="s">
        <v>1479</v>
      </c>
      <c r="K2" s="416" t="s">
        <v>1488</v>
      </c>
      <c r="L2" s="416" t="s">
        <v>1489</v>
      </c>
      <c r="M2" s="418" t="s">
        <v>1490</v>
      </c>
      <c r="N2" s="416" t="s">
        <v>1491</v>
      </c>
    </row>
    <row r="3" spans="1:14" s="109" customFormat="1" ht="15.75" x14ac:dyDescent="0.25">
      <c r="A3" s="100">
        <v>304</v>
      </c>
      <c r="B3" s="101" t="s">
        <v>1492</v>
      </c>
      <c r="C3" s="102">
        <f>'RESUMEN POR UNIDAD'!E7</f>
        <v>457524940</v>
      </c>
      <c r="D3" s="103">
        <v>1</v>
      </c>
      <c r="E3" s="104">
        <v>421596834.77999997</v>
      </c>
      <c r="F3" s="322">
        <f>E3/C3</f>
        <v>0.92147290326949161</v>
      </c>
      <c r="G3" s="105" t="e">
        <f>'RESUMEN POR UNIDAD'!#REF!</f>
        <v>#REF!</v>
      </c>
      <c r="H3" s="320" t="e">
        <f>G3/C3</f>
        <v>#REF!</v>
      </c>
      <c r="I3" s="106" t="e">
        <f>'RESUMEN POR UNIDAD'!#REF!</f>
        <v>#REF!</v>
      </c>
      <c r="J3" s="324" t="e">
        <f>I3/G3</f>
        <v>#REF!</v>
      </c>
      <c r="K3" s="107">
        <v>421596834.77999997</v>
      </c>
      <c r="L3" s="324" t="e">
        <f>K3/G3</f>
        <v>#REF!</v>
      </c>
      <c r="M3" s="108">
        <f t="shared" ref="M3:M15" si="0">C3-E3</f>
        <v>35928105.220000029</v>
      </c>
      <c r="N3" s="325">
        <f>M3/C3</f>
        <v>7.8527096730508353E-2</v>
      </c>
    </row>
    <row r="4" spans="1:14" s="109" customFormat="1" ht="15.75" x14ac:dyDescent="0.25">
      <c r="A4" s="100">
        <v>305</v>
      </c>
      <c r="B4" s="101" t="s">
        <v>1493</v>
      </c>
      <c r="C4" s="102">
        <f>'RESUMEN POR UNIDAD'!E13</f>
        <v>910965833</v>
      </c>
      <c r="D4" s="103">
        <v>1</v>
      </c>
      <c r="E4" s="104">
        <v>877866456</v>
      </c>
      <c r="F4" s="322">
        <f t="shared" ref="F4:F15" si="1">E4/C4</f>
        <v>0.96366562191361571</v>
      </c>
      <c r="G4" s="105" t="e">
        <f>'RESUMEN POR UNIDAD'!#REF!</f>
        <v>#REF!</v>
      </c>
      <c r="H4" s="320" t="e">
        <f t="shared" ref="H4:H16" si="2">G4/C4</f>
        <v>#REF!</v>
      </c>
      <c r="I4" s="106" t="e">
        <f>'RESUMEN POR UNIDAD'!#REF!</f>
        <v>#REF!</v>
      </c>
      <c r="J4" s="324" t="e">
        <f t="shared" ref="J4:J15" si="3">I4/G4</f>
        <v>#REF!</v>
      </c>
      <c r="K4" s="107">
        <v>877866456</v>
      </c>
      <c r="L4" s="324" t="e">
        <f t="shared" ref="L4:L20" si="4">K4/G4</f>
        <v>#REF!</v>
      </c>
      <c r="M4" s="108">
        <f t="shared" si="0"/>
        <v>33099377</v>
      </c>
      <c r="N4" s="325">
        <f t="shared" ref="N4:N15" si="5">M4/C4</f>
        <v>3.6334378086384275E-2</v>
      </c>
    </row>
    <row r="5" spans="1:14" s="109" customFormat="1" ht="15.75" x14ac:dyDescent="0.25">
      <c r="A5" s="100">
        <v>307</v>
      </c>
      <c r="B5" s="101" t="s">
        <v>1494</v>
      </c>
      <c r="C5" s="102">
        <f>'RESUMEN POR UNIDAD'!E19</f>
        <v>2801625342.8400002</v>
      </c>
      <c r="D5" s="103">
        <v>1</v>
      </c>
      <c r="E5" s="104">
        <v>2189284618.6799998</v>
      </c>
      <c r="F5" s="322">
        <f t="shared" si="1"/>
        <v>0.78143375747048593</v>
      </c>
      <c r="G5" s="105" t="e">
        <f>'RESUMEN POR UNIDAD'!#REF!</f>
        <v>#REF!</v>
      </c>
      <c r="H5" s="320" t="e">
        <f t="shared" si="2"/>
        <v>#REF!</v>
      </c>
      <c r="I5" s="106" t="e">
        <f>'RESUMEN POR UNIDAD'!#REF!</f>
        <v>#REF!</v>
      </c>
      <c r="J5" s="324" t="e">
        <f t="shared" si="3"/>
        <v>#REF!</v>
      </c>
      <c r="K5" s="107">
        <v>2189284618.6799998</v>
      </c>
      <c r="L5" s="324" t="e">
        <f t="shared" si="4"/>
        <v>#REF!</v>
      </c>
      <c r="M5" s="108">
        <f t="shared" si="0"/>
        <v>612340724.16000032</v>
      </c>
      <c r="N5" s="325">
        <f t="shared" si="5"/>
        <v>0.21856624252951401</v>
      </c>
    </row>
    <row r="6" spans="1:14" s="109" customFormat="1" ht="15.75" x14ac:dyDescent="0.25">
      <c r="A6" s="100">
        <v>308</v>
      </c>
      <c r="B6" s="101" t="s">
        <v>1495</v>
      </c>
      <c r="C6" s="108">
        <f>'RESUMEN POR UNIDAD'!E24</f>
        <v>19845352105.279999</v>
      </c>
      <c r="D6" s="103">
        <v>1</v>
      </c>
      <c r="E6" s="104">
        <v>4976127086.9700003</v>
      </c>
      <c r="F6" s="322">
        <f t="shared" si="1"/>
        <v>0.25074521533160732</v>
      </c>
      <c r="G6" s="110" t="e">
        <f>'RESUMEN POR UNIDAD'!#REF!</f>
        <v>#REF!</v>
      </c>
      <c r="H6" s="320" t="e">
        <f t="shared" si="2"/>
        <v>#REF!</v>
      </c>
      <c r="I6" s="106" t="e">
        <f>'RESUMEN POR UNIDAD'!#REF!</f>
        <v>#REF!</v>
      </c>
      <c r="J6" s="324" t="e">
        <f t="shared" si="3"/>
        <v>#REF!</v>
      </c>
      <c r="K6" s="107">
        <v>4976127086.9700003</v>
      </c>
      <c r="L6" s="324" t="e">
        <f t="shared" si="4"/>
        <v>#REF!</v>
      </c>
      <c r="M6" s="108">
        <f t="shared" si="0"/>
        <v>14869225018.309998</v>
      </c>
      <c r="N6" s="325">
        <f t="shared" si="5"/>
        <v>0.74925478466839257</v>
      </c>
    </row>
    <row r="7" spans="1:14" s="109" customFormat="1" ht="15.75" x14ac:dyDescent="0.25">
      <c r="A7" s="100">
        <v>309</v>
      </c>
      <c r="B7" s="101" t="s">
        <v>1496</v>
      </c>
      <c r="C7" s="108">
        <f>'RESUMEN POR UNIDAD'!E52</f>
        <v>6443722008.3299999</v>
      </c>
      <c r="D7" s="103">
        <v>1</v>
      </c>
      <c r="E7" s="104">
        <v>2583294879.1700001</v>
      </c>
      <c r="F7" s="322">
        <f t="shared" si="1"/>
        <v>0.4009010438114019</v>
      </c>
      <c r="G7" s="110" t="e">
        <f>'RESUMEN POR UNIDAD'!#REF!</f>
        <v>#REF!</v>
      </c>
      <c r="H7" s="320" t="e">
        <f t="shared" si="2"/>
        <v>#REF!</v>
      </c>
      <c r="I7" s="106" t="e">
        <f>'RESUMEN POR UNIDAD'!#REF!</f>
        <v>#REF!</v>
      </c>
      <c r="J7" s="324" t="e">
        <f t="shared" si="3"/>
        <v>#REF!</v>
      </c>
      <c r="K7" s="107">
        <v>2583294879.1700001</v>
      </c>
      <c r="L7" s="324" t="e">
        <f t="shared" si="4"/>
        <v>#REF!</v>
      </c>
      <c r="M7" s="108">
        <f t="shared" si="0"/>
        <v>3860427129.1599998</v>
      </c>
      <c r="N7" s="325">
        <f t="shared" si="5"/>
        <v>0.5990989561885981</v>
      </c>
    </row>
    <row r="8" spans="1:14" s="109" customFormat="1" ht="15.75" x14ac:dyDescent="0.25">
      <c r="A8" s="100">
        <v>310</v>
      </c>
      <c r="B8" s="101" t="s">
        <v>166</v>
      </c>
      <c r="C8" s="102">
        <f>'RESUMEN POR UNIDAD'!E74</f>
        <v>3988607319.3199997</v>
      </c>
      <c r="D8" s="103">
        <v>1</v>
      </c>
      <c r="E8" s="104">
        <v>3398905453.8099999</v>
      </c>
      <c r="F8" s="322">
        <f t="shared" si="1"/>
        <v>0.85215344146474281</v>
      </c>
      <c r="G8" s="110" t="e">
        <f>'RESUMEN POR UNIDAD'!#REF!</f>
        <v>#REF!</v>
      </c>
      <c r="H8" s="320" t="e">
        <f t="shared" si="2"/>
        <v>#REF!</v>
      </c>
      <c r="I8" s="106" t="e">
        <f>'RESUMEN POR UNIDAD'!#REF!</f>
        <v>#REF!</v>
      </c>
      <c r="J8" s="324" t="e">
        <f t="shared" si="3"/>
        <v>#REF!</v>
      </c>
      <c r="K8" s="107">
        <v>3398905453.8099999</v>
      </c>
      <c r="L8" s="324" t="e">
        <f t="shared" si="4"/>
        <v>#REF!</v>
      </c>
      <c r="M8" s="108">
        <f t="shared" si="0"/>
        <v>589701865.50999975</v>
      </c>
      <c r="N8" s="325">
        <f t="shared" si="5"/>
        <v>0.14784655853525722</v>
      </c>
    </row>
    <row r="9" spans="1:14" s="109" customFormat="1" ht="19.5" customHeight="1" x14ac:dyDescent="0.25">
      <c r="A9" s="100">
        <v>311</v>
      </c>
      <c r="B9" s="111" t="s">
        <v>1497</v>
      </c>
      <c r="C9" s="102">
        <f>'RESUMEN POR UNIDAD'!E80</f>
        <v>3556587709.6100001</v>
      </c>
      <c r="D9" s="103">
        <v>1</v>
      </c>
      <c r="E9" s="104">
        <v>2928955045.5100002</v>
      </c>
      <c r="F9" s="322">
        <f t="shared" si="1"/>
        <v>0.82352954141855728</v>
      </c>
      <c r="G9" s="110" t="e">
        <f>'RESUMEN POR UNIDAD'!#REF!</f>
        <v>#REF!</v>
      </c>
      <c r="H9" s="320" t="e">
        <f t="shared" si="2"/>
        <v>#REF!</v>
      </c>
      <c r="I9" s="106" t="e">
        <f>'RESUMEN POR UNIDAD'!#REF!</f>
        <v>#REF!</v>
      </c>
      <c r="J9" s="324" t="e">
        <f t="shared" si="3"/>
        <v>#REF!</v>
      </c>
      <c r="K9" s="107">
        <v>2928955045.5100002</v>
      </c>
      <c r="L9" s="324" t="e">
        <f t="shared" si="4"/>
        <v>#REF!</v>
      </c>
      <c r="M9" s="108">
        <f t="shared" si="0"/>
        <v>627632664.0999999</v>
      </c>
      <c r="N9" s="325">
        <f t="shared" si="5"/>
        <v>0.17647045858144275</v>
      </c>
    </row>
    <row r="10" spans="1:14" s="109" customFormat="1" ht="30" x14ac:dyDescent="0.25">
      <c r="A10" s="100">
        <v>312</v>
      </c>
      <c r="B10" s="111" t="s">
        <v>1498</v>
      </c>
      <c r="C10" s="102">
        <f>'RESUMEN POR UNIDAD'!E87</f>
        <v>3838799887.6300001</v>
      </c>
      <c r="D10" s="103">
        <v>1</v>
      </c>
      <c r="E10" s="104">
        <v>2309257005.5699997</v>
      </c>
      <c r="F10" s="322">
        <f t="shared" si="1"/>
        <v>0.60155701603807477</v>
      </c>
      <c r="G10" s="110" t="e">
        <f>'RESUMEN POR UNIDAD'!#REF!</f>
        <v>#REF!</v>
      </c>
      <c r="H10" s="320" t="e">
        <f t="shared" si="2"/>
        <v>#REF!</v>
      </c>
      <c r="I10" s="106" t="e">
        <f>'RESUMEN POR UNIDAD'!#REF!</f>
        <v>#REF!</v>
      </c>
      <c r="J10" s="324" t="e">
        <f t="shared" si="3"/>
        <v>#REF!</v>
      </c>
      <c r="K10" s="107">
        <v>2309257005.5700002</v>
      </c>
      <c r="L10" s="324" t="e">
        <f t="shared" si="4"/>
        <v>#REF!</v>
      </c>
      <c r="M10" s="108">
        <f t="shared" si="0"/>
        <v>1529542882.0600004</v>
      </c>
      <c r="N10" s="325">
        <f t="shared" si="5"/>
        <v>0.39844298396192518</v>
      </c>
    </row>
    <row r="11" spans="1:14" s="114" customFormat="1" ht="15.75" x14ac:dyDescent="0.25">
      <c r="A11" s="112">
        <v>313</v>
      </c>
      <c r="B11" s="101" t="s">
        <v>1499</v>
      </c>
      <c r="C11" s="113">
        <f>'RESUMEN POR UNIDAD'!E107</f>
        <v>1177000000</v>
      </c>
      <c r="D11" s="103">
        <v>1</v>
      </c>
      <c r="E11" s="104">
        <v>1175258655.9299998</v>
      </c>
      <c r="F11" s="322">
        <f t="shared" si="1"/>
        <v>0.99852052330501262</v>
      </c>
      <c r="G11" s="110" t="e">
        <f>'RESUMEN POR UNIDAD'!#REF!</f>
        <v>#REF!</v>
      </c>
      <c r="H11" s="320" t="e">
        <f t="shared" si="2"/>
        <v>#REF!</v>
      </c>
      <c r="I11" s="106" t="e">
        <f>'RESUMEN POR UNIDAD'!#REF!</f>
        <v>#REF!</v>
      </c>
      <c r="J11" s="324" t="e">
        <f t="shared" si="3"/>
        <v>#REF!</v>
      </c>
      <c r="K11" s="107">
        <v>1175258655.9300001</v>
      </c>
      <c r="L11" s="324" t="e">
        <f t="shared" si="4"/>
        <v>#REF!</v>
      </c>
      <c r="M11" s="108">
        <f t="shared" si="0"/>
        <v>1741344.0700001717</v>
      </c>
      <c r="N11" s="325">
        <f t="shared" si="5"/>
        <v>1.4794766949874016E-3</v>
      </c>
    </row>
    <row r="12" spans="1:14" s="114" customFormat="1" ht="15.75" x14ac:dyDescent="0.25">
      <c r="A12" s="112">
        <v>314</v>
      </c>
      <c r="B12" s="101" t="s">
        <v>156</v>
      </c>
      <c r="C12" s="115">
        <f>'RESUMEN POR UNIDAD'!E113</f>
        <v>193197400269.78006</v>
      </c>
      <c r="D12" s="103">
        <v>1</v>
      </c>
      <c r="E12" s="104">
        <v>188842332007.94998</v>
      </c>
      <c r="F12" s="322">
        <f t="shared" si="1"/>
        <v>0.97745793548076387</v>
      </c>
      <c r="G12" s="110" t="e">
        <f>'RESUMEN POR UNIDAD'!#REF!</f>
        <v>#REF!</v>
      </c>
      <c r="H12" s="320" t="e">
        <f t="shared" si="2"/>
        <v>#REF!</v>
      </c>
      <c r="I12" s="106" t="e">
        <f>'RESUMEN POR UNIDAD'!#REF!</f>
        <v>#REF!</v>
      </c>
      <c r="J12" s="324" t="e">
        <f t="shared" si="3"/>
        <v>#REF!</v>
      </c>
      <c r="K12" s="107">
        <v>188213034889.94998</v>
      </c>
      <c r="L12" s="426" t="e">
        <f t="shared" si="4"/>
        <v>#REF!</v>
      </c>
      <c r="M12" s="108">
        <f t="shared" si="0"/>
        <v>4355068261.8300781</v>
      </c>
      <c r="N12" s="325">
        <f t="shared" si="5"/>
        <v>2.2542064519236172E-2</v>
      </c>
    </row>
    <row r="13" spans="1:14" s="109" customFormat="1" ht="15.75" x14ac:dyDescent="0.25">
      <c r="A13" s="100">
        <v>316</v>
      </c>
      <c r="B13" s="101" t="s">
        <v>1500</v>
      </c>
      <c r="C13" s="113">
        <f>'RESUMEN POR UNIDAD'!E122</f>
        <v>6915266350.0100002</v>
      </c>
      <c r="D13" s="103">
        <v>1</v>
      </c>
      <c r="E13" s="104">
        <v>5456827952.6399994</v>
      </c>
      <c r="F13" s="322">
        <f t="shared" si="1"/>
        <v>0.78909873842127687</v>
      </c>
      <c r="G13" s="110" t="e">
        <f>'RESUMEN POR UNIDAD'!#REF!</f>
        <v>#REF!</v>
      </c>
      <c r="H13" s="320" t="e">
        <f t="shared" si="2"/>
        <v>#REF!</v>
      </c>
      <c r="I13" s="106" t="e">
        <f>'RESUMEN POR UNIDAD'!#REF!</f>
        <v>#REF!</v>
      </c>
      <c r="J13" s="324" t="e">
        <f t="shared" si="3"/>
        <v>#REF!</v>
      </c>
      <c r="K13" s="107">
        <v>5456827952.6400003</v>
      </c>
      <c r="L13" s="324" t="e">
        <f t="shared" si="4"/>
        <v>#REF!</v>
      </c>
      <c r="M13" s="108">
        <f t="shared" si="0"/>
        <v>1458438397.3700008</v>
      </c>
      <c r="N13" s="325">
        <f t="shared" si="5"/>
        <v>0.2109012615787231</v>
      </c>
    </row>
    <row r="14" spans="1:14" s="109" customFormat="1" ht="15.75" x14ac:dyDescent="0.25">
      <c r="A14" s="100">
        <v>318</v>
      </c>
      <c r="B14" s="101" t="s">
        <v>1501</v>
      </c>
      <c r="C14" s="102">
        <f>'RESUMEN POR UNIDAD'!E142</f>
        <v>75161612366.110001</v>
      </c>
      <c r="D14" s="103">
        <v>1</v>
      </c>
      <c r="E14" s="104">
        <v>69848426417.619995</v>
      </c>
      <c r="F14" s="322">
        <f t="shared" si="1"/>
        <v>0.92930984606065081</v>
      </c>
      <c r="G14" s="110" t="e">
        <f>'RESUMEN POR UNIDAD'!#REF!</f>
        <v>#REF!</v>
      </c>
      <c r="H14" s="320" t="e">
        <f t="shared" si="2"/>
        <v>#REF!</v>
      </c>
      <c r="I14" s="106" t="e">
        <f>'RESUMEN POR UNIDAD'!#REF!</f>
        <v>#REF!</v>
      </c>
      <c r="J14" s="324" t="e">
        <f t="shared" si="3"/>
        <v>#REF!</v>
      </c>
      <c r="K14" s="107">
        <v>69848426417.649994</v>
      </c>
      <c r="L14" s="324" t="e">
        <f t="shared" si="4"/>
        <v>#REF!</v>
      </c>
      <c r="M14" s="108">
        <f t="shared" si="0"/>
        <v>5313185948.4900055</v>
      </c>
      <c r="N14" s="325">
        <f t="shared" si="5"/>
        <v>7.069015393934916E-2</v>
      </c>
    </row>
    <row r="15" spans="1:14" s="109" customFormat="1" ht="30" x14ac:dyDescent="0.25">
      <c r="A15" s="100">
        <v>324</v>
      </c>
      <c r="B15" s="111" t="s">
        <v>1502</v>
      </c>
      <c r="C15" s="102">
        <f>'RESUMEN POR UNIDAD'!E149</f>
        <v>1196000000</v>
      </c>
      <c r="D15" s="103">
        <v>1</v>
      </c>
      <c r="E15" s="104">
        <v>1057106946.9200001</v>
      </c>
      <c r="F15" s="322">
        <f t="shared" si="1"/>
        <v>0.88386868471571911</v>
      </c>
      <c r="G15" s="110" t="e">
        <f>'RESUMEN POR UNIDAD'!#REF!</f>
        <v>#REF!</v>
      </c>
      <c r="H15" s="320" t="e">
        <f t="shared" si="2"/>
        <v>#REF!</v>
      </c>
      <c r="I15" s="106" t="e">
        <f>'RESUMEN POR UNIDAD'!#REF!</f>
        <v>#REF!</v>
      </c>
      <c r="J15" s="324" t="e">
        <f t="shared" si="3"/>
        <v>#REF!</v>
      </c>
      <c r="K15" s="107">
        <v>1057106946.92</v>
      </c>
      <c r="L15" s="324" t="e">
        <f t="shared" si="4"/>
        <v>#REF!</v>
      </c>
      <c r="M15" s="108">
        <f t="shared" si="0"/>
        <v>138893053.07999992</v>
      </c>
      <c r="N15" s="325">
        <f t="shared" si="5"/>
        <v>0.11613131528428088</v>
      </c>
    </row>
    <row r="16" spans="1:14" s="116" customFormat="1" ht="16.5" customHeight="1" x14ac:dyDescent="0.25">
      <c r="A16" s="406"/>
      <c r="B16" s="406" t="s">
        <v>1444</v>
      </c>
      <c r="C16" s="407">
        <f>SUM(C3:C15)</f>
        <v>319490464131.91003</v>
      </c>
      <c r="D16" s="408">
        <v>1</v>
      </c>
      <c r="E16" s="407">
        <f>SUM(E3:E15)</f>
        <v>286065239361.54999</v>
      </c>
      <c r="F16" s="409">
        <f>E16/C16</f>
        <v>0.89537958554982233</v>
      </c>
      <c r="G16" s="407" t="e">
        <f>SUM(G3:G15)</f>
        <v>#REF!</v>
      </c>
      <c r="H16" s="320" t="e">
        <f t="shared" si="2"/>
        <v>#REF!</v>
      </c>
      <c r="I16" s="407" t="e">
        <f>SUM(I3:I15)</f>
        <v>#REF!</v>
      </c>
      <c r="J16" s="411" t="e">
        <f>I16/G16</f>
        <v>#REF!</v>
      </c>
      <c r="K16" s="407">
        <f>SUM(K3:K15)</f>
        <v>285435942243.58002</v>
      </c>
      <c r="L16" s="411" t="e">
        <f t="shared" si="4"/>
        <v>#REF!</v>
      </c>
      <c r="M16" s="407">
        <f>SUM(M3:M15)</f>
        <v>33425224770.360085</v>
      </c>
      <c r="N16" s="409">
        <f>M16/C16</f>
        <v>0.10462041445017778</v>
      </c>
    </row>
    <row r="17" spans="1:17" ht="15.75" x14ac:dyDescent="0.2">
      <c r="A17" s="100">
        <v>319</v>
      </c>
      <c r="B17" s="101" t="s">
        <v>1503</v>
      </c>
      <c r="C17" s="113">
        <f>'RESUMEN POR UNIDAD'!E164</f>
        <v>7160417690.0300007</v>
      </c>
      <c r="D17" s="103">
        <v>1</v>
      </c>
      <c r="E17" s="104">
        <v>4672994056.9699993</v>
      </c>
      <c r="F17" s="322">
        <f>E17/C17</f>
        <v>0.6526147299307089</v>
      </c>
      <c r="G17" s="110" t="e">
        <f>'RESUMEN POR UNIDAD'!#REF!</f>
        <v>#REF!</v>
      </c>
      <c r="H17" s="320" t="e">
        <f>G17/C17</f>
        <v>#REF!</v>
      </c>
      <c r="I17" s="106" t="e">
        <f>'RESUMEN POR UNIDAD'!#REF!</f>
        <v>#REF!</v>
      </c>
      <c r="J17" s="324" t="e">
        <f t="shared" ref="J17:J20" si="6">I17/G17</f>
        <v>#REF!</v>
      </c>
      <c r="K17" s="107">
        <v>4652079056.9700003</v>
      </c>
      <c r="L17" s="324" t="e">
        <f t="shared" si="4"/>
        <v>#REF!</v>
      </c>
      <c r="M17" s="108">
        <f>C17-E17</f>
        <v>2487423633.0600014</v>
      </c>
      <c r="N17" s="325">
        <f t="shared" ref="N17:N20" si="7">M17/C17</f>
        <v>0.3473852700692911</v>
      </c>
    </row>
    <row r="18" spans="1:17" s="117" customFormat="1" ht="15.75" x14ac:dyDescent="0.2">
      <c r="A18" s="100">
        <v>320</v>
      </c>
      <c r="B18" s="101" t="s">
        <v>1504</v>
      </c>
      <c r="C18" s="102">
        <f>'RESUMEN POR UNIDAD'!E170</f>
        <v>2637286334.9400001</v>
      </c>
      <c r="D18" s="103">
        <v>1</v>
      </c>
      <c r="E18" s="104">
        <v>2383790557.2240133</v>
      </c>
      <c r="F18" s="322">
        <f>E18/C18</f>
        <v>0.90388007007143811</v>
      </c>
      <c r="G18" s="110" t="e">
        <f>'RESUMEN POR UNIDAD'!#REF!</f>
        <v>#REF!</v>
      </c>
      <c r="H18" s="320" t="e">
        <f>G18/C18</f>
        <v>#REF!</v>
      </c>
      <c r="I18" s="106" t="e">
        <f>'RESUMEN POR UNIDAD'!#REF!</f>
        <v>#REF!</v>
      </c>
      <c r="J18" s="324" t="e">
        <f t="shared" si="6"/>
        <v>#REF!</v>
      </c>
      <c r="K18" s="107">
        <v>2216880294.2925234</v>
      </c>
      <c r="L18" s="324" t="e">
        <f t="shared" si="4"/>
        <v>#REF!</v>
      </c>
      <c r="M18" s="108">
        <f>C18-E18</f>
        <v>253495777.71598673</v>
      </c>
      <c r="N18" s="325">
        <f t="shared" si="7"/>
        <v>9.6119929928561942E-2</v>
      </c>
    </row>
    <row r="19" spans="1:17" s="117" customFormat="1" ht="30" x14ac:dyDescent="0.2">
      <c r="A19" s="100">
        <v>321</v>
      </c>
      <c r="B19" s="111" t="s">
        <v>1663</v>
      </c>
      <c r="C19" s="102">
        <f>'RESUMEN POR UNIDAD'!E182</f>
        <v>110210000</v>
      </c>
      <c r="D19" s="103">
        <v>1</v>
      </c>
      <c r="E19" s="104">
        <v>107716000</v>
      </c>
      <c r="F19" s="322">
        <f>E19/C19</f>
        <v>0.97737047454858905</v>
      </c>
      <c r="G19" s="110" t="e">
        <f>'RESUMEN POR UNIDAD'!#REF!</f>
        <v>#REF!</v>
      </c>
      <c r="H19" s="320" t="e">
        <f>G19/C19</f>
        <v>#REF!</v>
      </c>
      <c r="I19" s="106" t="e">
        <f>'RESUMEN POR UNIDAD'!#REF!</f>
        <v>#REF!</v>
      </c>
      <c r="J19" s="324" t="e">
        <f t="shared" si="6"/>
        <v>#REF!</v>
      </c>
      <c r="K19" s="107">
        <v>107716000</v>
      </c>
      <c r="L19" s="324" t="e">
        <f t="shared" si="4"/>
        <v>#REF!</v>
      </c>
      <c r="M19" s="108">
        <f>C19-E19</f>
        <v>2494000</v>
      </c>
      <c r="N19" s="325">
        <f t="shared" si="7"/>
        <v>2.2629525451410944E-2</v>
      </c>
    </row>
    <row r="20" spans="1:17" s="117" customFormat="1" ht="15.75" x14ac:dyDescent="0.2">
      <c r="A20" s="412"/>
      <c r="B20" s="413" t="s">
        <v>1453</v>
      </c>
      <c r="C20" s="407">
        <f>SUM(C17:C19)</f>
        <v>9907914024.9700012</v>
      </c>
      <c r="D20" s="408">
        <v>1</v>
      </c>
      <c r="E20" s="407">
        <f>SUM(E17:E19)</f>
        <v>7164500614.1940126</v>
      </c>
      <c r="F20" s="409">
        <f>E20/C20</f>
        <v>0.72310888004659535</v>
      </c>
      <c r="G20" s="407" t="e">
        <f>SUM(G17:G19)</f>
        <v>#REF!</v>
      </c>
      <c r="H20" s="410" t="e">
        <f>G20/C20</f>
        <v>#REF!</v>
      </c>
      <c r="I20" s="407" t="e">
        <f>SUM(I17:I19)</f>
        <v>#REF!</v>
      </c>
      <c r="J20" s="411" t="e">
        <f t="shared" si="6"/>
        <v>#REF!</v>
      </c>
      <c r="K20" s="407">
        <f>SUM(K17:K19)</f>
        <v>6976675351.2625237</v>
      </c>
      <c r="L20" s="411" t="e">
        <f t="shared" si="4"/>
        <v>#REF!</v>
      </c>
      <c r="M20" s="407">
        <f>SUM(M17:M19)</f>
        <v>2743413410.7759881</v>
      </c>
      <c r="N20" s="409">
        <f t="shared" si="7"/>
        <v>0.2768911199534046</v>
      </c>
    </row>
    <row r="21" spans="1:17" s="117" customFormat="1" x14ac:dyDescent="0.2">
      <c r="A21" s="98"/>
      <c r="B21" s="118"/>
      <c r="C21" s="119"/>
      <c r="D21" s="120"/>
      <c r="E21" s="120"/>
      <c r="F21" s="323"/>
      <c r="H21" s="321"/>
      <c r="J21" s="321"/>
      <c r="L21" s="321"/>
      <c r="N21" s="326"/>
    </row>
    <row r="22" spans="1:17" s="117" customFormat="1" ht="15.75" x14ac:dyDescent="0.2">
      <c r="A22" s="419"/>
      <c r="B22" s="420" t="s">
        <v>1521</v>
      </c>
      <c r="C22" s="421">
        <f>C16+C20</f>
        <v>329398378156.88</v>
      </c>
      <c r="D22" s="422">
        <v>1</v>
      </c>
      <c r="E22" s="421">
        <f>E16+E20</f>
        <v>293229739975.74402</v>
      </c>
      <c r="F22" s="423">
        <f>E22/C22</f>
        <v>0.89019788626915997</v>
      </c>
      <c r="G22" s="421" t="e">
        <f>G16+G20</f>
        <v>#REF!</v>
      </c>
      <c r="H22" s="424" t="e">
        <f>G22/C22</f>
        <v>#REF!</v>
      </c>
      <c r="I22" s="421" t="e">
        <f>I16+I20</f>
        <v>#REF!</v>
      </c>
      <c r="J22" s="425" t="e">
        <f>I22/G22</f>
        <v>#REF!</v>
      </c>
      <c r="K22" s="421">
        <f>K16+K20</f>
        <v>292412617594.84253</v>
      </c>
      <c r="L22" s="425" t="e">
        <f>K22/G22</f>
        <v>#REF!</v>
      </c>
      <c r="M22" s="421">
        <f>M16+M20</f>
        <v>36168638181.13607</v>
      </c>
      <c r="N22" s="423">
        <f>M22/C22</f>
        <v>0.10980211373084027</v>
      </c>
    </row>
    <row r="23" spans="1:17" s="117" customFormat="1" ht="15" x14ac:dyDescent="0.25">
      <c r="A23" s="98"/>
      <c r="B23" s="121" t="s">
        <v>1505</v>
      </c>
      <c r="C23" s="122" t="s">
        <v>1506</v>
      </c>
      <c r="D23" s="123" t="s">
        <v>1507</v>
      </c>
      <c r="E23" s="123"/>
      <c r="F23" s="123"/>
      <c r="K23" s="213"/>
      <c r="M23" s="121"/>
      <c r="N23" s="122"/>
      <c r="O23" s="123"/>
      <c r="P23" s="124"/>
      <c r="Q23" s="124"/>
    </row>
    <row r="24" spans="1:17" s="117" customFormat="1" ht="16.5" thickBot="1" x14ac:dyDescent="0.3">
      <c r="A24" s="98"/>
      <c r="B24" s="330" t="s">
        <v>1518</v>
      </c>
      <c r="C24" s="331">
        <f>C16</f>
        <v>319490464131.91003</v>
      </c>
      <c r="D24" s="125">
        <f>C24/C24</f>
        <v>1</v>
      </c>
      <c r="E24" s="125"/>
      <c r="F24" s="126"/>
      <c r="M24" s="127"/>
      <c r="N24" s="128"/>
      <c r="O24" s="126"/>
      <c r="P24" s="124"/>
      <c r="Q24" s="124"/>
    </row>
    <row r="25" spans="1:17" s="117" customFormat="1" ht="15.75" x14ac:dyDescent="0.25">
      <c r="A25" s="98"/>
      <c r="B25" s="330" t="s">
        <v>1508</v>
      </c>
      <c r="C25" s="331">
        <f>E16</f>
        <v>286065239361.54999</v>
      </c>
      <c r="D25" s="332">
        <f>C25/C24</f>
        <v>0.89537958554982233</v>
      </c>
      <c r="E25" s="505" t="s">
        <v>1662</v>
      </c>
      <c r="F25" s="506"/>
      <c r="G25" s="124"/>
      <c r="M25" s="127"/>
      <c r="N25" s="128"/>
      <c r="O25" s="129"/>
      <c r="P25" s="124"/>
      <c r="Q25" s="124"/>
    </row>
    <row r="26" spans="1:17" s="117" customFormat="1" ht="15.75" x14ac:dyDescent="0.25">
      <c r="A26" s="98"/>
      <c r="B26" s="330" t="s">
        <v>1509</v>
      </c>
      <c r="C26" s="331" t="e">
        <f>G16</f>
        <v>#REF!</v>
      </c>
      <c r="D26" s="333" t="e">
        <f>C26/C24</f>
        <v>#REF!</v>
      </c>
      <c r="E26" s="507" t="s">
        <v>1513</v>
      </c>
      <c r="F26" s="508"/>
      <c r="G26" s="124"/>
      <c r="M26" s="127"/>
      <c r="N26" s="128"/>
      <c r="O26" s="130"/>
      <c r="P26" s="124"/>
      <c r="Q26" s="124"/>
    </row>
    <row r="27" spans="1:17" s="117" customFormat="1" ht="15.75" x14ac:dyDescent="0.25">
      <c r="A27" s="98"/>
      <c r="B27" s="330" t="s">
        <v>1510</v>
      </c>
      <c r="C27" s="331" t="e">
        <f>I16</f>
        <v>#REF!</v>
      </c>
      <c r="D27" s="333" t="e">
        <f>C27/C26</f>
        <v>#REF!</v>
      </c>
      <c r="E27" s="509" t="s">
        <v>1514</v>
      </c>
      <c r="F27" s="510"/>
      <c r="G27" s="124"/>
      <c r="M27" s="127"/>
      <c r="N27" s="128"/>
      <c r="O27" s="130"/>
      <c r="P27" s="124"/>
      <c r="Q27" s="124"/>
    </row>
    <row r="28" spans="1:17" s="117" customFormat="1" ht="15.75" x14ac:dyDescent="0.25">
      <c r="A28" s="98"/>
      <c r="B28" s="330" t="s">
        <v>1511</v>
      </c>
      <c r="C28" s="331">
        <f>K16</f>
        <v>285435942243.58002</v>
      </c>
      <c r="D28" s="333" t="e">
        <f>C28/C26</f>
        <v>#REF!</v>
      </c>
      <c r="E28" s="511" t="s">
        <v>1515</v>
      </c>
      <c r="F28" s="512"/>
      <c r="G28" s="124"/>
      <c r="M28" s="127"/>
      <c r="N28" s="128"/>
      <c r="O28" s="130"/>
      <c r="P28" s="124"/>
      <c r="Q28" s="124"/>
    </row>
    <row r="29" spans="1:17" ht="15.75" x14ac:dyDescent="0.25">
      <c r="B29" s="334" t="s">
        <v>1512</v>
      </c>
      <c r="C29" s="331">
        <f>M16</f>
        <v>33425224770.360085</v>
      </c>
      <c r="D29" s="333">
        <f>C29/C24</f>
        <v>0.10462041445017778</v>
      </c>
      <c r="E29" s="513" t="s">
        <v>1516</v>
      </c>
      <c r="F29" s="514"/>
      <c r="G29" s="124"/>
      <c r="M29" s="131"/>
      <c r="N29" s="128"/>
      <c r="O29" s="130"/>
      <c r="P29" s="132"/>
      <c r="Q29" s="132"/>
    </row>
    <row r="30" spans="1:17" ht="15" x14ac:dyDescent="0.2">
      <c r="B30" s="335"/>
      <c r="C30" s="336"/>
      <c r="D30" s="336"/>
      <c r="E30" s="501" t="s">
        <v>1517</v>
      </c>
      <c r="F30" s="502"/>
      <c r="G30" s="124"/>
      <c r="M30" s="124"/>
      <c r="N30" s="132"/>
      <c r="O30" s="132"/>
      <c r="P30" s="132"/>
      <c r="Q30" s="132"/>
    </row>
    <row r="31" spans="1:17" x14ac:dyDescent="0.2">
      <c r="B31" s="337"/>
      <c r="C31" s="338"/>
      <c r="D31" s="339"/>
      <c r="E31" s="133"/>
      <c r="F31" s="133"/>
      <c r="G31" s="124"/>
      <c r="M31" s="124"/>
      <c r="N31" s="132"/>
      <c r="O31" s="132"/>
      <c r="P31" s="132"/>
      <c r="Q31" s="132"/>
    </row>
    <row r="32" spans="1:17" x14ac:dyDescent="0.2">
      <c r="B32" s="337"/>
      <c r="C32" s="338"/>
      <c r="D32" s="339"/>
      <c r="E32" s="133"/>
      <c r="F32" s="133"/>
      <c r="G32" s="124"/>
      <c r="M32" s="124"/>
      <c r="N32" s="132"/>
      <c r="O32" s="132"/>
      <c r="P32" s="132"/>
      <c r="Q32" s="132"/>
    </row>
    <row r="33" spans="1:17" ht="15" x14ac:dyDescent="0.2">
      <c r="B33" s="337" t="s">
        <v>1519</v>
      </c>
      <c r="C33" s="331">
        <f>C20</f>
        <v>9907914024.9700012</v>
      </c>
      <c r="D33" s="125">
        <f>C33/C33</f>
        <v>1</v>
      </c>
      <c r="E33" s="133"/>
      <c r="F33" s="133"/>
      <c r="G33" s="124"/>
      <c r="M33" s="124"/>
      <c r="N33" s="132"/>
      <c r="O33" s="132"/>
      <c r="P33" s="132"/>
      <c r="Q33" s="132"/>
    </row>
    <row r="34" spans="1:17" ht="15.75" x14ac:dyDescent="0.25">
      <c r="B34" s="330" t="s">
        <v>1508</v>
      </c>
      <c r="C34" s="331">
        <f>E20</f>
        <v>7164500614.1940126</v>
      </c>
      <c r="D34" s="332">
        <f>C34/C33</f>
        <v>0.72310888004659535</v>
      </c>
      <c r="E34" s="133"/>
      <c r="F34" s="133"/>
      <c r="G34" s="124"/>
      <c r="M34" s="124"/>
      <c r="N34" s="132"/>
      <c r="O34" s="132"/>
      <c r="P34" s="132"/>
      <c r="Q34" s="132"/>
    </row>
    <row r="35" spans="1:17" ht="15.75" x14ac:dyDescent="0.25">
      <c r="B35" s="330" t="s">
        <v>1509</v>
      </c>
      <c r="C35" s="331" t="e">
        <f>G20</f>
        <v>#REF!</v>
      </c>
      <c r="D35" s="333" t="e">
        <f>C35/C33</f>
        <v>#REF!</v>
      </c>
      <c r="E35" s="133"/>
      <c r="F35" s="133"/>
      <c r="G35" s="124"/>
      <c r="M35" s="124"/>
      <c r="N35" s="132"/>
      <c r="O35" s="132"/>
      <c r="P35" s="132"/>
      <c r="Q35" s="132"/>
    </row>
    <row r="36" spans="1:17" ht="15.75" x14ac:dyDescent="0.25">
      <c r="B36" s="330" t="s">
        <v>1510</v>
      </c>
      <c r="C36" s="331" t="e">
        <f>I20</f>
        <v>#REF!</v>
      </c>
      <c r="D36" s="333" t="e">
        <f>C36/C35</f>
        <v>#REF!</v>
      </c>
      <c r="E36" s="133"/>
      <c r="F36" s="133"/>
      <c r="G36" s="124"/>
      <c r="M36" s="124"/>
      <c r="N36" s="132"/>
      <c r="O36" s="132"/>
      <c r="P36" s="132"/>
      <c r="Q36" s="132"/>
    </row>
    <row r="37" spans="1:17" ht="15.75" x14ac:dyDescent="0.25">
      <c r="B37" s="330" t="s">
        <v>1511</v>
      </c>
      <c r="C37" s="331">
        <f>K20</f>
        <v>6976675351.2625237</v>
      </c>
      <c r="D37" s="333" t="e">
        <f>C37/C35</f>
        <v>#REF!</v>
      </c>
      <c r="E37" s="133"/>
      <c r="F37" s="133"/>
      <c r="G37" s="124"/>
      <c r="M37" s="124"/>
      <c r="N37" s="132"/>
      <c r="O37" s="132"/>
      <c r="P37" s="132"/>
      <c r="Q37" s="132"/>
    </row>
    <row r="38" spans="1:17" ht="15.75" x14ac:dyDescent="0.25">
      <c r="B38" s="334" t="s">
        <v>1512</v>
      </c>
      <c r="C38" s="331">
        <f>M20</f>
        <v>2743413410.7759881</v>
      </c>
      <c r="D38" s="333">
        <f>C38/C33</f>
        <v>0.2768911199534046</v>
      </c>
      <c r="E38" s="133"/>
      <c r="F38" s="133"/>
      <c r="G38" s="124"/>
      <c r="M38" s="124"/>
      <c r="N38" s="132"/>
      <c r="O38" s="132"/>
      <c r="P38" s="132"/>
      <c r="Q38" s="132"/>
    </row>
    <row r="39" spans="1:17" x14ac:dyDescent="0.2">
      <c r="B39" s="337"/>
      <c r="C39" s="338"/>
      <c r="D39" s="338"/>
      <c r="E39" s="120"/>
      <c r="F39" s="120"/>
      <c r="G39" s="124"/>
      <c r="M39" s="124"/>
      <c r="N39" s="132"/>
      <c r="O39" s="132"/>
      <c r="P39" s="132"/>
      <c r="Q39" s="132"/>
    </row>
    <row r="40" spans="1:17" s="117" customFormat="1" x14ac:dyDescent="0.2">
      <c r="A40" s="98"/>
      <c r="B40" s="337"/>
      <c r="C40" s="338"/>
      <c r="D40" s="338"/>
      <c r="E40" s="120"/>
      <c r="F40" s="120"/>
      <c r="G40" s="124"/>
      <c r="N40" s="98"/>
      <c r="O40" s="98"/>
      <c r="P40" s="98"/>
      <c r="Q40" s="98"/>
    </row>
    <row r="41" spans="1:17" s="117" customFormat="1" x14ac:dyDescent="0.2">
      <c r="A41" s="98"/>
      <c r="B41" s="335"/>
      <c r="C41" s="336"/>
      <c r="D41" s="336"/>
      <c r="E41" s="124"/>
      <c r="F41" s="124"/>
      <c r="G41" s="124"/>
      <c r="N41" s="98"/>
      <c r="O41" s="98"/>
      <c r="P41" s="98"/>
      <c r="Q41" s="98"/>
    </row>
    <row r="42" spans="1:17" x14ac:dyDescent="0.2">
      <c r="B42" s="335"/>
      <c r="C42" s="336"/>
      <c r="D42" s="336"/>
      <c r="E42" s="124"/>
      <c r="F42" s="124"/>
      <c r="G42" s="124"/>
    </row>
    <row r="43" spans="1:17" x14ac:dyDescent="0.2">
      <c r="B43" s="335"/>
      <c r="C43" s="336"/>
      <c r="D43" s="336"/>
      <c r="E43" s="124"/>
      <c r="F43" s="124"/>
      <c r="G43" s="124"/>
    </row>
    <row r="44" spans="1:17" x14ac:dyDescent="0.2">
      <c r="B44" s="335"/>
      <c r="C44" s="336"/>
      <c r="D44" s="336"/>
      <c r="E44" s="124"/>
      <c r="F44" s="124"/>
      <c r="G44" s="124"/>
    </row>
    <row r="45" spans="1:17" x14ac:dyDescent="0.2">
      <c r="B45" s="335"/>
      <c r="C45" s="336"/>
      <c r="D45" s="336"/>
      <c r="E45" s="124"/>
      <c r="F45" s="124"/>
      <c r="G45" s="124"/>
    </row>
    <row r="46" spans="1:17" x14ac:dyDescent="0.2">
      <c r="B46" s="335"/>
      <c r="C46" s="336"/>
      <c r="D46" s="336"/>
      <c r="E46" s="124"/>
      <c r="F46" s="124"/>
      <c r="G46" s="124"/>
    </row>
    <row r="47" spans="1:17" ht="15" x14ac:dyDescent="0.2">
      <c r="B47" s="337" t="s">
        <v>1520</v>
      </c>
      <c r="C47" s="331">
        <f>C22</f>
        <v>329398378156.88</v>
      </c>
      <c r="D47" s="125">
        <f>C47/C47</f>
        <v>1</v>
      </c>
      <c r="E47" s="124"/>
      <c r="F47" s="124"/>
      <c r="G47" s="124"/>
    </row>
    <row r="48" spans="1:17" ht="15.75" x14ac:dyDescent="0.25">
      <c r="B48" s="330" t="s">
        <v>1508</v>
      </c>
      <c r="C48" s="331">
        <f>E22</f>
        <v>293229739975.74402</v>
      </c>
      <c r="D48" s="332">
        <f>C48/C47</f>
        <v>0.89019788626915997</v>
      </c>
      <c r="E48" s="124"/>
      <c r="F48" s="124"/>
      <c r="G48" s="124"/>
    </row>
    <row r="49" spans="2:7" ht="15.75" x14ac:dyDescent="0.25">
      <c r="B49" s="330" t="s">
        <v>1509</v>
      </c>
      <c r="C49" s="331" t="e">
        <f>G22</f>
        <v>#REF!</v>
      </c>
      <c r="D49" s="333" t="e">
        <f>C49/C47</f>
        <v>#REF!</v>
      </c>
      <c r="E49" s="124"/>
      <c r="F49" s="124"/>
      <c r="G49" s="124"/>
    </row>
    <row r="50" spans="2:7" ht="15.75" x14ac:dyDescent="0.25">
      <c r="B50" s="330" t="s">
        <v>1510</v>
      </c>
      <c r="C50" s="331" t="e">
        <f>I22</f>
        <v>#REF!</v>
      </c>
      <c r="D50" s="333" t="e">
        <f>C50/C49</f>
        <v>#REF!</v>
      </c>
      <c r="E50" s="124"/>
      <c r="F50" s="124"/>
      <c r="G50" s="124"/>
    </row>
    <row r="51" spans="2:7" ht="15.75" x14ac:dyDescent="0.25">
      <c r="B51" s="330" t="s">
        <v>1511</v>
      </c>
      <c r="C51" s="331">
        <f>K22</f>
        <v>292412617594.84253</v>
      </c>
      <c r="D51" s="333" t="e">
        <f>C51/C49</f>
        <v>#REF!</v>
      </c>
      <c r="E51" s="124"/>
      <c r="F51" s="124"/>
      <c r="G51" s="124"/>
    </row>
    <row r="52" spans="2:7" ht="15.75" x14ac:dyDescent="0.25">
      <c r="B52" s="334" t="s">
        <v>1512</v>
      </c>
      <c r="C52" s="331">
        <f>M22</f>
        <v>36168638181.13607</v>
      </c>
      <c r="D52" s="333">
        <f>C52/C47</f>
        <v>0.10980211373084027</v>
      </c>
      <c r="E52" s="124"/>
      <c r="F52" s="124"/>
      <c r="G52" s="124"/>
    </row>
    <row r="53" spans="2:7" x14ac:dyDescent="0.2">
      <c r="C53" s="124"/>
      <c r="D53" s="124"/>
      <c r="E53" s="124"/>
      <c r="F53" s="124"/>
      <c r="G53" s="124"/>
    </row>
    <row r="54" spans="2:7" x14ac:dyDescent="0.2">
      <c r="C54" s="124"/>
      <c r="D54" s="124"/>
      <c r="E54" s="124"/>
      <c r="F54" s="124"/>
      <c r="G54" s="124"/>
    </row>
    <row r="55" spans="2:7" x14ac:dyDescent="0.2">
      <c r="C55" s="124"/>
      <c r="D55" s="124"/>
      <c r="E55" s="124"/>
      <c r="F55" s="124"/>
      <c r="G55" s="124"/>
    </row>
    <row r="56" spans="2:7" x14ac:dyDescent="0.2">
      <c r="C56" s="124"/>
      <c r="D56" s="124"/>
      <c r="E56" s="124"/>
      <c r="F56" s="124"/>
      <c r="G56" s="124"/>
    </row>
    <row r="57" spans="2:7" x14ac:dyDescent="0.2">
      <c r="B57" s="98"/>
      <c r="C57" s="124"/>
      <c r="D57" s="124"/>
      <c r="E57" s="124"/>
      <c r="F57" s="124"/>
      <c r="G57" s="124"/>
    </row>
    <row r="58" spans="2:7" x14ac:dyDescent="0.2">
      <c r="B58" s="98"/>
      <c r="C58" s="124"/>
      <c r="D58" s="124"/>
      <c r="E58" s="124"/>
      <c r="F58" s="124"/>
      <c r="G58" s="124"/>
    </row>
    <row r="59" spans="2:7" x14ac:dyDescent="0.2">
      <c r="B59" s="98"/>
      <c r="C59" s="124"/>
      <c r="D59" s="124"/>
      <c r="E59" s="124"/>
      <c r="F59" s="124"/>
      <c r="G59" s="124"/>
    </row>
    <row r="60" spans="2:7" x14ac:dyDescent="0.2">
      <c r="B60" s="98"/>
      <c r="C60" s="124"/>
      <c r="D60" s="124"/>
      <c r="E60" s="124"/>
      <c r="F60" s="124"/>
      <c r="G60" s="124"/>
    </row>
    <row r="61" spans="2:7" x14ac:dyDescent="0.2">
      <c r="B61" s="98"/>
      <c r="C61" s="124"/>
      <c r="D61" s="124"/>
      <c r="E61" s="124"/>
      <c r="F61" s="124"/>
      <c r="G61" s="124"/>
    </row>
    <row r="62" spans="2:7" x14ac:dyDescent="0.2">
      <c r="B62" s="98"/>
      <c r="C62" s="124"/>
      <c r="D62" s="124"/>
      <c r="E62" s="124"/>
      <c r="F62" s="124"/>
      <c r="G62" s="124"/>
    </row>
    <row r="63" spans="2:7" x14ac:dyDescent="0.2">
      <c r="C63" s="124"/>
      <c r="D63" s="124"/>
      <c r="E63" s="124"/>
      <c r="F63" s="124"/>
      <c r="G63" s="124"/>
    </row>
    <row r="64" spans="2:7" x14ac:dyDescent="0.2">
      <c r="C64" s="124"/>
      <c r="D64" s="124"/>
      <c r="E64" s="124"/>
      <c r="F64" s="124"/>
      <c r="G64" s="124"/>
    </row>
    <row r="65" spans="1:17" x14ac:dyDescent="0.2">
      <c r="C65" s="124"/>
      <c r="D65" s="124"/>
      <c r="E65" s="124"/>
      <c r="F65" s="124"/>
      <c r="G65" s="124"/>
    </row>
    <row r="66" spans="1:17" x14ac:dyDescent="0.2">
      <c r="C66" s="124"/>
      <c r="D66" s="124"/>
      <c r="E66" s="124"/>
      <c r="F66" s="124"/>
      <c r="G66" s="124"/>
    </row>
    <row r="67" spans="1:17" x14ac:dyDescent="0.2">
      <c r="C67" s="124"/>
      <c r="D67" s="124"/>
      <c r="E67" s="124"/>
      <c r="F67" s="124"/>
      <c r="G67" s="124"/>
    </row>
    <row r="68" spans="1:17" x14ac:dyDescent="0.2">
      <c r="C68" s="124"/>
      <c r="D68" s="124"/>
      <c r="E68" s="124"/>
      <c r="F68" s="124"/>
      <c r="G68" s="124"/>
    </row>
    <row r="69" spans="1:17" x14ac:dyDescent="0.2">
      <c r="C69" s="124"/>
      <c r="D69" s="124"/>
      <c r="E69" s="124"/>
      <c r="F69" s="124"/>
      <c r="G69" s="124"/>
    </row>
    <row r="71" spans="1:17" s="117" customFormat="1" x14ac:dyDescent="0.2">
      <c r="A71" s="98"/>
      <c r="B71" s="118"/>
      <c r="N71" s="98"/>
      <c r="O71" s="98"/>
      <c r="P71" s="98"/>
      <c r="Q71" s="98"/>
    </row>
    <row r="72" spans="1:17" s="117" customFormat="1" x14ac:dyDescent="0.2">
      <c r="N72" s="98"/>
      <c r="O72" s="98"/>
      <c r="P72" s="98"/>
      <c r="Q72" s="98"/>
    </row>
    <row r="73" spans="1:17" s="117" customFormat="1" x14ac:dyDescent="0.2">
      <c r="N73" s="98"/>
      <c r="O73" s="98"/>
      <c r="P73" s="98"/>
      <c r="Q73" s="98"/>
    </row>
    <row r="74" spans="1:17" s="117" customFormat="1" x14ac:dyDescent="0.2">
      <c r="N74" s="98"/>
      <c r="O74" s="98"/>
      <c r="P74" s="98"/>
      <c r="Q74" s="98"/>
    </row>
    <row r="75" spans="1:17" s="117" customFormat="1" x14ac:dyDescent="0.2">
      <c r="N75" s="98"/>
      <c r="O75" s="98"/>
      <c r="P75" s="98"/>
      <c r="Q75" s="98"/>
    </row>
    <row r="76" spans="1:17" s="117" customFormat="1" x14ac:dyDescent="0.2">
      <c r="N76" s="98"/>
      <c r="O76" s="98"/>
      <c r="P76" s="98"/>
      <c r="Q76" s="98"/>
    </row>
    <row r="77" spans="1:17" s="117" customFormat="1" x14ac:dyDescent="0.2">
      <c r="N77" s="98"/>
      <c r="O77" s="98"/>
      <c r="P77" s="98"/>
      <c r="Q77" s="98"/>
    </row>
  </sheetData>
  <mergeCells count="7">
    <mergeCell ref="E30:F30"/>
    <mergeCell ref="A1:N1"/>
    <mergeCell ref="E25:F25"/>
    <mergeCell ref="E26:F26"/>
    <mergeCell ref="E27:F27"/>
    <mergeCell ref="E28:F28"/>
    <mergeCell ref="E29:F29"/>
  </mergeCells>
  <conditionalFormatting sqref="H3">
    <cfRule type="cellIs" dxfId="29" priority="31" operator="between">
      <formula>0</formula>
      <formula>0.3999</formula>
    </cfRule>
    <cfRule type="cellIs" dxfId="28" priority="32" operator="between">
      <formula>0.4</formula>
      <formula>0.59</formula>
    </cfRule>
    <cfRule type="cellIs" dxfId="27" priority="33" operator="between">
      <formula>0.6</formula>
      <formula>0.69</formula>
    </cfRule>
    <cfRule type="cellIs" dxfId="26" priority="34" operator="between">
      <formula>0.7</formula>
      <formula>0.79</formula>
    </cfRule>
    <cfRule type="cellIs" dxfId="25" priority="35" operator="between">
      <formula>0.8</formula>
      <formula>1</formula>
    </cfRule>
  </conditionalFormatting>
  <conditionalFormatting sqref="H4:H15">
    <cfRule type="cellIs" dxfId="24" priority="26" operator="between">
      <formula>0</formula>
      <formula>0.3999</formula>
    </cfRule>
    <cfRule type="cellIs" dxfId="23" priority="27" operator="between">
      <formula>0.4</formula>
      <formula>0.59</formula>
    </cfRule>
    <cfRule type="cellIs" dxfId="22" priority="28" operator="between">
      <formula>0.6</formula>
      <formula>0.695</formula>
    </cfRule>
    <cfRule type="cellIs" dxfId="21" priority="29" operator="between">
      <formula>0.695</formula>
      <formula>0.7949</formula>
    </cfRule>
    <cfRule type="cellIs" dxfId="20" priority="30" operator="between">
      <formula>0.8</formula>
      <formula>1</formula>
    </cfRule>
  </conditionalFormatting>
  <conditionalFormatting sqref="H17:H19">
    <cfRule type="cellIs" dxfId="19" priority="16" operator="between">
      <formula>0</formula>
      <formula>0.3999</formula>
    </cfRule>
    <cfRule type="cellIs" dxfId="18" priority="17" operator="between">
      <formula>0.4</formula>
      <formula>0.59</formula>
    </cfRule>
    <cfRule type="cellIs" dxfId="17" priority="18" operator="between">
      <formula>0.6</formula>
      <formula>0.695</formula>
    </cfRule>
    <cfRule type="cellIs" dxfId="16" priority="19" operator="between">
      <formula>0.695</formula>
      <formula>0.7949</formula>
    </cfRule>
    <cfRule type="cellIs" dxfId="15" priority="20" operator="between">
      <formula>0.8</formula>
      <formula>1</formula>
    </cfRule>
  </conditionalFormatting>
  <conditionalFormatting sqref="H20">
    <cfRule type="cellIs" dxfId="14" priority="11" operator="between">
      <formula>0</formula>
      <formula>0.3999</formula>
    </cfRule>
    <cfRule type="cellIs" dxfId="13" priority="12" operator="between">
      <formula>0.4</formula>
      <formula>0.59</formula>
    </cfRule>
    <cfRule type="cellIs" dxfId="12" priority="13" operator="between">
      <formula>0.595</formula>
      <formula>0.6949</formula>
    </cfRule>
    <cfRule type="cellIs" dxfId="11" priority="14" operator="between">
      <formula>0.7</formula>
      <formula>0.79</formula>
    </cfRule>
    <cfRule type="cellIs" dxfId="10" priority="15" operator="between">
      <formula>0.8</formula>
      <formula>1</formula>
    </cfRule>
  </conditionalFormatting>
  <conditionalFormatting sqref="H22">
    <cfRule type="cellIs" dxfId="9" priority="6" operator="between">
      <formula>0</formula>
      <formula>0.3999</formula>
    </cfRule>
    <cfRule type="cellIs" dxfId="8" priority="7" operator="between">
      <formula>0.4</formula>
      <formula>0.59</formula>
    </cfRule>
    <cfRule type="cellIs" dxfId="7" priority="8" operator="between">
      <formula>0.595</formula>
      <formula>0.6949</formula>
    </cfRule>
    <cfRule type="cellIs" dxfId="6" priority="9" operator="between">
      <formula>0.7</formula>
      <formula>0.79</formula>
    </cfRule>
    <cfRule type="cellIs" dxfId="5" priority="10" operator="between">
      <formula>0.8</formula>
      <formula>1</formula>
    </cfRule>
  </conditionalFormatting>
  <conditionalFormatting sqref="H16">
    <cfRule type="cellIs" dxfId="4" priority="1" operator="between">
      <formula>0</formula>
      <formula>0.3999</formula>
    </cfRule>
    <cfRule type="cellIs" dxfId="3" priority="2" operator="between">
      <formula>0.4</formula>
      <formula>0.59</formula>
    </cfRule>
    <cfRule type="cellIs" dxfId="2" priority="3" operator="between">
      <formula>0.6</formula>
      <formula>0.695</formula>
    </cfRule>
    <cfRule type="cellIs" dxfId="1" priority="4" operator="between">
      <formula>0.695</formula>
      <formula>0.7949</formula>
    </cfRule>
    <cfRule type="cellIs" dxfId="0" priority="5" operator="greaterThan">
      <formula>0.795</formula>
    </cfRule>
  </conditionalFormatting>
  <pageMargins left="0.7" right="0.7" top="0.75" bottom="0.75" header="0.3" footer="0.3"/>
  <pageSetup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SGTO POAI VIGENCIA 2021</vt:lpstr>
      <vt:lpstr>RESUMEN POR UNIDAD</vt:lpstr>
      <vt:lpstr>SECTORES</vt:lpstr>
      <vt:lpstr>PROGRAMAS</vt:lpstr>
      <vt:lpstr>EJE ESTRATEGICO</vt:lpstr>
      <vt:lpstr>PROYECTOS</vt:lpstr>
      <vt:lpstr>CONSOLIDADO UNIDADES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AUXPLANEACION03</cp:lastModifiedBy>
  <cp:revision/>
  <dcterms:created xsi:type="dcterms:W3CDTF">2020-08-12T15:20:51Z</dcterms:created>
  <dcterms:modified xsi:type="dcterms:W3CDTF">2022-05-26T13:52:07Z</dcterms:modified>
</cp:coreProperties>
</file>