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charts/chart3.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mc:AlternateContent xmlns:mc="http://schemas.openxmlformats.org/markup-compatibility/2006">
    <mc:Choice Requires="x15">
      <x15ac:absPath xmlns:x15ac="http://schemas.microsoft.com/office/spreadsheetml/2010/11/ac" url="C:\GOBERNACION QUINDIO 2020\PAGINA WEB\SEPTIEMBRE\"/>
    </mc:Choice>
  </mc:AlternateContent>
  <bookViews>
    <workbookView xWindow="0" yWindow="0" windowWidth="11805" windowHeight="6945"/>
  </bookViews>
  <sheets>
    <sheet name="SGTO POAI JUNIO 2020" sheetId="6" r:id="rId1"/>
    <sheet name="LISTA PROYECTOS" sheetId="7" r:id="rId2"/>
    <sheet name="UNIDADES" sheetId="5" r:id="rId3"/>
  </sheets>
  <externalReferences>
    <externalReference r:id="rId4"/>
  </externalReferences>
  <definedNames>
    <definedName name="_1._Apoyo_con_equipos_para_la_seguridad_vial_Licenciamiento_de_software_para_comunicaciones" localSheetId="0">#REF!</definedName>
    <definedName name="_1._Apoyo_con_equipos_para_la_seguridad_vial_Licenciamiento_de_software_para_comunicaciones">#REF!</definedName>
    <definedName name="CODIGO_DIVIPOLA" localSheetId="0">#REF!</definedName>
    <definedName name="CODIGO_DIVIPOLA">#REF!</definedName>
    <definedName name="DboREGISTRO_LEY_617" localSheetId="0">#REF!</definedName>
    <definedName name="DboREGISTRO_LEY_617">#REF!</definedName>
    <definedName name="ññ" localSheetId="0">#REF!</definedName>
    <definedName name="ññ">#REF!</definedName>
  </definedNames>
  <calcPr calcId="152511"/>
</workbook>
</file>

<file path=xl/calcChain.xml><?xml version="1.0" encoding="utf-8"?>
<calcChain xmlns="http://schemas.openxmlformats.org/spreadsheetml/2006/main">
  <c r="AX175" i="6" l="1"/>
  <c r="BI301" i="6" l="1"/>
  <c r="BH301" i="6"/>
  <c r="F162" i="7" l="1"/>
  <c r="G18" i="7"/>
  <c r="H18" i="7"/>
  <c r="K4" i="5" l="1"/>
  <c r="BI403" i="6" l="1"/>
  <c r="BH403" i="6"/>
  <c r="BG403" i="6"/>
  <c r="BI402" i="6"/>
  <c r="BH402" i="6"/>
  <c r="BG402" i="6"/>
  <c r="BI401" i="6"/>
  <c r="BH401" i="6"/>
  <c r="BG401" i="6"/>
  <c r="BI400" i="6"/>
  <c r="BH400" i="6"/>
  <c r="G182" i="7" s="1"/>
  <c r="G181" i="7" s="1"/>
  <c r="BG400" i="6"/>
  <c r="BD399" i="6"/>
  <c r="BD398" i="6" s="1"/>
  <c r="BD397" i="6" s="1"/>
  <c r="BA399" i="6"/>
  <c r="AX399" i="6"/>
  <c r="AU399" i="6"/>
  <c r="AR399" i="6"/>
  <c r="AR398" i="6" s="1"/>
  <c r="AR397" i="6" s="1"/>
  <c r="AO399" i="6"/>
  <c r="AL399" i="6"/>
  <c r="AL398" i="6" s="1"/>
  <c r="AL397" i="6" s="1"/>
  <c r="AI399" i="6"/>
  <c r="AI398" i="6" s="1"/>
  <c r="AI397" i="6" s="1"/>
  <c r="AF399" i="6"/>
  <c r="AF398" i="6" s="1"/>
  <c r="AF397" i="6" s="1"/>
  <c r="AC399" i="6"/>
  <c r="Z399" i="6"/>
  <c r="W399" i="6"/>
  <c r="W398" i="6" s="1"/>
  <c r="W397" i="6" s="1"/>
  <c r="T399" i="6"/>
  <c r="T398" i="6" s="1"/>
  <c r="T397" i="6" s="1"/>
  <c r="BA398" i="6"/>
  <c r="AX398" i="6"/>
  <c r="AX397" i="6" s="1"/>
  <c r="AU398" i="6"/>
  <c r="AU397" i="6" s="1"/>
  <c r="AO398" i="6"/>
  <c r="AO397" i="6" s="1"/>
  <c r="AC398" i="6"/>
  <c r="AC397" i="6" s="1"/>
  <c r="Z398" i="6"/>
  <c r="Z397" i="6" s="1"/>
  <c r="BA397" i="6"/>
  <c r="BI395" i="6"/>
  <c r="BH395" i="6"/>
  <c r="G180" i="7" s="1"/>
  <c r="BA395" i="6"/>
  <c r="BD394" i="6"/>
  <c r="AX394" i="6"/>
  <c r="AU394" i="6"/>
  <c r="AR394" i="6"/>
  <c r="AR393" i="6" s="1"/>
  <c r="AO394" i="6"/>
  <c r="AO393" i="6" s="1"/>
  <c r="AL394" i="6"/>
  <c r="AI394" i="6"/>
  <c r="AI393" i="6" s="1"/>
  <c r="AF394" i="6"/>
  <c r="AF393" i="6" s="1"/>
  <c r="AC394" i="6"/>
  <c r="Z394" i="6"/>
  <c r="W394" i="6"/>
  <c r="W393" i="6" s="1"/>
  <c r="T394" i="6"/>
  <c r="T393" i="6" s="1"/>
  <c r="BD393" i="6"/>
  <c r="AX393" i="6"/>
  <c r="AU393" i="6"/>
  <c r="AU379" i="6" s="1"/>
  <c r="AL393" i="6"/>
  <c r="AC393" i="6"/>
  <c r="Z393" i="6"/>
  <c r="BI392" i="6"/>
  <c r="BH392" i="6"/>
  <c r="BG392" i="6"/>
  <c r="BI391" i="6"/>
  <c r="BH391" i="6"/>
  <c r="BG391" i="6"/>
  <c r="BI390" i="6"/>
  <c r="BH390" i="6"/>
  <c r="BG390" i="6"/>
  <c r="BI389" i="6"/>
  <c r="BH389" i="6"/>
  <c r="BG389" i="6"/>
  <c r="BD388" i="6"/>
  <c r="BA388" i="6"/>
  <c r="AX388" i="6"/>
  <c r="AU388" i="6"/>
  <c r="AR388" i="6"/>
  <c r="AO388" i="6"/>
  <c r="AL388" i="6"/>
  <c r="AI388" i="6"/>
  <c r="AF388" i="6"/>
  <c r="AC388" i="6"/>
  <c r="Z388" i="6"/>
  <c r="W388" i="6"/>
  <c r="T388" i="6"/>
  <c r="BI387" i="6"/>
  <c r="H178" i="7" s="1"/>
  <c r="BH387" i="6"/>
  <c r="BG387" i="6"/>
  <c r="BD386" i="6"/>
  <c r="BA386" i="6"/>
  <c r="AX386" i="6"/>
  <c r="AU386" i="6"/>
  <c r="AR386" i="6"/>
  <c r="AO386" i="6"/>
  <c r="AO385" i="6" s="1"/>
  <c r="AL386" i="6"/>
  <c r="AL385" i="6" s="1"/>
  <c r="AI386" i="6"/>
  <c r="AI385" i="6" s="1"/>
  <c r="AI379" i="6" s="1"/>
  <c r="AF386" i="6"/>
  <c r="AC386" i="6"/>
  <c r="AC385" i="6" s="1"/>
  <c r="Z386" i="6"/>
  <c r="Z385" i="6" s="1"/>
  <c r="W386" i="6"/>
  <c r="W385" i="6" s="1"/>
  <c r="T386" i="6"/>
  <c r="BA385" i="6"/>
  <c r="AX385" i="6"/>
  <c r="AU385" i="6"/>
  <c r="BI384" i="6"/>
  <c r="H177" i="7" s="1"/>
  <c r="BH384" i="6"/>
  <c r="G177" i="7" s="1"/>
  <c r="BA384" i="6"/>
  <c r="T384" i="6"/>
  <c r="BD383" i="6"/>
  <c r="BA383" i="6"/>
  <c r="AX383" i="6"/>
  <c r="AU383" i="6"/>
  <c r="AR383" i="6"/>
  <c r="AO383" i="6"/>
  <c r="AL383" i="6"/>
  <c r="AI383" i="6"/>
  <c r="AF383" i="6"/>
  <c r="AC383" i="6"/>
  <c r="Z383" i="6"/>
  <c r="W383" i="6"/>
  <c r="BI382" i="6"/>
  <c r="BH382" i="6"/>
  <c r="G176" i="7" s="1"/>
  <c r="T382" i="6"/>
  <c r="BD381" i="6"/>
  <c r="BA381" i="6"/>
  <c r="AX381" i="6"/>
  <c r="AU381" i="6"/>
  <c r="AR381" i="6"/>
  <c r="AO381" i="6"/>
  <c r="AL381" i="6"/>
  <c r="AI381" i="6"/>
  <c r="AF381" i="6"/>
  <c r="AC381" i="6"/>
  <c r="Z381" i="6"/>
  <c r="W381" i="6"/>
  <c r="BD380" i="6"/>
  <c r="BA380" i="6"/>
  <c r="AX380" i="6"/>
  <c r="AU380" i="6"/>
  <c r="AR380" i="6"/>
  <c r="AO380" i="6"/>
  <c r="AL380" i="6"/>
  <c r="AI380" i="6"/>
  <c r="AF380" i="6"/>
  <c r="AC380" i="6"/>
  <c r="Z380" i="6"/>
  <c r="W380" i="6"/>
  <c r="AL379" i="6"/>
  <c r="BI377" i="6"/>
  <c r="BH377" i="6"/>
  <c r="G174" i="7" s="1"/>
  <c r="BG377" i="6"/>
  <c r="F174" i="7" s="1"/>
  <c r="BI376" i="6"/>
  <c r="H173" i="7" s="1"/>
  <c r="BH376" i="6"/>
  <c r="G173" i="7" s="1"/>
  <c r="BA376" i="6"/>
  <c r="BG376" i="6" s="1"/>
  <c r="BH375" i="6"/>
  <c r="BF375" i="6"/>
  <c r="BE375" i="6"/>
  <c r="BD375" i="6"/>
  <c r="BC375" i="6"/>
  <c r="BB375" i="6"/>
  <c r="BA375" i="6"/>
  <c r="AX375" i="6"/>
  <c r="AX366" i="6" s="1"/>
  <c r="AX365" i="6" s="1"/>
  <c r="AU375" i="6"/>
  <c r="AR375" i="6"/>
  <c r="AO375" i="6"/>
  <c r="AL375" i="6"/>
  <c r="AI375" i="6"/>
  <c r="AF375" i="6"/>
  <c r="AC375" i="6"/>
  <c r="Z375" i="6"/>
  <c r="Z366" i="6" s="1"/>
  <c r="Z365" i="6" s="1"/>
  <c r="W375" i="6"/>
  <c r="T375" i="6"/>
  <c r="BI374" i="6"/>
  <c r="H172" i="7" s="1"/>
  <c r="BH374" i="6"/>
  <c r="G172" i="7" s="1"/>
  <c r="BG374" i="6"/>
  <c r="F172" i="7" s="1"/>
  <c r="BI373" i="6"/>
  <c r="H171" i="7" s="1"/>
  <c r="BH373" i="6"/>
  <c r="G171" i="7" s="1"/>
  <c r="BG373" i="6"/>
  <c r="F171" i="7" s="1"/>
  <c r="BI372" i="6"/>
  <c r="BH372" i="6"/>
  <c r="BG372" i="6"/>
  <c r="BI371" i="6"/>
  <c r="H170" i="7" s="1"/>
  <c r="BH371" i="6"/>
  <c r="G170" i="7" s="1"/>
  <c r="BA371" i="6"/>
  <c r="BG371" i="6" s="1"/>
  <c r="BI370" i="6"/>
  <c r="H169" i="7" s="1"/>
  <c r="BH370" i="6"/>
  <c r="G169" i="7" s="1"/>
  <c r="BG370" i="6"/>
  <c r="F169" i="7" s="1"/>
  <c r="BI369" i="6"/>
  <c r="BH369" i="6"/>
  <c r="BG369" i="6"/>
  <c r="BG367" i="6" s="1"/>
  <c r="BI368" i="6"/>
  <c r="H168" i="7" s="1"/>
  <c r="BH368" i="6"/>
  <c r="BG368" i="6"/>
  <c r="BD367" i="6"/>
  <c r="BC367" i="6"/>
  <c r="BB367" i="6"/>
  <c r="BB366" i="6" s="1"/>
  <c r="BB365" i="6" s="1"/>
  <c r="BA367" i="6"/>
  <c r="BA366" i="6" s="1"/>
  <c r="BA365" i="6" s="1"/>
  <c r="AX367" i="6"/>
  <c r="AU367" i="6"/>
  <c r="AR367" i="6"/>
  <c r="AO367" i="6"/>
  <c r="AO366" i="6" s="1"/>
  <c r="AO365" i="6" s="1"/>
  <c r="AL367" i="6"/>
  <c r="AI367" i="6"/>
  <c r="AF367" i="6"/>
  <c r="AC367" i="6"/>
  <c r="AC366" i="6" s="1"/>
  <c r="AC365" i="6" s="1"/>
  <c r="Z367" i="6"/>
  <c r="W367" i="6"/>
  <c r="T367" i="6"/>
  <c r="BD366" i="6"/>
  <c r="BC366" i="6"/>
  <c r="BC365" i="6" s="1"/>
  <c r="AU366" i="6"/>
  <c r="AU365" i="6" s="1"/>
  <c r="AR366" i="6"/>
  <c r="AI366" i="6"/>
  <c r="AI365" i="6" s="1"/>
  <c r="AF366" i="6"/>
  <c r="AF365" i="6" s="1"/>
  <c r="W366" i="6"/>
  <c r="W365" i="6" s="1"/>
  <c r="T366" i="6"/>
  <c r="T365" i="6" s="1"/>
  <c r="BD365" i="6"/>
  <c r="AR365" i="6"/>
  <c r="BI362" i="6"/>
  <c r="BI360" i="6" s="1"/>
  <c r="BI359" i="6" s="1"/>
  <c r="BH362" i="6"/>
  <c r="BG362" i="6"/>
  <c r="BI361" i="6"/>
  <c r="BH361" i="6"/>
  <c r="AX361" i="6"/>
  <c r="BG361" i="6" s="1"/>
  <c r="BD360" i="6"/>
  <c r="BD359" i="6" s="1"/>
  <c r="BA360" i="6"/>
  <c r="BA359" i="6" s="1"/>
  <c r="AU360" i="6"/>
  <c r="AU359" i="6" s="1"/>
  <c r="AR360" i="6"/>
  <c r="AO360" i="6"/>
  <c r="AO359" i="6" s="1"/>
  <c r="AL360" i="6"/>
  <c r="AL359" i="6" s="1"/>
  <c r="AI360" i="6"/>
  <c r="AI359" i="6" s="1"/>
  <c r="AF360" i="6"/>
  <c r="AF359" i="6" s="1"/>
  <c r="AC360" i="6"/>
  <c r="AC359" i="6" s="1"/>
  <c r="Z360" i="6"/>
  <c r="Z359" i="6" s="1"/>
  <c r="W360" i="6"/>
  <c r="W359" i="6" s="1"/>
  <c r="T360" i="6"/>
  <c r="AR359" i="6"/>
  <c r="AR347" i="6" s="1"/>
  <c r="T359" i="6"/>
  <c r="BI358" i="6"/>
  <c r="BH358" i="6"/>
  <c r="BG358" i="6"/>
  <c r="F163" i="7" s="1"/>
  <c r="BG357" i="6"/>
  <c r="BG354" i="6" s="1"/>
  <c r="BD357" i="6"/>
  <c r="BA357" i="6"/>
  <c r="AX357" i="6"/>
  <c r="AU357" i="6"/>
  <c r="AU354" i="6" s="1"/>
  <c r="AR357" i="6"/>
  <c r="AO357" i="6"/>
  <c r="AL357" i="6"/>
  <c r="AI357" i="6"/>
  <c r="AI354" i="6" s="1"/>
  <c r="AF357" i="6"/>
  <c r="AC357" i="6"/>
  <c r="Z357" i="6"/>
  <c r="W357" i="6"/>
  <c r="W354" i="6" s="1"/>
  <c r="T357" i="6"/>
  <c r="BI356" i="6"/>
  <c r="H162" i="7" s="1"/>
  <c r="BH356" i="6"/>
  <c r="BI355" i="6"/>
  <c r="BG355" i="6"/>
  <c r="BD355" i="6"/>
  <c r="BA355" i="6"/>
  <c r="AX355" i="6"/>
  <c r="AX354" i="6" s="1"/>
  <c r="AU355" i="6"/>
  <c r="AR355" i="6"/>
  <c r="AO355" i="6"/>
  <c r="AO354" i="6" s="1"/>
  <c r="AL355" i="6"/>
  <c r="AL354" i="6" s="1"/>
  <c r="AI355" i="6"/>
  <c r="AF355" i="6"/>
  <c r="AC355" i="6"/>
  <c r="AC354" i="6" s="1"/>
  <c r="Z355" i="6"/>
  <c r="Z354" i="6" s="1"/>
  <c r="W355" i="6"/>
  <c r="T355" i="6"/>
  <c r="BD354" i="6"/>
  <c r="BA354" i="6"/>
  <c r="AR354" i="6"/>
  <c r="AF354" i="6"/>
  <c r="T354" i="6"/>
  <c r="BI353" i="6"/>
  <c r="BH353" i="6"/>
  <c r="G161" i="7" s="1"/>
  <c r="BG353" i="6"/>
  <c r="F161" i="7" s="1"/>
  <c r="BD352" i="6"/>
  <c r="BA352" i="6"/>
  <c r="AX352" i="6"/>
  <c r="AU352" i="6"/>
  <c r="AR352" i="6"/>
  <c r="AO352" i="6"/>
  <c r="AO348" i="6" s="1"/>
  <c r="AL352" i="6"/>
  <c r="AI352" i="6"/>
  <c r="AF352" i="6"/>
  <c r="AC352" i="6"/>
  <c r="Z352" i="6"/>
  <c r="W352" i="6"/>
  <c r="T352" i="6"/>
  <c r="BI351" i="6"/>
  <c r="BH351" i="6"/>
  <c r="BG351" i="6"/>
  <c r="BI350" i="6"/>
  <c r="BH350" i="6"/>
  <c r="BG350" i="6"/>
  <c r="BD349" i="6"/>
  <c r="BD348" i="6" s="1"/>
  <c r="BD347" i="6" s="1"/>
  <c r="BA349" i="6"/>
  <c r="AX349" i="6"/>
  <c r="AU349" i="6"/>
  <c r="AR349" i="6"/>
  <c r="AO349" i="6"/>
  <c r="AL349" i="6"/>
  <c r="AI349" i="6"/>
  <c r="AI348" i="6" s="1"/>
  <c r="AF349" i="6"/>
  <c r="AF348" i="6" s="1"/>
  <c r="AC349" i="6"/>
  <c r="Z349" i="6"/>
  <c r="W349" i="6"/>
  <c r="T349" i="6"/>
  <c r="BA348" i="6"/>
  <c r="AU348" i="6"/>
  <c r="AR348" i="6"/>
  <c r="W348" i="6"/>
  <c r="T348" i="6"/>
  <c r="BI345" i="6"/>
  <c r="H158" i="7" s="1"/>
  <c r="BH345" i="6"/>
  <c r="G158" i="7" s="1"/>
  <c r="AX345" i="6"/>
  <c r="BG345" i="6" s="1"/>
  <c r="F158" i="7" s="1"/>
  <c r="BI344" i="6"/>
  <c r="BH344" i="6"/>
  <c r="BD344" i="6"/>
  <c r="AI344" i="6"/>
  <c r="BG344" i="6" s="1"/>
  <c r="BI343" i="6"/>
  <c r="BH343" i="6"/>
  <c r="AF343" i="6"/>
  <c r="BG343" i="6" s="1"/>
  <c r="BI341" i="6"/>
  <c r="H157" i="7" s="1"/>
  <c r="BH341" i="6"/>
  <c r="G157" i="7" s="1"/>
  <c r="BD341" i="6"/>
  <c r="BG341" i="6" s="1"/>
  <c r="BI340" i="6"/>
  <c r="BH340" i="6"/>
  <c r="AI340" i="6"/>
  <c r="BG340" i="6" s="1"/>
  <c r="BI339" i="6"/>
  <c r="BH339" i="6"/>
  <c r="BG339" i="6"/>
  <c r="BF338" i="6"/>
  <c r="BE338" i="6"/>
  <c r="BC338" i="6"/>
  <c r="BB338" i="6"/>
  <c r="BA338" i="6"/>
  <c r="AZ338" i="6"/>
  <c r="AY338" i="6"/>
  <c r="AX338" i="6"/>
  <c r="AW338" i="6"/>
  <c r="AV338" i="6"/>
  <c r="AU338" i="6"/>
  <c r="AT338" i="6"/>
  <c r="AS338" i="6"/>
  <c r="AR338" i="6"/>
  <c r="AQ338" i="6"/>
  <c r="AP338" i="6"/>
  <c r="AO338" i="6"/>
  <c r="AN338" i="6"/>
  <c r="AM338" i="6"/>
  <c r="AL338" i="6"/>
  <c r="AK338" i="6"/>
  <c r="AJ338" i="6"/>
  <c r="AH338" i="6"/>
  <c r="AG338" i="6"/>
  <c r="AF338" i="6"/>
  <c r="AC338" i="6"/>
  <c r="Z338" i="6"/>
  <c r="W338" i="6"/>
  <c r="T338" i="6"/>
  <c r="BI337" i="6"/>
  <c r="H155" i="7" s="1"/>
  <c r="BH337" i="6"/>
  <c r="G155" i="7" s="1"/>
  <c r="AF337" i="6"/>
  <c r="BG337" i="6" s="1"/>
  <c r="F155" i="7" s="1"/>
  <c r="BI336" i="6"/>
  <c r="H154" i="7" s="1"/>
  <c r="BH336" i="6"/>
  <c r="G154" i="7" s="1"/>
  <c r="AX336" i="6"/>
  <c r="BG336" i="6" s="1"/>
  <c r="F154" i="7" s="1"/>
  <c r="BI335" i="6"/>
  <c r="H153" i="7" s="1"/>
  <c r="BH335" i="6"/>
  <c r="G153" i="7" s="1"/>
  <c r="AF335" i="6"/>
  <c r="BG335" i="6" s="1"/>
  <c r="F153" i="7" s="1"/>
  <c r="BI334" i="6"/>
  <c r="H152" i="7" s="1"/>
  <c r="BH334" i="6"/>
  <c r="G152" i="7" s="1"/>
  <c r="BG334" i="6"/>
  <c r="F152" i="7" s="1"/>
  <c r="BI333" i="6"/>
  <c r="BH333" i="6"/>
  <c r="BG333" i="6"/>
  <c r="BI332" i="6"/>
  <c r="BH332" i="6"/>
  <c r="BG332" i="6"/>
  <c r="BI331" i="6"/>
  <c r="H150" i="7" s="1"/>
  <c r="BH331" i="6"/>
  <c r="G150" i="7" s="1"/>
  <c r="BG331" i="6"/>
  <c r="F150" i="7" s="1"/>
  <c r="BI330" i="6"/>
  <c r="BH330" i="6"/>
  <c r="BD330" i="6"/>
  <c r="BG330" i="6" s="1"/>
  <c r="BI329" i="6"/>
  <c r="BH329" i="6"/>
  <c r="BG329" i="6"/>
  <c r="BI328" i="6"/>
  <c r="BH328" i="6"/>
  <c r="BD328" i="6"/>
  <c r="BG328" i="6" s="1"/>
  <c r="BI327" i="6"/>
  <c r="H148" i="7" s="1"/>
  <c r="BH327" i="6"/>
  <c r="BD327" i="6"/>
  <c r="AX327" i="6"/>
  <c r="BI326" i="6"/>
  <c r="BH326" i="6"/>
  <c r="AX326" i="6"/>
  <c r="BG326" i="6" s="1"/>
  <c r="BI325" i="6"/>
  <c r="BH325" i="6"/>
  <c r="BG325" i="6"/>
  <c r="BI324" i="6"/>
  <c r="BH324" i="6"/>
  <c r="G147" i="7" s="1"/>
  <c r="BG324" i="6"/>
  <c r="BI323" i="6"/>
  <c r="BH323" i="6"/>
  <c r="BG323" i="6"/>
  <c r="BI322" i="6"/>
  <c r="H146" i="7" s="1"/>
  <c r="BH322" i="6"/>
  <c r="BG322" i="6"/>
  <c r="BI321" i="6"/>
  <c r="BH321" i="6"/>
  <c r="BG321" i="6"/>
  <c r="BI320" i="6"/>
  <c r="BH320" i="6"/>
  <c r="BG320" i="6"/>
  <c r="BI319" i="6"/>
  <c r="BH319" i="6"/>
  <c r="BG319" i="6"/>
  <c r="F145" i="7" s="1"/>
  <c r="BI318" i="6"/>
  <c r="BH318" i="6"/>
  <c r="BG318" i="6"/>
  <c r="BI317" i="6"/>
  <c r="H144" i="7" s="1"/>
  <c r="BH317" i="6"/>
  <c r="G144" i="7" s="1"/>
  <c r="BG317" i="6"/>
  <c r="BI316" i="6"/>
  <c r="BH316" i="6"/>
  <c r="BG316" i="6"/>
  <c r="BI315" i="6"/>
  <c r="BH315" i="6"/>
  <c r="BG315" i="6"/>
  <c r="BI314" i="6"/>
  <c r="BH314" i="6"/>
  <c r="BG314" i="6"/>
  <c r="BI313" i="6"/>
  <c r="BH313" i="6"/>
  <c r="BG313" i="6"/>
  <c r="BI312" i="6"/>
  <c r="BH312" i="6"/>
  <c r="BG312" i="6"/>
  <c r="BI311" i="6"/>
  <c r="BH311" i="6"/>
  <c r="BG311" i="6"/>
  <c r="BI310" i="6"/>
  <c r="BH310" i="6"/>
  <c r="BG310" i="6"/>
  <c r="BI309" i="6"/>
  <c r="BH309" i="6"/>
  <c r="BG309" i="6"/>
  <c r="BI308" i="6"/>
  <c r="BH308" i="6"/>
  <c r="BG308" i="6"/>
  <c r="F142" i="7" s="1"/>
  <c r="BF307" i="6"/>
  <c r="BE307" i="6"/>
  <c r="BD307" i="6"/>
  <c r="BC307" i="6"/>
  <c r="BB307" i="6"/>
  <c r="BA307" i="6"/>
  <c r="AZ307" i="6"/>
  <c r="AY307" i="6"/>
  <c r="AW307" i="6"/>
  <c r="AV307" i="6"/>
  <c r="AU307" i="6"/>
  <c r="AT307" i="6"/>
  <c r="AS307" i="6"/>
  <c r="AR307" i="6"/>
  <c r="AQ307" i="6"/>
  <c r="AP307" i="6"/>
  <c r="AO307" i="6"/>
  <c r="AN307" i="6"/>
  <c r="AM307" i="6"/>
  <c r="AL307" i="6"/>
  <c r="AK307" i="6"/>
  <c r="AJ307" i="6"/>
  <c r="AI307" i="6"/>
  <c r="AH307" i="6"/>
  <c r="AG307" i="6"/>
  <c r="AF307" i="6"/>
  <c r="AC307" i="6"/>
  <c r="Z307" i="6"/>
  <c r="W307" i="6"/>
  <c r="T307" i="6"/>
  <c r="BI306" i="6"/>
  <c r="BH306" i="6"/>
  <c r="BG306" i="6"/>
  <c r="BI305" i="6"/>
  <c r="BH305" i="6"/>
  <c r="BG305" i="6"/>
  <c r="BI304" i="6"/>
  <c r="BH304" i="6"/>
  <c r="BG304" i="6"/>
  <c r="BI303" i="6"/>
  <c r="BH303" i="6"/>
  <c r="BG303" i="6"/>
  <c r="BI302" i="6"/>
  <c r="BH302" i="6"/>
  <c r="BG302" i="6"/>
  <c r="BG301" i="6"/>
  <c r="BI300" i="6"/>
  <c r="BH300" i="6"/>
  <c r="BG300" i="6"/>
  <c r="BI299" i="6"/>
  <c r="BH299" i="6"/>
  <c r="BG299" i="6"/>
  <c r="BI298" i="6"/>
  <c r="BH298" i="6"/>
  <c r="BG298" i="6"/>
  <c r="BI297" i="6"/>
  <c r="H139" i="7" s="1"/>
  <c r="BH297" i="6"/>
  <c r="G139" i="7" s="1"/>
  <c r="BG297" i="6"/>
  <c r="F139" i="7" s="1"/>
  <c r="BI296" i="6"/>
  <c r="H138" i="7" s="1"/>
  <c r="BH296" i="6"/>
  <c r="G138" i="7" s="1"/>
  <c r="AF296" i="6"/>
  <c r="BG296" i="6" s="1"/>
  <c r="F138" i="7" s="1"/>
  <c r="BI295" i="6"/>
  <c r="BH295" i="6"/>
  <c r="BG295" i="6"/>
  <c r="BI294" i="6"/>
  <c r="BH294" i="6"/>
  <c r="BG294" i="6"/>
  <c r="BI293" i="6"/>
  <c r="BH293" i="6"/>
  <c r="BG293" i="6"/>
  <c r="BI292" i="6"/>
  <c r="BH292" i="6"/>
  <c r="AX292" i="6"/>
  <c r="BG292" i="6" s="1"/>
  <c r="BI291" i="6"/>
  <c r="BH291" i="6"/>
  <c r="BG291" i="6"/>
  <c r="BI290" i="6"/>
  <c r="BH290" i="6"/>
  <c r="BG290" i="6"/>
  <c r="BI289" i="6"/>
  <c r="BH289" i="6"/>
  <c r="BG289" i="6"/>
  <c r="BI288" i="6"/>
  <c r="BH288" i="6"/>
  <c r="BG288" i="6"/>
  <c r="BI287" i="6"/>
  <c r="BH287" i="6"/>
  <c r="BG287" i="6"/>
  <c r="BI286" i="6"/>
  <c r="BH286" i="6"/>
  <c r="BG286" i="6"/>
  <c r="BI285" i="6"/>
  <c r="BH285" i="6"/>
  <c r="BG285" i="6"/>
  <c r="BI284" i="6"/>
  <c r="BH284" i="6"/>
  <c r="AI284" i="6"/>
  <c r="BI283" i="6"/>
  <c r="BH283" i="6"/>
  <c r="AX283" i="6"/>
  <c r="BI282" i="6"/>
  <c r="H134" i="7" s="1"/>
  <c r="BH282" i="6"/>
  <c r="BG282" i="6"/>
  <c r="F134" i="7" s="1"/>
  <c r="BF281" i="6"/>
  <c r="BE281" i="6"/>
  <c r="BD281" i="6"/>
  <c r="BC281" i="6"/>
  <c r="BC280" i="6" s="1"/>
  <c r="BC279" i="6" s="1"/>
  <c r="BB281" i="6"/>
  <c r="BA281" i="6"/>
  <c r="BA280" i="6" s="1"/>
  <c r="BA279" i="6" s="1"/>
  <c r="AZ281" i="6"/>
  <c r="AY281" i="6"/>
  <c r="AY280" i="6" s="1"/>
  <c r="AY279" i="6" s="1"/>
  <c r="AW281" i="6"/>
  <c r="AW280" i="6" s="1"/>
  <c r="AV281" i="6"/>
  <c r="AU281" i="6"/>
  <c r="AT281" i="6"/>
  <c r="AS281" i="6"/>
  <c r="AS280" i="6" s="1"/>
  <c r="AR281" i="6"/>
  <c r="AQ281" i="6"/>
  <c r="AP281" i="6"/>
  <c r="AO281" i="6"/>
  <c r="AO280" i="6" s="1"/>
  <c r="AO279" i="6" s="1"/>
  <c r="AN281" i="6"/>
  <c r="AM281" i="6"/>
  <c r="AL281" i="6"/>
  <c r="AK281" i="6"/>
  <c r="AK280" i="6" s="1"/>
  <c r="AK279" i="6" s="1"/>
  <c r="AJ281" i="6"/>
  <c r="AH281" i="6"/>
  <c r="AG281" i="6"/>
  <c r="AF281" i="6"/>
  <c r="AE281" i="6"/>
  <c r="AD281" i="6"/>
  <c r="AD280" i="6" s="1"/>
  <c r="AD279" i="6" s="1"/>
  <c r="AC281" i="6"/>
  <c r="AC280" i="6" s="1"/>
  <c r="AC279" i="6" s="1"/>
  <c r="AB281" i="6"/>
  <c r="AA281" i="6"/>
  <c r="Z281" i="6"/>
  <c r="Y281" i="6"/>
  <c r="Y280" i="6" s="1"/>
  <c r="Y279" i="6" s="1"/>
  <c r="X281" i="6"/>
  <c r="W281" i="6"/>
  <c r="V281" i="6"/>
  <c r="V280" i="6" s="1"/>
  <c r="V279" i="6" s="1"/>
  <c r="U281" i="6"/>
  <c r="U280" i="6" s="1"/>
  <c r="T281" i="6"/>
  <c r="AR280" i="6"/>
  <c r="AR279" i="6" s="1"/>
  <c r="AE280" i="6"/>
  <c r="AE279" i="6" s="1"/>
  <c r="AB280" i="6"/>
  <c r="AB279" i="6" s="1"/>
  <c r="AA280" i="6"/>
  <c r="AA279" i="6" s="1"/>
  <c r="X280" i="6"/>
  <c r="X279" i="6" s="1"/>
  <c r="W280" i="6"/>
  <c r="W279" i="6" s="1"/>
  <c r="AW279" i="6"/>
  <c r="AS279" i="6"/>
  <c r="U279" i="6"/>
  <c r="BI277" i="6"/>
  <c r="BH277" i="6"/>
  <c r="BG277" i="6"/>
  <c r="BD276" i="6"/>
  <c r="BD275" i="6" s="1"/>
  <c r="BA276" i="6"/>
  <c r="AZ276" i="6"/>
  <c r="AZ275" i="6" s="1"/>
  <c r="AY276" i="6"/>
  <c r="AY275" i="6" s="1"/>
  <c r="AX276" i="6"/>
  <c r="AX275" i="6" s="1"/>
  <c r="AU276" i="6"/>
  <c r="AR276" i="6"/>
  <c r="AR275" i="6" s="1"/>
  <c r="AO276" i="6"/>
  <c r="AO275" i="6" s="1"/>
  <c r="AL276" i="6"/>
  <c r="AL275" i="6" s="1"/>
  <c r="AI276" i="6"/>
  <c r="AF276" i="6"/>
  <c r="AF275" i="6" s="1"/>
  <c r="AC276" i="6"/>
  <c r="AC275" i="6" s="1"/>
  <c r="Z276" i="6"/>
  <c r="Z275" i="6" s="1"/>
  <c r="W276" i="6"/>
  <c r="T276" i="6"/>
  <c r="T275" i="6" s="1"/>
  <c r="BA275" i="6"/>
  <c r="AU275" i="6"/>
  <c r="AI275" i="6"/>
  <c r="W275" i="6"/>
  <c r="BI274" i="6"/>
  <c r="H131" i="7" s="1"/>
  <c r="BH274" i="6"/>
  <c r="BG274" i="6"/>
  <c r="BD273" i="6"/>
  <c r="BA273" i="6"/>
  <c r="AZ273" i="6"/>
  <c r="AZ270" i="6" s="1"/>
  <c r="AY273" i="6"/>
  <c r="AX273" i="6"/>
  <c r="AU273" i="6"/>
  <c r="AR273" i="6"/>
  <c r="AO273" i="6"/>
  <c r="AL273" i="6"/>
  <c r="AI273" i="6"/>
  <c r="AF273" i="6"/>
  <c r="AF270" i="6" s="1"/>
  <c r="AC273" i="6"/>
  <c r="Z273" i="6"/>
  <c r="W273" i="6"/>
  <c r="W270" i="6" s="1"/>
  <c r="T273" i="6"/>
  <c r="T270" i="6" s="1"/>
  <c r="BI272" i="6"/>
  <c r="BH272" i="6"/>
  <c r="BG272" i="6"/>
  <c r="BD271" i="6"/>
  <c r="BD270" i="6" s="1"/>
  <c r="BA271" i="6"/>
  <c r="AZ271" i="6"/>
  <c r="AY271" i="6"/>
  <c r="AY270" i="6" s="1"/>
  <c r="AX271" i="6"/>
  <c r="AX270" i="6" s="1"/>
  <c r="AU271" i="6"/>
  <c r="AR271" i="6"/>
  <c r="AO271" i="6"/>
  <c r="AO270" i="6" s="1"/>
  <c r="AL271" i="6"/>
  <c r="AL270" i="6" s="1"/>
  <c r="AI271" i="6"/>
  <c r="AF271" i="6"/>
  <c r="AC271" i="6"/>
  <c r="AC270" i="6" s="1"/>
  <c r="Z271" i="6"/>
  <c r="Z270" i="6" s="1"/>
  <c r="W271" i="6"/>
  <c r="T271" i="6"/>
  <c r="BI269" i="6"/>
  <c r="H129" i="7" s="1"/>
  <c r="BH269" i="6"/>
  <c r="G129" i="7" s="1"/>
  <c r="BG269" i="6"/>
  <c r="F129" i="7" s="1"/>
  <c r="BI268" i="6"/>
  <c r="BH268" i="6"/>
  <c r="BG268" i="6"/>
  <c r="BD267" i="6"/>
  <c r="BA267" i="6"/>
  <c r="AZ267" i="6"/>
  <c r="AY267" i="6"/>
  <c r="AX267" i="6"/>
  <c r="AU267" i="6"/>
  <c r="AR267" i="6"/>
  <c r="AO267" i="6"/>
  <c r="AL267" i="6"/>
  <c r="AI267" i="6"/>
  <c r="AF267" i="6"/>
  <c r="AC267" i="6"/>
  <c r="Z267" i="6"/>
  <c r="W267" i="6"/>
  <c r="T267" i="6"/>
  <c r="BI266" i="6"/>
  <c r="H127" i="7" s="1"/>
  <c r="BH266" i="6"/>
  <c r="G127" i="7" s="1"/>
  <c r="BG266" i="6"/>
  <c r="F127" i="7" s="1"/>
  <c r="BI265" i="6"/>
  <c r="BH265" i="6"/>
  <c r="BG265" i="6"/>
  <c r="BI264" i="6"/>
  <c r="BH264" i="6"/>
  <c r="BG264" i="6"/>
  <c r="BI263" i="6"/>
  <c r="BH263" i="6"/>
  <c r="BG263" i="6"/>
  <c r="BI262" i="6"/>
  <c r="H125" i="7" s="1"/>
  <c r="BH262" i="6"/>
  <c r="G125" i="7" s="1"/>
  <c r="BG262" i="6"/>
  <c r="F125" i="7" s="1"/>
  <c r="BI261" i="6"/>
  <c r="H124" i="7" s="1"/>
  <c r="BH261" i="6"/>
  <c r="G124" i="7" s="1"/>
  <c r="BG261" i="6"/>
  <c r="F124" i="7" s="1"/>
  <c r="BI260" i="6"/>
  <c r="H123" i="7" s="1"/>
  <c r="BH260" i="6"/>
  <c r="G123" i="7" s="1"/>
  <c r="BG260" i="6"/>
  <c r="F123" i="7" s="1"/>
  <c r="BI259" i="6"/>
  <c r="BH259" i="6"/>
  <c r="BG259" i="6"/>
  <c r="BI258" i="6"/>
  <c r="BH258" i="6"/>
  <c r="BG258" i="6"/>
  <c r="BD257" i="6"/>
  <c r="BA257" i="6"/>
  <c r="AZ257" i="6"/>
  <c r="AY257" i="6"/>
  <c r="AX257" i="6"/>
  <c r="AU257" i="6"/>
  <c r="AR257" i="6"/>
  <c r="AO257" i="6"/>
  <c r="AL257" i="6"/>
  <c r="AI257" i="6"/>
  <c r="AF257" i="6"/>
  <c r="AC257" i="6"/>
  <c r="Z257" i="6"/>
  <c r="W257" i="6"/>
  <c r="V257" i="6"/>
  <c r="U257" i="6"/>
  <c r="T257" i="6"/>
  <c r="BI256" i="6"/>
  <c r="H121" i="7" s="1"/>
  <c r="BH256" i="6"/>
  <c r="G121" i="7" s="1"/>
  <c r="BG256" i="6"/>
  <c r="F121" i="7" s="1"/>
  <c r="BI255" i="6"/>
  <c r="BH255" i="6"/>
  <c r="BG255" i="6"/>
  <c r="BI254" i="6"/>
  <c r="BH254" i="6"/>
  <c r="BG254" i="6"/>
  <c r="BI253" i="6"/>
  <c r="H119" i="7" s="1"/>
  <c r="BH253" i="6"/>
  <c r="G119" i="7" s="1"/>
  <c r="BG253" i="6"/>
  <c r="F119" i="7" s="1"/>
  <c r="BI252" i="6"/>
  <c r="H118" i="7" s="1"/>
  <c r="BH252" i="6"/>
  <c r="G118" i="7" s="1"/>
  <c r="BG252" i="6"/>
  <c r="F118" i="7" s="1"/>
  <c r="BI251" i="6"/>
  <c r="H117" i="7" s="1"/>
  <c r="BH251" i="6"/>
  <c r="G117" i="7" s="1"/>
  <c r="BG251" i="6"/>
  <c r="F117" i="7" s="1"/>
  <c r="BI250" i="6"/>
  <c r="H116" i="7" s="1"/>
  <c r="BH250" i="6"/>
  <c r="G116" i="7" s="1"/>
  <c r="BG250" i="6"/>
  <c r="BD249" i="6"/>
  <c r="BA249" i="6"/>
  <c r="AZ249" i="6"/>
  <c r="AY249" i="6"/>
  <c r="AX249" i="6"/>
  <c r="AU249" i="6"/>
  <c r="AR249" i="6"/>
  <c r="AO249" i="6"/>
  <c r="AL249" i="6"/>
  <c r="AI249" i="6"/>
  <c r="AF249" i="6"/>
  <c r="AC249" i="6"/>
  <c r="Z249" i="6"/>
  <c r="W249" i="6"/>
  <c r="T249" i="6"/>
  <c r="BI248" i="6"/>
  <c r="H115" i="7" s="1"/>
  <c r="BH248" i="6"/>
  <c r="G115" i="7" s="1"/>
  <c r="BG248" i="6"/>
  <c r="F115" i="7" s="1"/>
  <c r="BI247" i="6"/>
  <c r="H114" i="7" s="1"/>
  <c r="BH247" i="6"/>
  <c r="G114" i="7" s="1"/>
  <c r="AX247" i="6"/>
  <c r="BG247" i="6" s="1"/>
  <c r="F114" i="7" s="1"/>
  <c r="BI246" i="6"/>
  <c r="H113" i="7" s="1"/>
  <c r="BH246" i="6"/>
  <c r="G113" i="7" s="1"/>
  <c r="BG246" i="6"/>
  <c r="F113" i="7" s="1"/>
  <c r="BI245" i="6"/>
  <c r="H112" i="7" s="1"/>
  <c r="BH245" i="6"/>
  <c r="G112" i="7" s="1"/>
  <c r="BG245" i="6"/>
  <c r="F112" i="7" s="1"/>
  <c r="BI244" i="6"/>
  <c r="H111" i="7" s="1"/>
  <c r="BH244" i="6"/>
  <c r="G111" i="7" s="1"/>
  <c r="BG244" i="6"/>
  <c r="F111" i="7" s="1"/>
  <c r="BI243" i="6"/>
  <c r="H110" i="7" s="1"/>
  <c r="BH243" i="6"/>
  <c r="G110" i="7" s="1"/>
  <c r="BG243" i="6"/>
  <c r="F110" i="7" s="1"/>
  <c r="BI242" i="6"/>
  <c r="BH242" i="6"/>
  <c r="BG242" i="6"/>
  <c r="BI241" i="6"/>
  <c r="BH241" i="6"/>
  <c r="BG241" i="6"/>
  <c r="BD240" i="6"/>
  <c r="BA240" i="6"/>
  <c r="AZ240" i="6"/>
  <c r="AY240" i="6"/>
  <c r="AX240" i="6"/>
  <c r="AU240" i="6"/>
  <c r="AR240" i="6"/>
  <c r="AO240" i="6"/>
  <c r="AL240" i="6"/>
  <c r="AI240" i="6"/>
  <c r="AF240" i="6"/>
  <c r="AC240" i="6"/>
  <c r="Z240" i="6"/>
  <c r="W240" i="6"/>
  <c r="T240" i="6"/>
  <c r="BI239" i="6"/>
  <c r="H108" i="7" s="1"/>
  <c r="BH239" i="6"/>
  <c r="G108" i="7" s="1"/>
  <c r="AX239" i="6"/>
  <c r="BG239" i="6" s="1"/>
  <c r="BI238" i="6"/>
  <c r="BH238" i="6"/>
  <c r="BD238" i="6"/>
  <c r="BA238" i="6"/>
  <c r="AZ238" i="6"/>
  <c r="AY238" i="6"/>
  <c r="AX238" i="6"/>
  <c r="AU238" i="6"/>
  <c r="AR238" i="6"/>
  <c r="AO238" i="6"/>
  <c r="AL238" i="6"/>
  <c r="AI238" i="6"/>
  <c r="AF238" i="6"/>
  <c r="AC238" i="6"/>
  <c r="Z238" i="6"/>
  <c r="W238" i="6"/>
  <c r="T238" i="6"/>
  <c r="BI237" i="6"/>
  <c r="BH237" i="6"/>
  <c r="BG237" i="6"/>
  <c r="BI236" i="6"/>
  <c r="H107" i="7" s="1"/>
  <c r="BH236" i="6"/>
  <c r="BG236" i="6"/>
  <c r="BD235" i="6"/>
  <c r="BA235" i="6"/>
  <c r="AZ235" i="6"/>
  <c r="AY235" i="6"/>
  <c r="AX235" i="6"/>
  <c r="AU235" i="6"/>
  <c r="AR235" i="6"/>
  <c r="AO235" i="6"/>
  <c r="AL235" i="6"/>
  <c r="AI235" i="6"/>
  <c r="AF235" i="6"/>
  <c r="AC235" i="6"/>
  <c r="Z235" i="6"/>
  <c r="W235" i="6"/>
  <c r="V235" i="6"/>
  <c r="V234" i="6" s="1"/>
  <c r="V233" i="6" s="1"/>
  <c r="U235" i="6"/>
  <c r="T235" i="6"/>
  <c r="AO234" i="6"/>
  <c r="U234" i="6"/>
  <c r="U233" i="6" s="1"/>
  <c r="BI231" i="6"/>
  <c r="H105" i="7" s="1"/>
  <c r="BH231" i="6"/>
  <c r="G105" i="7" s="1"/>
  <c r="BG231" i="6"/>
  <c r="F105" i="7" s="1"/>
  <c r="AX231" i="6"/>
  <c r="BI230" i="6"/>
  <c r="H104" i="7" s="1"/>
  <c r="BH230" i="6"/>
  <c r="G104" i="7" s="1"/>
  <c r="BG230" i="6"/>
  <c r="F104" i="7" s="1"/>
  <c r="AX230" i="6"/>
  <c r="BI229" i="6"/>
  <c r="BH229" i="6"/>
  <c r="BF229" i="6"/>
  <c r="BE229" i="6"/>
  <c r="BD229" i="6"/>
  <c r="BC229" i="6"/>
  <c r="BB229" i="6"/>
  <c r="BA229" i="6"/>
  <c r="AZ229" i="6"/>
  <c r="AY229" i="6"/>
  <c r="AX229" i="6"/>
  <c r="AW229" i="6"/>
  <c r="AV229" i="6"/>
  <c r="AU229" i="6"/>
  <c r="AT229" i="6"/>
  <c r="AS229" i="6"/>
  <c r="AR229" i="6"/>
  <c r="AQ229" i="6"/>
  <c r="AP229" i="6"/>
  <c r="AO229" i="6"/>
  <c r="AN229" i="6"/>
  <c r="AM229" i="6"/>
  <c r="AL229" i="6"/>
  <c r="AK229" i="6"/>
  <c r="AJ229" i="6"/>
  <c r="AI229" i="6"/>
  <c r="AH229" i="6"/>
  <c r="AG229" i="6"/>
  <c r="AF229" i="6"/>
  <c r="AE229" i="6"/>
  <c r="AD229" i="6"/>
  <c r="AC229" i="6"/>
  <c r="Z229" i="6"/>
  <c r="W229" i="6"/>
  <c r="T229" i="6"/>
  <c r="BI228" i="6"/>
  <c r="H103" i="7" s="1"/>
  <c r="BH228" i="6"/>
  <c r="G103" i="7" s="1"/>
  <c r="BG228" i="6"/>
  <c r="F103" i="7" s="1"/>
  <c r="BI227" i="6"/>
  <c r="BH227" i="6"/>
  <c r="BG227" i="6"/>
  <c r="BG226" i="6"/>
  <c r="BI225" i="6"/>
  <c r="H102" i="7" s="1"/>
  <c r="BH225" i="6"/>
  <c r="G102" i="7" s="1"/>
  <c r="BG225" i="6"/>
  <c r="BI223" i="6"/>
  <c r="H101" i="7" s="1"/>
  <c r="BH223" i="6"/>
  <c r="G101" i="7" s="1"/>
  <c r="BG223" i="6"/>
  <c r="F101" i="7" s="1"/>
  <c r="BI222" i="6"/>
  <c r="H100" i="7" s="1"/>
  <c r="BH222" i="6"/>
  <c r="G100" i="7" s="1"/>
  <c r="AX222" i="6"/>
  <c r="BG222" i="6" s="1"/>
  <c r="F100" i="7" s="1"/>
  <c r="BI221" i="6"/>
  <c r="H99" i="7" s="1"/>
  <c r="BH221" i="6"/>
  <c r="G99" i="7" s="1"/>
  <c r="BG221" i="6"/>
  <c r="F99" i="7" s="1"/>
  <c r="BI220" i="6"/>
  <c r="H98" i="7" s="1"/>
  <c r="BH220" i="6"/>
  <c r="G98" i="7" s="1"/>
  <c r="BG220" i="6"/>
  <c r="F98" i="7" s="1"/>
  <c r="BI219" i="6"/>
  <c r="BH219" i="6"/>
  <c r="BG219" i="6"/>
  <c r="BI218" i="6"/>
  <c r="BH218" i="6"/>
  <c r="AX218" i="6"/>
  <c r="BG218" i="6" s="1"/>
  <c r="BI217" i="6"/>
  <c r="BH217" i="6"/>
  <c r="AX217" i="6"/>
  <c r="BG217" i="6" s="1"/>
  <c r="BI216" i="6"/>
  <c r="BH216" i="6"/>
  <c r="AX216" i="6"/>
  <c r="BG216" i="6" s="1"/>
  <c r="BI215" i="6"/>
  <c r="BH215" i="6"/>
  <c r="BG215" i="6"/>
  <c r="BI214" i="6"/>
  <c r="BH214" i="6"/>
  <c r="AX214" i="6"/>
  <c r="BG214" i="6" s="1"/>
  <c r="BI213" i="6"/>
  <c r="H96" i="7" s="1"/>
  <c r="BH213" i="6"/>
  <c r="G96" i="7" s="1"/>
  <c r="BG213" i="6"/>
  <c r="F96" i="7" s="1"/>
  <c r="BI212" i="6"/>
  <c r="H95" i="7" s="1"/>
  <c r="BH212" i="6"/>
  <c r="G95" i="7" s="1"/>
  <c r="AO212" i="6"/>
  <c r="AO206" i="6" s="1"/>
  <c r="AO205" i="6" s="1"/>
  <c r="AO204" i="6" s="1"/>
  <c r="AL212" i="6"/>
  <c r="BI211" i="6"/>
  <c r="H94" i="7" s="1"/>
  <c r="BH211" i="6"/>
  <c r="G94" i="7" s="1"/>
  <c r="BG211" i="6"/>
  <c r="BG210" i="6"/>
  <c r="BI209" i="6"/>
  <c r="BH209" i="6"/>
  <c r="AX209" i="6"/>
  <c r="AC209" i="6"/>
  <c r="BI208" i="6"/>
  <c r="BH208" i="6"/>
  <c r="AR208" i="6"/>
  <c r="BG208" i="6" s="1"/>
  <c r="BI207" i="6"/>
  <c r="BH207" i="6"/>
  <c r="AX207" i="6"/>
  <c r="AC207" i="6"/>
  <c r="BF206" i="6"/>
  <c r="BE206" i="6"/>
  <c r="BD206" i="6"/>
  <c r="BD205" i="6" s="1"/>
  <c r="BD204" i="6" s="1"/>
  <c r="BC206" i="6"/>
  <c r="BB206" i="6"/>
  <c r="BA206" i="6"/>
  <c r="AZ206" i="6"/>
  <c r="AZ205" i="6" s="1"/>
  <c r="AZ204" i="6" s="1"/>
  <c r="AY206" i="6"/>
  <c r="AW206" i="6"/>
  <c r="AV206" i="6"/>
  <c r="AU206" i="6"/>
  <c r="AT206" i="6"/>
  <c r="AS206" i="6"/>
  <c r="AQ206" i="6"/>
  <c r="AP206" i="6"/>
  <c r="AP205" i="6" s="1"/>
  <c r="AP204" i="6" s="1"/>
  <c r="AN206" i="6"/>
  <c r="AM206" i="6"/>
  <c r="AL206" i="6"/>
  <c r="AL205" i="6" s="1"/>
  <c r="AL204" i="6" s="1"/>
  <c r="AK206" i="6"/>
  <c r="AJ206" i="6"/>
  <c r="AI206" i="6"/>
  <c r="AH206" i="6"/>
  <c r="AH205" i="6" s="1"/>
  <c r="AH204" i="6" s="1"/>
  <c r="AG206" i="6"/>
  <c r="AG205" i="6" s="1"/>
  <c r="AG204" i="6" s="1"/>
  <c r="AF206" i="6"/>
  <c r="AE206" i="6"/>
  <c r="AD206" i="6"/>
  <c r="Z206" i="6"/>
  <c r="W206" i="6"/>
  <c r="T206" i="6"/>
  <c r="T205" i="6" s="1"/>
  <c r="T204" i="6" s="1"/>
  <c r="BF205" i="6"/>
  <c r="BF204" i="6" s="1"/>
  <c r="BE205" i="6"/>
  <c r="BB205" i="6"/>
  <c r="BB204" i="6" s="1"/>
  <c r="BA205" i="6"/>
  <c r="AW205" i="6"/>
  <c r="AW204" i="6" s="1"/>
  <c r="AV205" i="6"/>
  <c r="AV204" i="6" s="1"/>
  <c r="AT205" i="6"/>
  <c r="AT204" i="6" s="1"/>
  <c r="AS205" i="6"/>
  <c r="AK205" i="6"/>
  <c r="AJ205" i="6"/>
  <c r="AJ204" i="6" s="1"/>
  <c r="AD205" i="6"/>
  <c r="BE204" i="6"/>
  <c r="BA204" i="6"/>
  <c r="AS204" i="6"/>
  <c r="AK204" i="6"/>
  <c r="AD204" i="6"/>
  <c r="BI202" i="6"/>
  <c r="H91" i="7" s="1"/>
  <c r="BH202" i="6"/>
  <c r="BG202" i="6"/>
  <c r="BD201" i="6"/>
  <c r="BA201" i="6"/>
  <c r="AX201" i="6"/>
  <c r="AX197" i="6" s="1"/>
  <c r="AX196" i="6" s="1"/>
  <c r="AU201" i="6"/>
  <c r="AR201" i="6"/>
  <c r="AO201" i="6"/>
  <c r="AL201" i="6"/>
  <c r="AL197" i="6" s="1"/>
  <c r="AL196" i="6" s="1"/>
  <c r="AI201" i="6"/>
  <c r="AF201" i="6"/>
  <c r="AC201" i="6"/>
  <c r="Z201" i="6"/>
  <c r="Z197" i="6" s="1"/>
  <c r="Z196" i="6" s="1"/>
  <c r="W201" i="6"/>
  <c r="T201" i="6"/>
  <c r="BI200" i="6"/>
  <c r="H90" i="7" s="1"/>
  <c r="BH200" i="6"/>
  <c r="G90" i="7" s="1"/>
  <c r="BG200" i="6"/>
  <c r="F90" i="7" s="1"/>
  <c r="BI199" i="6"/>
  <c r="H89" i="7" s="1"/>
  <c r="BH199" i="6"/>
  <c r="BG199" i="6"/>
  <c r="BD198" i="6"/>
  <c r="BA198" i="6"/>
  <c r="AZ198" i="6"/>
  <c r="AZ197" i="6" s="1"/>
  <c r="AZ196" i="6" s="1"/>
  <c r="AY198" i="6"/>
  <c r="AY197" i="6" s="1"/>
  <c r="AY196" i="6" s="1"/>
  <c r="AX198" i="6"/>
  <c r="AU198" i="6"/>
  <c r="AU197" i="6" s="1"/>
  <c r="AU196" i="6" s="1"/>
  <c r="AR198" i="6"/>
  <c r="AR197" i="6" s="1"/>
  <c r="AR196" i="6" s="1"/>
  <c r="AO198" i="6"/>
  <c r="AL198" i="6"/>
  <c r="AI198" i="6"/>
  <c r="AI197" i="6" s="1"/>
  <c r="AI196" i="6" s="1"/>
  <c r="AF198" i="6"/>
  <c r="AF197" i="6" s="1"/>
  <c r="AF196" i="6" s="1"/>
  <c r="AC198" i="6"/>
  <c r="Z198" i="6"/>
  <c r="W198" i="6"/>
  <c r="W197" i="6" s="1"/>
  <c r="W196" i="6" s="1"/>
  <c r="T198" i="6"/>
  <c r="T197" i="6" s="1"/>
  <c r="T196" i="6" s="1"/>
  <c r="BD197" i="6"/>
  <c r="BD196" i="6" s="1"/>
  <c r="BI194" i="6"/>
  <c r="BH194" i="6"/>
  <c r="G87" i="7" s="1"/>
  <c r="BG194" i="6"/>
  <c r="BD193" i="6"/>
  <c r="BA193" i="6"/>
  <c r="AZ193" i="6"/>
  <c r="AY193" i="6"/>
  <c r="AX193" i="6"/>
  <c r="AU193" i="6"/>
  <c r="AR193" i="6"/>
  <c r="AO193" i="6"/>
  <c r="AL193" i="6"/>
  <c r="AI193" i="6"/>
  <c r="AF193" i="6"/>
  <c r="AC193" i="6"/>
  <c r="Z193" i="6"/>
  <c r="W193" i="6"/>
  <c r="T193" i="6"/>
  <c r="BI192" i="6"/>
  <c r="H86" i="7" s="1"/>
  <c r="BH192" i="6"/>
  <c r="BG192" i="6"/>
  <c r="BD191" i="6"/>
  <c r="BA191" i="6"/>
  <c r="AZ191" i="6"/>
  <c r="AY191" i="6"/>
  <c r="AX191" i="6"/>
  <c r="AU191" i="6"/>
  <c r="AR191" i="6"/>
  <c r="AO191" i="6"/>
  <c r="AL191" i="6"/>
  <c r="AI191" i="6"/>
  <c r="AF191" i="6"/>
  <c r="AC191" i="6"/>
  <c r="Z191" i="6"/>
  <c r="W191" i="6"/>
  <c r="T191" i="6"/>
  <c r="BI190" i="6"/>
  <c r="BH190" i="6"/>
  <c r="BG190" i="6"/>
  <c r="BD189" i="6"/>
  <c r="BA189" i="6"/>
  <c r="AZ189" i="6"/>
  <c r="AY189" i="6"/>
  <c r="AX189" i="6"/>
  <c r="AU189" i="6"/>
  <c r="AR189" i="6"/>
  <c r="AO189" i="6"/>
  <c r="AL189" i="6"/>
  <c r="AI189" i="6"/>
  <c r="AF189" i="6"/>
  <c r="AC189" i="6"/>
  <c r="Z189" i="6"/>
  <c r="W189" i="6"/>
  <c r="T189" i="6"/>
  <c r="BI188" i="6"/>
  <c r="H84" i="7" s="1"/>
  <c r="BH188" i="6"/>
  <c r="BG188" i="6"/>
  <c r="F84" i="7" s="1"/>
  <c r="BI187" i="6"/>
  <c r="H83" i="7" s="1"/>
  <c r="BH187" i="6"/>
  <c r="G83" i="7" s="1"/>
  <c r="BG187" i="6"/>
  <c r="F83" i="7" s="1"/>
  <c r="BI186" i="6"/>
  <c r="BH186" i="6"/>
  <c r="AX186" i="6"/>
  <c r="BI185" i="6"/>
  <c r="BH185" i="6"/>
  <c r="BG185" i="6"/>
  <c r="BI184" i="6"/>
  <c r="H81" i="7" s="1"/>
  <c r="BH184" i="6"/>
  <c r="G81" i="7" s="1"/>
  <c r="BG184" i="6"/>
  <c r="F81" i="7" s="1"/>
  <c r="BD183" i="6"/>
  <c r="BA183" i="6"/>
  <c r="AZ183" i="6"/>
  <c r="AY183" i="6"/>
  <c r="AU183" i="6"/>
  <c r="AR183" i="6"/>
  <c r="AO183" i="6"/>
  <c r="AL183" i="6"/>
  <c r="AI183" i="6"/>
  <c r="AF183" i="6"/>
  <c r="AC183" i="6"/>
  <c r="Z183" i="6"/>
  <c r="W183" i="6"/>
  <c r="T183" i="6"/>
  <c r="BI182" i="6"/>
  <c r="H80" i="7" s="1"/>
  <c r="BH182" i="6"/>
  <c r="BG182" i="6"/>
  <c r="BD181" i="6"/>
  <c r="BA181" i="6"/>
  <c r="AZ181" i="6"/>
  <c r="AY181" i="6"/>
  <c r="AX181" i="6"/>
  <c r="AU181" i="6"/>
  <c r="AR181" i="6"/>
  <c r="AO181" i="6"/>
  <c r="AL181" i="6"/>
  <c r="AI181" i="6"/>
  <c r="AF181" i="6"/>
  <c r="AC181" i="6"/>
  <c r="Z181" i="6"/>
  <c r="W181" i="6"/>
  <c r="T181" i="6"/>
  <c r="BI179" i="6"/>
  <c r="BH179" i="6"/>
  <c r="BG179" i="6"/>
  <c r="BI178" i="6"/>
  <c r="BH178" i="6"/>
  <c r="BG178" i="6"/>
  <c r="BD177" i="6"/>
  <c r="BA177" i="6"/>
  <c r="AZ177" i="6"/>
  <c r="AY177" i="6"/>
  <c r="AX177" i="6"/>
  <c r="AU177" i="6"/>
  <c r="AR177" i="6"/>
  <c r="AO177" i="6"/>
  <c r="AL177" i="6"/>
  <c r="AI177" i="6"/>
  <c r="AF177" i="6"/>
  <c r="AC177" i="6"/>
  <c r="Z177" i="6"/>
  <c r="W177" i="6"/>
  <c r="T177" i="6"/>
  <c r="BI176" i="6"/>
  <c r="BH176" i="6"/>
  <c r="BG176" i="6"/>
  <c r="BI175" i="6"/>
  <c r="BH175" i="6"/>
  <c r="BG175" i="6"/>
  <c r="BD174" i="6"/>
  <c r="BA174" i="6"/>
  <c r="AZ174" i="6"/>
  <c r="AY174" i="6"/>
  <c r="AX174" i="6"/>
  <c r="AU174" i="6"/>
  <c r="AR174" i="6"/>
  <c r="AO174" i="6"/>
  <c r="AL174" i="6"/>
  <c r="AI174" i="6"/>
  <c r="AF174" i="6"/>
  <c r="AC174" i="6"/>
  <c r="Z174" i="6"/>
  <c r="W174" i="6"/>
  <c r="T174" i="6"/>
  <c r="BI173" i="6"/>
  <c r="H77" i="7" s="1"/>
  <c r="BH173" i="6"/>
  <c r="AX173" i="6"/>
  <c r="BD172" i="6"/>
  <c r="BA172" i="6"/>
  <c r="AZ172" i="6"/>
  <c r="AY172" i="6"/>
  <c r="AU172" i="6"/>
  <c r="AR172" i="6"/>
  <c r="AO172" i="6"/>
  <c r="AL172" i="6"/>
  <c r="AI172" i="6"/>
  <c r="AF172" i="6"/>
  <c r="AC172" i="6"/>
  <c r="Z172" i="6"/>
  <c r="W172" i="6"/>
  <c r="T172" i="6"/>
  <c r="BI171" i="6"/>
  <c r="H76" i="7" s="1"/>
  <c r="BH171" i="6"/>
  <c r="BG171" i="6"/>
  <c r="BI170" i="6"/>
  <c r="BD170" i="6"/>
  <c r="BA170" i="6"/>
  <c r="AZ170" i="6"/>
  <c r="AY170" i="6"/>
  <c r="AX170" i="6"/>
  <c r="AU170" i="6"/>
  <c r="AR170" i="6"/>
  <c r="AO170" i="6"/>
  <c r="AL170" i="6"/>
  <c r="AI170" i="6"/>
  <c r="AF170" i="6"/>
  <c r="AC170" i="6"/>
  <c r="Z170" i="6"/>
  <c r="W170" i="6"/>
  <c r="T170" i="6"/>
  <c r="BI169" i="6"/>
  <c r="BH169" i="6"/>
  <c r="BG169" i="6"/>
  <c r="BD168" i="6"/>
  <c r="BA168" i="6"/>
  <c r="AZ168" i="6"/>
  <c r="AY168" i="6"/>
  <c r="AX168" i="6"/>
  <c r="AU168" i="6"/>
  <c r="AR168" i="6"/>
  <c r="AO168" i="6"/>
  <c r="AL168" i="6"/>
  <c r="AI168" i="6"/>
  <c r="AF168" i="6"/>
  <c r="AC168" i="6"/>
  <c r="Z168" i="6"/>
  <c r="W168" i="6"/>
  <c r="T168" i="6"/>
  <c r="BI167" i="6"/>
  <c r="BH167" i="6"/>
  <c r="BG167" i="6"/>
  <c r="BI166" i="6"/>
  <c r="BH166" i="6"/>
  <c r="BG166" i="6"/>
  <c r="BD165" i="6"/>
  <c r="BA165" i="6"/>
  <c r="AZ165" i="6"/>
  <c r="AY165" i="6"/>
  <c r="AX165" i="6"/>
  <c r="AU165" i="6"/>
  <c r="AR165" i="6"/>
  <c r="AO165" i="6"/>
  <c r="AL165" i="6"/>
  <c r="AI165" i="6"/>
  <c r="AF165" i="6"/>
  <c r="AC165" i="6"/>
  <c r="Z165" i="6"/>
  <c r="W165" i="6"/>
  <c r="T165" i="6"/>
  <c r="BI164" i="6"/>
  <c r="BH164" i="6"/>
  <c r="BG164" i="6"/>
  <c r="BD163" i="6"/>
  <c r="BA163" i="6"/>
  <c r="AZ163" i="6"/>
  <c r="AY163" i="6"/>
  <c r="AX163" i="6"/>
  <c r="AU163" i="6"/>
  <c r="AR163" i="6"/>
  <c r="AO163" i="6"/>
  <c r="AL163" i="6"/>
  <c r="AI163" i="6"/>
  <c r="AF163" i="6"/>
  <c r="AF149" i="6" s="1"/>
  <c r="AC163" i="6"/>
  <c r="Z163" i="6"/>
  <c r="W163" i="6"/>
  <c r="T163" i="6"/>
  <c r="BI162" i="6"/>
  <c r="H72" i="7" s="1"/>
  <c r="BH162" i="6"/>
  <c r="G72" i="7" s="1"/>
  <c r="BG162" i="6"/>
  <c r="F72" i="7" s="1"/>
  <c r="BI161" i="6"/>
  <c r="BH161" i="6"/>
  <c r="BG161" i="6"/>
  <c r="BI160" i="6"/>
  <c r="BH160" i="6"/>
  <c r="BG160" i="6"/>
  <c r="BI159" i="6"/>
  <c r="BH159" i="6"/>
  <c r="BG159" i="6"/>
  <c r="F71" i="7" s="1"/>
  <c r="BI158" i="6"/>
  <c r="BH158" i="6"/>
  <c r="BG158" i="6"/>
  <c r="BI157" i="6"/>
  <c r="H70" i="7" s="1"/>
  <c r="BH157" i="6"/>
  <c r="BG157" i="6"/>
  <c r="BI156" i="6"/>
  <c r="BH156" i="6"/>
  <c r="BG156" i="6"/>
  <c r="BI155" i="6"/>
  <c r="BH155" i="6"/>
  <c r="BG155" i="6"/>
  <c r="F69" i="7" s="1"/>
  <c r="BI154" i="6"/>
  <c r="H68" i="7" s="1"/>
  <c r="BH154" i="6"/>
  <c r="G68" i="7" s="1"/>
  <c r="BG154" i="6"/>
  <c r="F68" i="7" s="1"/>
  <c r="BI153" i="6"/>
  <c r="BH153" i="6"/>
  <c r="BG153" i="6"/>
  <c r="BI152" i="6"/>
  <c r="BH152" i="6"/>
  <c r="BG152" i="6"/>
  <c r="BI151" i="6"/>
  <c r="BH151" i="6"/>
  <c r="BG151" i="6"/>
  <c r="F67" i="7" s="1"/>
  <c r="BD150" i="6"/>
  <c r="BA150" i="6"/>
  <c r="AZ150" i="6"/>
  <c r="AY150" i="6"/>
  <c r="AX150" i="6"/>
  <c r="AU150" i="6"/>
  <c r="AR150" i="6"/>
  <c r="AO150" i="6"/>
  <c r="AL150" i="6"/>
  <c r="AI150" i="6"/>
  <c r="AF150" i="6"/>
  <c r="AC150" i="6"/>
  <c r="Z150" i="6"/>
  <c r="W150" i="6"/>
  <c r="T150" i="6"/>
  <c r="AO149" i="6"/>
  <c r="BI146" i="6"/>
  <c r="BH146" i="6"/>
  <c r="BG146" i="6"/>
  <c r="BI145" i="6"/>
  <c r="BH145" i="6"/>
  <c r="BG145" i="6"/>
  <c r="BI144" i="6"/>
  <c r="BH144" i="6"/>
  <c r="AX144" i="6"/>
  <c r="BG144" i="6" s="1"/>
  <c r="BI143" i="6"/>
  <c r="BH143" i="6"/>
  <c r="AX143" i="6"/>
  <c r="BD142" i="6"/>
  <c r="BC142" i="6"/>
  <c r="BB142" i="6"/>
  <c r="BA142" i="6"/>
  <c r="AZ142" i="6"/>
  <c r="AY142" i="6"/>
  <c r="AU142" i="6"/>
  <c r="AR142" i="6"/>
  <c r="AO142" i="6"/>
  <c r="AL142" i="6"/>
  <c r="AI142" i="6"/>
  <c r="AF142" i="6"/>
  <c r="AF132" i="6" s="1"/>
  <c r="AF131" i="6" s="1"/>
  <c r="AC142" i="6"/>
  <c r="Z142" i="6"/>
  <c r="W142" i="6"/>
  <c r="T142" i="6"/>
  <c r="BI141" i="6"/>
  <c r="H64" i="7" s="1"/>
  <c r="BH141" i="6"/>
  <c r="G64" i="7" s="1"/>
  <c r="BA141" i="6"/>
  <c r="BI140" i="6"/>
  <c r="BH140" i="6"/>
  <c r="BG140" i="6"/>
  <c r="BI139" i="6"/>
  <c r="BH139" i="6"/>
  <c r="BG139" i="6"/>
  <c r="BI138" i="6"/>
  <c r="BH138" i="6"/>
  <c r="AX138" i="6"/>
  <c r="BG138" i="6" s="1"/>
  <c r="BI137" i="6"/>
  <c r="BH137" i="6"/>
  <c r="BG137" i="6"/>
  <c r="BI136" i="6"/>
  <c r="BH136" i="6"/>
  <c r="AX136" i="6"/>
  <c r="BG136" i="6" s="1"/>
  <c r="F62" i="7" s="1"/>
  <c r="BI135" i="6"/>
  <c r="BH135" i="6"/>
  <c r="AX135" i="6"/>
  <c r="BG135" i="6" s="1"/>
  <c r="BI134" i="6"/>
  <c r="H61" i="7" s="1"/>
  <c r="BH134" i="6"/>
  <c r="G61" i="7" s="1"/>
  <c r="AX134" i="6"/>
  <c r="BG134" i="6" s="1"/>
  <c r="F61" i="7" s="1"/>
  <c r="BD133" i="6"/>
  <c r="BD132" i="6" s="1"/>
  <c r="BD131" i="6" s="1"/>
  <c r="BC133" i="6"/>
  <c r="BB133" i="6"/>
  <c r="AZ133" i="6"/>
  <c r="AZ132" i="6" s="1"/>
  <c r="AZ131" i="6" s="1"/>
  <c r="AY133" i="6"/>
  <c r="AU133" i="6"/>
  <c r="AU132" i="6" s="1"/>
  <c r="AU131" i="6" s="1"/>
  <c r="AR133" i="6"/>
  <c r="AO133" i="6"/>
  <c r="AL133" i="6"/>
  <c r="AI133" i="6"/>
  <c r="AI132" i="6" s="1"/>
  <c r="AI131" i="6" s="1"/>
  <c r="AF133" i="6"/>
  <c r="AC133" i="6"/>
  <c r="Z133" i="6"/>
  <c r="Z132" i="6" s="1"/>
  <c r="Z131" i="6" s="1"/>
  <c r="W133" i="6"/>
  <c r="T133" i="6"/>
  <c r="BB132" i="6"/>
  <c r="BB131" i="6" s="1"/>
  <c r="AL132" i="6"/>
  <c r="AL131" i="6" s="1"/>
  <c r="BI129" i="6"/>
  <c r="BH129" i="6"/>
  <c r="BG129" i="6"/>
  <c r="BI128" i="6"/>
  <c r="BH128" i="6"/>
  <c r="BG128" i="6"/>
  <c r="BG127" i="6" s="1"/>
  <c r="BF127" i="6"/>
  <c r="BE127" i="6"/>
  <c r="BD127" i="6"/>
  <c r="BC127" i="6"/>
  <c r="BB127" i="6"/>
  <c r="BA127" i="6"/>
  <c r="AZ127" i="6"/>
  <c r="AZ119" i="6" s="1"/>
  <c r="AZ118" i="6" s="1"/>
  <c r="AY127" i="6"/>
  <c r="AX127" i="6"/>
  <c r="AW127" i="6"/>
  <c r="AV127" i="6"/>
  <c r="AU127" i="6"/>
  <c r="AT127" i="6"/>
  <c r="AS127" i="6"/>
  <c r="AR127" i="6"/>
  <c r="AQ127" i="6"/>
  <c r="AP127" i="6"/>
  <c r="AO127" i="6"/>
  <c r="AN127" i="6"/>
  <c r="AM127" i="6"/>
  <c r="AL127" i="6"/>
  <c r="AK127" i="6"/>
  <c r="AJ127" i="6"/>
  <c r="AI127" i="6"/>
  <c r="AH127" i="6"/>
  <c r="AG127" i="6"/>
  <c r="AF127" i="6"/>
  <c r="AE127" i="6"/>
  <c r="AD127" i="6"/>
  <c r="AC127" i="6"/>
  <c r="AB127" i="6"/>
  <c r="AA127" i="6"/>
  <c r="Z127" i="6"/>
  <c r="Y127" i="6"/>
  <c r="X127" i="6"/>
  <c r="W127" i="6"/>
  <c r="V127" i="6"/>
  <c r="U127" i="6"/>
  <c r="T127" i="6"/>
  <c r="BI126" i="6"/>
  <c r="H58" i="7" s="1"/>
  <c r="BH126" i="6"/>
  <c r="G58" i="7" s="1"/>
  <c r="BG126" i="6"/>
  <c r="F58" i="7" s="1"/>
  <c r="BI125" i="6"/>
  <c r="H57" i="7" s="1"/>
  <c r="BH125" i="6"/>
  <c r="G57" i="7" s="1"/>
  <c r="AX125" i="6"/>
  <c r="BG125" i="6" s="1"/>
  <c r="F57" i="7" s="1"/>
  <c r="BI124" i="6"/>
  <c r="BH124" i="6"/>
  <c r="T124" i="6"/>
  <c r="T120" i="6" s="1"/>
  <c r="BI123" i="6"/>
  <c r="BH123" i="6"/>
  <c r="BG123" i="6"/>
  <c r="BI122" i="6"/>
  <c r="BH122" i="6"/>
  <c r="BG122" i="6"/>
  <c r="BI121" i="6"/>
  <c r="BH121" i="6"/>
  <c r="G55" i="7" s="1"/>
  <c r="BG121" i="6"/>
  <c r="BF120" i="6"/>
  <c r="BF119" i="6" s="1"/>
  <c r="BF118" i="6" s="1"/>
  <c r="BE120" i="6"/>
  <c r="BE119" i="6" s="1"/>
  <c r="BE118" i="6" s="1"/>
  <c r="BD120" i="6"/>
  <c r="BC120" i="6"/>
  <c r="BC119" i="6" s="1"/>
  <c r="BC118" i="6" s="1"/>
  <c r="BB120" i="6"/>
  <c r="BB119" i="6" s="1"/>
  <c r="BB118" i="6" s="1"/>
  <c r="BA120" i="6"/>
  <c r="BA119" i="6" s="1"/>
  <c r="BA118" i="6" s="1"/>
  <c r="AZ120" i="6"/>
  <c r="AY120" i="6"/>
  <c r="AY119" i="6" s="1"/>
  <c r="AY118" i="6" s="1"/>
  <c r="AW120" i="6"/>
  <c r="AW119" i="6" s="1"/>
  <c r="AW118" i="6" s="1"/>
  <c r="AV120" i="6"/>
  <c r="AV119" i="6" s="1"/>
  <c r="AV118" i="6" s="1"/>
  <c r="AU120" i="6"/>
  <c r="AU119" i="6" s="1"/>
  <c r="AU118" i="6" s="1"/>
  <c r="AT120" i="6"/>
  <c r="AT119" i="6" s="1"/>
  <c r="AT118" i="6" s="1"/>
  <c r="AS120" i="6"/>
  <c r="AS119" i="6" s="1"/>
  <c r="AS118" i="6" s="1"/>
  <c r="AR120" i="6"/>
  <c r="AR119" i="6" s="1"/>
  <c r="AR118" i="6" s="1"/>
  <c r="AQ120" i="6"/>
  <c r="AQ119" i="6" s="1"/>
  <c r="AQ118" i="6" s="1"/>
  <c r="AP120" i="6"/>
  <c r="AP119" i="6" s="1"/>
  <c r="AP118" i="6" s="1"/>
  <c r="AO120" i="6"/>
  <c r="AO119" i="6" s="1"/>
  <c r="AO118" i="6" s="1"/>
  <c r="AN120" i="6"/>
  <c r="AM120" i="6"/>
  <c r="AM119" i="6" s="1"/>
  <c r="AM118" i="6" s="1"/>
  <c r="AL120" i="6"/>
  <c r="AL119" i="6" s="1"/>
  <c r="AL118" i="6" s="1"/>
  <c r="AK120" i="6"/>
  <c r="AK119" i="6" s="1"/>
  <c r="AK118" i="6" s="1"/>
  <c r="AJ120" i="6"/>
  <c r="AJ119" i="6" s="1"/>
  <c r="AJ118" i="6" s="1"/>
  <c r="AI120" i="6"/>
  <c r="AI119" i="6" s="1"/>
  <c r="AI118" i="6" s="1"/>
  <c r="AH120" i="6"/>
  <c r="AH119" i="6" s="1"/>
  <c r="AH118" i="6" s="1"/>
  <c r="AG120" i="6"/>
  <c r="AG119" i="6" s="1"/>
  <c r="AG118" i="6" s="1"/>
  <c r="AF120" i="6"/>
  <c r="AF119" i="6" s="1"/>
  <c r="AF118" i="6" s="1"/>
  <c r="AE120" i="6"/>
  <c r="AE119" i="6" s="1"/>
  <c r="AE118" i="6" s="1"/>
  <c r="AD120" i="6"/>
  <c r="AD119" i="6" s="1"/>
  <c r="AD118" i="6" s="1"/>
  <c r="AC120" i="6"/>
  <c r="AC119" i="6" s="1"/>
  <c r="AC118" i="6" s="1"/>
  <c r="AB120" i="6"/>
  <c r="AB119" i="6" s="1"/>
  <c r="AB118" i="6" s="1"/>
  <c r="AA120" i="6"/>
  <c r="AA119" i="6" s="1"/>
  <c r="AA118" i="6" s="1"/>
  <c r="Z120" i="6"/>
  <c r="Z119" i="6" s="1"/>
  <c r="Z118" i="6" s="1"/>
  <c r="Y120" i="6"/>
  <c r="Y119" i="6" s="1"/>
  <c r="Y118" i="6" s="1"/>
  <c r="X120" i="6"/>
  <c r="W120" i="6"/>
  <c r="W119" i="6" s="1"/>
  <c r="W118" i="6" s="1"/>
  <c r="V120" i="6"/>
  <c r="V119" i="6" s="1"/>
  <c r="V118" i="6" s="1"/>
  <c r="U120" i="6"/>
  <c r="U119" i="6" s="1"/>
  <c r="U118" i="6" s="1"/>
  <c r="BD119" i="6"/>
  <c r="BD118" i="6" s="1"/>
  <c r="AN119" i="6"/>
  <c r="AN118" i="6" s="1"/>
  <c r="X119" i="6"/>
  <c r="X118" i="6" s="1"/>
  <c r="BI116" i="6"/>
  <c r="H53" i="7" s="1"/>
  <c r="BH116" i="6"/>
  <c r="G53" i="7" s="1"/>
  <c r="AX116" i="6"/>
  <c r="BG116" i="6" s="1"/>
  <c r="F53" i="7" s="1"/>
  <c r="BI115" i="6"/>
  <c r="BH115" i="6"/>
  <c r="BG115" i="6"/>
  <c r="BI114" i="6"/>
  <c r="BH114" i="6"/>
  <c r="G52" i="7" s="1"/>
  <c r="BG114" i="6"/>
  <c r="BI113" i="6"/>
  <c r="BH113" i="6"/>
  <c r="BG113" i="6"/>
  <c r="BI112" i="6"/>
  <c r="BH112" i="6"/>
  <c r="BG112" i="6"/>
  <c r="BF111" i="6"/>
  <c r="BF110" i="6" s="1"/>
  <c r="BE111" i="6"/>
  <c r="BD111" i="6"/>
  <c r="BD110" i="6" s="1"/>
  <c r="BC111" i="6"/>
  <c r="BC110" i="6" s="1"/>
  <c r="BB111" i="6"/>
  <c r="BB110" i="6" s="1"/>
  <c r="BA111" i="6"/>
  <c r="AZ111" i="6"/>
  <c r="AZ110" i="6" s="1"/>
  <c r="AY111" i="6"/>
  <c r="AY110" i="6" s="1"/>
  <c r="AW111" i="6"/>
  <c r="AV111" i="6"/>
  <c r="AV110" i="6" s="1"/>
  <c r="AU111" i="6"/>
  <c r="AU110" i="6" s="1"/>
  <c r="AT111" i="6"/>
  <c r="AT110" i="6" s="1"/>
  <c r="AS111" i="6"/>
  <c r="AR111" i="6"/>
  <c r="AR110" i="6" s="1"/>
  <c r="AQ111" i="6"/>
  <c r="AQ110" i="6" s="1"/>
  <c r="AP111" i="6"/>
  <c r="AP110" i="6" s="1"/>
  <c r="AO111" i="6"/>
  <c r="AN111" i="6"/>
  <c r="AN110" i="6" s="1"/>
  <c r="AM111" i="6"/>
  <c r="AM110" i="6" s="1"/>
  <c r="AL111" i="6"/>
  <c r="AL110" i="6" s="1"/>
  <c r="AK111" i="6"/>
  <c r="AJ111" i="6"/>
  <c r="AJ110" i="6" s="1"/>
  <c r="AI111" i="6"/>
  <c r="AI110" i="6" s="1"/>
  <c r="AH111" i="6"/>
  <c r="AH110" i="6" s="1"/>
  <c r="AG111" i="6"/>
  <c r="AF111" i="6"/>
  <c r="AF110" i="6" s="1"/>
  <c r="AE111" i="6"/>
  <c r="AE110" i="6" s="1"/>
  <c r="AD111" i="6"/>
  <c r="AD110" i="6" s="1"/>
  <c r="AC111" i="6"/>
  <c r="AB111" i="6"/>
  <c r="AB110" i="6" s="1"/>
  <c r="AA111" i="6"/>
  <c r="AA110" i="6" s="1"/>
  <c r="Z111" i="6"/>
  <c r="Z110" i="6" s="1"/>
  <c r="Y111" i="6"/>
  <c r="X111" i="6"/>
  <c r="X110" i="6" s="1"/>
  <c r="W111" i="6"/>
  <c r="W110" i="6" s="1"/>
  <c r="V111" i="6"/>
  <c r="V110" i="6" s="1"/>
  <c r="U111" i="6"/>
  <c r="T111" i="6"/>
  <c r="T110" i="6" s="1"/>
  <c r="BE110" i="6"/>
  <c r="BA110" i="6"/>
  <c r="AW110" i="6"/>
  <c r="AS110" i="6"/>
  <c r="AO110" i="6"/>
  <c r="AK110" i="6"/>
  <c r="AG110" i="6"/>
  <c r="AC110" i="6"/>
  <c r="Y110" i="6"/>
  <c r="U110" i="6"/>
  <c r="BI109" i="6"/>
  <c r="H50" i="7" s="1"/>
  <c r="BH109" i="6"/>
  <c r="G50" i="7" s="1"/>
  <c r="BG109" i="6"/>
  <c r="F50" i="7" s="1"/>
  <c r="BI108" i="6"/>
  <c r="BH108" i="6"/>
  <c r="BG108" i="6"/>
  <c r="BI107" i="6"/>
  <c r="BH107" i="6"/>
  <c r="G49" i="7" s="1"/>
  <c r="BG107" i="6"/>
  <c r="BH106" i="6"/>
  <c r="BF106" i="6"/>
  <c r="BF102" i="6" s="1"/>
  <c r="BE106" i="6"/>
  <c r="BD106" i="6"/>
  <c r="BC106" i="6"/>
  <c r="BB106" i="6"/>
  <c r="BB102" i="6" s="1"/>
  <c r="BA106" i="6"/>
  <c r="AZ106" i="6"/>
  <c r="AY106" i="6"/>
  <c r="AX106" i="6"/>
  <c r="AX102" i="6" s="1"/>
  <c r="AW106" i="6"/>
  <c r="AV106" i="6"/>
  <c r="AU106" i="6"/>
  <c r="AT106" i="6"/>
  <c r="AT102" i="6" s="1"/>
  <c r="AS106" i="6"/>
  <c r="AR106" i="6"/>
  <c r="AQ106" i="6"/>
  <c r="AP106" i="6"/>
  <c r="AP102" i="6" s="1"/>
  <c r="AO106" i="6"/>
  <c r="AN106" i="6"/>
  <c r="AM106" i="6"/>
  <c r="AL106" i="6"/>
  <c r="AL102" i="6" s="1"/>
  <c r="AK106" i="6"/>
  <c r="AJ106" i="6"/>
  <c r="AI106" i="6"/>
  <c r="AH106" i="6"/>
  <c r="AH102" i="6" s="1"/>
  <c r="AG106" i="6"/>
  <c r="AF106" i="6"/>
  <c r="AE106" i="6"/>
  <c r="AD106" i="6"/>
  <c r="AD102" i="6" s="1"/>
  <c r="AC106" i="6"/>
  <c r="AB106" i="6"/>
  <c r="AA106" i="6"/>
  <c r="Z106" i="6"/>
  <c r="Z102" i="6" s="1"/>
  <c r="Y106" i="6"/>
  <c r="X106" i="6"/>
  <c r="W106" i="6"/>
  <c r="V106" i="6"/>
  <c r="V102" i="6" s="1"/>
  <c r="U106" i="6"/>
  <c r="T106" i="6"/>
  <c r="BI105" i="6"/>
  <c r="BH105" i="6"/>
  <c r="BG105" i="6"/>
  <c r="BI104" i="6"/>
  <c r="BH104" i="6"/>
  <c r="BG104" i="6"/>
  <c r="BF103" i="6"/>
  <c r="BE103" i="6"/>
  <c r="BE102" i="6" s="1"/>
  <c r="BD103" i="6"/>
  <c r="BD102" i="6" s="1"/>
  <c r="BC103" i="6"/>
  <c r="BC102" i="6" s="1"/>
  <c r="BB103" i="6"/>
  <c r="BA103" i="6"/>
  <c r="BA102" i="6" s="1"/>
  <c r="AZ103" i="6"/>
  <c r="AZ102" i="6" s="1"/>
  <c r="AY103" i="6"/>
  <c r="AX103" i="6"/>
  <c r="AW103" i="6"/>
  <c r="AW102" i="6" s="1"/>
  <c r="AV103" i="6"/>
  <c r="AV102" i="6" s="1"/>
  <c r="AU103" i="6"/>
  <c r="AU102" i="6" s="1"/>
  <c r="AT103" i="6"/>
  <c r="AS103" i="6"/>
  <c r="AS102" i="6" s="1"/>
  <c r="AR103" i="6"/>
  <c r="AR102" i="6" s="1"/>
  <c r="AQ103" i="6"/>
  <c r="AQ102" i="6" s="1"/>
  <c r="AP103" i="6"/>
  <c r="AO103" i="6"/>
  <c r="AO102" i="6" s="1"/>
  <c r="AN103" i="6"/>
  <c r="AN102" i="6" s="1"/>
  <c r="AM103" i="6"/>
  <c r="AM102" i="6" s="1"/>
  <c r="AL103" i="6"/>
  <c r="AK103" i="6"/>
  <c r="AK102" i="6" s="1"/>
  <c r="AJ103" i="6"/>
  <c r="AJ102" i="6" s="1"/>
  <c r="AI103" i="6"/>
  <c r="AI102" i="6" s="1"/>
  <c r="AH103" i="6"/>
  <c r="AG103" i="6"/>
  <c r="AG102" i="6" s="1"/>
  <c r="AF103" i="6"/>
  <c r="AF102" i="6" s="1"/>
  <c r="AE103" i="6"/>
  <c r="AE102" i="6" s="1"/>
  <c r="AD103" i="6"/>
  <c r="AC103" i="6"/>
  <c r="AC102" i="6" s="1"/>
  <c r="AB103" i="6"/>
  <c r="AB102" i="6" s="1"/>
  <c r="AA103" i="6"/>
  <c r="AA102" i="6" s="1"/>
  <c r="Z103" i="6"/>
  <c r="Y103" i="6"/>
  <c r="Y102" i="6" s="1"/>
  <c r="X103" i="6"/>
  <c r="X102" i="6" s="1"/>
  <c r="W103" i="6"/>
  <c r="W102" i="6" s="1"/>
  <c r="V103" i="6"/>
  <c r="U103" i="6"/>
  <c r="U102" i="6" s="1"/>
  <c r="T103" i="6"/>
  <c r="T102" i="6" s="1"/>
  <c r="AY102" i="6"/>
  <c r="BI101" i="6"/>
  <c r="H47" i="7" s="1"/>
  <c r="BH101" i="6"/>
  <c r="G47" i="7" s="1"/>
  <c r="BG101" i="6"/>
  <c r="F47" i="7" s="1"/>
  <c r="BI100" i="6"/>
  <c r="H46" i="7" s="1"/>
  <c r="BH100" i="6"/>
  <c r="G46" i="7" s="1"/>
  <c r="BG100" i="6"/>
  <c r="F46" i="7" s="1"/>
  <c r="BI99" i="6"/>
  <c r="H45" i="7" s="1"/>
  <c r="BH99" i="6"/>
  <c r="BG99" i="6"/>
  <c r="BF98" i="6"/>
  <c r="BE98" i="6"/>
  <c r="BD98" i="6"/>
  <c r="BC98" i="6"/>
  <c r="BB98" i="6"/>
  <c r="BA98" i="6"/>
  <c r="AZ98" i="6"/>
  <c r="AY98" i="6"/>
  <c r="AX98" i="6"/>
  <c r="AW98" i="6"/>
  <c r="AV98" i="6"/>
  <c r="AU98" i="6"/>
  <c r="AT98" i="6"/>
  <c r="AS98" i="6"/>
  <c r="AR98" i="6"/>
  <c r="AQ98" i="6"/>
  <c r="AP98" i="6"/>
  <c r="AO98" i="6"/>
  <c r="AN98" i="6"/>
  <c r="AM98" i="6"/>
  <c r="AL98" i="6"/>
  <c r="AK98" i="6"/>
  <c r="AJ98" i="6"/>
  <c r="AI98" i="6"/>
  <c r="AH98" i="6"/>
  <c r="AG98" i="6"/>
  <c r="AF98" i="6"/>
  <c r="AE98" i="6"/>
  <c r="AD98" i="6"/>
  <c r="AC98" i="6"/>
  <c r="AB98" i="6"/>
  <c r="AA98" i="6"/>
  <c r="Z98" i="6"/>
  <c r="Y98" i="6"/>
  <c r="X98" i="6"/>
  <c r="W98" i="6"/>
  <c r="V98" i="6"/>
  <c r="U98" i="6"/>
  <c r="T98" i="6"/>
  <c r="BI97" i="6"/>
  <c r="BH97" i="6"/>
  <c r="BG97" i="6"/>
  <c r="BF96" i="6"/>
  <c r="BE96" i="6"/>
  <c r="BD96" i="6"/>
  <c r="BC96" i="6"/>
  <c r="BB96" i="6"/>
  <c r="BA96" i="6"/>
  <c r="AZ96" i="6"/>
  <c r="AY96" i="6"/>
  <c r="AX96" i="6"/>
  <c r="AW96" i="6"/>
  <c r="AV96" i="6"/>
  <c r="AU96" i="6"/>
  <c r="AT96" i="6"/>
  <c r="AS96" i="6"/>
  <c r="AR96" i="6"/>
  <c r="AQ96" i="6"/>
  <c r="AP96" i="6"/>
  <c r="AO96" i="6"/>
  <c r="AN96" i="6"/>
  <c r="AM96" i="6"/>
  <c r="AL96" i="6"/>
  <c r="AK96" i="6"/>
  <c r="AJ96" i="6"/>
  <c r="AI96" i="6"/>
  <c r="AH96" i="6"/>
  <c r="AG96" i="6"/>
  <c r="AF96" i="6"/>
  <c r="AE96" i="6"/>
  <c r="AD96" i="6"/>
  <c r="AC96" i="6"/>
  <c r="AB96" i="6"/>
  <c r="AA96" i="6"/>
  <c r="Z96" i="6"/>
  <c r="Y96" i="6"/>
  <c r="X96" i="6"/>
  <c r="W96" i="6"/>
  <c r="V96" i="6"/>
  <c r="U96" i="6"/>
  <c r="T96" i="6"/>
  <c r="BI95" i="6"/>
  <c r="BH95" i="6"/>
  <c r="BG95" i="6"/>
  <c r="BI94" i="6"/>
  <c r="BH94" i="6"/>
  <c r="BG94" i="6"/>
  <c r="BI93" i="6"/>
  <c r="BH93" i="6"/>
  <c r="BG93" i="6"/>
  <c r="BI92" i="6"/>
  <c r="BH92" i="6"/>
  <c r="BG92" i="6"/>
  <c r="BI91" i="6"/>
  <c r="BH91" i="6"/>
  <c r="BG91" i="6"/>
  <c r="BF90" i="6"/>
  <c r="BE90" i="6"/>
  <c r="BD90" i="6"/>
  <c r="BC90" i="6"/>
  <c r="BB90" i="6"/>
  <c r="BA90" i="6"/>
  <c r="AZ90" i="6"/>
  <c r="AY90" i="6"/>
  <c r="AX90" i="6"/>
  <c r="AW90" i="6"/>
  <c r="AV90" i="6"/>
  <c r="AU90" i="6"/>
  <c r="AT90" i="6"/>
  <c r="AS90" i="6"/>
  <c r="AR90" i="6"/>
  <c r="AQ90" i="6"/>
  <c r="AP90" i="6"/>
  <c r="AO90" i="6"/>
  <c r="AN90" i="6"/>
  <c r="AM90" i="6"/>
  <c r="AM81" i="6" s="1"/>
  <c r="AL90" i="6"/>
  <c r="AK90" i="6"/>
  <c r="AJ90" i="6"/>
  <c r="AI90" i="6"/>
  <c r="AH90" i="6"/>
  <c r="AG90" i="6"/>
  <c r="AF90" i="6"/>
  <c r="AE90" i="6"/>
  <c r="AD90" i="6"/>
  <c r="AC90" i="6"/>
  <c r="AB90" i="6"/>
  <c r="AA90" i="6"/>
  <c r="Z90" i="6"/>
  <c r="Y90" i="6"/>
  <c r="X90" i="6"/>
  <c r="W90" i="6"/>
  <c r="W81" i="6" s="1"/>
  <c r="V90" i="6"/>
  <c r="U90" i="6"/>
  <c r="T90" i="6"/>
  <c r="BI89" i="6"/>
  <c r="BH89" i="6"/>
  <c r="G42" i="7" s="1"/>
  <c r="BG89" i="6"/>
  <c r="BH88" i="6"/>
  <c r="BF88" i="6"/>
  <c r="BE88" i="6"/>
  <c r="BD88" i="6"/>
  <c r="BC88" i="6"/>
  <c r="BB88" i="6"/>
  <c r="BA88" i="6"/>
  <c r="AZ88" i="6"/>
  <c r="AY88" i="6"/>
  <c r="AX88" i="6"/>
  <c r="AW88" i="6"/>
  <c r="AV88" i="6"/>
  <c r="AU88" i="6"/>
  <c r="AT88" i="6"/>
  <c r="AS88" i="6"/>
  <c r="AR88" i="6"/>
  <c r="AQ88" i="6"/>
  <c r="AP88" i="6"/>
  <c r="AO88" i="6"/>
  <c r="AN88" i="6"/>
  <c r="AM88" i="6"/>
  <c r="AL88" i="6"/>
  <c r="AK88" i="6"/>
  <c r="AJ88" i="6"/>
  <c r="AI88" i="6"/>
  <c r="AH88" i="6"/>
  <c r="AG88" i="6"/>
  <c r="AF88" i="6"/>
  <c r="AE88" i="6"/>
  <c r="AD88" i="6"/>
  <c r="AC88" i="6"/>
  <c r="AB88" i="6"/>
  <c r="AA88" i="6"/>
  <c r="Z88" i="6"/>
  <c r="Y88" i="6"/>
  <c r="X88" i="6"/>
  <c r="W88" i="6"/>
  <c r="V88" i="6"/>
  <c r="U88" i="6"/>
  <c r="T88" i="6"/>
  <c r="BI87" i="6"/>
  <c r="H41" i="7" s="1"/>
  <c r="BH87" i="6"/>
  <c r="G41" i="7" s="1"/>
  <c r="AX87" i="6"/>
  <c r="BG87" i="6" s="1"/>
  <c r="BF86" i="6"/>
  <c r="BE86" i="6"/>
  <c r="BD86" i="6"/>
  <c r="BC86" i="6"/>
  <c r="BB86" i="6"/>
  <c r="BA86" i="6"/>
  <c r="AZ86" i="6"/>
  <c r="AY86" i="6"/>
  <c r="AW86" i="6"/>
  <c r="AV86" i="6"/>
  <c r="AU86" i="6"/>
  <c r="AT86" i="6"/>
  <c r="AS86" i="6"/>
  <c r="AR86" i="6"/>
  <c r="AQ86" i="6"/>
  <c r="AP86" i="6"/>
  <c r="AO86" i="6"/>
  <c r="AN86" i="6"/>
  <c r="AM86" i="6"/>
  <c r="AL86" i="6"/>
  <c r="AK86" i="6"/>
  <c r="AJ86" i="6"/>
  <c r="AI86" i="6"/>
  <c r="AH86" i="6"/>
  <c r="AG86" i="6"/>
  <c r="AF86" i="6"/>
  <c r="AE86" i="6"/>
  <c r="AD86" i="6"/>
  <c r="AC86" i="6"/>
  <c r="AB86" i="6"/>
  <c r="AA86" i="6"/>
  <c r="Z86" i="6"/>
  <c r="Y86" i="6"/>
  <c r="X86" i="6"/>
  <c r="W86" i="6"/>
  <c r="V86" i="6"/>
  <c r="U86" i="6"/>
  <c r="T86" i="6"/>
  <c r="BI85" i="6"/>
  <c r="H40" i="7" s="1"/>
  <c r="BH85" i="6"/>
  <c r="AX85" i="6"/>
  <c r="BG85" i="6" s="1"/>
  <c r="BF84" i="6"/>
  <c r="BE84" i="6"/>
  <c r="BD84" i="6"/>
  <c r="BC84" i="6"/>
  <c r="BB84" i="6"/>
  <c r="BA84" i="6"/>
  <c r="AZ84" i="6"/>
  <c r="AY84" i="6"/>
  <c r="AX84" i="6"/>
  <c r="AW84" i="6"/>
  <c r="AV84" i="6"/>
  <c r="AU84" i="6"/>
  <c r="AT84" i="6"/>
  <c r="AS84" i="6"/>
  <c r="AR84" i="6"/>
  <c r="AQ84" i="6"/>
  <c r="AP84" i="6"/>
  <c r="AO84" i="6"/>
  <c r="AN84" i="6"/>
  <c r="AM84" i="6"/>
  <c r="AL84" i="6"/>
  <c r="AK84" i="6"/>
  <c r="AJ84" i="6"/>
  <c r="AI84" i="6"/>
  <c r="AH84" i="6"/>
  <c r="AG84" i="6"/>
  <c r="AF84" i="6"/>
  <c r="AE84" i="6"/>
  <c r="AD84" i="6"/>
  <c r="AC84" i="6"/>
  <c r="AB84" i="6"/>
  <c r="AA84" i="6"/>
  <c r="Z84" i="6"/>
  <c r="Y84" i="6"/>
  <c r="X84" i="6"/>
  <c r="W84" i="6"/>
  <c r="V84" i="6"/>
  <c r="U84" i="6"/>
  <c r="T84" i="6"/>
  <c r="BI83" i="6"/>
  <c r="H39" i="7" s="1"/>
  <c r="BH83" i="6"/>
  <c r="BG83" i="6"/>
  <c r="BF82" i="6"/>
  <c r="BE82" i="6"/>
  <c r="BD82" i="6"/>
  <c r="BC82" i="6"/>
  <c r="BB82" i="6"/>
  <c r="BA82" i="6"/>
  <c r="AZ82" i="6"/>
  <c r="AY82" i="6"/>
  <c r="AX82" i="6"/>
  <c r="AW82" i="6"/>
  <c r="AV82" i="6"/>
  <c r="AU82" i="6"/>
  <c r="AT82" i="6"/>
  <c r="AS82" i="6"/>
  <c r="AR82" i="6"/>
  <c r="AQ82" i="6"/>
  <c r="AP82" i="6"/>
  <c r="AO82" i="6"/>
  <c r="AN82" i="6"/>
  <c r="AM82" i="6"/>
  <c r="AL82" i="6"/>
  <c r="AK82" i="6"/>
  <c r="AJ82" i="6"/>
  <c r="AI82" i="6"/>
  <c r="AH82" i="6"/>
  <c r="AG82" i="6"/>
  <c r="AF82" i="6"/>
  <c r="AE82" i="6"/>
  <c r="AD82" i="6"/>
  <c r="AC82" i="6"/>
  <c r="AB82" i="6"/>
  <c r="AA82" i="6"/>
  <c r="Z82" i="6"/>
  <c r="Y82" i="6"/>
  <c r="X82" i="6"/>
  <c r="W82" i="6"/>
  <c r="V82" i="6"/>
  <c r="U82" i="6"/>
  <c r="T82" i="6"/>
  <c r="BI77" i="6"/>
  <c r="BH77" i="6"/>
  <c r="BG77" i="6"/>
  <c r="BF76" i="6"/>
  <c r="BE76" i="6"/>
  <c r="BD76" i="6"/>
  <c r="BC76" i="6"/>
  <c r="BB76" i="6"/>
  <c r="BA76" i="6"/>
  <c r="AZ76" i="6"/>
  <c r="AY76" i="6"/>
  <c r="AX76" i="6"/>
  <c r="AW76" i="6"/>
  <c r="AV76" i="6"/>
  <c r="AU76" i="6"/>
  <c r="AT76" i="6"/>
  <c r="AS76" i="6"/>
  <c r="AR76" i="6"/>
  <c r="AQ76" i="6"/>
  <c r="AP76" i="6"/>
  <c r="AO76" i="6"/>
  <c r="AN76" i="6"/>
  <c r="AM76" i="6"/>
  <c r="AL76" i="6"/>
  <c r="AK76" i="6"/>
  <c r="AJ76" i="6"/>
  <c r="AI76" i="6"/>
  <c r="AH76" i="6"/>
  <c r="AG76" i="6"/>
  <c r="AF76" i="6"/>
  <c r="AE76" i="6"/>
  <c r="AD76" i="6"/>
  <c r="AC76" i="6"/>
  <c r="AB76" i="6"/>
  <c r="AA76" i="6"/>
  <c r="Z76" i="6"/>
  <c r="Y76" i="6"/>
  <c r="X76" i="6"/>
  <c r="W76" i="6"/>
  <c r="V76" i="6"/>
  <c r="U76" i="6"/>
  <c r="T76" i="6"/>
  <c r="BI75" i="6"/>
  <c r="BH75" i="6"/>
  <c r="G36" i="7" s="1"/>
  <c r="BG75" i="6"/>
  <c r="F36" i="7" s="1"/>
  <c r="BF74" i="6"/>
  <c r="BE74" i="6"/>
  <c r="BE73" i="6" s="1"/>
  <c r="BD74" i="6"/>
  <c r="BD73" i="6" s="1"/>
  <c r="BC74" i="6"/>
  <c r="BC73" i="6" s="1"/>
  <c r="BB74" i="6"/>
  <c r="BB73" i="6" s="1"/>
  <c r="BA74" i="6"/>
  <c r="AZ74" i="6"/>
  <c r="AZ73" i="6" s="1"/>
  <c r="AY74" i="6"/>
  <c r="AY73" i="6" s="1"/>
  <c r="AX74" i="6"/>
  <c r="AX73" i="6" s="1"/>
  <c r="AW74" i="6"/>
  <c r="AW73" i="6" s="1"/>
  <c r="AV74" i="6"/>
  <c r="AV73" i="6" s="1"/>
  <c r="AU74" i="6"/>
  <c r="AU73" i="6" s="1"/>
  <c r="AT74" i="6"/>
  <c r="AT73" i="6" s="1"/>
  <c r="AS74" i="6"/>
  <c r="AS73" i="6" s="1"/>
  <c r="AR74" i="6"/>
  <c r="AR73" i="6" s="1"/>
  <c r="AQ74" i="6"/>
  <c r="AQ73" i="6" s="1"/>
  <c r="AP74" i="6"/>
  <c r="AO74" i="6"/>
  <c r="AO73" i="6" s="1"/>
  <c r="AN74" i="6"/>
  <c r="AN73" i="6" s="1"/>
  <c r="AM74" i="6"/>
  <c r="AM73" i="6" s="1"/>
  <c r="AL74" i="6"/>
  <c r="AL73" i="6" s="1"/>
  <c r="AK74" i="6"/>
  <c r="AK73" i="6" s="1"/>
  <c r="AJ74" i="6"/>
  <c r="AJ73" i="6" s="1"/>
  <c r="AI74" i="6"/>
  <c r="AI73" i="6" s="1"/>
  <c r="AH74" i="6"/>
  <c r="AG74" i="6"/>
  <c r="AF74" i="6"/>
  <c r="AF73" i="6" s="1"/>
  <c r="AE74" i="6"/>
  <c r="AE73" i="6" s="1"/>
  <c r="AD74" i="6"/>
  <c r="AD73" i="6" s="1"/>
  <c r="AC74" i="6"/>
  <c r="AC73" i="6" s="1"/>
  <c r="AB74" i="6"/>
  <c r="AB73" i="6" s="1"/>
  <c r="AA74" i="6"/>
  <c r="AA73" i="6" s="1"/>
  <c r="Z74" i="6"/>
  <c r="Z73" i="6" s="1"/>
  <c r="Y74" i="6"/>
  <c r="Y73" i="6" s="1"/>
  <c r="X74" i="6"/>
  <c r="X73" i="6" s="1"/>
  <c r="W74" i="6"/>
  <c r="W73" i="6" s="1"/>
  <c r="V74" i="6"/>
  <c r="V73" i="6" s="1"/>
  <c r="U74" i="6"/>
  <c r="T74" i="6"/>
  <c r="T73" i="6" s="1"/>
  <c r="BF73" i="6"/>
  <c r="BA73" i="6"/>
  <c r="AP73" i="6"/>
  <c r="AH73" i="6"/>
  <c r="AG73" i="6"/>
  <c r="U73" i="6"/>
  <c r="BI72" i="6"/>
  <c r="BH72" i="6"/>
  <c r="BG72" i="6"/>
  <c r="BI71" i="6"/>
  <c r="BH71" i="6"/>
  <c r="BG71" i="6"/>
  <c r="BI70" i="6"/>
  <c r="BH70" i="6"/>
  <c r="BG70" i="6"/>
  <c r="BI69" i="6"/>
  <c r="BH69" i="6"/>
  <c r="BG69" i="6"/>
  <c r="BI68" i="6"/>
  <c r="BH68" i="6"/>
  <c r="BG68" i="6"/>
  <c r="BF67" i="6"/>
  <c r="BE67" i="6"/>
  <c r="BD67" i="6"/>
  <c r="BC67" i="6"/>
  <c r="BB67" i="6"/>
  <c r="BA67" i="6"/>
  <c r="AZ67" i="6"/>
  <c r="AY67" i="6"/>
  <c r="AX67" i="6"/>
  <c r="AW67" i="6"/>
  <c r="AV67" i="6"/>
  <c r="AU67" i="6"/>
  <c r="AT67" i="6"/>
  <c r="AS67" i="6"/>
  <c r="AR67" i="6"/>
  <c r="AQ67" i="6"/>
  <c r="AP67" i="6"/>
  <c r="AO67" i="6"/>
  <c r="AN67" i="6"/>
  <c r="AM67" i="6"/>
  <c r="AL67" i="6"/>
  <c r="AK67" i="6"/>
  <c r="AJ67" i="6"/>
  <c r="AI67" i="6"/>
  <c r="AH67" i="6"/>
  <c r="AG67" i="6"/>
  <c r="AF67" i="6"/>
  <c r="AE67" i="6"/>
  <c r="AD67" i="6"/>
  <c r="AC67" i="6"/>
  <c r="AB67" i="6"/>
  <c r="AA67" i="6"/>
  <c r="Z67" i="6"/>
  <c r="Y67" i="6"/>
  <c r="X67" i="6"/>
  <c r="W67" i="6"/>
  <c r="V67" i="6"/>
  <c r="U67" i="6"/>
  <c r="T67" i="6"/>
  <c r="BI66" i="6"/>
  <c r="BH66" i="6"/>
  <c r="G34" i="7" s="1"/>
  <c r="BG66" i="6"/>
  <c r="F34" i="7" s="1"/>
  <c r="BF65" i="6"/>
  <c r="BE65" i="6"/>
  <c r="BD65" i="6"/>
  <c r="BC65" i="6"/>
  <c r="BB65" i="6"/>
  <c r="BA65" i="6"/>
  <c r="AZ65" i="6"/>
  <c r="AY65" i="6"/>
  <c r="AX65" i="6"/>
  <c r="AW65" i="6"/>
  <c r="AV65" i="6"/>
  <c r="AU65" i="6"/>
  <c r="AT65" i="6"/>
  <c r="AS65" i="6"/>
  <c r="AR65" i="6"/>
  <c r="AQ65" i="6"/>
  <c r="AP65" i="6"/>
  <c r="AO65" i="6"/>
  <c r="AN65" i="6"/>
  <c r="AM65" i="6"/>
  <c r="AL65" i="6"/>
  <c r="AK65" i="6"/>
  <c r="AJ65" i="6"/>
  <c r="AI65" i="6"/>
  <c r="AH65" i="6"/>
  <c r="AG65" i="6"/>
  <c r="AF65" i="6"/>
  <c r="AE65" i="6"/>
  <c r="AD65" i="6"/>
  <c r="AC65" i="6"/>
  <c r="AB65" i="6"/>
  <c r="AA65" i="6"/>
  <c r="Z65" i="6"/>
  <c r="Y65" i="6"/>
  <c r="X65" i="6"/>
  <c r="W65" i="6"/>
  <c r="V65" i="6"/>
  <c r="U65" i="6"/>
  <c r="T65" i="6"/>
  <c r="BI64" i="6"/>
  <c r="H33" i="7" s="1"/>
  <c r="BH64" i="6"/>
  <c r="G33" i="7" s="1"/>
  <c r="AX64" i="6"/>
  <c r="BG64" i="6" s="1"/>
  <c r="BI63" i="6"/>
  <c r="BF63" i="6"/>
  <c r="BE63" i="6"/>
  <c r="BD63" i="6"/>
  <c r="BC63" i="6"/>
  <c r="BB63" i="6"/>
  <c r="BA63" i="6"/>
  <c r="AZ63" i="6"/>
  <c r="AY63" i="6"/>
  <c r="AY58" i="6" s="1"/>
  <c r="AW63" i="6"/>
  <c r="AV63" i="6"/>
  <c r="AU63" i="6"/>
  <c r="AT63" i="6"/>
  <c r="AS63" i="6"/>
  <c r="AR63" i="6"/>
  <c r="AQ63" i="6"/>
  <c r="AP63" i="6"/>
  <c r="AO63" i="6"/>
  <c r="AN63" i="6"/>
  <c r="AM63" i="6"/>
  <c r="AL63" i="6"/>
  <c r="AK63" i="6"/>
  <c r="AJ63" i="6"/>
  <c r="AI63" i="6"/>
  <c r="AH63" i="6"/>
  <c r="AG63" i="6"/>
  <c r="AF63" i="6"/>
  <c r="AE63" i="6"/>
  <c r="AD63" i="6"/>
  <c r="AC63" i="6"/>
  <c r="AB63" i="6"/>
  <c r="AA63" i="6"/>
  <c r="Z63" i="6"/>
  <c r="Y63" i="6"/>
  <c r="X63" i="6"/>
  <c r="W63" i="6"/>
  <c r="V63" i="6"/>
  <c r="U63" i="6"/>
  <c r="T63" i="6"/>
  <c r="BI62" i="6"/>
  <c r="BH62" i="6"/>
  <c r="BG62" i="6"/>
  <c r="F32" i="7" s="1"/>
  <c r="BF61" i="6"/>
  <c r="BE61" i="6"/>
  <c r="BD61" i="6"/>
  <c r="BC61" i="6"/>
  <c r="BB61" i="6"/>
  <c r="BA61" i="6"/>
  <c r="AZ61" i="6"/>
  <c r="AY61" i="6"/>
  <c r="AX61" i="6"/>
  <c r="AW61" i="6"/>
  <c r="AV61" i="6"/>
  <c r="AU61" i="6"/>
  <c r="AT61" i="6"/>
  <c r="AS61" i="6"/>
  <c r="AR61" i="6"/>
  <c r="AQ61" i="6"/>
  <c r="AP61" i="6"/>
  <c r="AO61" i="6"/>
  <c r="AN61" i="6"/>
  <c r="AM61" i="6"/>
  <c r="AL61" i="6"/>
  <c r="AK61" i="6"/>
  <c r="AJ61" i="6"/>
  <c r="AI61" i="6"/>
  <c r="AH61" i="6"/>
  <c r="AG61" i="6"/>
  <c r="AF61" i="6"/>
  <c r="AE61" i="6"/>
  <c r="AD61" i="6"/>
  <c r="AC61" i="6"/>
  <c r="AB61" i="6"/>
  <c r="AA61" i="6"/>
  <c r="Z61" i="6"/>
  <c r="Y61" i="6"/>
  <c r="X61" i="6"/>
  <c r="W61" i="6"/>
  <c r="V61" i="6"/>
  <c r="U61" i="6"/>
  <c r="T61" i="6"/>
  <c r="BI60" i="6"/>
  <c r="BH60" i="6"/>
  <c r="G31" i="7" s="1"/>
  <c r="AX60" i="6"/>
  <c r="BG60" i="6" s="1"/>
  <c r="BF59" i="6"/>
  <c r="BE59" i="6"/>
  <c r="BD59" i="6"/>
  <c r="BC59" i="6"/>
  <c r="BB59" i="6"/>
  <c r="BA59" i="6"/>
  <c r="AZ59" i="6"/>
  <c r="AY59" i="6"/>
  <c r="AW59" i="6"/>
  <c r="AV59" i="6"/>
  <c r="AU59" i="6"/>
  <c r="AT59" i="6"/>
  <c r="AS59" i="6"/>
  <c r="AR59" i="6"/>
  <c r="AQ59" i="6"/>
  <c r="AQ58" i="6" s="1"/>
  <c r="AP59" i="6"/>
  <c r="AO59" i="6"/>
  <c r="AN59" i="6"/>
  <c r="AM59" i="6"/>
  <c r="AL59" i="6"/>
  <c r="AK59" i="6"/>
  <c r="AJ59" i="6"/>
  <c r="AI59" i="6"/>
  <c r="AH59" i="6"/>
  <c r="AG59" i="6"/>
  <c r="AF59" i="6"/>
  <c r="AE59" i="6"/>
  <c r="AD59" i="6"/>
  <c r="AC59" i="6"/>
  <c r="AB59" i="6"/>
  <c r="AA59" i="6"/>
  <c r="AA58" i="6" s="1"/>
  <c r="Z59" i="6"/>
  <c r="Y59" i="6"/>
  <c r="X59" i="6"/>
  <c r="W59" i="6"/>
  <c r="V59" i="6"/>
  <c r="U59" i="6"/>
  <c r="T59" i="6"/>
  <c r="AI58" i="6"/>
  <c r="BI57" i="6"/>
  <c r="BH57" i="6"/>
  <c r="G30" i="7" s="1"/>
  <c r="BG57" i="6"/>
  <c r="F30" i="7" s="1"/>
  <c r="BG56" i="6"/>
  <c r="BF56" i="6"/>
  <c r="BE56" i="6"/>
  <c r="BD56" i="6"/>
  <c r="BC56" i="6"/>
  <c r="BB56" i="6"/>
  <c r="BA56" i="6"/>
  <c r="AZ56" i="6"/>
  <c r="AY56" i="6"/>
  <c r="AX56" i="6"/>
  <c r="AW56" i="6"/>
  <c r="AV56" i="6"/>
  <c r="AU56" i="6"/>
  <c r="AT56" i="6"/>
  <c r="AS56" i="6"/>
  <c r="AR56" i="6"/>
  <c r="AQ56" i="6"/>
  <c r="AP56" i="6"/>
  <c r="AO56" i="6"/>
  <c r="AN56" i="6"/>
  <c r="AM56" i="6"/>
  <c r="AL56" i="6"/>
  <c r="AK56" i="6"/>
  <c r="AJ56" i="6"/>
  <c r="AI56" i="6"/>
  <c r="AI53" i="6" s="1"/>
  <c r="AH56" i="6"/>
  <c r="AG56" i="6"/>
  <c r="AF56" i="6"/>
  <c r="AE56" i="6"/>
  <c r="AE53" i="6" s="1"/>
  <c r="AD56" i="6"/>
  <c r="AC56" i="6"/>
  <c r="AB56" i="6"/>
  <c r="AA56" i="6"/>
  <c r="AA53" i="6" s="1"/>
  <c r="Z56" i="6"/>
  <c r="Y56" i="6"/>
  <c r="X56" i="6"/>
  <c r="W56" i="6"/>
  <c r="W53" i="6" s="1"/>
  <c r="V56" i="6"/>
  <c r="U56" i="6"/>
  <c r="T56" i="6"/>
  <c r="BI55" i="6"/>
  <c r="BH55" i="6"/>
  <c r="G29" i="7" s="1"/>
  <c r="AX55" i="6"/>
  <c r="BG55" i="6" s="1"/>
  <c r="BF54" i="6"/>
  <c r="BE54" i="6"/>
  <c r="BE53" i="6" s="1"/>
  <c r="BD54" i="6"/>
  <c r="BC54" i="6"/>
  <c r="BB54" i="6"/>
  <c r="BA54" i="6"/>
  <c r="BA53" i="6" s="1"/>
  <c r="AZ54" i="6"/>
  <c r="AY54" i="6"/>
  <c r="AW54" i="6"/>
  <c r="AW53" i="6" s="1"/>
  <c r="AV54" i="6"/>
  <c r="AU54" i="6"/>
  <c r="AT54" i="6"/>
  <c r="AS54" i="6"/>
  <c r="AS53" i="6" s="1"/>
  <c r="AR54" i="6"/>
  <c r="AR53" i="6" s="1"/>
  <c r="AQ54" i="6"/>
  <c r="AP54" i="6"/>
  <c r="AO54" i="6"/>
  <c r="AO53" i="6" s="1"/>
  <c r="AN54" i="6"/>
  <c r="AM54" i="6"/>
  <c r="AL54" i="6"/>
  <c r="AK54" i="6"/>
  <c r="AK53" i="6" s="1"/>
  <c r="AJ54" i="6"/>
  <c r="AJ53" i="6" s="1"/>
  <c r="AI54" i="6"/>
  <c r="AH54" i="6"/>
  <c r="AG54" i="6"/>
  <c r="AG53" i="6" s="1"/>
  <c r="AF54" i="6"/>
  <c r="AE54" i="6"/>
  <c r="AD54" i="6"/>
  <c r="AC54" i="6"/>
  <c r="AC53" i="6" s="1"/>
  <c r="AB54" i="6"/>
  <c r="AB53" i="6" s="1"/>
  <c r="AA54" i="6"/>
  <c r="Z54" i="6"/>
  <c r="Y54" i="6"/>
  <c r="Y53" i="6" s="1"/>
  <c r="X54" i="6"/>
  <c r="W54" i="6"/>
  <c r="V54" i="6"/>
  <c r="U54" i="6"/>
  <c r="U53" i="6" s="1"/>
  <c r="T54" i="6"/>
  <c r="T53" i="6" s="1"/>
  <c r="AZ53" i="6"/>
  <c r="BI52" i="6"/>
  <c r="H28" i="7" s="1"/>
  <c r="BH52" i="6"/>
  <c r="G28" i="7" s="1"/>
  <c r="BG52" i="6"/>
  <c r="BH51" i="6"/>
  <c r="BF51" i="6"/>
  <c r="BE51" i="6"/>
  <c r="BD51" i="6"/>
  <c r="BC51" i="6"/>
  <c r="BB51" i="6"/>
  <c r="BA51" i="6"/>
  <c r="AZ51" i="6"/>
  <c r="AY51" i="6"/>
  <c r="AX51" i="6"/>
  <c r="AW51" i="6"/>
  <c r="AV51" i="6"/>
  <c r="AU51" i="6"/>
  <c r="AT51" i="6"/>
  <c r="AS51" i="6"/>
  <c r="AR51" i="6"/>
  <c r="AQ51" i="6"/>
  <c r="AP51" i="6"/>
  <c r="AO51" i="6"/>
  <c r="AN51" i="6"/>
  <c r="AM51" i="6"/>
  <c r="AL51" i="6"/>
  <c r="AK51" i="6"/>
  <c r="AJ51" i="6"/>
  <c r="AI51" i="6"/>
  <c r="AH51" i="6"/>
  <c r="AG51" i="6"/>
  <c r="AF51" i="6"/>
  <c r="AE51" i="6"/>
  <c r="AD51" i="6"/>
  <c r="AC51" i="6"/>
  <c r="AB51" i="6"/>
  <c r="AA51" i="6"/>
  <c r="Z51" i="6"/>
  <c r="Y51" i="6"/>
  <c r="X51" i="6"/>
  <c r="W51" i="6"/>
  <c r="V51" i="6"/>
  <c r="U51" i="6"/>
  <c r="T51" i="6"/>
  <c r="BI50" i="6"/>
  <c r="H27" i="7" s="1"/>
  <c r="BH50" i="6"/>
  <c r="BG50" i="6"/>
  <c r="BF49" i="6"/>
  <c r="BE49" i="6"/>
  <c r="BD49" i="6"/>
  <c r="BC49" i="6"/>
  <c r="BB49" i="6"/>
  <c r="BA49" i="6"/>
  <c r="AZ49" i="6"/>
  <c r="AY49" i="6"/>
  <c r="AX49" i="6"/>
  <c r="AW49" i="6"/>
  <c r="AV49" i="6"/>
  <c r="AU49" i="6"/>
  <c r="AT49" i="6"/>
  <c r="AS49" i="6"/>
  <c r="AR49" i="6"/>
  <c r="AQ49" i="6"/>
  <c r="AP49" i="6"/>
  <c r="AO49" i="6"/>
  <c r="AN49" i="6"/>
  <c r="AM49" i="6"/>
  <c r="AL49" i="6"/>
  <c r="AK49" i="6"/>
  <c r="AJ49" i="6"/>
  <c r="AI49" i="6"/>
  <c r="AH49" i="6"/>
  <c r="AG49" i="6"/>
  <c r="AF49" i="6"/>
  <c r="AE49" i="6"/>
  <c r="AD49" i="6"/>
  <c r="AC49" i="6"/>
  <c r="AB49" i="6"/>
  <c r="AA49" i="6"/>
  <c r="Z49" i="6"/>
  <c r="Y49" i="6"/>
  <c r="X49" i="6"/>
  <c r="W49" i="6"/>
  <c r="V49" i="6"/>
  <c r="U49" i="6"/>
  <c r="T49" i="6"/>
  <c r="BI48" i="6"/>
  <c r="H26" i="7" s="1"/>
  <c r="BH48" i="6"/>
  <c r="G26" i="7" s="1"/>
  <c r="AX48" i="6"/>
  <c r="AX47" i="6" s="1"/>
  <c r="BF47" i="6"/>
  <c r="BE47" i="6"/>
  <c r="BD47" i="6"/>
  <c r="BC47" i="6"/>
  <c r="BB47" i="6"/>
  <c r="BA47" i="6"/>
  <c r="AZ47" i="6"/>
  <c r="AY47" i="6"/>
  <c r="AW47" i="6"/>
  <c r="AV47" i="6"/>
  <c r="AU47" i="6"/>
  <c r="AT47" i="6"/>
  <c r="AS47" i="6"/>
  <c r="AR47" i="6"/>
  <c r="AQ47" i="6"/>
  <c r="AP47" i="6"/>
  <c r="AO47" i="6"/>
  <c r="AN47" i="6"/>
  <c r="AM47" i="6"/>
  <c r="AL47" i="6"/>
  <c r="AK47" i="6"/>
  <c r="AJ47" i="6"/>
  <c r="AI47" i="6"/>
  <c r="AH47" i="6"/>
  <c r="AG47" i="6"/>
  <c r="AF47" i="6"/>
  <c r="AE47" i="6"/>
  <c r="AD47" i="6"/>
  <c r="AC47" i="6"/>
  <c r="AB47" i="6"/>
  <c r="AA47" i="6"/>
  <c r="Z47" i="6"/>
  <c r="Y47" i="6"/>
  <c r="X47" i="6"/>
  <c r="W47" i="6"/>
  <c r="V47" i="6"/>
  <c r="U47" i="6"/>
  <c r="T47" i="6"/>
  <c r="BI46" i="6"/>
  <c r="BH46" i="6"/>
  <c r="G25" i="7" s="1"/>
  <c r="BG46" i="6"/>
  <c r="BH45" i="6"/>
  <c r="BF45" i="6"/>
  <c r="BE45" i="6"/>
  <c r="BD45" i="6"/>
  <c r="BC45" i="6"/>
  <c r="BB45" i="6"/>
  <c r="BA45" i="6"/>
  <c r="AZ45" i="6"/>
  <c r="AY45" i="6"/>
  <c r="AX45" i="6"/>
  <c r="AW45" i="6"/>
  <c r="AV45" i="6"/>
  <c r="AU45" i="6"/>
  <c r="AT45" i="6"/>
  <c r="AS45" i="6"/>
  <c r="AR45" i="6"/>
  <c r="AQ45" i="6"/>
  <c r="AP45" i="6"/>
  <c r="AO45" i="6"/>
  <c r="AN45" i="6"/>
  <c r="AM45" i="6"/>
  <c r="AL45" i="6"/>
  <c r="AK45" i="6"/>
  <c r="AJ45" i="6"/>
  <c r="AI45" i="6"/>
  <c r="AH45" i="6"/>
  <c r="AG45" i="6"/>
  <c r="AF45" i="6"/>
  <c r="AE45" i="6"/>
  <c r="AD45" i="6"/>
  <c r="AC45" i="6"/>
  <c r="AB45" i="6"/>
  <c r="AA45" i="6"/>
  <c r="Z45" i="6"/>
  <c r="Y45" i="6"/>
  <c r="X45" i="6"/>
  <c r="W45" i="6"/>
  <c r="V45" i="6"/>
  <c r="U45" i="6"/>
  <c r="T45" i="6"/>
  <c r="BI44" i="6"/>
  <c r="H24" i="7" s="1"/>
  <c r="BH44" i="6"/>
  <c r="BG44" i="6"/>
  <c r="BF43" i="6"/>
  <c r="BE43" i="6"/>
  <c r="BD43" i="6"/>
  <c r="BC43" i="6"/>
  <c r="BB43" i="6"/>
  <c r="BA43" i="6"/>
  <c r="AZ43" i="6"/>
  <c r="AY43" i="6"/>
  <c r="AX43" i="6"/>
  <c r="AW43" i="6"/>
  <c r="AV43" i="6"/>
  <c r="AU43" i="6"/>
  <c r="AT43" i="6"/>
  <c r="AS43" i="6"/>
  <c r="AR43" i="6"/>
  <c r="AQ43" i="6"/>
  <c r="AP43" i="6"/>
  <c r="AO43" i="6"/>
  <c r="AN43" i="6"/>
  <c r="AM43" i="6"/>
  <c r="AL43" i="6"/>
  <c r="AK43" i="6"/>
  <c r="AJ43" i="6"/>
  <c r="AI43" i="6"/>
  <c r="AH43" i="6"/>
  <c r="AG43" i="6"/>
  <c r="AF43" i="6"/>
  <c r="AE43" i="6"/>
  <c r="AD43" i="6"/>
  <c r="AC43" i="6"/>
  <c r="AB43" i="6"/>
  <c r="AA43" i="6"/>
  <c r="Z43" i="6"/>
  <c r="Y43" i="6"/>
  <c r="X43" i="6"/>
  <c r="W43" i="6"/>
  <c r="V43" i="6"/>
  <c r="U43" i="6"/>
  <c r="T43" i="6"/>
  <c r="BI42" i="6"/>
  <c r="BH42" i="6"/>
  <c r="BG42" i="6"/>
  <c r="F23" i="7" s="1"/>
  <c r="BF41" i="6"/>
  <c r="BE41" i="6"/>
  <c r="BD41" i="6"/>
  <c r="BC41" i="6"/>
  <c r="BB41" i="6"/>
  <c r="BA41" i="6"/>
  <c r="AZ41" i="6"/>
  <c r="AY41" i="6"/>
  <c r="AX41" i="6"/>
  <c r="AW41" i="6"/>
  <c r="AV41" i="6"/>
  <c r="AU41" i="6"/>
  <c r="AT41" i="6"/>
  <c r="AS41" i="6"/>
  <c r="AR41" i="6"/>
  <c r="AQ41" i="6"/>
  <c r="AP41" i="6"/>
  <c r="AO41" i="6"/>
  <c r="AN41" i="6"/>
  <c r="AM41" i="6"/>
  <c r="AL41" i="6"/>
  <c r="AK41" i="6"/>
  <c r="AJ41" i="6"/>
  <c r="AI41" i="6"/>
  <c r="AH41" i="6"/>
  <c r="AG41" i="6"/>
  <c r="AF41" i="6"/>
  <c r="AE41" i="6"/>
  <c r="AD41" i="6"/>
  <c r="AC41" i="6"/>
  <c r="AB41" i="6"/>
  <c r="AA41" i="6"/>
  <c r="Z41" i="6"/>
  <c r="Y41" i="6"/>
  <c r="X41" i="6"/>
  <c r="W41" i="6"/>
  <c r="V41" i="6"/>
  <c r="U41" i="6"/>
  <c r="T41" i="6"/>
  <c r="AK40" i="6"/>
  <c r="BI37" i="6"/>
  <c r="H21" i="7" s="1"/>
  <c r="BH37" i="6"/>
  <c r="G21" i="7" s="1"/>
  <c r="G19" i="7" s="1"/>
  <c r="BG37" i="6"/>
  <c r="F21" i="7" s="1"/>
  <c r="BI36" i="6"/>
  <c r="BH36" i="6"/>
  <c r="G20" i="7" s="1"/>
  <c r="BG36" i="6"/>
  <c r="F20" i="7" s="1"/>
  <c r="BD35" i="6"/>
  <c r="BD34" i="6" s="1"/>
  <c r="BD33" i="6" s="1"/>
  <c r="BA35" i="6"/>
  <c r="BA34" i="6" s="1"/>
  <c r="BA33" i="6" s="1"/>
  <c r="AZ35" i="6"/>
  <c r="AZ34" i="6" s="1"/>
  <c r="AZ33" i="6" s="1"/>
  <c r="AY35" i="6"/>
  <c r="AY34" i="6" s="1"/>
  <c r="AY33" i="6" s="1"/>
  <c r="AX35" i="6"/>
  <c r="AU35" i="6"/>
  <c r="AU34" i="6" s="1"/>
  <c r="AU33" i="6" s="1"/>
  <c r="AR35" i="6"/>
  <c r="AR34" i="6" s="1"/>
  <c r="AR33" i="6" s="1"/>
  <c r="AO35" i="6"/>
  <c r="AO34" i="6" s="1"/>
  <c r="AO33" i="6" s="1"/>
  <c r="AL35" i="6"/>
  <c r="AL34" i="6" s="1"/>
  <c r="AL33" i="6" s="1"/>
  <c r="AI35" i="6"/>
  <c r="AI34" i="6" s="1"/>
  <c r="AI33" i="6" s="1"/>
  <c r="AF35" i="6"/>
  <c r="AF34" i="6" s="1"/>
  <c r="AF33" i="6" s="1"/>
  <c r="AC35" i="6"/>
  <c r="AC34" i="6" s="1"/>
  <c r="AC33" i="6" s="1"/>
  <c r="Z35" i="6"/>
  <c r="W35" i="6"/>
  <c r="W34" i="6" s="1"/>
  <c r="W33" i="6" s="1"/>
  <c r="T35" i="6"/>
  <c r="T34" i="6" s="1"/>
  <c r="T33" i="6" s="1"/>
  <c r="AX34" i="6"/>
  <c r="AX33" i="6" s="1"/>
  <c r="Z34" i="6"/>
  <c r="Z33" i="6" s="1"/>
  <c r="BI31" i="6"/>
  <c r="BH31" i="6"/>
  <c r="BG31" i="6"/>
  <c r="F18" i="7" s="1"/>
  <c r="BI30" i="6"/>
  <c r="BH30" i="6"/>
  <c r="AX30" i="6"/>
  <c r="BG30" i="6" s="1"/>
  <c r="BI29" i="6"/>
  <c r="BH29" i="6"/>
  <c r="AX29" i="6"/>
  <c r="BG29" i="6" s="1"/>
  <c r="BI28" i="6"/>
  <c r="BH28" i="6"/>
  <c r="BG28" i="6"/>
  <c r="BI27" i="6"/>
  <c r="BH27" i="6"/>
  <c r="BG27" i="6"/>
  <c r="AX27" i="6"/>
  <c r="BI26" i="6"/>
  <c r="BH26" i="6"/>
  <c r="BG26" i="6"/>
  <c r="BI25" i="6"/>
  <c r="BH25" i="6"/>
  <c r="AX25" i="6"/>
  <c r="BG25" i="6" s="1"/>
  <c r="BI24" i="6"/>
  <c r="H16" i="7" s="1"/>
  <c r="BH24" i="6"/>
  <c r="G16" i="7" s="1"/>
  <c r="AX24" i="6"/>
  <c r="BG24" i="6" s="1"/>
  <c r="F16" i="7" s="1"/>
  <c r="BI23" i="6"/>
  <c r="H15" i="7" s="1"/>
  <c r="BH23" i="6"/>
  <c r="G15" i="7" s="1"/>
  <c r="BG23" i="6"/>
  <c r="F15" i="7" s="1"/>
  <c r="BI22" i="6"/>
  <c r="H14" i="7" s="1"/>
  <c r="BH22" i="6"/>
  <c r="G14" i="7" s="1"/>
  <c r="AX22" i="6"/>
  <c r="BG22" i="6" s="1"/>
  <c r="F14" i="7" s="1"/>
  <c r="BI21" i="6"/>
  <c r="BH21" i="6"/>
  <c r="G13" i="7" s="1"/>
  <c r="BG21" i="6"/>
  <c r="F13" i="7" s="1"/>
  <c r="BD20" i="6"/>
  <c r="BA20" i="6"/>
  <c r="AZ20" i="6"/>
  <c r="AZ17" i="6" s="1"/>
  <c r="AZ16" i="6" s="1"/>
  <c r="AY20" i="6"/>
  <c r="AU20" i="6"/>
  <c r="AR20" i="6"/>
  <c r="AO20" i="6"/>
  <c r="AL20" i="6"/>
  <c r="AI20" i="6"/>
  <c r="AF20" i="6"/>
  <c r="AC20" i="6"/>
  <c r="Z20" i="6"/>
  <c r="W20" i="6"/>
  <c r="T20" i="6"/>
  <c r="BI19" i="6"/>
  <c r="H12" i="7" s="1"/>
  <c r="BH19" i="6"/>
  <c r="AX19" i="6"/>
  <c r="BG19" i="6" s="1"/>
  <c r="BD18" i="6"/>
  <c r="BA18" i="6"/>
  <c r="BA17" i="6" s="1"/>
  <c r="BA16" i="6" s="1"/>
  <c r="AZ18" i="6"/>
  <c r="AY18" i="6"/>
  <c r="AU18" i="6"/>
  <c r="AU17" i="6" s="1"/>
  <c r="AU16" i="6" s="1"/>
  <c r="AR18" i="6"/>
  <c r="AO18" i="6"/>
  <c r="AL18" i="6"/>
  <c r="AI18" i="6"/>
  <c r="AI17" i="6" s="1"/>
  <c r="AI16" i="6" s="1"/>
  <c r="AF18" i="6"/>
  <c r="AC18" i="6"/>
  <c r="Z18" i="6"/>
  <c r="W18" i="6"/>
  <c r="W17" i="6" s="1"/>
  <c r="W16" i="6" s="1"/>
  <c r="T18" i="6"/>
  <c r="AR17" i="6"/>
  <c r="AR16" i="6" s="1"/>
  <c r="AF17" i="6"/>
  <c r="AF16" i="6" s="1"/>
  <c r="T17" i="6"/>
  <c r="T16" i="6" s="1"/>
  <c r="BI14" i="6"/>
  <c r="BH14" i="6"/>
  <c r="AX14" i="6"/>
  <c r="BG14" i="6" s="1"/>
  <c r="BD13" i="6"/>
  <c r="BA13" i="6"/>
  <c r="AZ13" i="6"/>
  <c r="AY13" i="6"/>
  <c r="AU13" i="6"/>
  <c r="AR13" i="6"/>
  <c r="AO13" i="6"/>
  <c r="AL13" i="6"/>
  <c r="AI13" i="6"/>
  <c r="AF13" i="6"/>
  <c r="AC13" i="6"/>
  <c r="Z13" i="6"/>
  <c r="W13" i="6"/>
  <c r="T13" i="6"/>
  <c r="BI12" i="6"/>
  <c r="H9" i="7" s="1"/>
  <c r="BH12" i="6"/>
  <c r="G9" i="7" s="1"/>
  <c r="BG12" i="6"/>
  <c r="F9" i="7" s="1"/>
  <c r="BI11" i="6"/>
  <c r="BH11" i="6"/>
  <c r="G8" i="7" s="1"/>
  <c r="BG11" i="6"/>
  <c r="BD10" i="6"/>
  <c r="BD9" i="6" s="1"/>
  <c r="BD8" i="6" s="1"/>
  <c r="BA10" i="6"/>
  <c r="BA9" i="6" s="1"/>
  <c r="BA8" i="6" s="1"/>
  <c r="AZ10" i="6"/>
  <c r="AZ9" i="6" s="1"/>
  <c r="AZ8" i="6" s="1"/>
  <c r="AY10" i="6"/>
  <c r="AX10" i="6"/>
  <c r="AU10" i="6"/>
  <c r="AU9" i="6" s="1"/>
  <c r="AU8" i="6" s="1"/>
  <c r="AR10" i="6"/>
  <c r="AO10" i="6"/>
  <c r="AL10" i="6"/>
  <c r="AI10" i="6"/>
  <c r="AI9" i="6" s="1"/>
  <c r="AI8" i="6" s="1"/>
  <c r="AF10" i="6"/>
  <c r="AC10" i="6"/>
  <c r="Z10" i="6"/>
  <c r="W10" i="6"/>
  <c r="W9" i="6" s="1"/>
  <c r="W8" i="6" s="1"/>
  <c r="T10" i="6"/>
  <c r="Z9" i="6"/>
  <c r="Z8" i="6" s="1"/>
  <c r="F173" i="7" l="1"/>
  <c r="BG375" i="6"/>
  <c r="BG366" i="6" s="1"/>
  <c r="BG365" i="6" s="1"/>
  <c r="C17" i="5" s="1"/>
  <c r="AU347" i="6"/>
  <c r="T9" i="6"/>
  <c r="T8" i="6" s="1"/>
  <c r="AF9" i="6"/>
  <c r="AF8" i="6" s="1"/>
  <c r="AR9" i="6"/>
  <c r="AR8" i="6" s="1"/>
  <c r="AC9" i="6"/>
  <c r="AC8" i="6" s="1"/>
  <c r="AO9" i="6"/>
  <c r="AO8" i="6" s="1"/>
  <c r="BH59" i="6"/>
  <c r="H35" i="7"/>
  <c r="BH74" i="6"/>
  <c r="T81" i="6"/>
  <c r="T80" i="6" s="1"/>
  <c r="AB81" i="6"/>
  <c r="AB80" i="6" s="1"/>
  <c r="AJ81" i="6"/>
  <c r="AJ80" i="6" s="1"/>
  <c r="AR81" i="6"/>
  <c r="AR80" i="6" s="1"/>
  <c r="AX111" i="6"/>
  <c r="AX110" i="6" s="1"/>
  <c r="BI120" i="6"/>
  <c r="T119" i="6"/>
  <c r="T118" i="6" s="1"/>
  <c r="G62" i="7"/>
  <c r="G70" i="7"/>
  <c r="H93" i="7"/>
  <c r="AR234" i="6"/>
  <c r="F147" i="7"/>
  <c r="T347" i="6"/>
  <c r="AF347" i="6"/>
  <c r="BH352" i="6"/>
  <c r="H167" i="7"/>
  <c r="BI375" i="6"/>
  <c r="H174" i="7"/>
  <c r="W379" i="6"/>
  <c r="BG386" i="6"/>
  <c r="F178" i="7"/>
  <c r="F179" i="7"/>
  <c r="BG399" i="6"/>
  <c r="BG398" i="6" s="1"/>
  <c r="BG397" i="6" s="1"/>
  <c r="F182" i="7"/>
  <c r="F181" i="7" s="1"/>
  <c r="BH399" i="6"/>
  <c r="BH398" i="6" s="1"/>
  <c r="BH397" i="6" s="1"/>
  <c r="W205" i="6"/>
  <c r="W204" i="6" s="1"/>
  <c r="BG229" i="6"/>
  <c r="AL9" i="6"/>
  <c r="AL8" i="6" s="1"/>
  <c r="AX18" i="6"/>
  <c r="BD17" i="6"/>
  <c r="BD16" i="6" s="1"/>
  <c r="BG48" i="6"/>
  <c r="BB53" i="6"/>
  <c r="BF53" i="6"/>
  <c r="AM53" i="6"/>
  <c r="AM39" i="6" s="1"/>
  <c r="AQ53" i="6"/>
  <c r="AU53" i="6"/>
  <c r="AY53" i="6"/>
  <c r="BC53" i="6"/>
  <c r="G43" i="7"/>
  <c r="BG90" i="6"/>
  <c r="G56" i="7"/>
  <c r="G63" i="7"/>
  <c r="G65" i="7"/>
  <c r="BI142" i="6"/>
  <c r="AX206" i="6"/>
  <c r="AX205" i="6" s="1"/>
  <c r="AX204" i="6" s="1"/>
  <c r="BG212" i="6"/>
  <c r="F95" i="7" s="1"/>
  <c r="H97" i="7"/>
  <c r="F102" i="7"/>
  <c r="Z205" i="6"/>
  <c r="Z204" i="6" s="1"/>
  <c r="AF205" i="6"/>
  <c r="AF204" i="6" s="1"/>
  <c r="AN205" i="6"/>
  <c r="AN204" i="6" s="1"/>
  <c r="F122" i="7"/>
  <c r="G126" i="7"/>
  <c r="AM280" i="6"/>
  <c r="AM279" i="6" s="1"/>
  <c r="AQ280" i="6"/>
  <c r="AQ279" i="6" s="1"/>
  <c r="AU280" i="6"/>
  <c r="AU279" i="6" s="1"/>
  <c r="AZ280" i="6"/>
  <c r="AZ279" i="6" s="1"/>
  <c r="H135" i="7"/>
  <c r="G136" i="7"/>
  <c r="F141" i="7"/>
  <c r="T280" i="6"/>
  <c r="T279" i="6" s="1"/>
  <c r="AF280" i="6"/>
  <c r="AF279" i="6" s="1"/>
  <c r="AN280" i="6"/>
  <c r="AN279" i="6" s="1"/>
  <c r="AV280" i="6"/>
  <c r="AV279" i="6" s="1"/>
  <c r="H149" i="7"/>
  <c r="G151" i="7"/>
  <c r="AI338" i="6"/>
  <c r="AX360" i="6"/>
  <c r="AX359" i="6" s="1"/>
  <c r="F168" i="7"/>
  <c r="F167" i="7" s="1"/>
  <c r="H179" i="7"/>
  <c r="H182" i="7"/>
  <c r="H181" i="7" s="1"/>
  <c r="W347" i="6"/>
  <c r="AY9" i="6"/>
  <c r="AY8" i="6" s="1"/>
  <c r="U40" i="6"/>
  <c r="AC40" i="6"/>
  <c r="AS40" i="6"/>
  <c r="BA40" i="6"/>
  <c r="V53" i="6"/>
  <c r="Z53" i="6"/>
  <c r="AD53" i="6"/>
  <c r="AH53" i="6"/>
  <c r="AL53" i="6"/>
  <c r="AP53" i="6"/>
  <c r="AT53" i="6"/>
  <c r="BH54" i="6"/>
  <c r="BH53" i="6" s="1"/>
  <c r="BD53" i="6"/>
  <c r="BH56" i="6"/>
  <c r="V58" i="6"/>
  <c r="AD58" i="6"/>
  <c r="AL58" i="6"/>
  <c r="AT58" i="6"/>
  <c r="AX59" i="6"/>
  <c r="BB58" i="6"/>
  <c r="W58" i="6"/>
  <c r="AE58" i="6"/>
  <c r="AM58" i="6"/>
  <c r="AU58" i="6"/>
  <c r="AU39" i="6" s="1"/>
  <c r="BC58" i="6"/>
  <c r="BG61" i="6"/>
  <c r="BG74" i="6"/>
  <c r="AE81" i="6"/>
  <c r="AU81" i="6"/>
  <c r="AU80" i="6" s="1"/>
  <c r="BI82" i="6"/>
  <c r="BC81" i="6"/>
  <c r="BH86" i="6"/>
  <c r="H56" i="7"/>
  <c r="T132" i="6"/>
  <c r="T131" i="6" s="1"/>
  <c r="AR132" i="6"/>
  <c r="AR131" i="6" s="1"/>
  <c r="G74" i="7"/>
  <c r="BI172" i="6"/>
  <c r="BH193" i="6"/>
  <c r="F107" i="7"/>
  <c r="AR270" i="6"/>
  <c r="G148" i="7"/>
  <c r="H151" i="7"/>
  <c r="AC348" i="6"/>
  <c r="AC347" i="6" s="1"/>
  <c r="G168" i="7"/>
  <c r="G167" i="7" s="1"/>
  <c r="F170" i="7"/>
  <c r="BH381" i="6"/>
  <c r="T385" i="6"/>
  <c r="AF385" i="6"/>
  <c r="AF379" i="6" s="1"/>
  <c r="AF404" i="6" s="1"/>
  <c r="AR385" i="6"/>
  <c r="BD385" i="6"/>
  <c r="BD379" i="6" s="1"/>
  <c r="BI394" i="6"/>
  <c r="BI393" i="6" s="1"/>
  <c r="H180" i="7"/>
  <c r="BH394" i="6"/>
  <c r="BH393" i="6" s="1"/>
  <c r="G179" i="7"/>
  <c r="BH386" i="6"/>
  <c r="G178" i="7"/>
  <c r="G175" i="7" s="1"/>
  <c r="G183" i="7" s="1"/>
  <c r="BI386" i="6"/>
  <c r="BI381" i="6"/>
  <c r="H176" i="7"/>
  <c r="H175" i="7" s="1"/>
  <c r="H183" i="7" s="1"/>
  <c r="G140" i="7"/>
  <c r="AG280" i="6"/>
  <c r="AG279" i="6" s="1"/>
  <c r="AJ280" i="6"/>
  <c r="AJ279" i="6" s="1"/>
  <c r="AE80" i="6"/>
  <c r="BC80" i="6"/>
  <c r="BG13" i="6"/>
  <c r="F10" i="7"/>
  <c r="BH18" i="6"/>
  <c r="G12" i="7"/>
  <c r="BH20" i="6"/>
  <c r="BH41" i="6"/>
  <c r="G23" i="7"/>
  <c r="BH47" i="6"/>
  <c r="BI54" i="6"/>
  <c r="H29" i="7"/>
  <c r="BI59" i="6"/>
  <c r="H31" i="7"/>
  <c r="AM80" i="6"/>
  <c r="BI10" i="6"/>
  <c r="H8" i="7"/>
  <c r="BH13" i="6"/>
  <c r="G10" i="7"/>
  <c r="G7" i="7" s="1"/>
  <c r="Z17" i="6"/>
  <c r="Z16" i="6" s="1"/>
  <c r="AL17" i="6"/>
  <c r="AL16" i="6" s="1"/>
  <c r="F17" i="7"/>
  <c r="BI41" i="6"/>
  <c r="H23" i="7"/>
  <c r="BI43" i="6"/>
  <c r="BI47" i="6"/>
  <c r="T40" i="6"/>
  <c r="AB40" i="6"/>
  <c r="AJ40" i="6"/>
  <c r="AV40" i="6"/>
  <c r="BD40" i="6"/>
  <c r="X53" i="6"/>
  <c r="AN53" i="6"/>
  <c r="BH76" i="6"/>
  <c r="BH73" i="6" s="1"/>
  <c r="G37" i="7"/>
  <c r="BI86" i="6"/>
  <c r="BG88" i="6"/>
  <c r="F42" i="7"/>
  <c r="H43" i="7"/>
  <c r="BG96" i="6"/>
  <c r="F44" i="7"/>
  <c r="BG45" i="6"/>
  <c r="F25" i="7"/>
  <c r="BI49" i="6"/>
  <c r="X40" i="6"/>
  <c r="AF40" i="6"/>
  <c r="AN40" i="6"/>
  <c r="AN39" i="6" s="1"/>
  <c r="AR40" i="6"/>
  <c r="AZ40" i="6"/>
  <c r="BI51" i="6"/>
  <c r="AF53" i="6"/>
  <c r="AV53" i="6"/>
  <c r="BF58" i="6"/>
  <c r="BH82" i="6"/>
  <c r="G39" i="7"/>
  <c r="BH98" i="6"/>
  <c r="G45" i="7"/>
  <c r="G48" i="7"/>
  <c r="BH127" i="6"/>
  <c r="G59" i="7"/>
  <c r="G54" i="7" s="1"/>
  <c r="BH163" i="6"/>
  <c r="G73" i="7"/>
  <c r="BI168" i="6"/>
  <c r="H75" i="7"/>
  <c r="BH206" i="6"/>
  <c r="BH205" i="6" s="1"/>
  <c r="BH204" i="6" s="1"/>
  <c r="AF234" i="6"/>
  <c r="AF233" i="6" s="1"/>
  <c r="AZ234" i="6"/>
  <c r="AZ233" i="6" s="1"/>
  <c r="BH10" i="6"/>
  <c r="BI13" i="6"/>
  <c r="H10" i="7"/>
  <c r="AC17" i="6"/>
  <c r="AC16" i="6" s="1"/>
  <c r="AO17" i="6"/>
  <c r="AO16" i="6" s="1"/>
  <c r="AY17" i="6"/>
  <c r="AY16" i="6" s="1"/>
  <c r="BI18" i="6"/>
  <c r="G17" i="7"/>
  <c r="BG35" i="6"/>
  <c r="BG34" i="6" s="1"/>
  <c r="BG33" i="6" s="1"/>
  <c r="BI35" i="6"/>
  <c r="BI34" i="6" s="1"/>
  <c r="BI33" i="6" s="1"/>
  <c r="H20" i="7"/>
  <c r="H19" i="7" s="1"/>
  <c r="W40" i="6"/>
  <c r="AA40" i="6"/>
  <c r="AE40" i="6"/>
  <c r="AI40" i="6"/>
  <c r="AI39" i="6" s="1"/>
  <c r="AM40" i="6"/>
  <c r="AQ40" i="6"/>
  <c r="AU40" i="6"/>
  <c r="AY40" i="6"/>
  <c r="AY39" i="6" s="1"/>
  <c r="BC40" i="6"/>
  <c r="BC39" i="6" s="1"/>
  <c r="BG41" i="6"/>
  <c r="BG43" i="6"/>
  <c r="F24" i="7"/>
  <c r="BG49" i="6"/>
  <c r="F27" i="7"/>
  <c r="BG51" i="6"/>
  <c r="F28" i="7"/>
  <c r="BG54" i="6"/>
  <c r="BG53" i="6" s="1"/>
  <c r="F29" i="7"/>
  <c r="BG59" i="6"/>
  <c r="F31" i="7"/>
  <c r="BH61" i="6"/>
  <c r="G32" i="7"/>
  <c r="Z58" i="6"/>
  <c r="AH58" i="6"/>
  <c r="AP58" i="6"/>
  <c r="BH63" i="6"/>
  <c r="BG65" i="6"/>
  <c r="BI65" i="6"/>
  <c r="BI58" i="6" s="1"/>
  <c r="H34" i="7"/>
  <c r="BG67" i="6"/>
  <c r="F35" i="7"/>
  <c r="BI76" i="6"/>
  <c r="H37" i="7"/>
  <c r="BI84" i="6"/>
  <c r="BG86" i="6"/>
  <c r="F41" i="7"/>
  <c r="BH96" i="6"/>
  <c r="G44" i="7"/>
  <c r="BI103" i="6"/>
  <c r="H48" i="7"/>
  <c r="F49" i="7"/>
  <c r="F51" i="7"/>
  <c r="H52" i="7"/>
  <c r="AX120" i="6"/>
  <c r="AX119" i="6" s="1"/>
  <c r="AX118" i="6" s="1"/>
  <c r="H55" i="7"/>
  <c r="BG124" i="6"/>
  <c r="BG120" i="6" s="1"/>
  <c r="BG119" i="6" s="1"/>
  <c r="BG118" i="6" s="1"/>
  <c r="H59" i="7"/>
  <c r="H63" i="7"/>
  <c r="AY132" i="6"/>
  <c r="AY131" i="6" s="1"/>
  <c r="BC132" i="6"/>
  <c r="BC131" i="6" s="1"/>
  <c r="H65" i="7"/>
  <c r="T149" i="6"/>
  <c r="AR149" i="6"/>
  <c r="AZ149" i="6"/>
  <c r="G67" i="7"/>
  <c r="G69" i="7"/>
  <c r="G71" i="7"/>
  <c r="F79" i="7"/>
  <c r="BG177" i="6"/>
  <c r="BG201" i="6"/>
  <c r="F91" i="7"/>
  <c r="BI240" i="6"/>
  <c r="BH276" i="6"/>
  <c r="BH275" i="6" s="1"/>
  <c r="G132" i="7"/>
  <c r="BH307" i="6"/>
  <c r="G142" i="7"/>
  <c r="BG327" i="6"/>
  <c r="F148" i="7" s="1"/>
  <c r="AX307" i="6"/>
  <c r="BG349" i="6"/>
  <c r="F160" i="7"/>
  <c r="Z348" i="6"/>
  <c r="AL348" i="6"/>
  <c r="AX348" i="6"/>
  <c r="BA347" i="6"/>
  <c r="AI347" i="6"/>
  <c r="AL366" i="6"/>
  <c r="AL365" i="6" s="1"/>
  <c r="AL404" i="6" s="1"/>
  <c r="Z379" i="6"/>
  <c r="AX379" i="6"/>
  <c r="AR379" i="6"/>
  <c r="Z404" i="6"/>
  <c r="AE39" i="6"/>
  <c r="W80" i="6"/>
  <c r="BH84" i="6"/>
  <c r="G40" i="7"/>
  <c r="BG98" i="6"/>
  <c r="F45" i="7"/>
  <c r="BG10" i="6"/>
  <c r="F8" i="7"/>
  <c r="AX13" i="6"/>
  <c r="AX9" i="6" s="1"/>
  <c r="AX8" i="6" s="1"/>
  <c r="BG18" i="6"/>
  <c r="F12" i="7"/>
  <c r="BI20" i="6"/>
  <c r="H13" i="7"/>
  <c r="H17" i="7"/>
  <c r="BH35" i="6"/>
  <c r="BH34" i="6" s="1"/>
  <c r="BH33" i="6" s="1"/>
  <c r="F19" i="7"/>
  <c r="Y40" i="6"/>
  <c r="AG40" i="6"/>
  <c r="AO40" i="6"/>
  <c r="AW40" i="6"/>
  <c r="BE40" i="6"/>
  <c r="BH43" i="6"/>
  <c r="G24" i="7"/>
  <c r="BI45" i="6"/>
  <c r="H25" i="7"/>
  <c r="BH49" i="6"/>
  <c r="G27" i="7"/>
  <c r="BI61" i="6"/>
  <c r="H32" i="7"/>
  <c r="BH65" i="6"/>
  <c r="G35" i="7"/>
  <c r="X81" i="6"/>
  <c r="X80" i="6" s="1"/>
  <c r="AF81" i="6"/>
  <c r="AF80" i="6" s="1"/>
  <c r="AN81" i="6"/>
  <c r="AN80" i="6" s="1"/>
  <c r="AV81" i="6"/>
  <c r="AV80" i="6" s="1"/>
  <c r="BD81" i="6"/>
  <c r="BD80" i="6" s="1"/>
  <c r="BG84" i="6"/>
  <c r="F40" i="7"/>
  <c r="BI88" i="6"/>
  <c r="H42" i="7"/>
  <c r="AA81" i="6"/>
  <c r="AA80" i="6" s="1"/>
  <c r="AI81" i="6"/>
  <c r="AI80" i="6" s="1"/>
  <c r="AQ81" i="6"/>
  <c r="AQ80" i="6" s="1"/>
  <c r="AY81" i="6"/>
  <c r="AY80" i="6" s="1"/>
  <c r="F43" i="7"/>
  <c r="BI96" i="6"/>
  <c r="H44" i="7"/>
  <c r="BI98" i="6"/>
  <c r="BH103" i="6"/>
  <c r="BH111" i="6"/>
  <c r="BH110" i="6" s="1"/>
  <c r="G51" i="7"/>
  <c r="BG111" i="6"/>
  <c r="BG110" i="6" s="1"/>
  <c r="W132" i="6"/>
  <c r="W131" i="6" s="1"/>
  <c r="G60" i="7"/>
  <c r="AC132" i="6"/>
  <c r="AC131" i="6" s="1"/>
  <c r="BH174" i="6"/>
  <c r="G78" i="7"/>
  <c r="BH177" i="6"/>
  <c r="G79" i="7"/>
  <c r="BG181" i="6"/>
  <c r="F80" i="7"/>
  <c r="BH189" i="6"/>
  <c r="G85" i="7"/>
  <c r="F89" i="7"/>
  <c r="BG198" i="6"/>
  <c r="BH201" i="6"/>
  <c r="G91" i="7"/>
  <c r="BG240" i="6"/>
  <c r="F109" i="7"/>
  <c r="BG273" i="6"/>
  <c r="F131" i="7"/>
  <c r="BH281" i="6"/>
  <c r="G134" i="7"/>
  <c r="BI281" i="6"/>
  <c r="G156" i="7"/>
  <c r="BH338" i="6"/>
  <c r="G164" i="7"/>
  <c r="BH360" i="6"/>
  <c r="BH359" i="6" s="1"/>
  <c r="BH380" i="6"/>
  <c r="BH383" i="6"/>
  <c r="BI56" i="6"/>
  <c r="H30" i="7"/>
  <c r="BG63" i="6"/>
  <c r="F33" i="7"/>
  <c r="BI74" i="6"/>
  <c r="H36" i="7"/>
  <c r="BG76" i="6"/>
  <c r="F37" i="7"/>
  <c r="BG82" i="6"/>
  <c r="F39" i="7"/>
  <c r="AZ81" i="6"/>
  <c r="AZ80" i="6" s="1"/>
  <c r="BG103" i="6"/>
  <c r="F48" i="7"/>
  <c r="BI106" i="6"/>
  <c r="H49" i="7"/>
  <c r="H51" i="7"/>
  <c r="F52" i="7"/>
  <c r="F55" i="7"/>
  <c r="F59" i="7"/>
  <c r="H62" i="7"/>
  <c r="F63" i="7"/>
  <c r="F73" i="7"/>
  <c r="BG163" i="6"/>
  <c r="BI165" i="6"/>
  <c r="H74" i="7"/>
  <c r="BH168" i="6"/>
  <c r="G75" i="7"/>
  <c r="BG173" i="6"/>
  <c r="AX172" i="6"/>
  <c r="AX149" i="6" s="1"/>
  <c r="BI174" i="6"/>
  <c r="H78" i="7"/>
  <c r="BH181" i="6"/>
  <c r="G80" i="7"/>
  <c r="G82" i="7"/>
  <c r="BI189" i="6"/>
  <c r="H85" i="7"/>
  <c r="AC180" i="6"/>
  <c r="AO180" i="6"/>
  <c r="AO148" i="6" s="1"/>
  <c r="AY180" i="6"/>
  <c r="BI191" i="6"/>
  <c r="BG193" i="6"/>
  <c r="F87" i="7"/>
  <c r="BH198" i="6"/>
  <c r="G89" i="7"/>
  <c r="BA197" i="6"/>
  <c r="BA196" i="6" s="1"/>
  <c r="G97" i="7"/>
  <c r="AE205" i="6"/>
  <c r="AE204" i="6" s="1"/>
  <c r="AI205" i="6"/>
  <c r="AI204" i="6" s="1"/>
  <c r="AM205" i="6"/>
  <c r="AM204" i="6" s="1"/>
  <c r="AQ205" i="6"/>
  <c r="AQ204" i="6" s="1"/>
  <c r="AU205" i="6"/>
  <c r="AU204" i="6" s="1"/>
  <c r="AY205" i="6"/>
  <c r="AY204" i="6" s="1"/>
  <c r="BC205" i="6"/>
  <c r="BC204" i="6" s="1"/>
  <c r="BG235" i="6"/>
  <c r="F108" i="7"/>
  <c r="BG238" i="6"/>
  <c r="G128" i="7"/>
  <c r="BH267" i="6"/>
  <c r="F157" i="7"/>
  <c r="AO379" i="6"/>
  <c r="AX404" i="6"/>
  <c r="BG249" i="6"/>
  <c r="F116" i="7"/>
  <c r="F120" i="7"/>
  <c r="BH257" i="6"/>
  <c r="BH234" i="6" s="1"/>
  <c r="G122" i="7"/>
  <c r="H126" i="7"/>
  <c r="BI267" i="6"/>
  <c r="H128" i="7"/>
  <c r="AO233" i="6"/>
  <c r="BG271" i="6"/>
  <c r="F130" i="7"/>
  <c r="AI270" i="6"/>
  <c r="AU270" i="6"/>
  <c r="BA270" i="6"/>
  <c r="BH273" i="6"/>
  <c r="G131" i="7"/>
  <c r="BI276" i="6"/>
  <c r="BI275" i="6" s="1"/>
  <c r="H132" i="7"/>
  <c r="BE280" i="6"/>
  <c r="BE279" i="6" s="1"/>
  <c r="H136" i="7"/>
  <c r="F137" i="7"/>
  <c r="H140" i="7"/>
  <c r="G141" i="7"/>
  <c r="BI307" i="6"/>
  <c r="H142" i="7"/>
  <c r="F143" i="7"/>
  <c r="G145" i="7"/>
  <c r="F146" i="7"/>
  <c r="H147" i="7"/>
  <c r="F149" i="7"/>
  <c r="BI338" i="6"/>
  <c r="H156" i="7"/>
  <c r="G160" i="7"/>
  <c r="AO347" i="6"/>
  <c r="BH355" i="6"/>
  <c r="G162" i="7"/>
  <c r="H164" i="7"/>
  <c r="AC379" i="6"/>
  <c r="BG388" i="6"/>
  <c r="BG385" i="6" s="1"/>
  <c r="BH388" i="6"/>
  <c r="BH385" i="6" s="1"/>
  <c r="AO132" i="6"/>
  <c r="AO131" i="6" s="1"/>
  <c r="BH142" i="6"/>
  <c r="Z149" i="6"/>
  <c r="AL149" i="6"/>
  <c r="BD149" i="6"/>
  <c r="H67" i="7"/>
  <c r="H69" i="7"/>
  <c r="F70" i="7"/>
  <c r="H71" i="7"/>
  <c r="BI163" i="6"/>
  <c r="H73" i="7"/>
  <c r="BG165" i="6"/>
  <c r="F74" i="7"/>
  <c r="BG170" i="6"/>
  <c r="F76" i="7"/>
  <c r="BH172" i="6"/>
  <c r="G77" i="7"/>
  <c r="H79" i="7"/>
  <c r="AZ180" i="6"/>
  <c r="H82" i="7"/>
  <c r="BH183" i="6"/>
  <c r="G84" i="7"/>
  <c r="BG191" i="6"/>
  <c r="F86" i="7"/>
  <c r="H88" i="7"/>
  <c r="G93" i="7"/>
  <c r="BH235" i="6"/>
  <c r="G107" i="7"/>
  <c r="AC234" i="6"/>
  <c r="AC233" i="6" s="1"/>
  <c r="AY234" i="6"/>
  <c r="BH240" i="6"/>
  <c r="G109" i="7"/>
  <c r="G120" i="7"/>
  <c r="H122" i="7"/>
  <c r="BH271" i="6"/>
  <c r="G130" i="7"/>
  <c r="G137" i="7"/>
  <c r="H141" i="7"/>
  <c r="Z280" i="6"/>
  <c r="Z279" i="6" s="1"/>
  <c r="AH280" i="6"/>
  <c r="AH279" i="6" s="1"/>
  <c r="AL280" i="6"/>
  <c r="AL279" i="6" s="1"/>
  <c r="AP280" i="6"/>
  <c r="AP279" i="6" s="1"/>
  <c r="AT280" i="6"/>
  <c r="AT279" i="6" s="1"/>
  <c r="BB280" i="6"/>
  <c r="BB279" i="6" s="1"/>
  <c r="G143" i="7"/>
  <c r="F144" i="7"/>
  <c r="H145" i="7"/>
  <c r="G146" i="7"/>
  <c r="G149" i="7"/>
  <c r="F151" i="7"/>
  <c r="H160" i="7"/>
  <c r="BH357" i="6"/>
  <c r="G163" i="7"/>
  <c r="BG384" i="6"/>
  <c r="AX133" i="6"/>
  <c r="BI150" i="6"/>
  <c r="AC149" i="6"/>
  <c r="AY149" i="6"/>
  <c r="BG168" i="6"/>
  <c r="F75" i="7"/>
  <c r="BH170" i="6"/>
  <c r="G76" i="7"/>
  <c r="BG174" i="6"/>
  <c r="F78" i="7"/>
  <c r="BI181" i="6"/>
  <c r="T180" i="6"/>
  <c r="AF180" i="6"/>
  <c r="AR180" i="6"/>
  <c r="AR148" i="6" s="1"/>
  <c r="BG189" i="6"/>
  <c r="F85" i="7"/>
  <c r="BH191" i="6"/>
  <c r="G86" i="7"/>
  <c r="BI193" i="6"/>
  <c r="H87" i="7"/>
  <c r="BI201" i="6"/>
  <c r="H92" i="7"/>
  <c r="BG209" i="6"/>
  <c r="F94" i="7"/>
  <c r="F97" i="7"/>
  <c r="T234" i="6"/>
  <c r="T233" i="6" s="1"/>
  <c r="Z234" i="6"/>
  <c r="Z233" i="6" s="1"/>
  <c r="AL234" i="6"/>
  <c r="AL233" i="6" s="1"/>
  <c r="AX234" i="6"/>
  <c r="AX233" i="6" s="1"/>
  <c r="BD234" i="6"/>
  <c r="BD233" i="6" s="1"/>
  <c r="H109" i="7"/>
  <c r="H120" i="7"/>
  <c r="BI257" i="6"/>
  <c r="F126" i="7"/>
  <c r="BG267" i="6"/>
  <c r="F128" i="7"/>
  <c r="BI271" i="6"/>
  <c r="H130" i="7"/>
  <c r="BI273" i="6"/>
  <c r="BG276" i="6"/>
  <c r="BG275" i="6" s="1"/>
  <c r="F132" i="7"/>
  <c r="G135" i="7"/>
  <c r="F136" i="7"/>
  <c r="H137" i="7"/>
  <c r="F140" i="7"/>
  <c r="H143" i="7"/>
  <c r="F156" i="7"/>
  <c r="BD338" i="6"/>
  <c r="BD280" i="6" s="1"/>
  <c r="BD279" i="6" s="1"/>
  <c r="BI349" i="6"/>
  <c r="BG352" i="6"/>
  <c r="BI352" i="6"/>
  <c r="H161" i="7"/>
  <c r="BI357" i="6"/>
  <c r="BI354" i="6" s="1"/>
  <c r="H163" i="7"/>
  <c r="BG360" i="6"/>
  <c r="BG359" i="6" s="1"/>
  <c r="F164" i="7"/>
  <c r="BI388" i="6"/>
  <c r="AR404" i="6"/>
  <c r="BD404" i="6"/>
  <c r="BI183" i="6"/>
  <c r="AY148" i="6"/>
  <c r="BH90" i="6"/>
  <c r="BH81" i="6" s="1"/>
  <c r="BG9" i="6"/>
  <c r="BG8" i="6" s="1"/>
  <c r="BG20" i="6"/>
  <c r="BH9" i="6"/>
  <c r="BH8" i="6" s="1"/>
  <c r="W39" i="6"/>
  <c r="AA39" i="6"/>
  <c r="AQ39" i="6"/>
  <c r="V40" i="6"/>
  <c r="V39" i="6" s="1"/>
  <c r="Z40" i="6"/>
  <c r="Z39" i="6" s="1"/>
  <c r="AD40" i="6"/>
  <c r="AD39" i="6" s="1"/>
  <c r="AH40" i="6"/>
  <c r="AL40" i="6"/>
  <c r="AL39" i="6" s="1"/>
  <c r="AP40" i="6"/>
  <c r="AP39" i="6" s="1"/>
  <c r="AT40" i="6"/>
  <c r="AT39" i="6" s="1"/>
  <c r="AX40" i="6"/>
  <c r="BB40" i="6"/>
  <c r="BF40" i="6"/>
  <c r="BF39" i="6" s="1"/>
  <c r="AX54" i="6"/>
  <c r="AX53" i="6" s="1"/>
  <c r="BG73" i="6"/>
  <c r="V81" i="6"/>
  <c r="V80" i="6" s="1"/>
  <c r="Z81" i="6"/>
  <c r="Z80" i="6" s="1"/>
  <c r="AD81" i="6"/>
  <c r="AD80" i="6" s="1"/>
  <c r="AH81" i="6"/>
  <c r="AH80" i="6" s="1"/>
  <c r="AL81" i="6"/>
  <c r="AL80" i="6" s="1"/>
  <c r="AP81" i="6"/>
  <c r="AP80" i="6" s="1"/>
  <c r="AT81" i="6"/>
  <c r="AT80" i="6" s="1"/>
  <c r="BB81" i="6"/>
  <c r="BB80" i="6" s="1"/>
  <c r="BF81" i="6"/>
  <c r="BF80" i="6" s="1"/>
  <c r="BH102" i="6"/>
  <c r="BH120" i="6"/>
  <c r="BH119" i="6" s="1"/>
  <c r="BH118" i="6" s="1"/>
  <c r="BH133" i="6"/>
  <c r="AC404" i="6"/>
  <c r="U39" i="6"/>
  <c r="BG102" i="6"/>
  <c r="T58" i="6"/>
  <c r="T39" i="6" s="1"/>
  <c r="X58" i="6"/>
  <c r="AB58" i="6"/>
  <c r="AB39" i="6" s="1"/>
  <c r="AF58" i="6"/>
  <c r="AJ58" i="6"/>
  <c r="AJ39" i="6" s="1"/>
  <c r="AN58" i="6"/>
  <c r="AR58" i="6"/>
  <c r="AR39" i="6" s="1"/>
  <c r="AV58" i="6"/>
  <c r="AZ58" i="6"/>
  <c r="AZ39" i="6" s="1"/>
  <c r="BD58" i="6"/>
  <c r="BD39" i="6" s="1"/>
  <c r="BH67" i="6"/>
  <c r="BH58" i="6" s="1"/>
  <c r="BI90" i="6"/>
  <c r="BI127" i="6"/>
  <c r="BI119" i="6" s="1"/>
  <c r="BI118" i="6" s="1"/>
  <c r="BG143" i="6"/>
  <c r="AX142" i="6"/>
  <c r="AX132" i="6" s="1"/>
  <c r="AX131" i="6" s="1"/>
  <c r="AY233" i="6"/>
  <c r="AX20" i="6"/>
  <c r="AX17" i="6" s="1"/>
  <c r="AX16" i="6" s="1"/>
  <c r="U58" i="6"/>
  <c r="Y58" i="6"/>
  <c r="Y39" i="6" s="1"/>
  <c r="AC58" i="6"/>
  <c r="AC39" i="6" s="1"/>
  <c r="AG58" i="6"/>
  <c r="AK58" i="6"/>
  <c r="AK39" i="6" s="1"/>
  <c r="AO58" i="6"/>
  <c r="AS58" i="6"/>
  <c r="AS39" i="6" s="1"/>
  <c r="AW58" i="6"/>
  <c r="AW39" i="6" s="1"/>
  <c r="BA58" i="6"/>
  <c r="BE58" i="6"/>
  <c r="BE39" i="6" s="1"/>
  <c r="AX63" i="6"/>
  <c r="AX58" i="6" s="1"/>
  <c r="BI67" i="6"/>
  <c r="U81" i="6"/>
  <c r="U80" i="6" s="1"/>
  <c r="Y81" i="6"/>
  <c r="Y80" i="6" s="1"/>
  <c r="AC81" i="6"/>
  <c r="AC80" i="6" s="1"/>
  <c r="AG81" i="6"/>
  <c r="AG80" i="6" s="1"/>
  <c r="AK81" i="6"/>
  <c r="AK80" i="6" s="1"/>
  <c r="AO81" i="6"/>
  <c r="AO80" i="6" s="1"/>
  <c r="AS81" i="6"/>
  <c r="AS80" i="6" s="1"/>
  <c r="AW81" i="6"/>
  <c r="AW80" i="6" s="1"/>
  <c r="BA81" i="6"/>
  <c r="BA80" i="6" s="1"/>
  <c r="BE81" i="6"/>
  <c r="BE80" i="6" s="1"/>
  <c r="AX86" i="6"/>
  <c r="AX81" i="6" s="1"/>
  <c r="AX80" i="6" s="1"/>
  <c r="BI102" i="6"/>
  <c r="BG106" i="6"/>
  <c r="BI111" i="6"/>
  <c r="BI110" i="6" s="1"/>
  <c r="BG133" i="6"/>
  <c r="BG141" i="6"/>
  <c r="F64" i="7" s="1"/>
  <c r="BA133" i="6"/>
  <c r="BA132" i="6" s="1"/>
  <c r="BA131" i="6" s="1"/>
  <c r="AF148" i="6"/>
  <c r="W149" i="6"/>
  <c r="AI149" i="6"/>
  <c r="AU149" i="6"/>
  <c r="BA149" i="6"/>
  <c r="BH150" i="6"/>
  <c r="Z180" i="6"/>
  <c r="Z148" i="6" s="1"/>
  <c r="AL180" i="6"/>
  <c r="BD180" i="6"/>
  <c r="BG207" i="6"/>
  <c r="AC206" i="6"/>
  <c r="AC205" i="6" s="1"/>
  <c r="AC204" i="6" s="1"/>
  <c r="BG382" i="6"/>
  <c r="F176" i="7" s="1"/>
  <c r="T381" i="6"/>
  <c r="T380" i="6"/>
  <c r="T379" i="6" s="1"/>
  <c r="T404" i="6" s="1"/>
  <c r="AO404" i="6"/>
  <c r="BI133" i="6"/>
  <c r="BI132" i="6" s="1"/>
  <c r="BI131" i="6" s="1"/>
  <c r="T148" i="6"/>
  <c r="BH165" i="6"/>
  <c r="BI177" i="6"/>
  <c r="AX183" i="6"/>
  <c r="AX180" i="6" s="1"/>
  <c r="BG186" i="6"/>
  <c r="BG183" i="6" s="1"/>
  <c r="BI198" i="6"/>
  <c r="BI197" i="6" s="1"/>
  <c r="BI196" i="6" s="1"/>
  <c r="W234" i="6"/>
  <c r="W233" i="6" s="1"/>
  <c r="AI234" i="6"/>
  <c r="AI233" i="6" s="1"/>
  <c r="AU234" i="6"/>
  <c r="AU233" i="6" s="1"/>
  <c r="BA234" i="6"/>
  <c r="BA233" i="6" s="1"/>
  <c r="BH249" i="6"/>
  <c r="BI385" i="6"/>
  <c r="BG150" i="6"/>
  <c r="W180" i="6"/>
  <c r="AI180" i="6"/>
  <c r="AU180" i="6"/>
  <c r="BA180" i="6"/>
  <c r="AC197" i="6"/>
  <c r="AC196" i="6" s="1"/>
  <c r="AO197" i="6"/>
  <c r="AO196" i="6" s="1"/>
  <c r="BI206" i="6"/>
  <c r="BI205" i="6" s="1"/>
  <c r="BI204" i="6" s="1"/>
  <c r="I12" i="5" s="1"/>
  <c r="BI235" i="6"/>
  <c r="BI234" i="6" s="1"/>
  <c r="BI249" i="6"/>
  <c r="BI383" i="6"/>
  <c r="BI380" i="6"/>
  <c r="BG257" i="6"/>
  <c r="BG234" i="6" s="1"/>
  <c r="BG338" i="6"/>
  <c r="BH354" i="6"/>
  <c r="T383" i="6"/>
  <c r="AI281" i="6"/>
  <c r="AI280" i="6" s="1"/>
  <c r="AI279" i="6" s="1"/>
  <c r="BG284" i="6"/>
  <c r="Z347" i="6"/>
  <c r="AL347" i="6"/>
  <c r="AX347" i="6"/>
  <c r="AR206" i="6"/>
  <c r="AR205" i="6" s="1"/>
  <c r="AR204" i="6" s="1"/>
  <c r="BG283" i="6"/>
  <c r="AX281" i="6"/>
  <c r="AX280" i="6" s="1"/>
  <c r="AX279" i="6" s="1"/>
  <c r="BF280" i="6"/>
  <c r="BF279" i="6" s="1"/>
  <c r="BH349" i="6"/>
  <c r="BH367" i="6"/>
  <c r="BH366" i="6" s="1"/>
  <c r="BH365" i="6" s="1"/>
  <c r="E17" i="5" s="1"/>
  <c r="BI367" i="6"/>
  <c r="BI366" i="6" s="1"/>
  <c r="BI365" i="6" s="1"/>
  <c r="I17" i="5" s="1"/>
  <c r="BG395" i="6"/>
  <c r="BA394" i="6"/>
  <c r="BA393" i="6" s="1"/>
  <c r="BA379" i="6" s="1"/>
  <c r="BA404" i="6" s="1"/>
  <c r="W404" i="6"/>
  <c r="AI404" i="6"/>
  <c r="AU404" i="6"/>
  <c r="BI399" i="6"/>
  <c r="BI398" i="6" s="1"/>
  <c r="BI397" i="6" s="1"/>
  <c r="BI73" i="6" l="1"/>
  <c r="BG180" i="6"/>
  <c r="AF39" i="6"/>
  <c r="AC148" i="6"/>
  <c r="BH180" i="6"/>
  <c r="F26" i="7"/>
  <c r="BG47" i="6"/>
  <c r="BG40" i="6" s="1"/>
  <c r="AR233" i="6"/>
  <c r="BH348" i="6"/>
  <c r="BH347" i="6" s="1"/>
  <c r="AL148" i="6"/>
  <c r="BA39" i="6"/>
  <c r="BI270" i="6"/>
  <c r="BI233" i="6" s="1"/>
  <c r="I13" i="5" s="1"/>
  <c r="H60" i="7"/>
  <c r="BG197" i="6"/>
  <c r="BG196" i="6" s="1"/>
  <c r="BI53" i="6"/>
  <c r="BG394" i="6"/>
  <c r="BG393" i="6" s="1"/>
  <c r="F180" i="7"/>
  <c r="F175" i="7" s="1"/>
  <c r="F183" i="7" s="1"/>
  <c r="AG39" i="6"/>
  <c r="BB39" i="6"/>
  <c r="BG17" i="6"/>
  <c r="BG16" i="6" s="1"/>
  <c r="C4" i="5" s="1"/>
  <c r="BG383" i="6"/>
  <c r="F177" i="7"/>
  <c r="G92" i="7"/>
  <c r="BG270" i="6"/>
  <c r="BG233" i="6" s="1"/>
  <c r="C13" i="5" s="1"/>
  <c r="BH197" i="6"/>
  <c r="BH196" i="6" s="1"/>
  <c r="BH280" i="6"/>
  <c r="BH279" i="6" s="1"/>
  <c r="BI17" i="6"/>
  <c r="BI16" i="6" s="1"/>
  <c r="BG58" i="6"/>
  <c r="BH379" i="6"/>
  <c r="H106" i="7"/>
  <c r="G88" i="7"/>
  <c r="F22" i="7"/>
  <c r="H11" i="7"/>
  <c r="H133" i="7"/>
  <c r="F38" i="7"/>
  <c r="F7" i="7"/>
  <c r="F106" i="7"/>
  <c r="H159" i="7"/>
  <c r="H38" i="7"/>
  <c r="H54" i="7"/>
  <c r="C8" i="5"/>
  <c r="I8" i="5"/>
  <c r="C11" i="5"/>
  <c r="BG281" i="6"/>
  <c r="F135" i="7"/>
  <c r="F133" i="7" s="1"/>
  <c r="BG206" i="6"/>
  <c r="BG205" i="6" s="1"/>
  <c r="BG204" i="6" s="1"/>
  <c r="C12" i="5" s="1"/>
  <c r="F93" i="7"/>
  <c r="F92" i="7" s="1"/>
  <c r="F82" i="7"/>
  <c r="AR363" i="6"/>
  <c r="AR405" i="6" s="1"/>
  <c r="BI379" i="6"/>
  <c r="AX148" i="6"/>
  <c r="BD148" i="6"/>
  <c r="BD363" i="6" s="1"/>
  <c r="BD405" i="6" s="1"/>
  <c r="AF363" i="6"/>
  <c r="AF405" i="6" s="1"/>
  <c r="BI81" i="6"/>
  <c r="BI80" i="6" s="1"/>
  <c r="AV39" i="6"/>
  <c r="BG80" i="6"/>
  <c r="BH132" i="6"/>
  <c r="BH131" i="6" s="1"/>
  <c r="BI180" i="6"/>
  <c r="G106" i="7"/>
  <c r="G159" i="7"/>
  <c r="BG172" i="6"/>
  <c r="BG149" i="6" s="1"/>
  <c r="F77" i="7"/>
  <c r="F66" i="7" s="1"/>
  <c r="BG81" i="6"/>
  <c r="F88" i="7"/>
  <c r="F11" i="7"/>
  <c r="F159" i="7"/>
  <c r="F56" i="7"/>
  <c r="F54" i="7" s="1"/>
  <c r="I5" i="5"/>
  <c r="G11" i="7"/>
  <c r="C3" i="5"/>
  <c r="G38" i="7"/>
  <c r="I9" i="5"/>
  <c r="AU148" i="6"/>
  <c r="AU363" i="6" s="1"/>
  <c r="AU405" i="6" s="1"/>
  <c r="BH39" i="6"/>
  <c r="AH39" i="6"/>
  <c r="BG39" i="6"/>
  <c r="BI348" i="6"/>
  <c r="BI347" i="6" s="1"/>
  <c r="BH270" i="6"/>
  <c r="BH233" i="6" s="1"/>
  <c r="BI280" i="6"/>
  <c r="BI279" i="6" s="1"/>
  <c r="BG348" i="6"/>
  <c r="BG347" i="6" s="1"/>
  <c r="G66" i="7"/>
  <c r="C5" i="5"/>
  <c r="H22" i="7"/>
  <c r="H7" i="7"/>
  <c r="G22" i="7"/>
  <c r="BH17" i="6"/>
  <c r="BH16" i="6" s="1"/>
  <c r="T363" i="6"/>
  <c r="T405" i="6" s="1"/>
  <c r="I4" i="5"/>
  <c r="BI149" i="6"/>
  <c r="AO39" i="6"/>
  <c r="AO363" i="6" s="1"/>
  <c r="AO405" i="6" s="1"/>
  <c r="BG307" i="6"/>
  <c r="I11" i="5"/>
  <c r="AC363" i="6"/>
  <c r="AC405" i="6" s="1"/>
  <c r="BG142" i="6"/>
  <c r="F65" i="7"/>
  <c r="F60" i="7" s="1"/>
  <c r="X39" i="6"/>
  <c r="H66" i="7"/>
  <c r="G133" i="7"/>
  <c r="BI40" i="6"/>
  <c r="BI39" i="6" s="1"/>
  <c r="AZ148" i="6"/>
  <c r="BI9" i="6"/>
  <c r="BI8" i="6" s="1"/>
  <c r="BH40" i="6"/>
  <c r="BI148" i="6"/>
  <c r="BH80" i="6"/>
  <c r="Z363" i="6"/>
  <c r="Z405" i="6" s="1"/>
  <c r="BH149" i="6"/>
  <c r="BH148" i="6" s="1"/>
  <c r="W148" i="6"/>
  <c r="W363" i="6" s="1"/>
  <c r="W405" i="6" s="1"/>
  <c r="BG132" i="6"/>
  <c r="BG131" i="6" s="1"/>
  <c r="BA148" i="6"/>
  <c r="AL363" i="6"/>
  <c r="AL405" i="6" s="1"/>
  <c r="BG381" i="6"/>
  <c r="BG380" i="6"/>
  <c r="BG379" i="6" s="1"/>
  <c r="AI148" i="6"/>
  <c r="AI363" i="6" s="1"/>
  <c r="AI405" i="6" s="1"/>
  <c r="AX39" i="6"/>
  <c r="AX363" i="6" s="1"/>
  <c r="AX405" i="6" s="1"/>
  <c r="BA363" i="6" l="1"/>
  <c r="BA405" i="6" s="1"/>
  <c r="BH404" i="6"/>
  <c r="E18" i="5"/>
  <c r="G18" i="5" s="1"/>
  <c r="BG148" i="6"/>
  <c r="BI404" i="6"/>
  <c r="I18" i="5"/>
  <c r="K18" i="5" s="1"/>
  <c r="H165" i="7"/>
  <c r="H184" i="7" s="1"/>
  <c r="I6" i="5"/>
  <c r="C10" i="5"/>
  <c r="I10" i="5"/>
  <c r="C6" i="5"/>
  <c r="C15" i="5"/>
  <c r="G165" i="7"/>
  <c r="G184" i="7" s="1"/>
  <c r="C7" i="5"/>
  <c r="I15" i="5"/>
  <c r="F165" i="7"/>
  <c r="F184" i="7" s="1"/>
  <c r="I7" i="5"/>
  <c r="BG404" i="6"/>
  <c r="C18" i="5"/>
  <c r="C9" i="5"/>
  <c r="G4" i="5"/>
  <c r="I14" i="5"/>
  <c r="BG280" i="6"/>
  <c r="BG279" i="6" s="1"/>
  <c r="BI363" i="6"/>
  <c r="BH363" i="6"/>
  <c r="K17" i="5"/>
  <c r="G17" i="5"/>
  <c r="C14" i="5" l="1"/>
  <c r="BH405" i="6"/>
  <c r="BI405" i="6"/>
  <c r="BG363" i="6"/>
  <c r="BG405" i="6" l="1"/>
  <c r="M17" i="5" l="1"/>
  <c r="N17" i="5" s="1"/>
  <c r="M18" i="5"/>
  <c r="M19" i="5"/>
  <c r="N19" i="5" s="1"/>
  <c r="C20" i="5"/>
  <c r="K20" i="5"/>
  <c r="G20" i="5"/>
  <c r="I20" i="5"/>
  <c r="E20" i="5"/>
  <c r="L19" i="5"/>
  <c r="J19" i="5"/>
  <c r="H19" i="5"/>
  <c r="F19" i="5"/>
  <c r="L18" i="5"/>
  <c r="J18" i="5"/>
  <c r="H18" i="5"/>
  <c r="F18" i="5"/>
  <c r="L17" i="5"/>
  <c r="J17" i="5"/>
  <c r="H17" i="5"/>
  <c r="F17" i="5"/>
  <c r="H20" i="5" l="1"/>
  <c r="L20" i="5"/>
  <c r="F20" i="5"/>
  <c r="J20" i="5"/>
  <c r="G11" i="5"/>
  <c r="K11" i="5"/>
  <c r="G12" i="5"/>
  <c r="M20" i="5"/>
  <c r="N20" i="5" s="1"/>
  <c r="N18" i="5"/>
  <c r="K5" i="5"/>
  <c r="F5" i="5" l="1"/>
  <c r="G9" i="5"/>
  <c r="K9" i="5"/>
  <c r="K15" i="5"/>
  <c r="G14" i="5"/>
  <c r="L14" i="5" s="1"/>
  <c r="M12" i="5"/>
  <c r="N12" i="5" s="1"/>
  <c r="J12" i="5"/>
  <c r="G5" i="5"/>
  <c r="H5" i="5" s="1"/>
  <c r="G13" i="5"/>
  <c r="M11" i="5"/>
  <c r="N11" i="5" s="1"/>
  <c r="K13" i="5"/>
  <c r="K8" i="5"/>
  <c r="K10" i="5"/>
  <c r="F11" i="5"/>
  <c r="M5" i="5"/>
  <c r="N5" i="5" s="1"/>
  <c r="G15" i="5"/>
  <c r="H11" i="5"/>
  <c r="L4" i="5"/>
  <c r="G8" i="5"/>
  <c r="H3" i="5"/>
  <c r="F3" i="5"/>
  <c r="M3" i="5"/>
  <c r="N3" i="5" s="1"/>
  <c r="J11" i="5"/>
  <c r="L11" i="5"/>
  <c r="L12" i="5"/>
  <c r="M9" i="5" l="1"/>
  <c r="N9" i="5" s="1"/>
  <c r="L9" i="5"/>
  <c r="J9" i="5"/>
  <c r="M14" i="5"/>
  <c r="H8" i="5"/>
  <c r="I16" i="5"/>
  <c r="I22" i="5" s="1"/>
  <c r="N33" i="5" s="1"/>
  <c r="F13" i="5"/>
  <c r="H4" i="5"/>
  <c r="G7" i="5"/>
  <c r="M4" i="5"/>
  <c r="N4" i="5" s="1"/>
  <c r="M7" i="5"/>
  <c r="N7" i="5" s="1"/>
  <c r="F8" i="5"/>
  <c r="J4" i="5"/>
  <c r="M13" i="5"/>
  <c r="N13" i="5" s="1"/>
  <c r="F12" i="5"/>
  <c r="H12" i="5"/>
  <c r="J14" i="5"/>
  <c r="J5" i="5"/>
  <c r="L5" i="5"/>
  <c r="J8" i="5"/>
  <c r="F4" i="5"/>
  <c r="M15" i="5"/>
  <c r="N15" i="5" s="1"/>
  <c r="M6" i="5"/>
  <c r="N6" i="5" s="1"/>
  <c r="L8" i="5"/>
  <c r="M8" i="5"/>
  <c r="N8" i="5" s="1"/>
  <c r="K6" i="5"/>
  <c r="H9" i="5"/>
  <c r="F9" i="5"/>
  <c r="M10" i="5"/>
  <c r="N10" i="5" s="1"/>
  <c r="G10" i="5"/>
  <c r="F10" i="5"/>
  <c r="L15" i="5"/>
  <c r="H15" i="5"/>
  <c r="F15" i="5"/>
  <c r="H13" i="5"/>
  <c r="J13" i="5"/>
  <c r="L13" i="5"/>
  <c r="J15" i="5"/>
  <c r="F6" i="5"/>
  <c r="G6" i="5"/>
  <c r="F7" i="5" l="1"/>
  <c r="H7" i="5"/>
  <c r="E16" i="5"/>
  <c r="C31" i="5" s="1"/>
  <c r="F14" i="5"/>
  <c r="C16" i="5"/>
  <c r="H14" i="5"/>
  <c r="C33" i="5"/>
  <c r="K7" i="5"/>
  <c r="L7" i="5" s="1"/>
  <c r="J7" i="5"/>
  <c r="H10" i="5"/>
  <c r="J10" i="5"/>
  <c r="L10" i="5"/>
  <c r="J6" i="5"/>
  <c r="H6" i="5"/>
  <c r="G16" i="5"/>
  <c r="L6" i="5"/>
  <c r="N14" i="5"/>
  <c r="M16" i="5"/>
  <c r="F16" i="5" l="1"/>
  <c r="E22" i="5"/>
  <c r="N31" i="5" s="1"/>
  <c r="C22" i="5"/>
  <c r="N30" i="5" s="1"/>
  <c r="C30" i="5"/>
  <c r="D30" i="5" s="1"/>
  <c r="K16" i="5"/>
  <c r="L16" i="5" s="1"/>
  <c r="J16" i="5"/>
  <c r="H16" i="5"/>
  <c r="G22" i="5"/>
  <c r="C32" i="5"/>
  <c r="C35" i="5"/>
  <c r="M22" i="5"/>
  <c r="N16" i="5"/>
  <c r="D31" i="5" l="1"/>
  <c r="D35" i="5"/>
  <c r="F22" i="5"/>
  <c r="K22" i="5"/>
  <c r="N34" i="5" s="1"/>
  <c r="C34" i="5"/>
  <c r="D34" i="5" s="1"/>
  <c r="O30" i="5"/>
  <c r="O31" i="5"/>
  <c r="N35" i="5"/>
  <c r="O35" i="5" s="1"/>
  <c r="N22" i="5"/>
  <c r="J22" i="5"/>
  <c r="N32" i="5"/>
  <c r="H22" i="5"/>
  <c r="D32" i="5"/>
  <c r="D33" i="5"/>
  <c r="L22" i="5" l="1"/>
  <c r="O32" i="5"/>
  <c r="O33" i="5"/>
  <c r="O34" i="5"/>
</calcChain>
</file>

<file path=xl/comments1.xml><?xml version="1.0" encoding="utf-8"?>
<comments xmlns="http://schemas.openxmlformats.org/spreadsheetml/2006/main">
  <authors>
    <author>Usuario</author>
    <author>DIRPLANEACION02</author>
  </authors>
  <commentList>
    <comment ref="F128" authorId="0" shapeId="0">
      <text>
        <r>
          <rPr>
            <b/>
            <sz val="9"/>
            <color indexed="81"/>
            <rFont val="Tahoma"/>
            <family val="2"/>
          </rPr>
          <t>Usuario:</t>
        </r>
        <r>
          <rPr>
            <sz val="9"/>
            <color indexed="81"/>
            <rFont val="Tahoma"/>
            <family val="2"/>
          </rPr>
          <t xml:space="preserve">
no esta programada para la vigencia 2020</t>
        </r>
      </text>
    </comment>
    <comment ref="AI328" authorId="1" shapeId="0">
      <text>
        <r>
          <rPr>
            <b/>
            <sz val="9"/>
            <color indexed="81"/>
            <rFont val="Tahoma"/>
            <family val="2"/>
          </rPr>
          <t>DIRPLANEACION02:</t>
        </r>
        <r>
          <rPr>
            <sz val="9"/>
            <color indexed="81"/>
            <rFont val="Tahoma"/>
            <family val="2"/>
          </rPr>
          <t xml:space="preserve">
VERIFICAR FUENTE DE FINANCIACION</t>
        </r>
      </text>
    </comment>
  </commentList>
</comments>
</file>

<file path=xl/sharedStrings.xml><?xml version="1.0" encoding="utf-8"?>
<sst xmlns="http://schemas.openxmlformats.org/spreadsheetml/2006/main" count="2961" uniqueCount="1500">
  <si>
    <t>Implementación del Sistema Departamental de Servicio a la Ciudadanía SDSC   en la Administración Departamental.</t>
  </si>
  <si>
    <t>INCLUSIÓN SOCIAL Y EQUIDAD</t>
  </si>
  <si>
    <t>PRODUCTIVIDAD Y COMPETITIVIDAD</t>
  </si>
  <si>
    <t>TERRITORIO, AMBIENTE Y DESARROLLO SOSTENIBLE</t>
  </si>
  <si>
    <t>Implementación de procesos productivos agropecuarios familiares campesinos en busca de la soberanía y seguridad alimentaria.</t>
  </si>
  <si>
    <t>Implementación de procesos de extensión agropecuaria e inocuidad (estatus sanitario, BPA, BPG) alimentaria.</t>
  </si>
  <si>
    <t>Implementación de acciones de Gestión del Cambio Climatico en el marco del PIGCC.</t>
  </si>
  <si>
    <t>Fortalecimiento territoral para una gestión educativa integral en la Secretaría de Educación Departamental del Quindío</t>
  </si>
  <si>
    <t>Aplicación funcionamiento y prestación del servicio educativo de las instituciones educativas.</t>
  </si>
  <si>
    <t>Prestación de Servicios a la Población no Afiliada al Sistema General de Seguridad Social en Salud  y en los no POS  a la Población Afiliada al Régimen Subsidiado.</t>
  </si>
  <si>
    <t>Aprovechamiento biológico y consumo de  alimentos idóneos  en el Departamento del Quindío</t>
  </si>
  <si>
    <t xml:space="preserve">Asistencia atención a las personas y prioridades en salud pública en el  Departamento del Quindío- Plan de Intervenciones Colectivas PIC. </t>
  </si>
  <si>
    <t>UNIDAD EJECUTORA</t>
  </si>
  <si>
    <t>APROPIACION DEFINITIVA</t>
  </si>
  <si>
    <t>% PD</t>
  </si>
  <si>
    <t>CERTIFICADOS</t>
  </si>
  <si>
    <t>% CDP</t>
  </si>
  <si>
    <t>COMPROMISOS</t>
  </si>
  <si>
    <t>% RP</t>
  </si>
  <si>
    <t xml:space="preserve">OBLIGACIONES </t>
  </si>
  <si>
    <t>% OBLIG</t>
  </si>
  <si>
    <t>PAGOS</t>
  </si>
  <si>
    <t>% PAGOS</t>
  </si>
  <si>
    <t>SALDO DISPONIBLE</t>
  </si>
  <si>
    <t>% SALDO DISP.</t>
  </si>
  <si>
    <t>Administrativa</t>
  </si>
  <si>
    <t>Planeación</t>
  </si>
  <si>
    <t>Hacienda</t>
  </si>
  <si>
    <t>Aguas e Infraestructura</t>
  </si>
  <si>
    <t>Interior</t>
  </si>
  <si>
    <t>Cultura</t>
  </si>
  <si>
    <t>Turismo Industria y Comercio</t>
  </si>
  <si>
    <t>Agricultura, Desarrollo Rural y Medio Ambiente</t>
  </si>
  <si>
    <t>Oficina Privada</t>
  </si>
  <si>
    <t>Educación</t>
  </si>
  <si>
    <t>Familia</t>
  </si>
  <si>
    <t>Salud</t>
  </si>
  <si>
    <t>Tecnología de la Información y las Comunicaciones</t>
  </si>
  <si>
    <t>SUB TOTAL SECTOR CENTRAL</t>
  </si>
  <si>
    <t>Indeportes</t>
  </si>
  <si>
    <t>Promotora</t>
  </si>
  <si>
    <t>IDTQ</t>
  </si>
  <si>
    <t xml:space="preserve">SUBTOTAL SECTOR DESCENTRALIZADO </t>
  </si>
  <si>
    <t>TOTAL INVERSION</t>
  </si>
  <si>
    <t>Presupuesto</t>
  </si>
  <si>
    <t>Valor</t>
  </si>
  <si>
    <t>%</t>
  </si>
  <si>
    <t>Definitivo</t>
  </si>
  <si>
    <t>Certificados</t>
  </si>
  <si>
    <t>Compromisos</t>
  </si>
  <si>
    <t>Obligaciones</t>
  </si>
  <si>
    <t>Pagos</t>
  </si>
  <si>
    <t>Disponible</t>
  </si>
  <si>
    <t xml:space="preserve">
EJECUCION GASTOS DE INVERSION POR UNIDAD EJECUTORA SECTOR CENTRAL
PLAN DE DESARROLLO 2020 - 2023 "TU Y YO SOMOS QUINDIO"
JUNIO 30 2020</t>
  </si>
  <si>
    <t>TOTAL DEPARTAMENTO INVERSION QUINDIO</t>
  </si>
  <si>
    <t>TOTAL DEPARTAMENTO INVERSION SECTOR CENTRAL</t>
  </si>
  <si>
    <t>SEGUIMIENTO PLAN OPERATIVO ANUAL DE INVERSIÓN  ARMONIZACION PLAN DE DESARROLLO 2020-2023 "TÚ Y YO SOMOS QUINDIO "
JUNIO 30 DE 2020</t>
  </si>
  <si>
    <t xml:space="preserve">CODIGO:  </t>
  </si>
  <si>
    <t>F-PLA-43</t>
  </si>
  <si>
    <t xml:space="preserve">VERSIÓN: </t>
  </si>
  <si>
    <t xml:space="preserve">FECHA: </t>
  </si>
  <si>
    <t>Julio 30 de 2020</t>
  </si>
  <si>
    <t>PÁGINA:</t>
  </si>
  <si>
    <t>1 de 1</t>
  </si>
  <si>
    <t>LÍNEA ESTRATÉGICA</t>
  </si>
  <si>
    <t>No. PROGRAMA INTERNO</t>
  </si>
  <si>
    <t>CÓDIGO DEL PROGRAMA KPT</t>
  </si>
  <si>
    <t>PROGRAMA</t>
  </si>
  <si>
    <t>INDICADOR DE RESULTADO Y/O BIENESTAR</t>
  </si>
  <si>
    <t>No. PRODUCTO INTERNO</t>
  </si>
  <si>
    <t>CODIGO DEL PRODUCTO KPT</t>
  </si>
  <si>
    <t>META PRODUCTO</t>
  </si>
  <si>
    <t>No. INDICADOR PRODUCTO INTERNO</t>
  </si>
  <si>
    <t>CÓDIGO INDICADOR PRODUCTO KPT</t>
  </si>
  <si>
    <t>INDICADOR DEL PRODUCTO</t>
  </si>
  <si>
    <t>TIPO DE META I/M/R</t>
  </si>
  <si>
    <t>META
 2020 -2013</t>
  </si>
  <si>
    <t>META 2020</t>
  </si>
  <si>
    <t>CÓDIGO SECTOR FUT</t>
  </si>
  <si>
    <t>CÓDIGO BPIN</t>
  </si>
  <si>
    <t>NOMBRE DEL PROYECTO</t>
  </si>
  <si>
    <t xml:space="preserve">ESTAMPILLAS 
PRO - CULTURA
PRO - ADULTO MAYOR
PRO - DESARROLLO
 </t>
  </si>
  <si>
    <t xml:space="preserve">CONTRIBUCION ESPECIAL
(FONDO DE SEGURIDAD 5%) 
 </t>
  </si>
  <si>
    <t xml:space="preserve">SOBRETASA AL ACPM  
</t>
  </si>
  <si>
    <t xml:space="preserve">MONOPOLIO EDUCACIÓN  51% DESTINACION ESPECIFICA
 </t>
  </si>
  <si>
    <t xml:space="preserve">SGP SALÚD PUBLICA - PRESTACIÓN DE SERVICIOS
 </t>
  </si>
  <si>
    <t>FONDO LOCAL DE SALUD  - MONOPOLIO RENTAS CEDIDAS -LOTERIAS-RIFAS-PREMIO</t>
  </si>
  <si>
    <t xml:space="preserve">SGP PRESTACIÓN DE SERVICIOS - EDUCACIÓN  - Y CONECTIVIDAD
</t>
  </si>
  <si>
    <t>SGP APORTES PATRONALES - CANCELACIÓN DE PRESTACIONES SOCIALES -EDUCACIÓN</t>
  </si>
  <si>
    <t xml:space="preserve">FONDO DE EDUCACION,  PAE, CONVENIO MEN 
</t>
  </si>
  <si>
    <t xml:space="preserve">SGP AGUA POTABLE Y SANEAMIENTO BÁSICO
</t>
  </si>
  <si>
    <t xml:space="preserve">RECURSO ORDINARIO
</t>
  </si>
  <si>
    <t xml:space="preserve">OTROS (IVA TELEFONIA MÓVIL  - REGISTRO - LEY 1816 (3% MONOPOLIO LICORES) (DEPORTES) EXTRACCION MATERIAL RIO  </t>
  </si>
  <si>
    <t>NACIÓN  - COFINANCIACIÓN
CONV ANTICONTRABANDO</t>
  </si>
  <si>
    <t xml:space="preserve">TOTAL
</t>
  </si>
  <si>
    <t>p</t>
  </si>
  <si>
    <t>E</t>
  </si>
  <si>
    <t>PTO DEFINITIVO</t>
  </si>
  <si>
    <t>COMPROMISO</t>
  </si>
  <si>
    <t>OBLIGACION</t>
  </si>
  <si>
    <t xml:space="preserve">304 -SECRETARÍA ADMINISTRATIVA </t>
  </si>
  <si>
    <t xml:space="preserve">LIDERAZGO, GOBERNABILIDAD Y TRANSPARENCIA.   </t>
  </si>
  <si>
    <t>DNP</t>
  </si>
  <si>
    <t>Fortalecimiento de la Gestión  y Desempeño Institucional. "Quindío con una administración al servicio de la ciudadanía "</t>
  </si>
  <si>
    <t>Índice de Gestión del Modelo Integrado de Planeación y de Gestión MIPG  de la Administración Departamental</t>
  </si>
  <si>
    <t>45.1</t>
  </si>
  <si>
    <t>Implementación de  las Dimensiones y Politicas  del Modelo Integrado de Planeación y de Gestión MIPG</t>
  </si>
  <si>
    <t>45.1.1</t>
  </si>
  <si>
    <t>Número de Dimensiones y Políticas   de MIPG implementadas.</t>
  </si>
  <si>
    <t>M</t>
  </si>
  <si>
    <t xml:space="preserve">17. Fortalecimiento Institucional </t>
  </si>
  <si>
    <t>202000363-0003</t>
  </si>
  <si>
    <t>Implementación del  Modelo Integrado de Planeación y de Gestión MIPG  de la  Administración Departamental del Quindío (Dimensiones  de Talento humano,  Información y Comunicación y Gestión del Conocimiento).</t>
  </si>
  <si>
    <t>45.9</t>
  </si>
  <si>
    <t>Estrategias  de actualización, depuración, seguimiento y evaluación de las bases de datos  del Pasivo Pensional  de la Administración Departamental.</t>
  </si>
  <si>
    <t>45.9.1</t>
  </si>
  <si>
    <t>Estrategias  de actualización, depuración, seguimiento y evaluación de las bases de datos  del Pasivo Pensional  de la Administración Departamental</t>
  </si>
  <si>
    <t>202000363-0004</t>
  </si>
  <si>
    <t>Actualización, depuración, seguimiento y evaluación   del  Pasivo Pensional  de la Administración Departamental del Quindío</t>
  </si>
  <si>
    <t>Participación ciudadana y política y respeto por los derechos humanos y diversidad de creencias. "Quindío integrado y participativo"</t>
  </si>
  <si>
    <t>Porcentaje promedio  de participación de ciudadanos en los eventos de elección popular.</t>
  </si>
  <si>
    <t>42.3</t>
  </si>
  <si>
    <t>Implementación del Plan de Acción del Sistema Departamental de Servicio a la Ciudadanía SDSC</t>
  </si>
  <si>
    <t>42.3.1</t>
  </si>
  <si>
    <t xml:space="preserve">Plan de Acción del Sistema Departamental de Servicio a la Ciudadanía SDSC implementado. </t>
  </si>
  <si>
    <t>16. Desarrollo Comunitario</t>
  </si>
  <si>
    <t>202000363-0005</t>
  </si>
  <si>
    <t xml:space="preserve">305 SECRETARÍA DE PLANEACIÓN </t>
  </si>
  <si>
    <t>LIDERAZGO, GOBERNABILIDAD Y TRANSPARENCIA</t>
  </si>
  <si>
    <t>Porcentaje promedio  de participación de ciudadanos en los eventos de elección popular</t>
  </si>
  <si>
    <t>42.2</t>
  </si>
  <si>
    <t>Fortalecimiento técnico y logístico del  Consejo Territorial de Planeación Departamental, como representantes de la sociedad civil en la planeación  del desarrollo integral  de la entidad territorial</t>
  </si>
  <si>
    <t>42.2.1</t>
  </si>
  <si>
    <t xml:space="preserve">Consejo Territorial de Planeación Departamental fortalecido.   </t>
  </si>
  <si>
    <t>201663000-0007</t>
  </si>
  <si>
    <t>Asistencia al Consejo Territorial de Planeación del Departamento del Quindío</t>
  </si>
  <si>
    <t>Fortalecimiento de la Gestión  y Desempeño Institucional. "Quindío con una administración al servicio de la ciudadanía"</t>
  </si>
  <si>
    <t>45.5</t>
  </si>
  <si>
    <t>Instrumentos de planificación para  el  Ordenamiento y la Gestión Territorial Departamental (Plan de Desarrollo Departamental PDD, Politicas y Directrices de Ordenamiento Territorial, Sistema de Información Geográfica, Catastro Multiproposito  y mecanismos de integración)</t>
  </si>
  <si>
    <t>45.5.1</t>
  </si>
  <si>
    <t xml:space="preserve">Instrumentos de planificación de ordenamiento y gestión territorial departamental implementados. </t>
  </si>
  <si>
    <t>201900363-0002</t>
  </si>
  <si>
    <t>Formulación  e implementación del  Plan de Desarrollo Departamental 2020-2023</t>
  </si>
  <si>
    <t>Instrumentos de planificación para el ordenamiento y la gestión territorial departamental (Plan de Desarrollo Departamental PDD, Ordenamiento Territorial, Sistema de Información Geográfica, Mecanismos de Integración, Catastro multipropósito etc.).</t>
  </si>
  <si>
    <t>201663000-0009</t>
  </si>
  <si>
    <t>Diseño e implementación instrumentos de  planificación para el  ordenamiento  territorial, social y económico del  Departamento del Quindío</t>
  </si>
  <si>
    <t>45.4</t>
  </si>
  <si>
    <t>Observatorio económico del departamento, con procesos de fortalecimiento</t>
  </si>
  <si>
    <t>45.4.1</t>
  </si>
  <si>
    <t>Observatorio económico del Departamento del Quindío actualizado y dotado.</t>
  </si>
  <si>
    <t>201663000-0010</t>
  </si>
  <si>
    <t xml:space="preserve">Diseño e implementación del Observatorio  de Desarrollo Humano en el Departamento del Quindío </t>
  </si>
  <si>
    <t>45.3</t>
  </si>
  <si>
    <t>Banco de Programas y Proyectos del Departamento  con procesos de fortalecimiento.</t>
  </si>
  <si>
    <t>45.3.1</t>
  </si>
  <si>
    <t>Banco de Programas y Proyectos del Departamento fortalecido</t>
  </si>
  <si>
    <t>201663000-0012</t>
  </si>
  <si>
    <t>Implementación Sistema de Cooperación Internacional y  de Gestión de proyectos  del Depratamento del Quindío - "Fabrica de Proyectos"</t>
  </si>
  <si>
    <t>Índice de Gestión del Modelo Integrado de Planeación y de Gestión MIPG   Departamental (Entes Territoriales Municipales)</t>
  </si>
  <si>
    <t>45.17</t>
  </si>
  <si>
    <t xml:space="preserve">Entes territoriales  con servicio de asistencia técnica de los Instrumentos de Planificación para  el Ordenamiento y la Gestión Territorial departamental. </t>
  </si>
  <si>
    <t>45.17.1</t>
  </si>
  <si>
    <t>Entes territoriales con procesos de asistencia técnica realizadas.</t>
  </si>
  <si>
    <t>201663000-0014</t>
  </si>
  <si>
    <t>Asistencia  técnica, seguimiento y evaluación  de la gestión  territorial en los  municipios del Departamento del  Quindío</t>
  </si>
  <si>
    <t>45.12</t>
  </si>
  <si>
    <t>Entes territoriales con servicio de asistencia  técnica del Modelo Integrado de Planeación y de Gestión MIPG</t>
  </si>
  <si>
    <t>45.12.1</t>
  </si>
  <si>
    <t>Entes Territoriales con procesos de asistencia técnica realizadas.</t>
  </si>
  <si>
    <t>45.13</t>
  </si>
  <si>
    <t>Entes territoriales  con servicio de asistencia técnica en la Medición del Desempeño Municipal.</t>
  </si>
  <si>
    <t>45.13.1</t>
  </si>
  <si>
    <t>45.15</t>
  </si>
  <si>
    <t xml:space="preserve">Entes territoriales  con servicio de asistencia técnica  en el Sistema de Identificación de Potenciales Beneficiarios de Programas Sociales (SISBEN). </t>
  </si>
  <si>
    <t>45.15.1</t>
  </si>
  <si>
    <t>45.16</t>
  </si>
  <si>
    <t>Entes territoriales con servicio de asistencia técnica en la formulación, preparación, seguimiento y evaluación de las políticas públicas.</t>
  </si>
  <si>
    <t>45.16.1</t>
  </si>
  <si>
    <t>45.14</t>
  </si>
  <si>
    <t xml:space="preserve">Entes territoriales  con servicio de asistencia técnica en Banco de Programas y Proyectos de Inversión Nacional (BPIN).  </t>
  </si>
  <si>
    <t>45.14.1</t>
  </si>
  <si>
    <t>202000363-0006</t>
  </si>
  <si>
    <t xml:space="preserve">Implementación  del Modelo Integrado de Planeación y de Gestión MIPG en la Administración Departamental del Quindío </t>
  </si>
  <si>
    <t>307 SECREATRÍA DE HACIENDA</t>
  </si>
  <si>
    <t>Índice de Desempeño Fiscal Administración Departamental</t>
  </si>
  <si>
    <t>45.2</t>
  </si>
  <si>
    <t>Estrategia para el mejoramiento del Índice de Desempeño Fiscal en la Administración Departamental.</t>
  </si>
  <si>
    <t>45.2.1</t>
  </si>
  <si>
    <t>Estrategia  de fortalecimiento  del Índice de Desempeño  Fiscal implementadas.</t>
  </si>
  <si>
    <t>201663000-0016</t>
  </si>
  <si>
    <t>Mejoramiento de la sostenibilidad de los procesos de fiscalización liquidación control y cobranza de los tributos en el Departamento del Quindío</t>
  </si>
  <si>
    <t>45.11</t>
  </si>
  <si>
    <t xml:space="preserve">Programa para el cumplimiento de las políticas y prácticas contables para la administración departamental         </t>
  </si>
  <si>
    <t>45.11.1</t>
  </si>
  <si>
    <t>Programa para el cumplimiento de las políticas y prácticas contables implementado</t>
  </si>
  <si>
    <t>201663000-0017</t>
  </si>
  <si>
    <t xml:space="preserve">Implementación de un programa de gestión fianciera para la optimización de los procesos en el área de tesorería, presupuesto y contabilidad en el Departamento del Quindío </t>
  </si>
  <si>
    <t xml:space="preserve">308 SECRETARÍA DE AGUAS E INFRAESTRUTURA </t>
  </si>
  <si>
    <t>Promoción al acceso a la justicia."Tú y yo con justicia"</t>
  </si>
  <si>
    <t>Tasa de homicidio por cada 100.000 habitantes
Tasa de hurto a personas  por cada 100.000 habitantes
Tasa de hurto a residencias por cada 100.000 habitantes
Tasa de hurto a comercio por cada 100.000 habitantes
Tasa de violencia intrafamiliar x cada 100.000 habitantes
Tasa  de delitos sexuales x 100.000 habitantes</t>
  </si>
  <si>
    <t>1.2</t>
  </si>
  <si>
    <t>Infraestructura de las Instituciones de Seguridad del Estado con procesos constructivos, y/o mejorados, y/o ampliados, y/o mantenidos, y/o reforzados</t>
  </si>
  <si>
    <t>1.2.1</t>
  </si>
  <si>
    <t>Infraestructura de las Instituciones de Seguridad del Estado construida, mejorada, ampliada, mantenida, y/o reforzada</t>
  </si>
  <si>
    <t>I</t>
  </si>
  <si>
    <t>18, Justicia y Seguridad</t>
  </si>
  <si>
    <t>202000363-0007</t>
  </si>
  <si>
    <t>Construcción y/o mejoramiento de las instituciones públicas y/o de seguridad y  justicia  del estado en el Departamento Quindío</t>
  </si>
  <si>
    <t>Prestación de servicios de salud. "Tú y yo con servicios de salud"</t>
  </si>
  <si>
    <t>Índice Departamental de Competitividad</t>
  </si>
  <si>
    <t>13.11</t>
  </si>
  <si>
    <t xml:space="preserve">Infraestructura hospitalaria con procesos constructivos, mejorados, ampliados, mantenidos, y/o reforzados </t>
  </si>
  <si>
    <t>13.11.1</t>
  </si>
  <si>
    <t>Infraestructura hospitalaria con procesos constructivos, mejorados, ampliados, mantenidos, y/o reforzados realizados</t>
  </si>
  <si>
    <t>2. Salud</t>
  </si>
  <si>
    <t>202000363-0008</t>
  </si>
  <si>
    <t>Construcción y/o mejoramiento de la infraestructura física de las instituciones de salud pública y bienestar social del departamento del Quindío</t>
  </si>
  <si>
    <t>Calidad, cobertura y fortalecimiento de la educación inicial, prescolar, básica y media." Tú y yo con educación y de calidad"</t>
  </si>
  <si>
    <t>mantenidos, y/o reforzados</t>
  </si>
  <si>
    <t>Tasa de cobertura bruta en transición
Tasa de cobertura bruta en educación básica
Tasa de cobertura en educación media
Tasa de deserción escolar intra-anual</t>
  </si>
  <si>
    <t>15.32</t>
  </si>
  <si>
    <t>Infraestructura de Instituciones Educativas con procesos constructivos, mejorados, ampliados, mantenidos, y/o reforzados.</t>
  </si>
  <si>
    <t>15.32.1</t>
  </si>
  <si>
    <t>Infraestructura de Instituciones Educativas construida, mejorada, ampliada, mantenida, y/o reforzada.</t>
  </si>
  <si>
    <t>1. Educación</t>
  </si>
  <si>
    <t>201663000-0021</t>
  </si>
  <si>
    <t>Construir, mantener, mejorar y/o rehabilitar la infraestructura social del Departamento del Quindío</t>
  </si>
  <si>
    <t>Promoción y acceso efectivo a procesos culturales y artísticos. "Tú y yo somos cultura Quindiana"</t>
  </si>
  <si>
    <t>Tasa de participación en procesos y actividades artísticas y culturales.
Tasa de consumo de sustancias sicoactivas por 100.000 habitantes en el departamento del Quindío.</t>
  </si>
  <si>
    <t>25.3</t>
  </si>
  <si>
    <t>3301068</t>
  </si>
  <si>
    <t>Servicio de mantenimiento de infraestructura cultural</t>
  </si>
  <si>
    <t>25.3.1</t>
  </si>
  <si>
    <t>330106800</t>
  </si>
  <si>
    <t>Infraestructura cultural intervenida</t>
  </si>
  <si>
    <t xml:space="preserve">5. Cultura </t>
  </si>
  <si>
    <t>Fomento a la recreación, la actividad física y el deporte. "Tú y yo en la recreación y el deporte"</t>
  </si>
  <si>
    <t>Cobertura de municipios que participan en programas de recreación, actividad física y deporte social y comunitario en el Departamento del Quindío.
Cobertura de ligas apoyadas en el departamento del Quindío.
Porcentaje de medallería del departamento del Quindío en los Juegos Nacionales.</t>
  </si>
  <si>
    <t>39.4</t>
  </si>
  <si>
    <t xml:space="preserve">Infraestructura  deportiva y/o recreativa con procesos   constructivos ,  y/o mejorados, y/o ampliados, y/o mantenidos, y/o  reforzados </t>
  </si>
  <si>
    <t>39.4.1</t>
  </si>
  <si>
    <t xml:space="preserve">Infraestructura   deportiva y/o recreativa construída y/o mejorada, y/o ampliada, y/o mantenida, y/o  reforzada </t>
  </si>
  <si>
    <t>4. Deporte y Recreación</t>
  </si>
  <si>
    <t>Formación y preparación de deportistas. "Tú y yo campeones"</t>
  </si>
  <si>
    <t>40.1</t>
  </si>
  <si>
    <t>Piscinas construidas y dotadas</t>
  </si>
  <si>
    <t>40.1.1</t>
  </si>
  <si>
    <t>Infraestructura productiva y comercialización. "Tú y yo con agro competitivo"</t>
  </si>
  <si>
    <t>Crecimiento económico del sector agropecuario (PIB)</t>
  </si>
  <si>
    <t>10.4</t>
  </si>
  <si>
    <t>Plazas de mercado adecuadas</t>
  </si>
  <si>
    <t>10.4.1</t>
  </si>
  <si>
    <t>13. Promoción del Desarrollo</t>
  </si>
  <si>
    <t>202000363-0009</t>
  </si>
  <si>
    <t>Construcción y/o mejoramiento  de la infraestructura turística y/o  productiva y  competitiva para el desarrollo del Departamento del Quindío</t>
  </si>
  <si>
    <t xml:space="preserve">Productividad y competitividad de las empresas colombianas. "Tú y yo con empresas competitivas" </t>
  </si>
  <si>
    <t>Índice Departamental de Competitividad Turìstica
Tasa desempleo</t>
  </si>
  <si>
    <t>27.8</t>
  </si>
  <si>
    <t>Mirador turístico construido</t>
  </si>
  <si>
    <t>27.8.1</t>
  </si>
  <si>
    <t>Construcción y/o mejoramiento  de la infraestructura turística y/o  productiva y  competitiva para el desarrollo del Departamento del Quindío.</t>
  </si>
  <si>
    <t>Infraestructura red vial regional. "Tú y yo con movilidad vial"</t>
  </si>
  <si>
    <t xml:space="preserve">Indice de competitividad  en el sector de infraestructura vial </t>
  </si>
  <si>
    <t>18.2</t>
  </si>
  <si>
    <t>Infraestructura   vial  con procesos  de construcción, mejoramiento, ampliación, mantenimiento y/o  reforzamiento.</t>
  </si>
  <si>
    <t>18.2.1</t>
  </si>
  <si>
    <t xml:space="preserve">Infraestructura  vial    construída, mejorada, ampliada,  mantenida, y/o  reforzada </t>
  </si>
  <si>
    <t>9. Transporte</t>
  </si>
  <si>
    <t>201663000-0019</t>
  </si>
  <si>
    <t>Mantener, mejorar, rehabilitar y/o atender las vías y sus emergencias, en cumplimiento del Plan Vial del Departamento del Quindío</t>
  </si>
  <si>
    <t>3202</t>
  </si>
  <si>
    <t>Conservación de la biodiversidad y sus servicios ecosistémicos. "Tú y yo en territorios biodiversos"</t>
  </si>
  <si>
    <t xml:space="preserve">Porcentaje de Ecosistemas protegidos y/o en procesos de restauración en el Departamento </t>
  </si>
  <si>
    <t>21.3</t>
  </si>
  <si>
    <t xml:space="preserve">Infraestructura ecoturística construida </t>
  </si>
  <si>
    <t>21.3.1</t>
  </si>
  <si>
    <t>Ordenamiento Ambiental Territorial. "Tú y yo planificamos con sentido ambiental"</t>
  </si>
  <si>
    <t>23.5.1</t>
  </si>
  <si>
    <t>Obras de infraestructura para mitigación y atención a desastres</t>
  </si>
  <si>
    <t xml:space="preserve">Obras de infraestructura para mitigación y atención a desastres realizadas </t>
  </si>
  <si>
    <t>Acceso a soluciones de vivienda. "Tú y yo con vivienda digna"</t>
  </si>
  <si>
    <t>Deficid cualitativo de viviendas por hogares</t>
  </si>
  <si>
    <t>33.3</t>
  </si>
  <si>
    <t>Viviendas de interés social urbanas mejoradas</t>
  </si>
  <si>
    <t>33.3.1</t>
  </si>
  <si>
    <t>Viviendas de Interés Social urbanas mejoradas</t>
  </si>
  <si>
    <t>7. Vivienda</t>
  </si>
  <si>
    <t>Acceso de la población a los servicios de agua potable y saneamiento básico. "Tú y yo con calidad del agua"</t>
  </si>
  <si>
    <t xml:space="preserve">Cobertura de acueducto
Cobertura  de alcantarillado </t>
  </si>
  <si>
    <t>34.6</t>
  </si>
  <si>
    <t xml:space="preserve">Adoptar e implementar la Política Pública de Producción Consumo Sostenible y Gestión Integral de Aseo  </t>
  </si>
  <si>
    <t>34.6.1</t>
  </si>
  <si>
    <t>ND</t>
  </si>
  <si>
    <t>Política Pública de Producción Consumo Sostenible y Gestión Integral de Aseo  adoptada e implementada.</t>
  </si>
  <si>
    <t>3. Agua Potable y Saneamiento Básico</t>
  </si>
  <si>
    <t>202000363-0010</t>
  </si>
  <si>
    <t>Implementación del plan departamental para el mamenjo empresarial de los servicios de agua y saneamiento básico en el Departameno del Quindío</t>
  </si>
  <si>
    <t xml:space="preserve">Cobertura  de alcantarillado </t>
  </si>
  <si>
    <t>34.1</t>
  </si>
  <si>
    <t>Alcantarillados construidos</t>
  </si>
  <si>
    <t>34.1.1</t>
  </si>
  <si>
    <t>Plantas de tratamiento de aguas residuales  construidas</t>
  </si>
  <si>
    <t>34.2</t>
  </si>
  <si>
    <t>Servicios de apoyo financiero para la ejecución de proyectos de acueductos y alcantarillado</t>
  </si>
  <si>
    <t>34.2.1</t>
  </si>
  <si>
    <t>Proyectos de acueducto y alcantarillado en área urbana financiados</t>
  </si>
  <si>
    <t>34.4</t>
  </si>
  <si>
    <t>Servicios de educación informal en agua potable y saneamiento básico</t>
  </si>
  <si>
    <t>34.4.1</t>
  </si>
  <si>
    <t>Eventos de educación informal en agua y saneamiento básico realizados</t>
  </si>
  <si>
    <t>34.5</t>
  </si>
  <si>
    <t>Estudios de pre inversión e inversión</t>
  </si>
  <si>
    <t>34.5.1</t>
  </si>
  <si>
    <t xml:space="preserve">Estudios o diseños realizados </t>
  </si>
  <si>
    <t>Indice de Gestión del Modelo Integrado de Planeación y de Gestión MIPG  de la Administración Departamental</t>
  </si>
  <si>
    <t>45.10</t>
  </si>
  <si>
    <t>Infraestructura institucional o  de edificios públicos de atención  de servicios ciudadanos con procesos constructivos y/o mejorados, y/o ampliados, y/o mantenidos, y/o  reforzados</t>
  </si>
  <si>
    <t>45.10.1</t>
  </si>
  <si>
    <t>Infraestructura Institucional o edificios públicos construida mejorada, ampliada, mantenida, y/o reforzada</t>
  </si>
  <si>
    <t>42.7</t>
  </si>
  <si>
    <t>Salones comunales adecuados</t>
  </si>
  <si>
    <t>42.7.1</t>
  </si>
  <si>
    <t>16, Desarrollo Comunitario</t>
  </si>
  <si>
    <t xml:space="preserve">309  SECRETARÍA DEL INTERIOR </t>
  </si>
  <si>
    <t>1.1</t>
  </si>
  <si>
    <t>Servicio de asistencia técnica para la articulación de los operadores de los servicio de justicia</t>
  </si>
  <si>
    <t>1.1.1</t>
  </si>
  <si>
    <t>Entidades territoriales asistidas técnicamente</t>
  </si>
  <si>
    <t>18. Justicia y Seguridad</t>
  </si>
  <si>
    <t>201663000-0029</t>
  </si>
  <si>
    <t>Apoyo a la convivencia, justicia y cultura de paz en el Departamento del  Quindío</t>
  </si>
  <si>
    <t>Promoción de los métodos de resolución de conflictos. "Tú y yo resolvemos los conflictos"</t>
  </si>
  <si>
    <t>2.1</t>
  </si>
  <si>
    <t>Servicio de asistencia técnica para la implementación de los métodos de resolución de conflictos</t>
  </si>
  <si>
    <t>2.1.1</t>
  </si>
  <si>
    <t>Instituciones públicas y privadas asistidas técnicamente en métodos de resolución de conflictos</t>
  </si>
  <si>
    <t>201663000-0028</t>
  </si>
  <si>
    <t xml:space="preserve">Construcción integral de la seguridad humana en el Departamento de Quindío  </t>
  </si>
  <si>
    <t>Sistema penitenciario y carcelario en el marco de los derechos humanos. "Quindío respeta derechos penitenciarios"</t>
  </si>
  <si>
    <t>3.1</t>
  </si>
  <si>
    <t>Servicio de resocialización de personas privadas de la libertad</t>
  </si>
  <si>
    <t>3.1.1</t>
  </si>
  <si>
    <t>Personas privadas de la libertad (PPL) que reciben Servicio de resocialización</t>
  </si>
  <si>
    <t>Cobertura de Instituciones Educativas con Planes Escolares de Gestión del Riesgo de Desastres-PEGERD</t>
  </si>
  <si>
    <t>15.28</t>
  </si>
  <si>
    <t>Servicio de gestión de riesgos y desastres en establecimientos educativos</t>
  </si>
  <si>
    <t>15.28.1</t>
  </si>
  <si>
    <t>Establecimientos educativos con acciones de gestión del riesgo implementadas</t>
  </si>
  <si>
    <t>i</t>
  </si>
  <si>
    <t>201663000-0036</t>
  </si>
  <si>
    <t xml:space="preserve">Administración del  riesgo mediante el conocimiento, la reducción y el manejo del desastre  en el Departamento del Quindío </t>
  </si>
  <si>
    <t>Atención, asistencia y reparación integral a las víctimas. "Tú y yo con reparación integral"</t>
  </si>
  <si>
    <t>Cobertura de la población victima atendida con procesos de atención, prevención y asistencia humanitaria</t>
  </si>
  <si>
    <t>35.2</t>
  </si>
  <si>
    <t>Servicio de orientación y comunicación a las víctimas</t>
  </si>
  <si>
    <t>35.2.1</t>
  </si>
  <si>
    <t>Solicitudes tramitadas</t>
  </si>
  <si>
    <t>14. Atención a Grupos Vulnerables Promoción Social</t>
  </si>
  <si>
    <t>201663000-0030</t>
  </si>
  <si>
    <t>Implementación del Plan de Acción Territorial para la prevención, protección, asistencia, atención, reparación integral en el Departamento del Quindío</t>
  </si>
  <si>
    <t>35.3</t>
  </si>
  <si>
    <t>Servicio de ayuda y atención humanitaria</t>
  </si>
  <si>
    <t>35.3.1</t>
  </si>
  <si>
    <t>Personas víctimas con ayuda humanitaria</t>
  </si>
  <si>
    <t>35.4</t>
  </si>
  <si>
    <t>Servicio de asistencia técnica para la participación de las víctimas</t>
  </si>
  <si>
    <t>35.4.1</t>
  </si>
  <si>
    <t>Eventos de participación realizados</t>
  </si>
  <si>
    <t>Cobertura de víctimas atendidas con la línea de emprendimiento y fortalecimiento.</t>
  </si>
  <si>
    <t>35.5</t>
  </si>
  <si>
    <t>Servicio de apoyo para la generación de ingresos</t>
  </si>
  <si>
    <t>35.5.1</t>
  </si>
  <si>
    <t>Hogares con asistencia técnica para la generación de ingresos</t>
  </si>
  <si>
    <t>Cobertura de Personas víctimas del conflicto beneficiadas con medidas de satisfacción (Construcción de memoria, Reparación simbólica y Construcción de lugares de memoria)</t>
  </si>
  <si>
    <t>35.1</t>
  </si>
  <si>
    <t>Servicio de asistencia técnica para la realización de iniciativas de memoria histórica</t>
  </si>
  <si>
    <t>35.1.1</t>
  </si>
  <si>
    <t>Iniciativas de memoria histórica asistidas técnicamente</t>
  </si>
  <si>
    <t>Inclusión social y productiva para la población en situación de vulnerabilidad. "Tú y yo, población vulnerable incluida"</t>
  </si>
  <si>
    <t>Cobertura de la población excombatiente atendida con procesos de atención y asistencia humanitaria</t>
  </si>
  <si>
    <t>37.8</t>
  </si>
  <si>
    <t>Servicio de atención y asistencia para la población excombatiente del Departamento del Quindío</t>
  </si>
  <si>
    <t>37.8.1</t>
  </si>
  <si>
    <t>Población excombatiente beneficiada</t>
  </si>
  <si>
    <t>201663000-0032</t>
  </si>
  <si>
    <t>Implementación del Plan Integral de prevención de vulneraciones de los Derechos Humanos DDHH e infracciones  al Derecho Internacional Humanitario DIH en el Departamento del Quindío</t>
  </si>
  <si>
    <t>Fortalecimiento de la convivencia y la seguridad ciudadana. "Tú y yo seguros"</t>
  </si>
  <si>
    <t>41.3</t>
  </si>
  <si>
    <t>Fortalecimiento institucional a organismos de seguridad</t>
  </si>
  <si>
    <t>41.3.1</t>
  </si>
  <si>
    <t>Organismos de seguridad fortalecidos</t>
  </si>
  <si>
    <t>Cobertura de asistencia a los municipios del departamento del Quindío en los procesos de la garantia y prevención de derechos humanos.</t>
  </si>
  <si>
    <t>41.2</t>
  </si>
  <si>
    <t>Servicio de apoyo para la implementación de medidas en derechos humanos y derecho internacional humanitario</t>
  </si>
  <si>
    <t>41.2.1</t>
  </si>
  <si>
    <t>Medidas implementadas en cumplimiento de las obligaciones internacionales en materia de Derechos Humanos y Derecho Internacional Humanitario</t>
  </si>
  <si>
    <t>41.1</t>
  </si>
  <si>
    <t>Servicio de asistencia técnica</t>
  </si>
  <si>
    <t>41.1.1</t>
  </si>
  <si>
    <t>Instancias territoriales de coordinación institucional asistidas y apoyadas</t>
  </si>
  <si>
    <t>201663000-0039</t>
  </si>
  <si>
    <t>Construcción de la participación ciudadana y control social en el Departamento del Quindío</t>
  </si>
  <si>
    <t>Cobertura  de municipios del departamento del Quindio  atendidos con estudios y/o construciónde obras   para mitigación y atención a desastres realizadas.</t>
  </si>
  <si>
    <t>23.1</t>
  </si>
  <si>
    <t>Documentos de estudios técnicos para el ordenamiento ambiental territorial</t>
  </si>
  <si>
    <t>23.1.1</t>
  </si>
  <si>
    <t>Documentos de estudios técnicos para el conocimiento y reducción del riesgo de desastres elaborados</t>
  </si>
  <si>
    <t>12. Prevención y Atención de Desastres</t>
  </si>
  <si>
    <t>Cobertura  de municipios del departamento del Quindio  atendidos con estudios y/o construción de obras   para mitigación y atención a desastres realizadas.</t>
  </si>
  <si>
    <t>23.5</t>
  </si>
  <si>
    <t>Prevención y atención de desastres y emergencias. "Tú y yo preparados en gestión del riesgo"</t>
  </si>
  <si>
    <t>Cobertura de   personas capacitadas en Gestión del Riesgo de Desastres  en el Departamento del Quindio, bajo el marco de Ciudades resilientes</t>
  </si>
  <si>
    <t>43.1</t>
  </si>
  <si>
    <t>Servicio de educación informal</t>
  </si>
  <si>
    <t>43.1.1</t>
  </si>
  <si>
    <t>Personas capacitadas</t>
  </si>
  <si>
    <t>Cobertura de atención  del Sistema Departamental de Gestión del Riesgo de Desastres del Quindío.</t>
  </si>
  <si>
    <t>43.2</t>
  </si>
  <si>
    <t>43.2.1</t>
  </si>
  <si>
    <t>Instancias territoriales asistidas</t>
  </si>
  <si>
    <t>43.3</t>
  </si>
  <si>
    <t>Servicio de atención a emergencias y desastres</t>
  </si>
  <si>
    <t>43.3.1</t>
  </si>
  <si>
    <t>Centro de reserva  para la atención a emergencias y desastres dotado</t>
  </si>
  <si>
    <t>201663000-0038</t>
  </si>
  <si>
    <t>Apoyo institucional en la gestión del riesgo  en el Departamento del Quindío</t>
  </si>
  <si>
    <t>42.8</t>
  </si>
  <si>
    <t>Servicio de promoción a la participación ciudadana</t>
  </si>
  <si>
    <t>42.8.1</t>
  </si>
  <si>
    <t>Iniciativas para la promoción de la participación ciudadana implementada.</t>
  </si>
  <si>
    <t>42.9</t>
  </si>
  <si>
    <t>Implementar la Política de Libertad Religiosa</t>
  </si>
  <si>
    <t>42.9.1</t>
  </si>
  <si>
    <t>Política de Libertad Religiosa Implementado</t>
  </si>
  <si>
    <t>42.5</t>
  </si>
  <si>
    <t>Fortalecimiento de los organismos  de acción comunal (OAC)  de los doce municipios del Departamento en lo relacionado a sus procesos formativos, participativos, de organización y  gestión.</t>
  </si>
  <si>
    <t>42.5.1</t>
  </si>
  <si>
    <t>Municipos con organismos de acción comunal fortalecidos.</t>
  </si>
  <si>
    <t>201663000-0040</t>
  </si>
  <si>
    <t xml:space="preserve">Desarrollo de los Organismos Comunales en el Departamento del Quindío </t>
  </si>
  <si>
    <t>42.6</t>
  </si>
  <si>
    <t xml:space="preserve">Formulación de la  Política Pública Departamental para la  Acción Comunal </t>
  </si>
  <si>
    <t>42.6.1</t>
  </si>
  <si>
    <t>Una Política Pública formulada.</t>
  </si>
  <si>
    <t>201663000-0042</t>
  </si>
  <si>
    <t xml:space="preserve">Fortalecimiento de las veedurias ciudadanas en el Departamento del Quindío </t>
  </si>
  <si>
    <t xml:space="preserve">310 SECRETARÍA DE CULTURA </t>
  </si>
  <si>
    <t>Cobertura en formación artística y cultural
Tasa de consumo de sustancias sicoactivas por 100.000 habitantes en el departamento del Quindío.</t>
  </si>
  <si>
    <t>25.6</t>
  </si>
  <si>
    <t>Servicio de educación informal en áreas artísticas y culturales</t>
  </si>
  <si>
    <t>25.6.1</t>
  </si>
  <si>
    <t>201663000-0046</t>
  </si>
  <si>
    <t>Apoyo al arte y la cultura en todo el Departamento del Quindío</t>
  </si>
  <si>
    <t>25.4</t>
  </si>
  <si>
    <t>Servicio de circulación artística y cultural</t>
  </si>
  <si>
    <t>25.4.1</t>
  </si>
  <si>
    <t>Producciones artísticas en circulación</t>
  </si>
  <si>
    <t>Tasa de lectura
Tasa de consumo de sustancias sicoactivas por 100.000 habitantes en el departamento del Quindío.</t>
  </si>
  <si>
    <t>25.5</t>
  </si>
  <si>
    <t>Servicios bibliotecarios</t>
  </si>
  <si>
    <t>25.5.1</t>
  </si>
  <si>
    <t>330108500</t>
  </si>
  <si>
    <t>Usuarios atendidos</t>
  </si>
  <si>
    <t>202000363-0011</t>
  </si>
  <si>
    <t xml:space="preserve">Implementación del programa "Tú y Yo Somos Cultura", para el fortalecimiento a la léctura,  escitura  y bibliotecas en el Departamento del Quindío </t>
  </si>
  <si>
    <t>25.9</t>
  </si>
  <si>
    <t>Servicio de divulgación y publicaciones</t>
  </si>
  <si>
    <t>25.9.1</t>
  </si>
  <si>
    <t>330110000</t>
  </si>
  <si>
    <t>Publicaciones realizadas</t>
  </si>
  <si>
    <t>25.8</t>
  </si>
  <si>
    <t>Servicio de información para el sector artístico y cultural</t>
  </si>
  <si>
    <t>25.8.1</t>
  </si>
  <si>
    <t>330109900</t>
  </si>
  <si>
    <t>Sistema de información del sector artístico y cultural en operación</t>
  </si>
  <si>
    <t>202000363-0012</t>
  </si>
  <si>
    <t xml:space="preserve"> Implementación de la "Ruta de la felicidad y la identidad quindiana", para  el fortalecimiento y visibilización de los procesos   artisticos  y culturales   en el Departamento del Quindío</t>
  </si>
  <si>
    <t>25.7</t>
  </si>
  <si>
    <t>Servicio de asistencia técnica en gestión artística y cultural</t>
  </si>
  <si>
    <t>25.7.1</t>
  </si>
  <si>
    <t>330109500</t>
  </si>
  <si>
    <t>Personas asistidas técnicamente</t>
  </si>
  <si>
    <t>201663000-0045</t>
  </si>
  <si>
    <t xml:space="preserve">Apoyo a seguridad social del creador y gestor cultural del Departamento del Quindío </t>
  </si>
  <si>
    <t>Gestión, protección y salvaguardia del patrimonio cultural colombiano. "Tú y yo protectores del patrimonio cultural"</t>
  </si>
  <si>
    <t>Tasa de cumplimiento al Plan de Biocultura en patrimonio y del PCC.
Tasa de consumo de sustancias sicoactivas por 100.000 habitantes en el departamento del Quindío.</t>
  </si>
  <si>
    <t>26.1</t>
  </si>
  <si>
    <t>Servicio de asistencia técnica en el manejo y gestión del patrimonio arqueológico, antropológico e histórico.</t>
  </si>
  <si>
    <t>26.1.1</t>
  </si>
  <si>
    <t>330204200</t>
  </si>
  <si>
    <t xml:space="preserve">Asistencias técnicas realizadas a entidades territoriales </t>
  </si>
  <si>
    <t>201663000-0049</t>
  </si>
  <si>
    <t>Apoyo al reconocimiento, apropiación y salvaguardia y difusión del patrimonio cultural en todo el Departamento del Quindío</t>
  </si>
  <si>
    <t>26.2</t>
  </si>
  <si>
    <t>Servicio de divulgación y publicación del Patrimonio cultural</t>
  </si>
  <si>
    <t>26.2.1</t>
  </si>
  <si>
    <t>330207000</t>
  </si>
  <si>
    <t xml:space="preserve">311 SECRETARÍA DE TURISMO INDUSTRIA Y COMERCIO </t>
  </si>
  <si>
    <t>Índice Departamental de Competitividad
Tasa de desempleo</t>
  </si>
  <si>
    <t>27.1</t>
  </si>
  <si>
    <t>Servicio de apoyo y consolidación de las Comisiones Regionales de Competitividad - CRC</t>
  </si>
  <si>
    <t>27.1.1</t>
  </si>
  <si>
    <t>350200600</t>
  </si>
  <si>
    <t xml:space="preserve">Planes de trabajo concertados con las CRC para su consolidación </t>
  </si>
  <si>
    <t>201663000-0051</t>
  </si>
  <si>
    <t>Apoyo al mejoramiento de la competitividad a iniciativas  productivas en el  Departamento del Quindío</t>
  </si>
  <si>
    <t>27.2</t>
  </si>
  <si>
    <t>Servicio de asistencia tècnica para el desarrollo de iniciativas Clústers</t>
  </si>
  <si>
    <t>27.2.1</t>
  </si>
  <si>
    <t>350200700</t>
  </si>
  <si>
    <t>Clústeres asistidos en la implementación de los planes de acción</t>
  </si>
  <si>
    <t>27.4</t>
  </si>
  <si>
    <t>Servicio de asistencia técnica a las Mipymes para el acceso a nuevos mercados</t>
  </si>
  <si>
    <t>27.4.1</t>
  </si>
  <si>
    <t>350202200</t>
  </si>
  <si>
    <t>Empresas asistidas técnicamente</t>
  </si>
  <si>
    <t>201663000-0056</t>
  </si>
  <si>
    <t xml:space="preserve">Fortalecimiento del sector empresarial  hacia mercados globales en el Departamento del Quindío .   </t>
  </si>
  <si>
    <t>27.7</t>
  </si>
  <si>
    <t>Documentos de planeación</t>
  </si>
  <si>
    <t>27.7.1</t>
  </si>
  <si>
    <t>350204700</t>
  </si>
  <si>
    <t>Documentos de planeación elaborados</t>
  </si>
  <si>
    <t>Índice Departamental de Competitividad Turìstica
Tasa de desempleo</t>
  </si>
  <si>
    <t>27.5</t>
  </si>
  <si>
    <t>Servicio de asistencia técnica a los entes territoriales para el desarrollo turístico</t>
  </si>
  <si>
    <t>27.5.1</t>
  </si>
  <si>
    <t>350203900</t>
  </si>
  <si>
    <t>201663000-0059</t>
  </si>
  <si>
    <t>Fortalecimiento de la oferta de prestadores de servicos, productos y atractivos turísticos en el Departamento del Quindío</t>
  </si>
  <si>
    <t>27.5.2</t>
  </si>
  <si>
    <t>350203910</t>
  </si>
  <si>
    <t>Proyectos de infraestructura turística apoyados</t>
  </si>
  <si>
    <t>27.6</t>
  </si>
  <si>
    <t>Servicio de promoción turística</t>
  </si>
  <si>
    <t>27.6.1</t>
  </si>
  <si>
    <t>350204600</t>
  </si>
  <si>
    <t>Campañas realizadas</t>
  </si>
  <si>
    <t>201663000-0062</t>
  </si>
  <si>
    <t>Apoyo a la promoción nacional e internacional como destino  turísmo del Departamento del Quindío</t>
  </si>
  <si>
    <t>Generación y formalización del empleo. "Tú y yo con empleo de calidad"</t>
  </si>
  <si>
    <t>28.1</t>
  </si>
  <si>
    <t>Servicios de apoyo financiero para la creación de empresas</t>
  </si>
  <si>
    <t>28.1.1</t>
  </si>
  <si>
    <t>Planes de negocio financiados</t>
  </si>
  <si>
    <t>201663000-0053</t>
  </si>
  <si>
    <t>Apoyo al emprendimiento, empresarismo, asociatividad y generación de empleo en el departamento del Quindío</t>
  </si>
  <si>
    <t>28.4</t>
  </si>
  <si>
    <t>Servicio de asesoría técnica para el emprendimiento.</t>
  </si>
  <si>
    <t>28.4.1</t>
  </si>
  <si>
    <t>Emprendimientos fortalecidos</t>
  </si>
  <si>
    <t>28.2</t>
  </si>
  <si>
    <t>Servicio de asìstencia técnica para la generación y formalización del empleo</t>
  </si>
  <si>
    <t>28.2.1</t>
  </si>
  <si>
    <t>Talleres de oferta institucional realizados</t>
  </si>
  <si>
    <t>28.3</t>
  </si>
  <si>
    <t>Servicio de información y monitoreo del mercado de trabajo</t>
  </si>
  <si>
    <t>28.3.1</t>
  </si>
  <si>
    <t>360203000</t>
  </si>
  <si>
    <t>Reportes realizados</t>
  </si>
  <si>
    <t xml:space="preserve">312 SECRETARÍA DE AGRICULTURA, DESARROLLO RURAL Y MEDIO AMBIENTE </t>
  </si>
  <si>
    <t>Inclusión productiva de pequeños productores rurales. "Tú y yo con oportunidades para el pequeño campesino"</t>
  </si>
  <si>
    <t>4.3</t>
  </si>
  <si>
    <t>Servicio de asesoría para el fortalecimiento de la asociatividad</t>
  </si>
  <si>
    <t>4.3.1</t>
  </si>
  <si>
    <t>170201100</t>
  </si>
  <si>
    <t>Asociaciones fortalecidas</t>
  </si>
  <si>
    <t>201663000-0075</t>
  </si>
  <si>
    <t xml:space="preserve">Fomento al emprendimiento y  al empleo rural en el Departamento del Quindío  </t>
  </si>
  <si>
    <t>4.1</t>
  </si>
  <si>
    <t>Servicio de apoyo financiero para proyectos productivos</t>
  </si>
  <si>
    <t>4.1.1</t>
  </si>
  <si>
    <t>170200700</t>
  </si>
  <si>
    <t>Proyectos productivos cofinanciados</t>
  </si>
  <si>
    <t>4.2</t>
  </si>
  <si>
    <t>Servicio de apoyo financiero para el acceso a activos productivos y de comercialización</t>
  </si>
  <si>
    <t>4.2.1</t>
  </si>
  <si>
    <t>Productores apoyados con activos productivos y de comercialización</t>
  </si>
  <si>
    <t>4.5</t>
  </si>
  <si>
    <t>Servicio de apoyo para el fomento organizativo de la agricultura campesina, familiar y comunitaria</t>
  </si>
  <si>
    <t>4.5.1</t>
  </si>
  <si>
    <t>170201700</t>
  </si>
  <si>
    <t>Productores agropecuarios apoyados</t>
  </si>
  <si>
    <t>8. Agropecuario</t>
  </si>
  <si>
    <t>201663000-0079</t>
  </si>
  <si>
    <t>Fomento a la agricultura familiar , urbana y  mercados campesinos para la soberanía y  Seguridad alimentaria en el Departamento del Quindío</t>
  </si>
  <si>
    <t>4.10</t>
  </si>
  <si>
    <t>Servicio de apoyo a la comercialización</t>
  </si>
  <si>
    <t>4.10.1</t>
  </si>
  <si>
    <t>170203800</t>
  </si>
  <si>
    <t>Organizaciones de productores formales apoyadas</t>
  </si>
  <si>
    <t>201663000-0078</t>
  </si>
  <si>
    <t>Fortalecimiento a la competitividad productiva y empresarial del sector rural en el Departamento del Quindío</t>
  </si>
  <si>
    <t>4.10.2</t>
  </si>
  <si>
    <t>170203801</t>
  </si>
  <si>
    <t>Productores apoyados para la participación en mercados campesinos</t>
  </si>
  <si>
    <t>4.7</t>
  </si>
  <si>
    <t>4.7.1</t>
  </si>
  <si>
    <t>170202301</t>
  </si>
  <si>
    <t>Planes de Desarrollo Agropecuario y Rural elaborados</t>
  </si>
  <si>
    <t>202000363-0013</t>
  </si>
  <si>
    <t>Implementación de procesos de extensión agropecuaria e inocuidad (estatus sanitario, BPA, BPG) alimentaria; en el Departamento del Quindío</t>
  </si>
  <si>
    <t>4.8</t>
  </si>
  <si>
    <t>Servicios de acompañamiento en la implementación de planes de desarrollo agropecuario y rural</t>
  </si>
  <si>
    <t>4.8.1</t>
  </si>
  <si>
    <t>170202400</t>
  </si>
  <si>
    <t>Planes de Desarrollo Agropecuario y Rural acompañados</t>
  </si>
  <si>
    <t>4.4</t>
  </si>
  <si>
    <t>Servicio de apoyo para el acceso a maquinaria y equipos</t>
  </si>
  <si>
    <t>4.4.1</t>
  </si>
  <si>
    <t>170201400</t>
  </si>
  <si>
    <t>Productores beneficiados con acceso a maquinaria y equipo</t>
  </si>
  <si>
    <t>202000363-0014</t>
  </si>
  <si>
    <t>Implementación de procesos productivos agropecuarios familiares campesinos en busca de la soberanía y seguridad alimentaria en el Departamento del Quindío</t>
  </si>
  <si>
    <t>Servicio de apoyo para el fomento organizativo de la Agricultura Campesina, Familiar y Comunitaria</t>
  </si>
  <si>
    <t>4.6</t>
  </si>
  <si>
    <t>Servicio de acompañamiento productivo y empresarial</t>
  </si>
  <si>
    <t>4.6.1</t>
  </si>
  <si>
    <t>170202100</t>
  </si>
  <si>
    <t>Unidades productivas beneficiadas</t>
  </si>
  <si>
    <t>4.9</t>
  </si>
  <si>
    <t>Servicio de apoyo en la formulación y estructuración de proyectos</t>
  </si>
  <si>
    <t>4.9.1</t>
  </si>
  <si>
    <t>170202500</t>
  </si>
  <si>
    <t>Proyectos estructurados</t>
  </si>
  <si>
    <t>202000363-0015</t>
  </si>
  <si>
    <t xml:space="preserve">Implementación de procesos de agro industrialización con calidad e inocuidad en el Departamento del Quindío </t>
  </si>
  <si>
    <t>Servicios financieros y gestión del riesgo para las actividades agropecuarias y rurales. "Tú y yo con un campo protegido"</t>
  </si>
  <si>
    <t>5.1</t>
  </si>
  <si>
    <t>Servicio de apoyo a la implementación de mecanismos y herramientas para el conocimiento, reducción y manejo de riesgos agropecuarios</t>
  </si>
  <si>
    <t>5.1.1</t>
  </si>
  <si>
    <t>170301300</t>
  </si>
  <si>
    <t>Personas beneficiadas</t>
  </si>
  <si>
    <t>Ordenamiento social y uso productivo del territorio rural. "Tú y yo con un campo planificado"</t>
  </si>
  <si>
    <t>6.1</t>
  </si>
  <si>
    <t>Documentos de lineamientos técnicos</t>
  </si>
  <si>
    <t>6.1.1</t>
  </si>
  <si>
    <t>170400203</t>
  </si>
  <si>
    <t>Documentos de lineamientos para el ordenamiento social y productivo elaborados</t>
  </si>
  <si>
    <t>202000363-0016</t>
  </si>
  <si>
    <t>Implementación de procesos de ordenamiento productivo y social territorial</t>
  </si>
  <si>
    <t>6.2</t>
  </si>
  <si>
    <t>Servicio de apoyo para el fomento de la formalidad</t>
  </si>
  <si>
    <t>6.2.1</t>
  </si>
  <si>
    <t>170401700</t>
  </si>
  <si>
    <t xml:space="preserve">Personas sensibilizadas en la formalización </t>
  </si>
  <si>
    <t>Aprovechamiento de mercados externos. "Tú y yo a los mercados internacionales"</t>
  </si>
  <si>
    <t>7.1</t>
  </si>
  <si>
    <t>Servicio de apoyo financiero para la participación en ferias nacionales e internacionales</t>
  </si>
  <si>
    <t>7.1.1</t>
  </si>
  <si>
    <t>170600400</t>
  </si>
  <si>
    <t>Participaciones en ferias nacionales e internacionales</t>
  </si>
  <si>
    <t>Sanidad agropecuaria e inocuidad agroalimentaria. "Tú y yo con un agro saludable"</t>
  </si>
  <si>
    <t>8.1</t>
  </si>
  <si>
    <t>Servicio de divulgación y socialización</t>
  </si>
  <si>
    <t>8.1.1</t>
  </si>
  <si>
    <t>170706900</t>
  </si>
  <si>
    <t>Eventos realizados</t>
  </si>
  <si>
    <t>Ciencia, tecnología e innovación agropecuaria. "Tú y yo con un agro interconectado"</t>
  </si>
  <si>
    <t>9.1</t>
  </si>
  <si>
    <t>9.1.1</t>
  </si>
  <si>
    <t>170801600</t>
  </si>
  <si>
    <t>Documentos de lineamientos técnicos elaborados</t>
  </si>
  <si>
    <t>202000363-0017</t>
  </si>
  <si>
    <t xml:space="preserve">Implementación de procesos de innovación, ciencia y tecnología agropecuario en el Departamento del Quindío </t>
  </si>
  <si>
    <t>10.1</t>
  </si>
  <si>
    <t>Centros logísticos agropecuarios adecuados</t>
  </si>
  <si>
    <t>10.1.1</t>
  </si>
  <si>
    <t>170901900</t>
  </si>
  <si>
    <t>Implementación de procesos de agro industrialización con calidad e inocuidad en el Departamento del Quindío</t>
  </si>
  <si>
    <t>10.2</t>
  </si>
  <si>
    <t>Infraestructura de pos cosecha adecuada</t>
  </si>
  <si>
    <t>10.2.1</t>
  </si>
  <si>
    <t>170903400</t>
  </si>
  <si>
    <t>Crecimiento económico del sector agropecuario (PIB)
Tasa desempleo</t>
  </si>
  <si>
    <t>27.3</t>
  </si>
  <si>
    <t>Servicio de asistencia técnica para emprendedores y/o empresas en edad temprana</t>
  </si>
  <si>
    <t>27.3.1</t>
  </si>
  <si>
    <t>350201701</t>
  </si>
  <si>
    <t xml:space="preserve">Necesidades empresariales atendidas a partir de emprendimientos </t>
  </si>
  <si>
    <t>Servicio de asistencia técnica para el desarrollo de iniciativas clústeres</t>
  </si>
  <si>
    <t>3201</t>
  </si>
  <si>
    <t>Fortalecimiento del desempeño ambiental de los sectores productivos. "Tú y yo guardianes de la biodiversidad.</t>
  </si>
  <si>
    <t>20.2</t>
  </si>
  <si>
    <t>Documentos de lineamientos técnicos para mejorar la calidad ambiental de las áreas urbanas</t>
  </si>
  <si>
    <t>20.2.1</t>
  </si>
  <si>
    <t>320101300</t>
  </si>
  <si>
    <t>Documentos de lineamientos técnicos para para mejorar la calidad ambiental de las áreas urbanas elaborados</t>
  </si>
  <si>
    <t>10. Ambiental</t>
  </si>
  <si>
    <t>202000363-0018</t>
  </si>
  <si>
    <t xml:space="preserve">Fortalecimiento de los procesos de gestión ambiental urbana y rural para la protección del paisaje y la biodiversidad en el Departamento del Quindío </t>
  </si>
  <si>
    <t>21.2</t>
  </si>
  <si>
    <t>Servicio apoyo financiero para la implementación de esquemas de pago por servicio ambientales</t>
  </si>
  <si>
    <t>21.2.1</t>
  </si>
  <si>
    <t>320201700</t>
  </si>
  <si>
    <t xml:space="preserve">Esquemas de pago por servicio ambientales implementados </t>
  </si>
  <si>
    <t>201663000-0067</t>
  </si>
  <si>
    <t>Gestón integral de cuencas hidrográficas en el Departamento del Quindío</t>
  </si>
  <si>
    <t>21.4</t>
  </si>
  <si>
    <t>Servicio de recuperación de cuerpos de agua lénticos y lóticos</t>
  </si>
  <si>
    <t>21.4.1</t>
  </si>
  <si>
    <t>320203704</t>
  </si>
  <si>
    <t>Bosque ripario recuperado</t>
  </si>
  <si>
    <t>201663000-0068</t>
  </si>
  <si>
    <t>Aplicación de mecanismos de protección ambiental en el Departamento del Quindío</t>
  </si>
  <si>
    <t>21.7</t>
  </si>
  <si>
    <t>PEND DNP</t>
  </si>
  <si>
    <t>Adquisición, mantenimiento y administración de áreas de importancia estrategica para la conservación y regulación del recurso hidríco.</t>
  </si>
  <si>
    <t>21.7.1</t>
  </si>
  <si>
    <t xml:space="preserve">Numero de Hectáreas intervenidas </t>
  </si>
  <si>
    <t>21.5</t>
  </si>
  <si>
    <t xml:space="preserve">Estrategia  departamental para la protección y bienestar de los animales domésticos y silvestres del Departamento </t>
  </si>
  <si>
    <t>21.5.1</t>
  </si>
  <si>
    <t>Estrategia  para la protección y bienestar de los animales domésticos y silvestres adoptada</t>
  </si>
  <si>
    <t>202000363-0019</t>
  </si>
  <si>
    <t>Apoyo a la generación de entornos  amigables para nuestros animales en el departamento del Quindío</t>
  </si>
  <si>
    <t>21.6</t>
  </si>
  <si>
    <t>Realizar  campaña  de sensibilización y apropiación del patrimonio ambiental en el Departamento</t>
  </si>
  <si>
    <t>21.6.1</t>
  </si>
  <si>
    <t>Campaña  de sensibilización y apropiación del patrimonio ambiental realizada</t>
  </si>
  <si>
    <t>201663000-0069</t>
  </si>
  <si>
    <t>Fortalecimiento  y potencialización de los servicios ecosistemicos en el Departamento del Quindío</t>
  </si>
  <si>
    <t>3204</t>
  </si>
  <si>
    <t>Gestión de la información y el conocimiento ambiental. "Tú y yo conscientes con la naturaleza"</t>
  </si>
  <si>
    <t>22.1</t>
  </si>
  <si>
    <t>Servicio de apoyo financiero a emprendimientos</t>
  </si>
  <si>
    <t>22.1.1</t>
  </si>
  <si>
    <t>320401200</t>
  </si>
  <si>
    <t xml:space="preserve">Emprendimientos apoyados </t>
  </si>
  <si>
    <t>202000363-0020</t>
  </si>
  <si>
    <t xml:space="preserve">Apoyo a nuevos modelos de vida sostenibles, sustentables y eficientes en el suelo rural y urbano en el Departamento del Quindío </t>
  </si>
  <si>
    <t>Obras para estabilización de taludes</t>
  </si>
  <si>
    <t>23.3.1</t>
  </si>
  <si>
    <t>320501000</t>
  </si>
  <si>
    <t>Obras para estabilización de taludes realizadas</t>
  </si>
  <si>
    <t xml:space="preserve">10 Ambiental </t>
  </si>
  <si>
    <t>3206</t>
  </si>
  <si>
    <t>Gestión del cambio climático para un desarrollo bajo en carbono y resiliente al clima. "Tú y yo preparados para el cambio climático"</t>
  </si>
  <si>
    <t>24.2</t>
  </si>
  <si>
    <t>Servicio de producción de plántulas en viveros</t>
  </si>
  <si>
    <t>24.2.1</t>
  </si>
  <si>
    <t>320601400</t>
  </si>
  <si>
    <t>Plántulas producidas</t>
  </si>
  <si>
    <t>202000363-0021</t>
  </si>
  <si>
    <t xml:space="preserve">313 DIRECCIÓN OFICINA PRIVADA </t>
  </si>
  <si>
    <t>Fortalecimiento de la Gestión  y Desempeño Institucional</t>
  </si>
  <si>
    <t>45.8</t>
  </si>
  <si>
    <t>Desarrollo de  la Política  de Transparencia, Acceso a la Información Pública y Lucha Contra la Corrupción del Modelo Integrado de Planificación y Gestión MIPG, articulada con el "Pacto por la Integridad , Transparencia y Legalidad" del Gobierno Nacional</t>
  </si>
  <si>
    <t>45.8.1</t>
  </si>
  <si>
    <r>
      <t xml:space="preserve">Política de Transparencia, Acceso a la Información Pública y Lucha Contra la Corrupción  articulada   con el "Pacto por la Integridad , Transparencia y Legalidad" del Gobierno Nacional desarrollada.                                                                           </t>
    </r>
    <r>
      <rPr>
        <sz val="12"/>
        <color rgb="FF000000"/>
        <rFont val="Calibri"/>
        <family val="2"/>
        <scheme val="minor"/>
      </rPr>
      <t xml:space="preserve">        </t>
    </r>
  </si>
  <si>
    <t>201663000-0082</t>
  </si>
  <si>
    <t>Desarrollar y fortalecer la cultura de la transparencia, participación, buen gobierno  y valores éticos y morales en el Departamento del Quindío</t>
  </si>
  <si>
    <t>45.7</t>
  </si>
  <si>
    <t>Desarrollo e implementación de la estrategia de comunicaciones para la Administración Departamental</t>
  </si>
  <si>
    <t>45.7.1</t>
  </si>
  <si>
    <t>Estrategia de comunicaciones desarrollada e implementada</t>
  </si>
  <si>
    <t>201663000-0081</t>
  </si>
  <si>
    <t>Implementación de  la estrategia de comunicaciones para  la divulgación de  los programas, proyectos,  actividades y servicios del Departamento del Quindío</t>
  </si>
  <si>
    <t>42.4</t>
  </si>
  <si>
    <t xml:space="preserve">Encuentros ciudadanos en el Departamento del Quindio en aplicación de la Política de Transparencia, Acceso a la Información Pública y Lucha contra la Corrupción.  </t>
  </si>
  <si>
    <t>42.4.1</t>
  </si>
  <si>
    <t>Encuentros  ciudadanos realizados.</t>
  </si>
  <si>
    <t>202000363-0022</t>
  </si>
  <si>
    <t>Fortalecimiento de  las capacidades institucionales de la administración departamental del Quindío, para generar condiciones de gobernanza territorial, participación, administración eficiente y transparente.</t>
  </si>
  <si>
    <t xml:space="preserve">314 SECRETARÍA DE EDUCACIÓN </t>
  </si>
  <si>
    <t>Tasa de deserción escolar intra -anual</t>
  </si>
  <si>
    <t>15.13</t>
  </si>
  <si>
    <t>Servicio de fomento para la permanencia en programas de educación formal</t>
  </si>
  <si>
    <t>15.13.1</t>
  </si>
  <si>
    <t>Personas beneficiarias de estrategias de permanencia</t>
  </si>
  <si>
    <t>201663000-0084</t>
  </si>
  <si>
    <t xml:space="preserve">Fortalecimiento de las estrategias para el acceso,  permanencia y seguridad  de los niños, niñas y jóvenes en el  sistema educativo del Departamento del Quindío </t>
  </si>
  <si>
    <t>Tasa de cobertura bruta en transición
Tasa de cobertura bruta en educación básica
Tasa de cobertura en educación media
Tasa de deserción escolar intra-anual
Tasa de repitencia</t>
  </si>
  <si>
    <t>15.9</t>
  </si>
  <si>
    <t>Servicio de apoyo a la permanencia con alimentación escolar</t>
  </si>
  <si>
    <t>15.9.1</t>
  </si>
  <si>
    <t>Beneficiarios de la alimentación escolar</t>
  </si>
  <si>
    <t>15.10</t>
  </si>
  <si>
    <t>Servicio de apoyo a la permanencia con transporte escolar</t>
  </si>
  <si>
    <t>15.10.1</t>
  </si>
  <si>
    <t>Beneficiarios de transporte escolar</t>
  </si>
  <si>
    <t xml:space="preserve">Tasa de cobertura bruta en educación básica
Tasa de cobertura en educación media
</t>
  </si>
  <si>
    <t>15.22</t>
  </si>
  <si>
    <t>Servicio de apoyo para la implementación de la estrategia educativa del sistema de responsabilidad penal para adolescentes</t>
  </si>
  <si>
    <t>15.22.1</t>
  </si>
  <si>
    <t>Entidades Territoriales certificadas con asistencia técnica para el fortalecimiento de la estrategia educativa del sistema de responsabilidad penal para adolescentes</t>
  </si>
  <si>
    <t>201663000-0086</t>
  </si>
  <si>
    <t>Implementación de estrategias de inclusión para garantizar la atención educativa a población vulnerable en el  Departamento del  Quindío</t>
  </si>
  <si>
    <t>Tasa de cobertura bruta en educación básica
Tasa de cobertura en educación media
Tasa de Analfabetismo
Tasa de deserción escolar intra-anual
Tasa de repitencia</t>
  </si>
  <si>
    <t>15.11</t>
  </si>
  <si>
    <t>Servicio educación formal por modelos educativos flexibles</t>
  </si>
  <si>
    <t>15.11.1</t>
  </si>
  <si>
    <t>Beneficiarios atendidos con modelos educativos flexibles</t>
  </si>
  <si>
    <t xml:space="preserve">Tasa de cobertura bruta en transición
Tasa de cobertura bruta en educación básica
Tasa de cobertura en educación media
</t>
  </si>
  <si>
    <t>15.30</t>
  </si>
  <si>
    <t>Servicio educativo</t>
  </si>
  <si>
    <t>15.30.1</t>
  </si>
  <si>
    <t>Establecimientos educativos en operación</t>
  </si>
  <si>
    <t>201663000-0087</t>
  </si>
  <si>
    <t>201663000-0098</t>
  </si>
  <si>
    <t>Funcionamiento y prestación de servicios del sector educativo del nivel central en el Departamento del Quindío</t>
  </si>
  <si>
    <t>Tasa de cobertura bruta en transición
Tasa de cobertura bruta en educación básica
Tasa de cobertura en educación media
Tasa de Analfabetismo
Tasa de deserción escolar intra-anual
Tasa de repitencia</t>
  </si>
  <si>
    <t>15.2</t>
  </si>
  <si>
    <t>Servicio de asistencia técnica en educación inicial, preescolar, básica y media</t>
  </si>
  <si>
    <t>15.2.1</t>
  </si>
  <si>
    <t>Entidades y organizaciones asistidas técnicamente</t>
  </si>
  <si>
    <t>201663000-0090</t>
  </si>
  <si>
    <t>Mejoramiento de ambientes escolares y  fortalecimiento de modelos educativos articuladores de la ciencia, los lenguajes, las artes y el deporte en el Departamento del Quindío</t>
  </si>
  <si>
    <t>Tasa de cobertura bruta en transición
Tasa de cobertura bruta en educación básica
Tasa de cobertura en educación media 
Tasa de deserción escolar intra-anual 
Cobertura de Instituciones Educativas con Planes Escolares de Gestión del Riesgo de Desastres-PEGERD</t>
  </si>
  <si>
    <t>15.18</t>
  </si>
  <si>
    <t>Servicios de asistencia técnica en innovación educativa en la educación inicial, preescolar, básica y media</t>
  </si>
  <si>
    <t>15.18.1</t>
  </si>
  <si>
    <t>Instituciones educativas asistidas técnicamente en innovación educativa</t>
  </si>
  <si>
    <t xml:space="preserve">Tasa de cobertura bruta en transición
Tasa de cobertura bruta en educación básica
Tasa de cobertura en educación media 
Tasa de deserción escolar intra-anual </t>
  </si>
  <si>
    <t>15.8</t>
  </si>
  <si>
    <t>Servicio de acondicionamiento de ambientes de aprendizaje</t>
  </si>
  <si>
    <t>15.8.1</t>
  </si>
  <si>
    <t>Ambientes de aprendizaje en funcionamiento</t>
  </si>
  <si>
    <t>201663000-0093</t>
  </si>
  <si>
    <t>Mejoramiento de estrategias que permitan una mayor eficiencia en la gestión de procesos y proyectos de las instituciones educativas del Departamento del Quindío</t>
  </si>
  <si>
    <t>201663000-0095</t>
  </si>
  <si>
    <t xml:space="preserve">Fortalecimiento de los niveles de educación  básica y media para la articulación con la educación terciaria en el Departamento del Quindío </t>
  </si>
  <si>
    <t>Tasa de cobertura bruta en transición</t>
  </si>
  <si>
    <t>15.16</t>
  </si>
  <si>
    <t>Servicio de atención integral para la primera infancia</t>
  </si>
  <si>
    <t>15.16.1</t>
  </si>
  <si>
    <t>Instituciones educativas oficiales que implementan el nivel preescolar en el marco de la atención integral</t>
  </si>
  <si>
    <t>201663000-0101</t>
  </si>
  <si>
    <t xml:space="preserve">Implementación del modelo de atención integral de la educación inicial en el Departamento del  Quindío </t>
  </si>
  <si>
    <t>15.20</t>
  </si>
  <si>
    <t>Servicio de accesibilidad a contenidos web para fines pedagógicos</t>
  </si>
  <si>
    <t>15.20.2</t>
  </si>
  <si>
    <t>Establecimientos educativos conectados a internet</t>
  </si>
  <si>
    <t>201663000-0097</t>
  </si>
  <si>
    <t xml:space="preserve">Fortalecimiento de las herramientas tecnológicas en las Instituciones Educativas del Departamento del Quindío </t>
  </si>
  <si>
    <t>15.20.1</t>
  </si>
  <si>
    <t>Estudiantes con acceso a contenidos web en el establecimiento educativo</t>
  </si>
  <si>
    <t>Porcentaje de estudiantes de grado 11 con dominio de inglés a nivel B1 (preintermedio)</t>
  </si>
  <si>
    <t>15.14</t>
  </si>
  <si>
    <t>Servicio educativos de promoción del bilingüismo</t>
  </si>
  <si>
    <t>15.14.1</t>
  </si>
  <si>
    <t>Estudiantes beneficiados con estrategias de promoción del bilingüismo</t>
  </si>
  <si>
    <t>202000363-0023</t>
  </si>
  <si>
    <t>Fortalecer las competencias comunicativas en lengua extranjera en estudiantes y docentes de las instituciones educativas oficiales del Departamento del Quindío</t>
  </si>
  <si>
    <t>15.14.2</t>
  </si>
  <si>
    <t>Instituciones educativas fortalecidas en competencias comunicativas en un segundo idioma</t>
  </si>
  <si>
    <t>15.23</t>
  </si>
  <si>
    <t>Servicio educativo de promoción del bilingüismo para docentes</t>
  </si>
  <si>
    <t>15.23.1</t>
  </si>
  <si>
    <t>Docentes beneficiados con estrategias de promoción del bilingüismo</t>
  </si>
  <si>
    <t>15.6</t>
  </si>
  <si>
    <t>Servicio de monitoreo y seguimiento a la gestión del sector educativo</t>
  </si>
  <si>
    <t>15.6.1</t>
  </si>
  <si>
    <t>Entidades territoriales con seguimiento y evaluación a la gestión.</t>
  </si>
  <si>
    <t>202000363-0024</t>
  </si>
  <si>
    <t>Fortalecimiento de la educación media para la articulación con la educación superior o terciaria. "Tú y yo preparados para la educación superior"</t>
  </si>
  <si>
    <t>Tasa de cobertura en educación superior</t>
  </si>
  <si>
    <t>44.1</t>
  </si>
  <si>
    <t>Servicio de apoyo para el acceso y la permanencia a la educación superior o terciaria</t>
  </si>
  <si>
    <t>44.1.1</t>
  </si>
  <si>
    <t>Estrategias o programas de  fomento para  acceso y  permanencia a la educación superior o terciaria implementados</t>
  </si>
  <si>
    <t>Fortalecimiento de los niveles de educación  básica y media para la articulación con la educación terciaria en el Departamento del Quindío</t>
  </si>
  <si>
    <t>2017003630-122</t>
  </si>
  <si>
    <t>Implementación de un fondo de apoyo departamental para el acceso y la permanencia de la educacion técnica, tecnológica y superior en el Departamento del Quindío</t>
  </si>
  <si>
    <t>316 SECRETARÍA DE FAMILIA</t>
  </si>
  <si>
    <t>INCLUSION SOCIAL</t>
  </si>
  <si>
    <t>Salud Pública, "Tú y yo con salud de calidad"</t>
  </si>
  <si>
    <t>Razón de mortalidad materna (por 100.000 nacidos vivos)
Porcentaje de atención institucional del parto.
Tasa  de mujeres de 10 a 14 años que han sido madres o están en embarazo.
Tasa de mujeres de 15 a 19 años que han sido madres o están en embarazo.
Prevalencia de VIH/SIDA en población de 15 a 49 años de edad.
Tasa de mortalidad asociada a VIH/SIDA.
Porcentaje transmisión materno -infantil del VIH.
Cobertura de tratamiento antiretroviral</t>
  </si>
  <si>
    <t>12.6</t>
  </si>
  <si>
    <t xml:space="preserve">Servicio de gestión del riesgo en temas de salud sexual y reproductiva </t>
  </si>
  <si>
    <t>12.6.1</t>
  </si>
  <si>
    <t>Campañas de gestión del riesgo en temas de salud sexual y reproductiva implementadas.</t>
  </si>
  <si>
    <t>202000363-0025</t>
  </si>
  <si>
    <t>Diseño e implementación de campañas para la promoción de la vida y prevención del consumo de sustancias psicoactivas "TU Y YO UNIDOS POR LA VIDA".</t>
  </si>
  <si>
    <t>Tasa de violencia de género.
Tasa de Suicidio  x 100.000 Habitantes en el Departamento del Quindío.
Tasa de suicidios en niños y niñas ( 6 a 11 años)
Tasa de suicidios en adolescentes (12 a 17 años)
Tasa de suicidios (18 - 28 años)Tasa de Consumo de Sustancias Psicoactivas  x 100.000 Habitantes en el Departamento del Quindío.</t>
  </si>
  <si>
    <t>12.7</t>
  </si>
  <si>
    <t xml:space="preserve">Servicio de gestión del riesgo en temas de trastornos mentales </t>
  </si>
  <si>
    <t>12.7.1</t>
  </si>
  <si>
    <t>Campañas de gestión del riesgo en temas de trastornos mentales implementadas</t>
  </si>
  <si>
    <t>Cobertura  de municipios   con  jóvenes en riesgo psicosocial impactados en los  Barrios vulnerables del Departamento del Quindío</t>
  </si>
  <si>
    <t>25.1</t>
  </si>
  <si>
    <t>Servicio de educación informal al sector artístico y cultural</t>
  </si>
  <si>
    <t>25.1.1</t>
  </si>
  <si>
    <t>Capacitaciones de educación informal realizadas</t>
  </si>
  <si>
    <t>201663000-0110</t>
  </si>
  <si>
    <t>Desarrollo de acciones encaminadas a la atención integral  de los adolescentes y jóvenes del Departamento del Quindío</t>
  </si>
  <si>
    <t>Desarrollo Integral de Niños, Niñas, Adolescentes y sus Familias. "Tú y yo niños, niñas y adolescentes con desarrollo integral"</t>
  </si>
  <si>
    <t xml:space="preserve">Cobertura en la  implementación del  Modelo de entornos protectores y atención integral de   la primera infancia </t>
  </si>
  <si>
    <t>36.4</t>
  </si>
  <si>
    <t xml:space="preserve">Diseñar e implementar un modelo de atención integral en entornos protectores para la primera infancia </t>
  </si>
  <si>
    <t>36.4.1</t>
  </si>
  <si>
    <t>Modelo de atención integral de entornos protectores implementado</t>
  </si>
  <si>
    <t>201663000-0102</t>
  </si>
  <si>
    <t>Implementación de un modelo de atención integral a niños y niñas en entornos protectores en el Departamento del Quindìo</t>
  </si>
  <si>
    <t xml:space="preserve">Cobertura  en la  implementación y seguimiento de las   Rutas integrales de atención  a la primera infancia </t>
  </si>
  <si>
    <t>36.3</t>
  </si>
  <si>
    <t xml:space="preserve">Implementar y realizar seguimiento a las rutas integrales de atención </t>
  </si>
  <si>
    <t>36.3.1</t>
  </si>
  <si>
    <t xml:space="preserve">Numero de rutas integrales de atención  a la  primera infancia implementadas y con seguimiento </t>
  </si>
  <si>
    <t>Tasa de Violencia Intrafamiliar x 100.000 Habitantes en el Departamento del Quindío.
Tasa de violencia de pareja cuando la víctima está entre los 18 y 28 años 
Tasa de violencia de Género
Tasa de Suicidio  x 100.000 Habitantes en el Departamento del Quindío.
Tasa  de Niños, Niñas y Adolescentes que participan en una actividad remunerada  o no  x cada 100.000 habitantes  en el departamento del Quindío
Tasa  de mujeres de 12 a 14 años que han sido madres o están en embarazo X 100.000 habitantes en el Departamento del Quindío
Cobertura a los grupos de adulto mayor del departamento del Quindío en articulación con los Municipios, en el marco de garantizar estimulación física, cognitiva, emocional y social en bienestar de una vejez activa y saludable</t>
  </si>
  <si>
    <t>36.8</t>
  </si>
  <si>
    <t xml:space="preserve">Implementar la  política pública para la protección, el fortalecimiento y el desarrollo integral de la familia Quindiana </t>
  </si>
  <si>
    <t>36.8.1</t>
  </si>
  <si>
    <t>Política Pública de Familia  implementada</t>
  </si>
  <si>
    <t>201663000-0103</t>
  </si>
  <si>
    <t>Formulación e implementación de  la politica pública  de la familia en el departamento del Quindío</t>
  </si>
  <si>
    <t>.- Tasa de violencia contra niños y niñas o a 5 años       
.- Tasa de violencia contra niños y niñas de 6 a 11 años
.- Tasa de violencia contra niños y niñas de 12 a 17 años
-Tasa de niños, niñas y adolescentes víctimas de violencia sexual  x 100 mil habitantes   en el Departamento del Quindío
-Tasa de suicidios en adolescentes (12 a 17 años)
-Tasa  de Niños, Niñas y Adolescentes que participan en una actividad remunerada  o no  x cada 100.000 habitantes  en el departamento del Quindío
-Tasa  de mujeres de 12 a 14 años que han sido madres o están en embarazo X 100.000 habitantes en el Departamento del Quindío
-Tasa de Consumo de Sustancias Psicoactivas  x 100.000 Habitantes en el Departamento del Quindío.</t>
  </si>
  <si>
    <t>36.7</t>
  </si>
  <si>
    <t>Revisar, ajustar e implementar  la política pública de primera infancia, infancia y adolescencia</t>
  </si>
  <si>
    <t>36.7.1</t>
  </si>
  <si>
    <t xml:space="preserve">Política Pública de Primera Infancia, Infancia y Adolescencia, revisada, ajustada e implementada. </t>
  </si>
  <si>
    <t>201663000-0109</t>
  </si>
  <si>
    <t>Implementación de la política de primera infancia, infancia y adolescencia en el Departamento del Quindío</t>
  </si>
  <si>
    <t>Tasa de Suicidio  x 100.000 Habitantes en el Departamento del Quindío.
Tasa de violencia de pareja cuando la víctima está entre los 18 y 28 años 
Tasa de violencia de Género
Tasa de Violencia Intrafamiliar x 100.000 Habitantes en el Departamento del Quindío.
Tasa de Consumo de Sustancias Psicoactivas  x 100.000 Habitantes en el Departamento del Quindío.
Cobertura de adolescentes y jóvenes atendidos en Post egreso, en los servicios de restablecimiento en la administración de justicia.
Cobertura  de municipios   con  jóvenes en riesgo psicosocial impactados en los  Barrios vulnerables del Departamento del Quindío</t>
  </si>
  <si>
    <t>36.9</t>
  </si>
  <si>
    <t xml:space="preserve">Implementar  la política pública de juventud </t>
  </si>
  <si>
    <t>36.9.1</t>
  </si>
  <si>
    <t>Política Pública de Juventud implementada</t>
  </si>
  <si>
    <t>Tasa de Violencia Intrafamiliar x 100.000 Habitantes en el Departamento del Quindío.
Tasa de violencia de Género</t>
  </si>
  <si>
    <t>36.2</t>
  </si>
  <si>
    <t>Rutas integrales de atención en violencia intrafamiliar y  violencia de género</t>
  </si>
  <si>
    <t>36.2.1</t>
  </si>
  <si>
    <t>Capacitación en activación de las Rutas Integrales de Atención en Violencia Intrafamiliar y de Género, a trabajadores de Supermercados y Tenderos de los Municipios realizadas</t>
  </si>
  <si>
    <t>202000363-0026</t>
  </si>
  <si>
    <t>Diseño e implementación de programa de acompañamiento familiar y comunitario con enfoque preventivo en los tipos de violencias en el Departamento del Quindío "TU Y YO COMPROMETIDOS CON LA FAMILIA"</t>
  </si>
  <si>
    <t>Cobertura de atención de niños y niñas en Hogar Infantil Nocturno, hijos de trabajadoras sexuales en el Departamento del Quindío</t>
  </si>
  <si>
    <t>36.1</t>
  </si>
  <si>
    <t>Servicio de divulgación para la promoción y prevención de los derechos de los niños, niñas y adolescentes</t>
  </si>
  <si>
    <t>36.1.1</t>
  </si>
  <si>
    <t>410202200</t>
  </si>
  <si>
    <t xml:space="preserve">Eventos de divulgación realizados </t>
  </si>
  <si>
    <t>202000363-0027</t>
  </si>
  <si>
    <t>Diseño e implementación de programa comunitario para la prevención de los derechos de niños, niñas y adolescentes y su desarrollo integral. "TU Y YO COMPROMETIDOS CON LOS SUEÑOS".</t>
  </si>
  <si>
    <t>Cobertura de adolescentes y jóvenes atendidos en Post egreso, en los servicios de restablecimiento en la administración de justicia.</t>
  </si>
  <si>
    <t>36.6</t>
  </si>
  <si>
    <t>Servicios dirigidos a la atención de niños, niñas, adolescentes y jóvenes, con enfoque pedagógico y restaurativo encaminados a la inclusión social</t>
  </si>
  <si>
    <t>36.6.1</t>
  </si>
  <si>
    <t>Niños, niñas, adolescentes y jóvenes atendidos en los servicios de restablecimiento en la administración de justicia</t>
  </si>
  <si>
    <t>202000363-0028</t>
  </si>
  <si>
    <t>Atención post egreso de adolescentes y jóvenes, en los servicios de restablecimiento en la administración de justicia, con enfoque pedagógico y restaurativo encaminados a la inclusión social del Departamento del Quindío .</t>
  </si>
  <si>
    <t xml:space="preserve">Cobertura de municipios del departamemto apoyados con  emprendimientos juveniles </t>
  </si>
  <si>
    <t>37.4</t>
  </si>
  <si>
    <t>Servicio de asistencia técnica para fortalecimiento de unidades productivas colectivas para la generación de ingresos</t>
  </si>
  <si>
    <t>37.4.1</t>
  </si>
  <si>
    <t>Unidades productivas colectivas con asistencia técnica</t>
  </si>
  <si>
    <t>Cobertura para la atención al ciudadano migrante a través del plan de atención y de repatriación.</t>
  </si>
  <si>
    <t>37.2</t>
  </si>
  <si>
    <t>Servicio de gestión de oferta social para la población vulnerable</t>
  </si>
  <si>
    <t>37.2.1</t>
  </si>
  <si>
    <t xml:space="preserve">Mecanismos de articulación implementados para la gestión de oferta social </t>
  </si>
  <si>
    <t>201663000-0118</t>
  </si>
  <si>
    <t>Implementación del programa  para la atención y acompañamiento  del ciudadano migrante  y de repatriación en el Departamento del Quindío</t>
  </si>
  <si>
    <t>Tasa de Violencia Intrafamiliar x 100.000 Habitantes en el Departamento del Quindío.
Tasa de violencia contra niños y niñas o a 5 años       
Tasa de violencia contra niños y niñas de 6 a 11 años
Tasa de violencia contra niños y niñas de 12 a 17 años
Tasa de niños, niñas y adolescentes víctimas de violencia sexual  x 100 mil habitantes   en el Departamento del Quindío
Tasa de violencia de pareja cuando la víctima está entre los 18 y 28 años 
Tasa de violencia de Género</t>
  </si>
  <si>
    <t>37.1</t>
  </si>
  <si>
    <t>Servicio de acompañamiento familiar y comunitario para la superación de la pobreza</t>
  </si>
  <si>
    <t>37.1.1</t>
  </si>
  <si>
    <t>Comunidades con acompañamiento familiar.</t>
  </si>
  <si>
    <t xml:space="preserve">Cobertura de municipios del departamento con procesos de implementación de proyectos  productivos  para las personas con discapacidad </t>
  </si>
  <si>
    <t>37.3</t>
  </si>
  <si>
    <t>Servicio de apoyo para el fortalecimiento de unidades productivas colectivas para la generación de ingresos</t>
  </si>
  <si>
    <t>37.3.1</t>
  </si>
  <si>
    <t>Unidades productivas colectivas fortalecidas</t>
  </si>
  <si>
    <t>202000363-0029</t>
  </si>
  <si>
    <t>Atención integral a población en condición de discapacidad en los municipios del Departamento del Quindío "TU Y YO JUNTOS EN LA INCLUSIÓN".</t>
  </si>
  <si>
    <t xml:space="preserve">Tasa planes de vida de los cabildos  indígenas construidos e implementados </t>
  </si>
  <si>
    <t>37.5</t>
  </si>
  <si>
    <t xml:space="preserve">Apoyar la construcción e Implementación de los  Planes de vida de los cabildos Indígenas asentados en el Departamento del Quindío </t>
  </si>
  <si>
    <t>37.5.1</t>
  </si>
  <si>
    <t xml:space="preserve">Planes de vida de los cabildos indígenas  construidos  e implementados </t>
  </si>
  <si>
    <t>202000363-0030</t>
  </si>
  <si>
    <t>Apoyo en la construcción e Implementación de los Planes de Vida de los Cabildos y Resguardos indígenas  asentados en el Departamento del Quindío "TU Y YO UNIDOS CON DIGNIDAD".</t>
  </si>
  <si>
    <t>Tasa de  planes de vida de los resguardos  indígenas construidos e implementados</t>
  </si>
  <si>
    <t>37.6</t>
  </si>
  <si>
    <t xml:space="preserve">Apoyar la construcción e Implementación de los  Planes de vida de los resguardos indígenas  asentados en el Departamento del Quindío </t>
  </si>
  <si>
    <t>37.6.1</t>
  </si>
  <si>
    <t xml:space="preserve">Planes de vida de los resguardos indígenas  construidos  e implementados </t>
  </si>
  <si>
    <t>Cobertura  de población diferencial,  comunidades negras, afros raizales y Palenqueras asentadas en el departamento del Quindío con una  política publica .</t>
  </si>
  <si>
    <t>37.7</t>
  </si>
  <si>
    <t>Formular e implementar la política publica para la comunidad negra, afrocolombiana, raizal y palenquera residente en el Departamento del Quindío</t>
  </si>
  <si>
    <t>37.7.1</t>
  </si>
  <si>
    <t xml:space="preserve">Política Pública para la comunidad negra, afrocolombiana, raizal y palenquera residente en el departamento del Quindío formulada e implementada </t>
  </si>
  <si>
    <t>202000363-0031</t>
  </si>
  <si>
    <t xml:space="preserve">Formulación e implementación de la política pública para la comunidad negra, afrocolombiana, raizal y palenquera residente en el Departamento del Quindío </t>
  </si>
  <si>
    <t>Atención integral de población en situación permanente de desprotección social y/o familiar "Tú y yo con atención integral"</t>
  </si>
  <si>
    <t>Cobertura  de municipios del Departamento del Quindío  con el   Programas  de Rehabilitación Basada en la Comunidad  RBC
Cobertura de municipios atendidos  con el Banco de ayudas técnicas NO POS tipo Estándar, para las personas con discapacidad .</t>
  </si>
  <si>
    <t>38.3</t>
  </si>
  <si>
    <t>4104035</t>
  </si>
  <si>
    <t>Servicios de atención integral a población en condición de discapacidad</t>
  </si>
  <si>
    <t>38.3.1</t>
  </si>
  <si>
    <t xml:space="preserve">Personas atendidas con servicios integrales de atención </t>
  </si>
  <si>
    <t>38.3.2</t>
  </si>
  <si>
    <t xml:space="preserve">Estrategia de rehabilitación basada en la comunidad implementada en los municipios  </t>
  </si>
  <si>
    <t>Cobertura de municipios del departamento del Quindío, con programas de atención a la población habitante de calle.</t>
  </si>
  <si>
    <t>38.2</t>
  </si>
  <si>
    <t>4104026</t>
  </si>
  <si>
    <t>Servicio de articulación de oferta social para la población habitante de calle</t>
  </si>
  <si>
    <t>38.2.1</t>
  </si>
  <si>
    <t xml:space="preserve">Servicio de articulación habitante de calle implementado en los municipios </t>
  </si>
  <si>
    <t>202000363-0032</t>
  </si>
  <si>
    <t xml:space="preserve"> Apoyo en  la articulación de la  oferta social para la población habitante de calle del Departamento del Quindío</t>
  </si>
  <si>
    <t>Tasa de Suicidio  x 100.000 Habitantes en el Departamento del Quindío.
Tasa de Violencia Intrafamiliar x 100.000 Habitantes en el Departamento del Quindío.
Tasa de Consumo de Sustancias Psicoactivas  x 100.000 Habitantes en el Departamento del Quindío.
Tasa de violencia de Género</t>
  </si>
  <si>
    <t>38.7</t>
  </si>
  <si>
    <t>Implementar  la política  pública de diversidad sexual e identidad de género</t>
  </si>
  <si>
    <t>38.7.1</t>
  </si>
  <si>
    <t>Política pública de diversidad sexual implementada.</t>
  </si>
  <si>
    <t>201663000-0125</t>
  </si>
  <si>
    <t>Fomulación e implementación de la politica pública  de diversidad sexual en el Departamento del Quindío</t>
  </si>
  <si>
    <t xml:space="preserve">Tasa de Violencia Intrafamiliar x 100.000 Habitantes en el Departamento del Quindío.
Tasa de violencia de Género
Tasa  de mujeres de 12 a 14 años que han sido madres o están en embarazo X 100.000 habitantes en el Departamento del Quindío
Tasa de participación femenina en cargos de elección popular en el  departamento del Quindío
Cobertura de Asociaciones de mujeres fortalecidas  </t>
  </si>
  <si>
    <t>38.8</t>
  </si>
  <si>
    <t xml:space="preserve">Revisar, ajustar e implementar la política pública de equidad de género para la mujer </t>
  </si>
  <si>
    <t>38.8.1</t>
  </si>
  <si>
    <t>Política pública de la mujer y equidad de género revisada, ajustada e implementada.</t>
  </si>
  <si>
    <t>201663000-0128</t>
  </si>
  <si>
    <t>Implementación de la polìtica pùblica de equidad de género para la mujer en el Departamento del Quindìo</t>
  </si>
  <si>
    <t>Tasa de Suicidio  x 100.000 Habitantes en el Departamento del Quindío.
Tasa de Violencia Intrafamiliar x 100.000 Habitantes en el Departamento del Quindío.
Cobertura a los grupos de adulto mayor del departamento del Quindío en articulación con los Municipios, en el marco de garantizar estimulación física, cognitiva, emocional y social en bienestar de una vejez activa y saludable 
Cobertura  de  centros vida y centros de bienestar del adulto mayor (Legalmente constituidos)  apoyados con los recursos  del la  Estampilla Pro adulto Mayor .</t>
  </si>
  <si>
    <t>38.9</t>
  </si>
  <si>
    <t xml:space="preserve">Formular e implementar la política pública de adulto mayor </t>
  </si>
  <si>
    <t>38.9.1</t>
  </si>
  <si>
    <t xml:space="preserve">Política Pública de Adulto Mayor  formulada e implementada </t>
  </si>
  <si>
    <t>201663000-0129</t>
  </si>
  <si>
    <t xml:space="preserve">Apoyo y bienestar integral a las personas mayores del Departamento del Quindío </t>
  </si>
  <si>
    <t xml:space="preserve">Cobertura a los grupos de adulto mayor del departamento del Quindío en articulación con los Municipios, en el marco de garantizar estimulación física, cognitiva, emocional y social en bienestar de una vejez activa y saludable </t>
  </si>
  <si>
    <t>38.1</t>
  </si>
  <si>
    <t>Servicios de atención y protección integral al adulto mayor</t>
  </si>
  <si>
    <t>38.1.1</t>
  </si>
  <si>
    <t xml:space="preserve">Adultos mayores atendidos con servicios integrales </t>
  </si>
  <si>
    <t>Cobertura  de  centros vida y centros de bienestar del adulto mayor (Legalmente constituidos)  apoyados con los recursos  del la  Estampilla Pro adulto Mayor .</t>
  </si>
  <si>
    <t>38.5</t>
  </si>
  <si>
    <t>Transferencia estampilla para el bienestar del adulto mayor</t>
  </si>
  <si>
    <t>38.5.1</t>
  </si>
  <si>
    <t>Municipios con recursos transferidos con la estampilla Departamental para el bienestar del adulto mayor</t>
  </si>
  <si>
    <t>Tasa de Suicidio  x 100.000 Habitantes en el Departamento del Quindío.
Tasa de Violencia Intrafamiliar x 100.000 Habitantes en el Departamento del Quindío.
Cobertura de municipios del departamento con procesos de implementación de proyectos  productivos  para las personas con discapacidad</t>
  </si>
  <si>
    <t>38.6</t>
  </si>
  <si>
    <t>Revisar, ajustar e implementar  la política pública de  discapacidad</t>
  </si>
  <si>
    <t>38.6.1</t>
  </si>
  <si>
    <t xml:space="preserve">Política Pública de  Discapacidad  , revisada, ajustada e implementada. </t>
  </si>
  <si>
    <t>201663000-0114</t>
  </si>
  <si>
    <t>Actualización e implementación  de   la política pública departamental de discapacidad  "Capacidad sin Limites" en el Quindío</t>
  </si>
  <si>
    <t xml:space="preserve">Mejorar las condiciones de calidad de vida de la población, el acceso incluyente y equitativo a la oferta de servicios del Estado y la ampliación de oportunidades para los Quindianos. </t>
  </si>
  <si>
    <t>41.2.2</t>
  </si>
  <si>
    <t>Casa de la Mujer Empoderada implementada</t>
  </si>
  <si>
    <t>202000363-0033</t>
  </si>
  <si>
    <t>Implementación de la Casa de la Mujer Empoderada para la promoción a la participación ciudadana de mujeres en escenarios sociales, políticos y el fortalecimiento de la Asociatividad en el departamento del Quindío "TU Y YO  CON LAS MUJERES EMPODERADAS".</t>
  </si>
  <si>
    <t>41.2.3</t>
  </si>
  <si>
    <t>Casa Refugio de la Mujer implementada</t>
  </si>
  <si>
    <t>202000363-0034</t>
  </si>
  <si>
    <t>Implementación de la Casa Refugio de la Mujer del Departamento del Quindío</t>
  </si>
  <si>
    <t xml:space="preserve">Cobertura de Asociaciones de mujeres fortalecidas  </t>
  </si>
  <si>
    <t>Servicio de asesoría para el fortalecimiento de la Asociatividad</t>
  </si>
  <si>
    <t>4.3.2</t>
  </si>
  <si>
    <t>170201102</t>
  </si>
  <si>
    <t>Asociaciones de mujeres fortalecidas</t>
  </si>
  <si>
    <t>Derechos fundamentales del trabajo y fortalecimiento del diálogo social. "Tú y yo con una niñez protegida"</t>
  </si>
  <si>
    <t>Tasa  de Niños, Niñas y Adolescentes que participan en una actividad remunerada  o no  x cada 100.000 habitantes  en el departamento del Quindío</t>
  </si>
  <si>
    <t>29.1</t>
  </si>
  <si>
    <t>Servicio de educación informal para la prevención integral del trabajo infantil</t>
  </si>
  <si>
    <t>29.1.1</t>
  </si>
  <si>
    <t>360400600</t>
  </si>
  <si>
    <t>Diseño e Implementación de programa comunitario para la prevención de los derechos de niños, niñas y adolescentes y su desarrollo integral. "TU Y YO COMPROMETIDOS CON LOS SUEÑOS".</t>
  </si>
  <si>
    <t>Tasa de participación femenina en cargos de elección popular en el  departamento del Quindío</t>
  </si>
  <si>
    <t>42.8.2</t>
  </si>
  <si>
    <t>Iniciativas para la promoción de la participación femenina en escenarios sociales y políticos implementada.</t>
  </si>
  <si>
    <t xml:space="preserve">318 SECRETARIA DE SALUD </t>
  </si>
  <si>
    <t xml:space="preserve"> INCLUSION SOCIAL Y EQUIDAD</t>
  </si>
  <si>
    <t xml:space="preserve">Inspección, vigilancia y control. "Tú y yo con salud certificada" </t>
  </si>
  <si>
    <t>Mortalidad por diarreica aguda (EDA) menores 5 años (numero de muertes anual)</t>
  </si>
  <si>
    <t>11.19</t>
  </si>
  <si>
    <t xml:space="preserve">Implementación del Modelo Operativo de Inspección, Vigilancia y Control IVC sanitario en los municipios de competencia departamental. </t>
  </si>
  <si>
    <t>11.19.1</t>
  </si>
  <si>
    <t xml:space="preserve">Modelo de IVC sanitario operando </t>
  </si>
  <si>
    <t>201663000-0132</t>
  </si>
  <si>
    <t>11.2</t>
  </si>
  <si>
    <t>Servicio de concepto sanitario</t>
  </si>
  <si>
    <t>11.2.1</t>
  </si>
  <si>
    <t>Conceptos sanitarios expedidos</t>
  </si>
  <si>
    <t>201663000-0146</t>
  </si>
  <si>
    <t xml:space="preserve">Fortalecimiento de la autoridad sanitaria en el Departamento del Quindío </t>
  </si>
  <si>
    <t>Prevalencia de niños menores de 5 años con desnutrición aguda</t>
  </si>
  <si>
    <t>11.9</t>
  </si>
  <si>
    <t>Servicio de asistencia técnica en inspección, vigilancia y control</t>
  </si>
  <si>
    <t>11.9.1</t>
  </si>
  <si>
    <t>Asistencias técnica en Inspección, Vigilancia y Control realizadas</t>
  </si>
  <si>
    <t>Mortalidad por infección respiratoria aguda (IRA) menores 5 años (numero de muertes anual)</t>
  </si>
  <si>
    <t>11.18</t>
  </si>
  <si>
    <t>Realizar la vigilancia epidemiológica de plaguicidas en el marco del programa veo (vigilancia epidemiológica de organofosforados y carba matos) en los municipios de competencia departamental.</t>
  </si>
  <si>
    <t>11.18.1</t>
  </si>
  <si>
    <t>Municipios con procesos de vigilancia epidemiológica de plaguicidas organofosforados y carbamatos realizados.</t>
  </si>
  <si>
    <t xml:space="preserve">Implementación del modelo operativo de Inspección, Vigilancia y Control IVC sanitario en los municipios de competencia departamental. </t>
  </si>
  <si>
    <t>Mortalidad por dengue (casos)</t>
  </si>
  <si>
    <t>11.15</t>
  </si>
  <si>
    <t>Servicio de promoción, prevención, vigilancia y control de vectores y zoonosis</t>
  </si>
  <si>
    <t>11.15.1</t>
  </si>
  <si>
    <t>Municipios categorías 4, 5 y 6 que formulen y ejecuten real y efectivamente acciones de promoción, prevención, vigilancia y control de vectores y zoonosis realizados</t>
  </si>
  <si>
    <t>Tasa de mortalidad en menores de 1 año (por 1000 nacidos vivos).</t>
  </si>
  <si>
    <t>11.11</t>
  </si>
  <si>
    <t>Servicio de evaluación, aprobación y seguimiento de planes de gestión integral del riesgo</t>
  </si>
  <si>
    <t>11.11.1</t>
  </si>
  <si>
    <t>Informes de evaluación, aprobación y seguimiento de Planes de Gestión Integral de Riesgo realizados</t>
  </si>
  <si>
    <t>Tasa mortalidad en menores de 5 años (por 1.000 nacidos vivos).</t>
  </si>
  <si>
    <t>11.4</t>
  </si>
  <si>
    <t>Servicio de inspección, vigilancia y control</t>
  </si>
  <si>
    <t>11.4.1</t>
  </si>
  <si>
    <t>visitas realizadas</t>
  </si>
  <si>
    <t>Porcentaje de población asegurada al SGSSS
Opotunidad en la presunción diagnóstica y tratamiento oncológico en menores de 18 años (alta y media)</t>
  </si>
  <si>
    <t>11.1</t>
  </si>
  <si>
    <t>11.1.1</t>
  </si>
  <si>
    <t>Documentos técnicos publicados y/o socializados</t>
  </si>
  <si>
    <t>201663000-0148</t>
  </si>
  <si>
    <t>Implementación de programas de promoción social en poblaciones  especiales en el Departamento del Quindío</t>
  </si>
  <si>
    <t>Tasa de violencia de género</t>
  </si>
  <si>
    <t>11.6</t>
  </si>
  <si>
    <t>Servicio de adopción y seguimiento de acciones y medidas especiales</t>
  </si>
  <si>
    <t>11.6.1</t>
  </si>
  <si>
    <t>Acciones y medidas especiales ejecutadas</t>
  </si>
  <si>
    <t>Mortalidad por diarreica aguda (EDA) menores 5 años (numero de muertes anual)
Prevalencia de niños menores de 5 años con desnutrición aguda
Indice de riesgo de la calidad de agua para consumo humano IRCA</t>
  </si>
  <si>
    <t>11.5</t>
  </si>
  <si>
    <t>Servicio de análisis de laboratorio</t>
  </si>
  <si>
    <t>11.5.1</t>
  </si>
  <si>
    <t>Análisis realizados</t>
  </si>
  <si>
    <t>201663000-0151</t>
  </si>
  <si>
    <t xml:space="preserve">Fortalecimiento de las actividades de vigilancia y control del laboratorio de salud pública en el Departamento del Quindío </t>
  </si>
  <si>
    <t>Tasa ajustada por edad de mortalidad asociada a cáncer de cuello uterino (por 100.000 mujeres).</t>
  </si>
  <si>
    <t>11.7</t>
  </si>
  <si>
    <t>Servicio de auditoría y visitas inspectivas</t>
  </si>
  <si>
    <t>11.7.1</t>
  </si>
  <si>
    <t>Auditorías y visitas inspectivas realizadas</t>
  </si>
  <si>
    <t>11.4.2</t>
  </si>
  <si>
    <t xml:space="preserve">Informes de los resultados obtenidos en la vigilancia sanitaria </t>
  </si>
  <si>
    <t>11.13</t>
  </si>
  <si>
    <t>Servicio de información de vigilancia epidemiológica</t>
  </si>
  <si>
    <t>11.13.1</t>
  </si>
  <si>
    <t>Informes de evento generados en la vigencia</t>
  </si>
  <si>
    <t>201663000-0152</t>
  </si>
  <si>
    <t>Fortalecimiento del sistema de vigilancia en salud pública en el Departamento del Quindío</t>
  </si>
  <si>
    <t>11.14</t>
  </si>
  <si>
    <t>11.14.1</t>
  </si>
  <si>
    <t>Asistencias técnicas realizadas</t>
  </si>
  <si>
    <t>201663000-0155</t>
  </si>
  <si>
    <t xml:space="preserve">Asistencia técnica para el fortalecimiento de la gestión de las entidades territoriales del Departamento del Quindío </t>
  </si>
  <si>
    <t>Opotunidad en la presunción diagnóstica y tratamiento oncológico en menores de 18 años (alta y media)</t>
  </si>
  <si>
    <t>11.16</t>
  </si>
  <si>
    <t>Servicio de información para la gestión de la inspección, vigilancia y control sanitario</t>
  </si>
  <si>
    <t>11.16.1</t>
  </si>
  <si>
    <t>Usuarios del sistema</t>
  </si>
  <si>
    <t>201663000-0158</t>
  </si>
  <si>
    <t>Apoyo al proceso del sistema obligatorio de garantía de calidad a los prestadores de salud en el Departamento del Quindío</t>
  </si>
  <si>
    <t>Razón de mortalidad materna (por 100.000 nacidos vivos)</t>
  </si>
  <si>
    <t>11.3</t>
  </si>
  <si>
    <t>Servicio de certificaciones en buenas practicas</t>
  </si>
  <si>
    <t>11.3.1</t>
  </si>
  <si>
    <t>Certificaciones expedidas</t>
  </si>
  <si>
    <t>Porcentaje de atención institucional del parto por personal calificado.</t>
  </si>
  <si>
    <t>Porcentaje de población asegurada al SGSSS</t>
  </si>
  <si>
    <t>11.17</t>
  </si>
  <si>
    <t>Servicios de comunicación y divulgación en inspección, vigilancia y control</t>
  </si>
  <si>
    <t>11.17.1</t>
  </si>
  <si>
    <t>Eventos de rendición de cuentas realizados</t>
  </si>
  <si>
    <t>201663000-0160</t>
  </si>
  <si>
    <t>Apoyo operativo a la inversión social en salud en el Departamento del Quindío</t>
  </si>
  <si>
    <t>Porcentaje de nacidos vivos con 4 o mas controles prenatales</t>
  </si>
  <si>
    <t>11.8</t>
  </si>
  <si>
    <t>Servicio del ejercicio del procedimiento administrativo sancionatorio</t>
  </si>
  <si>
    <t>11.8.1</t>
  </si>
  <si>
    <t xml:space="preserve">Procesos con aplicación del procedimiento administrativo sancionatorio tramitados </t>
  </si>
  <si>
    <t>Porcentaje transmisión materno -infantil del VIH.</t>
  </si>
  <si>
    <t>11.12</t>
  </si>
  <si>
    <t>Servicio de gestión de peticiones, quejas, reclamos y denuncias</t>
  </si>
  <si>
    <t>11.12.1</t>
  </si>
  <si>
    <t>Preguntas Quejas Reclamos y Denuncias Gestionadas</t>
  </si>
  <si>
    <t>11.10</t>
  </si>
  <si>
    <t>Servicio de implementación de estrategias para el fortalecimiento del control social en salud</t>
  </si>
  <si>
    <t>11.10.1</t>
  </si>
  <si>
    <t>Estrategias para el fortalecimiento del control social en salud implementadas</t>
  </si>
  <si>
    <t>12.12</t>
  </si>
  <si>
    <t>Servicio de gestión del riesgo para temas de consumo, aprovechamiento biológico, calidad e inocuidad de los alimentos.</t>
  </si>
  <si>
    <t>12.12.1</t>
  </si>
  <si>
    <t>Campañas de gestión del riesgo para temas de consumo, aprovechamiento biológico, calidad e inocuidad de los alimentos implementadas</t>
  </si>
  <si>
    <t>12.14</t>
  </si>
  <si>
    <t>Servicios de promoción de la salud y prevención de riesgos asociados a condiciones no transmisibles</t>
  </si>
  <si>
    <t>12.14.1</t>
  </si>
  <si>
    <t>Campañas de promoción de la salud y prevención de riesgos asociados a condiciones no transmisibles implementadas</t>
  </si>
  <si>
    <t>Tasa de mortalidad por malaria.</t>
  </si>
  <si>
    <t>12.4</t>
  </si>
  <si>
    <t xml:space="preserve">Servicio de educación informal en temas de salud pública </t>
  </si>
  <si>
    <t>12.4.1</t>
  </si>
  <si>
    <t>201663000-0133</t>
  </si>
  <si>
    <t>Control Salud Ambiental Departamento del Quindío</t>
  </si>
  <si>
    <t>Tasa  de mujeres de 10 a 14 años que han sido madres o están en embarazo.
Tasa de mujeres de 15 a 19 años que han sido madres o están en embarazo.</t>
  </si>
  <si>
    <t>12.16</t>
  </si>
  <si>
    <t xml:space="preserve">Realizar seguimiento y monitoreo a las Entidades Administradoras de Planes Básicos EAPB en la implementación de la Ruta Integral de Atención para la Promoción y Mantenimiento de la Salud y Materno Perinatal en el Departamento  </t>
  </si>
  <si>
    <t>12.16.1</t>
  </si>
  <si>
    <t>Entidades Administradoras de Planes Básicos EAPB con Rutas de obligatorio cumplimiento Implementadas</t>
  </si>
  <si>
    <t>Letalidad por dengue.</t>
  </si>
  <si>
    <t>12.20</t>
  </si>
  <si>
    <t>Formular el Plan de Fortalecimiento de Capacidades en Salud Ambiental en coordinación con el Consejo Territorial de Salud Ambiental COTSA</t>
  </si>
  <si>
    <t>12.20.1</t>
  </si>
  <si>
    <t xml:space="preserve"> Plan de Fortalecimiento de Capacidades en Salud Ambiental FORMULADO </t>
  </si>
  <si>
    <t>12.17</t>
  </si>
  <si>
    <t>Implementar el protocolo de vigilancia sanitaria y ambiental de los efectos en salud relacionados con la contaminación del aire en los 11 municipios de competencia departamental.</t>
  </si>
  <si>
    <t>12.17.1</t>
  </si>
  <si>
    <t>Protocolo implementado</t>
  </si>
  <si>
    <t>Mortalidad por dengue (casos)
Letalidad por dengue.</t>
  </si>
  <si>
    <t>12.19</t>
  </si>
  <si>
    <t>Formulación e implementación del Plan Departamental en Salud Ambiental de adaptación al cambio climático.climático.</t>
  </si>
  <si>
    <t>12.19.1</t>
  </si>
  <si>
    <t>Plan Departamental en Salud Ambiental de adaptación al cambio climático implementado</t>
  </si>
  <si>
    <t>12.18</t>
  </si>
  <si>
    <t>Implementar la estrategia de entornos saludables en articulación intersectorial y sectorial en los entornos de vivienda, educativo, institucional y comunitario con énfasis en la Atención Primaria en Salud Ambiental APSA.</t>
  </si>
  <si>
    <t>12.18.1</t>
  </si>
  <si>
    <t xml:space="preserve">Estrategia de entornos saludables en articulación intersectorial y sectorial implementada </t>
  </si>
  <si>
    <t>12.21</t>
  </si>
  <si>
    <t xml:space="preserve">Implementación de la estrategia de movilidad saludable, segura y sostenible </t>
  </si>
  <si>
    <t>12.21.1</t>
  </si>
  <si>
    <t xml:space="preserve">Estrategia de movilidad saludable, segura y sostenible   implementada </t>
  </si>
  <si>
    <t>201663000-0134</t>
  </si>
  <si>
    <t>Fortalecimiento de acciones de intervención inherentes a los derechos sexuales y reproductivos  en el Departamento del Quindío</t>
  </si>
  <si>
    <t xml:space="preserve">Realizar seguimiento y Monitoreo a las Entidades Administradoras de Planes Básicos EAPB en la implementación de la Ruta Integral de Atención para la Promoción y Mantenimiento de la Salud y Materno Perinatal en el Departamento  </t>
  </si>
  <si>
    <t>12.5</t>
  </si>
  <si>
    <t>Servicio de gestión del riesgo en temas de consumo de sustancias psicoactivas</t>
  </si>
  <si>
    <t>12.5.1</t>
  </si>
  <si>
    <t>Campañas de gestión del riesgo en temas de consumo de sustancias psicoactivas implementadas</t>
  </si>
  <si>
    <t>201663000-0135</t>
  </si>
  <si>
    <t>Fortalecimiento, promoción de la salud y prevención primaria en salud mental en el Departamento del Quindío</t>
  </si>
  <si>
    <t>12.22</t>
  </si>
  <si>
    <t>Adaptar e implementar la política pública de salud mental para el Departamento del Quindío</t>
  </si>
  <si>
    <t>12.22.1</t>
  </si>
  <si>
    <t xml:space="preserve">Política pública en Salud Mental adaptada e Implementada  </t>
  </si>
  <si>
    <t>Tasa ajustada por edad de mortalidad asociada a cáncer de cuello uterino (por 100.000 mujeres).
Opotunidad en la presunción diagnóstica y tratamiento oncológico en menores de 18 años (alta y media)</t>
  </si>
  <si>
    <t>12.8</t>
  </si>
  <si>
    <t>Servicio de gestión del riesgo para abordar condiciones crónicas prevalentes</t>
  </si>
  <si>
    <t>12.8.1</t>
  </si>
  <si>
    <t>Campañas de gestión del riesgo para abordar condiciones crónicas prevalentes implementadas</t>
  </si>
  <si>
    <t>201663000-0138</t>
  </si>
  <si>
    <t xml:space="preserve">Control y vigilancia en las acciones de condiciones no transmisibles y promoción de estilos de vida saludable en el Quindío  </t>
  </si>
  <si>
    <t>Cobertura de vacunación con DPT en menores de 1 año
Cobertura de vacunación con Triple Viral en niños de 1 año
Cobertura útil con esquema completo de vacunación para la edad (triple viral a los 5 años)</t>
  </si>
  <si>
    <t>12.1</t>
  </si>
  <si>
    <t>Cuartos fríos adecuados</t>
  </si>
  <si>
    <t>12.1.1</t>
  </si>
  <si>
    <t>201663000-0139</t>
  </si>
  <si>
    <t>Fortalecimiento de las acciones de la prevención y protección en la población infantil en el Departamento del Quindío</t>
  </si>
  <si>
    <t>Cobertura útil con esquema completo de vacunación para la edad (triple viral a los 5 años)
Mortalidad por infección respiratoria aguda (IRA) menores 5 años (numero de muertes anual)
Mortalidad por diarreica aguda (EDA) menores 5 años (numero de muertes anual)
Tasa de mortalidad por malaria.</t>
  </si>
  <si>
    <t>12.10</t>
  </si>
  <si>
    <t>Servicio de gestión del riesgo para enfermedades emergentes, reemergentes y desatendidas</t>
  </si>
  <si>
    <t>12.10.1</t>
  </si>
  <si>
    <t>Campañas de gestión del riesgo para enfermedades emergentes, reemergentes y desatendidas implementadas.</t>
  </si>
  <si>
    <t>12.11</t>
  </si>
  <si>
    <t>Servicio de gestión del riesgo para enfermedades inmunoprevenibles</t>
  </si>
  <si>
    <t>12.11.1</t>
  </si>
  <si>
    <t>Campañas de gestión del riesgo para enfermedades inmunoprevenibles  implementadas</t>
  </si>
  <si>
    <t>Mortalidad por dengue (casos) 
Letalidad por dengue.</t>
  </si>
  <si>
    <t>Formulación e implementación del plan departamental en salud Ambiental de adaptación al cambio climático.</t>
  </si>
  <si>
    <t>201663000-0141</t>
  </si>
  <si>
    <t xml:space="preserve">Fortalecimiento de estrategia de gestión integral, vectores, cambio climático y zoonosis en el Departamento  del Quindío </t>
  </si>
  <si>
    <t>12.2</t>
  </si>
  <si>
    <t>12.2.1</t>
  </si>
  <si>
    <t>201663000-0142</t>
  </si>
  <si>
    <t xml:space="preserve">Fortalecimiento de la inclusión social para la disminución de riesgos de contraer enfermedades transmisibles  en el Departamento del Quindío </t>
  </si>
  <si>
    <t>Servicio de gestión del riesgo para enfermedades emergentes, reemergentes y desatendidas.</t>
  </si>
  <si>
    <t>202000363-0002</t>
  </si>
  <si>
    <t>Tu y Yo Contra  - COVID</t>
  </si>
  <si>
    <t>12.13</t>
  </si>
  <si>
    <t>Servicios de atención en salud pública en situaciones de emergencias y desastres</t>
  </si>
  <si>
    <t>12.13.1</t>
  </si>
  <si>
    <t>Personas en capacidad de ser atendidas</t>
  </si>
  <si>
    <t>201663000-0143</t>
  </si>
  <si>
    <t>Prevención en emergencias y desastres de eventos relacionados con la salud pública en el Departamento del  Quindío</t>
  </si>
  <si>
    <t>12.9</t>
  </si>
  <si>
    <t>Servicio de gestión del riesgo para abordar situaciones prevalentes de origen laboral</t>
  </si>
  <si>
    <t>12.9.1</t>
  </si>
  <si>
    <t>Campañas de gestión del riesgo para abordar situaciones prevalentes de origen laboral implementadas</t>
  </si>
  <si>
    <t>201663000-0145</t>
  </si>
  <si>
    <t xml:space="preserve"> Prevención vigilancia y control de eventos de origen laboral en el Departamento del Quindío</t>
  </si>
  <si>
    <t>12.3</t>
  </si>
  <si>
    <t>12.3.1</t>
  </si>
  <si>
    <t xml:space="preserve">Documentos de planeación en epidemiología y demografía elaborados </t>
  </si>
  <si>
    <t>Porcentaje de atención institucional del parto.</t>
  </si>
  <si>
    <t>12.15</t>
  </si>
  <si>
    <t>Centros reguladores de urgencias, emergencias y desastres funcionando y dotados</t>
  </si>
  <si>
    <t>12.15.1</t>
  </si>
  <si>
    <t>Centros reguladores de urgencias, emergencias y desastres dotados y funcionando.</t>
  </si>
  <si>
    <t>201663000-0157</t>
  </si>
  <si>
    <t xml:space="preserve">Fortalecimiento de la red de urgencias y emergencias en el Departamento del Quindío </t>
  </si>
  <si>
    <t>201663000-0150</t>
  </si>
  <si>
    <t>13.7</t>
  </si>
  <si>
    <t>Servicio de promoción de afiliaciones al régimen contributivo del Sistema General de Seguridad Social de las personas con capacidad de pago</t>
  </si>
  <si>
    <t>13.7.1</t>
  </si>
  <si>
    <t>Personas con capacidad de pago afiliadas</t>
  </si>
  <si>
    <t>201663000-0153</t>
  </si>
  <si>
    <t>Subsidio afiliación al régimen subsidiado del Sistema General de Seguridad Social en Salud en el Departamento del Quindío</t>
  </si>
  <si>
    <t>Cobertura de tratamiento antiretroviral</t>
  </si>
  <si>
    <t>13.8</t>
  </si>
  <si>
    <t>Servicio de cofinanciación para la continuidad del  régimen subsidiado en salud en 11 municipios del departamento</t>
  </si>
  <si>
    <t>13.8.1</t>
  </si>
  <si>
    <t>Personas afiliadas</t>
  </si>
  <si>
    <t>13.5</t>
  </si>
  <si>
    <t>Servicio de apoyo con tecnologías para prestación de servicios en salud</t>
  </si>
  <si>
    <t>13.5.1</t>
  </si>
  <si>
    <t>Población inimputable atendida</t>
  </si>
  <si>
    <t>201663000-0154</t>
  </si>
  <si>
    <t xml:space="preserve">Prestación de Servicios a la Población no Afiliada al Sistema General de Seguridad Social en Salud  y en los no POS  a la Población Afiliada al Régimen Subsidiado.
</t>
  </si>
  <si>
    <t>13.5.2</t>
  </si>
  <si>
    <t>Pacientes atendidos</t>
  </si>
  <si>
    <t>13.9</t>
  </si>
  <si>
    <t>Servicios de reconocimientos para el cumplimiento de metas de calidad, financiera, producción y transferencias especiales.</t>
  </si>
  <si>
    <t>13.9.1</t>
  </si>
  <si>
    <t>Porcentaje de recursos transferidos</t>
  </si>
  <si>
    <t>13.10</t>
  </si>
  <si>
    <t>Servicios de reconocimientos de deuda</t>
  </si>
  <si>
    <t>13.10.1</t>
  </si>
  <si>
    <t>Porcentaje de recursos pagados</t>
  </si>
  <si>
    <t>Tasa de mujeres de 15 a 19 años que han sido madres o están en embarazo.</t>
  </si>
  <si>
    <t>13.6</t>
  </si>
  <si>
    <t>Servicio de asistencia técnica a Instituciones prestadoras de servicios de salud</t>
  </si>
  <si>
    <t>13.6.1</t>
  </si>
  <si>
    <t>Instituciones Prestadoras de Servicios de salud asistidas técnicamente</t>
  </si>
  <si>
    <t>201663000-0159</t>
  </si>
  <si>
    <t>Fortalecimiento de la red de prestación de servicios pública  del Departamento del Quindío</t>
  </si>
  <si>
    <t>324  SECRETARÍA TECNOLÓGIAS DE LA INFORMACIÓN Y COMUNICACIÓN</t>
  </si>
  <si>
    <t>Facilitar el acceso y uso de las Tecnologías de la Información y las Comunicaciones en todo el departamento del Quindio. "Tú y yo somos ciudadanos TIC"</t>
  </si>
  <si>
    <t>Tasa de crecimiento de puntos de acceso a internet gratis 
Índice Departamental de Competitividad
Tasa de Desempleo</t>
  </si>
  <si>
    <t>16.4</t>
  </si>
  <si>
    <t>Servicio de acceso y uso de tecnologías de la información y las comunicaciones</t>
  </si>
  <si>
    <t>16.4.2</t>
  </si>
  <si>
    <t>Soluciones de conectividad en instituciones públicas instaladas</t>
  </si>
  <si>
    <t>202000363-0035</t>
  </si>
  <si>
    <t>Fortalecimiento  y apoyo a las tecnologías de la información de las comunicaciones en el departamento del Quindío</t>
  </si>
  <si>
    <t>Nivel de avance alto en el Índice de Gobierno digital
Índice Departamental de Competitividad
Tasa de Desempleo</t>
  </si>
  <si>
    <t>16.5</t>
  </si>
  <si>
    <t>Servicio de educación informal en tecnologías de la información y las comunicaciones.</t>
  </si>
  <si>
    <t>16.5.1</t>
  </si>
  <si>
    <t>Personas capacitadas en tecnologías de la información y las comunicaciones</t>
  </si>
  <si>
    <t>Fomento del desarrollo de aplicaciones, software y contenidos para impulsar la apropiación de las Tecnologías de la Información y las Comunicaciones (TIC) "Quindío paraiso empresarial TIC-Quindío TIC"</t>
  </si>
  <si>
    <t>17.8</t>
  </si>
  <si>
    <t>Servicio de promoción de la industria de tecnologías de la información</t>
  </si>
  <si>
    <t>17.8.1</t>
  </si>
  <si>
    <t xml:space="preserve">Eventos para  promoción  de productos y Servicio de la industria TI realizados </t>
  </si>
  <si>
    <t>202000363-0036</t>
  </si>
  <si>
    <t>Fortalecimiento del sector empresarial del departamento del Quindío</t>
  </si>
  <si>
    <t xml:space="preserve">PRODUCTIVIDAD Y COMPETITIVIDAD </t>
  </si>
  <si>
    <t>3903</t>
  </si>
  <si>
    <t xml:space="preserve">Desarrollo tecnológico e innovación para el crecimiento empresarial </t>
  </si>
  <si>
    <t>Tasa de crecimiento de empresas en el sector productivo transformadas digitalmente</t>
  </si>
  <si>
    <t>31.1</t>
  </si>
  <si>
    <t>Servicio de apoyo para la transferencia de conocimiento y tecnología</t>
  </si>
  <si>
    <t>31.1.1</t>
  </si>
  <si>
    <t>Nuevas tecnologías adoptadas</t>
  </si>
  <si>
    <t>201663000-0001</t>
  </si>
  <si>
    <t>Apoyo a la estrategia de gobierno en linea en el Departamento del Quindío</t>
  </si>
  <si>
    <t>Generación de una cultura que valora y gestiona el conocimiento y la innovación.</t>
  </si>
  <si>
    <t>Incremento de emprendimientos y/o empresas de base tecnologica</t>
  </si>
  <si>
    <t>32.2</t>
  </si>
  <si>
    <t>Servicios de comunicación con enfoque en ciencia tecnología y sociedad</t>
  </si>
  <si>
    <t>32.2.1</t>
  </si>
  <si>
    <t>Juguetes, juegos o videojuegos para la comunicación de la ciencia, tecnología e innovación producidos</t>
  </si>
  <si>
    <t>202000363-0037</t>
  </si>
  <si>
    <t xml:space="preserve">Implementación  y  divulgación de la estratégia    "Quindío innovador y competitivo" </t>
  </si>
  <si>
    <t>Nivel de avance alto en el Índice de Gobierno digital</t>
  </si>
  <si>
    <t>17.6</t>
  </si>
  <si>
    <t>Servicio de educación informal para la implementación de la estrategia de gobierno digital</t>
  </si>
  <si>
    <t>17.6.1</t>
  </si>
  <si>
    <t>Personas capacitadas para la implementación de la Estrategia de Gobierno digital</t>
  </si>
  <si>
    <t>201663000-0004</t>
  </si>
  <si>
    <t>Apoyo a la sostenibilidad de las tecnologías de la información y comunicación de la Gobernación del Quindío</t>
  </si>
  <si>
    <t>17.10</t>
  </si>
  <si>
    <t>Servicio de educación informal en Gestión TI y en Seguridad y Privacidad de la Información</t>
  </si>
  <si>
    <t>17.10.1</t>
  </si>
  <si>
    <t>Personas capacitadas para en Gestión TI y en Seguridad y Privacidad de la Información</t>
  </si>
  <si>
    <t>TOTAL ADMINISTRACIÓN CENTRAL:</t>
  </si>
  <si>
    <t xml:space="preserve">319 INDEPORTES QUINDÍO </t>
  </si>
  <si>
    <t>Cobertura de municipios que participan en programas de recreación, actividad física y deporte social y comunitario en el Departamento del Quindío.
Tasa de consumo de sustencias psicoactivas X100.000 habitantes en el Departamento del Quindío</t>
  </si>
  <si>
    <t>39.1</t>
  </si>
  <si>
    <t>Servicio de Escuelas Deportivas</t>
  </si>
  <si>
    <t>39.1.1</t>
  </si>
  <si>
    <t>Municipios con Escuelas Deportivas</t>
  </si>
  <si>
    <t>201663000-0163</t>
  </si>
  <si>
    <t>Apoyo al Deporte formativo, deporte social comunitario y juegos  tradicionales en el Departamento del Quindío</t>
  </si>
  <si>
    <t>39.2</t>
  </si>
  <si>
    <t>Servicio de promoción de la actividad física, la recreación y el deporte</t>
  </si>
  <si>
    <t>39.2.1</t>
  </si>
  <si>
    <t>Municipios vinculados al programa Supérate-Intercolegiados</t>
  </si>
  <si>
    <t>39.2.2</t>
  </si>
  <si>
    <t>430103704</t>
  </si>
  <si>
    <t>Municipios implementando  programas de recreación, actividad física y deporte social comunitario</t>
  </si>
  <si>
    <t>201663000-0162</t>
  </si>
  <si>
    <t>Apoyo a los juegos intercolegiados en el Deparrtamento del Quindìo</t>
  </si>
  <si>
    <t>201663000-0164</t>
  </si>
  <si>
    <t xml:space="preserve"> Apoyo a la recreación,  para el bien común en el Departamento del Quindío</t>
  </si>
  <si>
    <t>39.3</t>
  </si>
  <si>
    <t>N/A</t>
  </si>
  <si>
    <t>Formular e  implementar una  política pública para el desarrollo y acceso al deporte, la recreación, la actividad física, la educación física y el uso adecuado del tiempo libre, como ejes de transformación humana y social en el departamento del Quindío</t>
  </si>
  <si>
    <t>39.3.1</t>
  </si>
  <si>
    <t>Politica publica formulada e implementada</t>
  </si>
  <si>
    <t>201663000-0166</t>
  </si>
  <si>
    <t>Apoyo a proyectos deportivos, recreativos y de actividad fisica, en el Departamento del Quindìo</t>
  </si>
  <si>
    <t>201663000-0165</t>
  </si>
  <si>
    <t>Apoyo a la actividad fisica, salud y productiva en el Departamento del Quindío</t>
  </si>
  <si>
    <t xml:space="preserve">Cobertura de ligas apoyadas en el departamento del Quindío.
Tasa de consumo de sustencias psicoactivas X100.000 habitantes en el Departamento del Quindío
</t>
  </si>
  <si>
    <t>40.2</t>
  </si>
  <si>
    <t>Servicio de asistencia técnica para la promoción del deporte</t>
  </si>
  <si>
    <t>40.2.1</t>
  </si>
  <si>
    <t xml:space="preserve">Organismos deportivos asistidos </t>
  </si>
  <si>
    <t>201663000-0161</t>
  </si>
  <si>
    <t>Apoyo al deporte asociado en el Departamento del Quindío</t>
  </si>
  <si>
    <t>Porcentaje de medallería del departamento del Quindío en los Juegos Nacionales.
Tasa de consumo de sustencias psicoactivas X100.000 habitantes en el Departamento del Quindío</t>
  </si>
  <si>
    <t>40.2.2</t>
  </si>
  <si>
    <t>Juegos Deportivos Realizados</t>
  </si>
  <si>
    <t>202000363-0038</t>
  </si>
  <si>
    <t>Desarrollo de los  XXII JUEGOS DEPORTIVOS NACIONALES Y VI JUEGOS PARANACIONALES   2023</t>
  </si>
  <si>
    <t xml:space="preserve">320 PROMOTORA DE VIVIENDA </t>
  </si>
  <si>
    <t>4. Deporte, recreación</t>
  </si>
  <si>
    <t>201663000-0171</t>
  </si>
  <si>
    <t xml:space="preserve">Apoyo en la formulación y ejecucion de proyectos de vivienda, infraestructura y equipamientos colectivos y comunitarios en el Departamento del Quindío  </t>
  </si>
  <si>
    <t xml:space="preserve">ïndice de competitividad  en el sector de infraestructura vial </t>
  </si>
  <si>
    <t>Deficit cualitativo de viviendas por hogares</t>
  </si>
  <si>
    <t>33.1</t>
  </si>
  <si>
    <t xml:space="preserve">Servicio de asistencia técnica y jurídica en saneamiento y titulación de predios </t>
  </si>
  <si>
    <t>33.1.1</t>
  </si>
  <si>
    <t>400100100</t>
  </si>
  <si>
    <t>Entidades territoriales asistidas técnica y jurídicamente</t>
  </si>
  <si>
    <t xml:space="preserve">7. Vivienda </t>
  </si>
  <si>
    <t>Deficit cuantitativo de viviendas por hogares</t>
  </si>
  <si>
    <t>33.4</t>
  </si>
  <si>
    <t xml:space="preserve">Viviendas de Interés Prioritario urbanas costruidas </t>
  </si>
  <si>
    <t>33.4.1</t>
  </si>
  <si>
    <t>400101700</t>
  </si>
  <si>
    <t>Viviendas de Interés Prioritario urbanas construidas</t>
  </si>
  <si>
    <t>33.5</t>
  </si>
  <si>
    <t xml:space="preserve">Viviendas de Interés Prioritario urbanas mejoradas </t>
  </si>
  <si>
    <t>33.5.1</t>
  </si>
  <si>
    <t>400101800</t>
  </si>
  <si>
    <t>Viviendas de Interés Prioritario urbanas mejoradas</t>
  </si>
  <si>
    <t>33.6</t>
  </si>
  <si>
    <t>Estudios de preinversión e inversión</t>
  </si>
  <si>
    <t>33.6.1</t>
  </si>
  <si>
    <t>400103000</t>
  </si>
  <si>
    <t xml:space="preserve">Infraestructura Institucional de edificios públicos de atención de servicios ciudadanos con procesos costructivos, y/o mejorados, y/o ampliados, y/o mantenidos y/o reforzados </t>
  </si>
  <si>
    <t>321 INSTITUTO DEPARTAMENTAL DE TRANSITO</t>
  </si>
  <si>
    <t xml:space="preserve"> TERRITORIO, AMBIENTE Y DESARROLLO SOSTENIBLE</t>
  </si>
  <si>
    <t>Seguridad de Transporte. "Tú y yo seguros en la vía"</t>
  </si>
  <si>
    <t>Tasa de lesionados por siniestros viales por cada 100 habitantes.
Tasa de fallecidos por siniestros viales por cada 100 habitantes.</t>
  </si>
  <si>
    <t>19.1</t>
  </si>
  <si>
    <t>Formular e Implementar una estrategia de movilidad saludable, segura y sostenible.</t>
  </si>
  <si>
    <t>19.1.1</t>
  </si>
  <si>
    <t xml:space="preserve">Estrategia de movilidad saludable, segura y sostenible  formulada e implementada </t>
  </si>
  <si>
    <t xml:space="preserve">9. Transporte </t>
  </si>
  <si>
    <t>201663000-0172</t>
  </si>
  <si>
    <t>Fortalecimiento de la seguridad vial  en el Departamento del Quindío</t>
  </si>
  <si>
    <t>19.2</t>
  </si>
  <si>
    <t>Formular e Implementar un programa de formación en normas de tránsito y fomento de cultura  de la seguridad en la vía.</t>
  </si>
  <si>
    <t>19.2.1</t>
  </si>
  <si>
    <t>Programa de formación cultural  de la seguridad en la vía formulado e implementado.</t>
  </si>
  <si>
    <t>19.3</t>
  </si>
  <si>
    <t>Formular e Implementar un programa de control, prevención y atención del tránsito y el transporte en los municipios y vías de jurisdicción del IDTQ.</t>
  </si>
  <si>
    <t>19.3.1</t>
  </si>
  <si>
    <t>Programa de control y atención del tránsito y el transporte formulado e implementado</t>
  </si>
  <si>
    <t>19.4</t>
  </si>
  <si>
    <t>Diseñar e Implementar un programa de señalización y demarcación en los municipios y vías de jurisdicción del IDTQ.</t>
  </si>
  <si>
    <t>19.4.1</t>
  </si>
  <si>
    <t>Programa de Señalización y demarcación en los municipios y vías de jurisdicción del IDTQ diseñado e Implementado</t>
  </si>
  <si>
    <t>TOTAL ENTIDADES DESCENTRALIZADAS</t>
  </si>
  <si>
    <t>TOTAL POAI:</t>
  </si>
  <si>
    <t>CÓDIGO BPPIN</t>
  </si>
  <si>
    <t xml:space="preserve">NOMBRE DEL PROYECTO </t>
  </si>
  <si>
    <t>PRESUPUESTO 2020</t>
  </si>
  <si>
    <t>ADMINISTRACIÓN CENTRAL</t>
  </si>
  <si>
    <t>304 -Secretaría Administrativa</t>
  </si>
  <si>
    <t>Formulación e implementación del programa de seguridad y salud en el trabajo, capacitación y bienestar social en el Departamento del Quindio</t>
  </si>
  <si>
    <t>305 Secretaría de Planeación</t>
  </si>
  <si>
    <t>307 Secretaría de Hacienda</t>
  </si>
  <si>
    <t xml:space="preserve"> Mejoramiento de la sostenibilidad de los procesos de fiscalización liquidación control y cobranza de los tributos en el Departamento del Quindío</t>
  </si>
  <si>
    <t xml:space="preserve">Implementación de un programa de gestión fianciera para la optimización de los procesos en el area de tesorería, presupuesto y contabilidad en el Departamento del Quindio </t>
  </si>
  <si>
    <t xml:space="preserve">308 Secretaría de Agua e Infraestructura </t>
  </si>
  <si>
    <t>309 Secretaría del Interior</t>
  </si>
  <si>
    <t>310 Secretaría de Cultura</t>
  </si>
  <si>
    <t xml:space="preserve">311 Secretaría de Turismo, Industria y Comercio </t>
  </si>
  <si>
    <t>312 Secretaría de Agricultura, Desarrollo Rural y Medio Ambiente</t>
  </si>
  <si>
    <t>313 Oficina Privada</t>
  </si>
  <si>
    <t xml:space="preserve">314 Secretaría de Educación - </t>
  </si>
  <si>
    <t>316 Secretaría de Familia</t>
  </si>
  <si>
    <t>318 Secretaría de Salud - 1801- Régimen Subsidiado - 1802 Prestación de Servicios -1803 Salud Pública - 1804 Otros Gastos en Salud</t>
  </si>
  <si>
    <t xml:space="preserve">Fortalecimiento de la red de urgencias y emergencias en el Departamento del Quindio </t>
  </si>
  <si>
    <t xml:space="preserve">324 Secretaría de Tecnologías de la Información y las Comunicaciones </t>
  </si>
  <si>
    <t>ENTIDADES DESCENTRALIZADAS</t>
  </si>
  <si>
    <t>319 Indeportes Quindío</t>
  </si>
  <si>
    <t>202000363-0039</t>
  </si>
  <si>
    <t>Fortalecimiento al deporte competitivo y de altos logros "TU Y    YO SOMOS salvaVIDAS POR UN QUINDIO GANADOR" en el Departamento del Quindio</t>
  </si>
  <si>
    <t>320 Promotora de Vivienda</t>
  </si>
  <si>
    <t xml:space="preserve">321 Instituto Departamental de Transito </t>
  </si>
  <si>
    <t>TOTAL ENTIDADES DESCENTRALIZADAS:</t>
  </si>
  <si>
    <t>GRAN TOTAL:</t>
  </si>
  <si>
    <t>JOSÉ IGNACIO ROJAS SEPÚLVEDA</t>
  </si>
  <si>
    <t>Secretario de Planeación Departamental</t>
  </si>
  <si>
    <t>Elaboró:  Norma Consuelo Mantilla Q., Profesional Universitario</t>
  </si>
  <si>
    <t>Revisó:     Sandra Patricia Díaz Ordoñez, Jefe de Proyectos y Cooperación</t>
  </si>
  <si>
    <t>SEGUIMIENTO PROYECTOS DE INVERSION REGISTRADOS EN EL BANCO DE PROGRAMAS Y PROYECTOS, QUE FORMAN PARTE DEL PLAN OPERATIVO ANUAL DE INVERSIONES POAI DEL DEPARTAMENTO</t>
  </si>
  <si>
    <t>JUNIO 30 2020</t>
  </si>
  <si>
    <t>OBLIGACIONES</t>
  </si>
  <si>
    <t>LINEA ESTRATEGICA</t>
  </si>
  <si>
    <t>TOTAL SECTOR CENTRAL</t>
  </si>
  <si>
    <t>0.50</t>
  </si>
</sst>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43" formatCode="_(* #,##0.00_);_(* \(#,##0.00\);_(* &quot;-&quot;??_);_(@_)"/>
    <numFmt numFmtId="164" formatCode="_-&quot;$&quot;* #,##0_-;\-&quot;$&quot;* #,##0_-;_-&quot;$&quot;* &quot;-&quot;_-;_-@_-"/>
    <numFmt numFmtId="165" formatCode="_-* #,##0_-;\-* #,##0_-;_-* &quot;-&quot;_-;_-@_-"/>
    <numFmt numFmtId="166" formatCode="_-&quot;$&quot;* #,##0.00_-;\-&quot;$&quot;* #,##0.00_-;_-&quot;$&quot;* &quot;-&quot;??_-;_-@_-"/>
    <numFmt numFmtId="167" formatCode="_-* #,##0.00_-;\-* #,##0.00_-;_-* &quot;-&quot;??_-;_-@_-"/>
    <numFmt numFmtId="168" formatCode="_([$$-240A]\ * #,##0.00_);_([$$-240A]\ * \(#,##0.00\);_([$$-240A]\ * &quot;-&quot;??_);_(@_)"/>
    <numFmt numFmtId="169" formatCode="_(* #,##0_);_(* \(#,##0\);_(* &quot;-&quot;??_);_(@_)"/>
    <numFmt numFmtId="170" formatCode="_-* #,##0.00_-;\-* #,##0.00_-;_-* &quot;-&quot;_-;_-@_-"/>
    <numFmt numFmtId="171" formatCode="_-&quot;$&quot;\ * #,##0.00_-;\-&quot;$&quot;\ * #,##0.00_-;_-&quot;$&quot;\ * &quot;-&quot;??_-;_-@_-"/>
    <numFmt numFmtId="172" formatCode="00"/>
    <numFmt numFmtId="173" formatCode="_-* #,##0_-;\-* #,##0_-;_-* &quot;-&quot;??_-;_-@_-"/>
    <numFmt numFmtId="174" formatCode="0.0"/>
    <numFmt numFmtId="175" formatCode="_-&quot;$&quot;\ * #,##0.00_-;\-&quot;$&quot;\ * #,##0.00_-;_-&quot;$&quot;\ * &quot;-&quot;_-;_-@_-"/>
    <numFmt numFmtId="176" formatCode="_(&quot;$&quot;\ * #,##0_);_(&quot;$&quot;\ * \(#,##0\);_(&quot;$&quot;\ * &quot;-&quot;??_);_(@_)"/>
  </numFmts>
  <fonts count="48"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indexed="8"/>
      <name val="Calibri"/>
      <family val="2"/>
    </font>
    <font>
      <b/>
      <sz val="11"/>
      <color rgb="FF6F6F6E"/>
      <name val="Calibri"/>
      <family val="2"/>
      <scheme val="minor"/>
    </font>
    <font>
      <sz val="12"/>
      <name val="Arial"/>
      <family val="2"/>
    </font>
    <font>
      <sz val="12"/>
      <color theme="1"/>
      <name val="Arial"/>
      <family val="2"/>
    </font>
    <font>
      <b/>
      <sz val="12"/>
      <color theme="0"/>
      <name val="Arial"/>
      <family val="2"/>
    </font>
    <font>
      <sz val="10"/>
      <name val="Arial"/>
      <family val="2"/>
    </font>
    <font>
      <b/>
      <sz val="10"/>
      <color theme="1"/>
      <name val="Arial"/>
      <family val="2"/>
    </font>
    <font>
      <sz val="10"/>
      <color theme="1"/>
      <name val="Arial"/>
      <family val="2"/>
    </font>
    <font>
      <sz val="10"/>
      <color theme="0"/>
      <name val="Arial"/>
      <family val="2"/>
    </font>
    <font>
      <b/>
      <sz val="11"/>
      <name val="Calibri"/>
      <family val="2"/>
      <scheme val="minor"/>
    </font>
    <font>
      <sz val="11"/>
      <name val="Calibri"/>
      <family val="2"/>
      <scheme val="minor"/>
    </font>
    <font>
      <b/>
      <sz val="12"/>
      <name val="Arial"/>
      <family val="2"/>
    </font>
    <font>
      <b/>
      <sz val="10"/>
      <name val="Arial"/>
      <family val="2"/>
    </font>
    <font>
      <sz val="12"/>
      <color theme="0"/>
      <name val="Arial"/>
      <family val="2"/>
    </font>
    <font>
      <sz val="12"/>
      <name val="Calibri"/>
      <family val="2"/>
      <scheme val="minor"/>
    </font>
    <font>
      <sz val="12"/>
      <color theme="1"/>
      <name val="Calibri"/>
      <family val="2"/>
      <scheme val="minor"/>
    </font>
    <font>
      <sz val="12"/>
      <color indexed="8"/>
      <name val="Arial"/>
      <family val="2"/>
    </font>
    <font>
      <sz val="12"/>
      <color rgb="FFFF0000"/>
      <name val="Arial"/>
      <family val="2"/>
    </font>
    <font>
      <sz val="12"/>
      <color rgb="FF000000"/>
      <name val="Arial"/>
      <family val="2"/>
    </font>
    <font>
      <sz val="12"/>
      <color rgb="FF000000"/>
      <name val="Calibri"/>
      <family val="2"/>
      <scheme val="minor"/>
    </font>
    <font>
      <b/>
      <sz val="12"/>
      <name val="Calibri"/>
      <family val="2"/>
      <scheme val="minor"/>
    </font>
    <font>
      <sz val="11"/>
      <name val="Arial"/>
      <family val="2"/>
    </font>
    <font>
      <sz val="12"/>
      <color indexed="8"/>
      <name val="Calibri"/>
      <family val="2"/>
      <scheme val="minor"/>
    </font>
    <font>
      <sz val="12"/>
      <color rgb="FF222222"/>
      <name val="Calibri"/>
      <family val="2"/>
      <scheme val="minor"/>
    </font>
    <font>
      <b/>
      <sz val="9"/>
      <color indexed="81"/>
      <name val="Tahoma"/>
      <family val="2"/>
    </font>
    <font>
      <sz val="9"/>
      <color indexed="81"/>
      <name val="Tahoma"/>
      <family val="2"/>
    </font>
    <font>
      <sz val="8"/>
      <name val="Calibri"/>
      <family val="2"/>
      <scheme val="minor"/>
    </font>
    <font>
      <b/>
      <sz val="8"/>
      <name val="Arial"/>
      <family val="2"/>
    </font>
    <font>
      <sz val="8"/>
      <name val="Arial"/>
      <family val="2"/>
    </font>
    <font>
      <sz val="8"/>
      <color theme="1"/>
      <name val="Calibri"/>
      <family val="2"/>
      <scheme val="minor"/>
    </font>
    <font>
      <b/>
      <sz val="8"/>
      <name val="Calibri"/>
      <family val="2"/>
      <scheme val="minor"/>
    </font>
  </fonts>
  <fills count="44">
    <fill>
      <patternFill patternType="none"/>
    </fill>
    <fill>
      <patternFill patternType="gray125"/>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ECECEC"/>
        <bgColor indexed="64"/>
      </patternFill>
    </fill>
    <fill>
      <patternFill patternType="solid">
        <fgColor theme="8" tint="-0.499984740745262"/>
        <bgColor indexed="64"/>
      </patternFill>
    </fill>
    <fill>
      <patternFill patternType="solid">
        <fgColor theme="0"/>
        <bgColor indexed="64"/>
      </patternFill>
    </fill>
    <fill>
      <patternFill patternType="solid">
        <fgColor indexed="9"/>
        <bgColor indexed="64"/>
      </patternFill>
    </fill>
    <fill>
      <patternFill patternType="solid">
        <fgColor rgb="FF92D050"/>
        <bgColor indexed="64"/>
      </patternFill>
    </fill>
    <fill>
      <patternFill patternType="solid">
        <fgColor rgb="FF002060"/>
        <bgColor indexed="64"/>
      </patternFill>
    </fill>
    <fill>
      <patternFill patternType="solid">
        <fgColor rgb="FFFFC000"/>
        <bgColor indexed="64"/>
      </patternFill>
    </fill>
    <fill>
      <patternFill patternType="solid">
        <fgColor rgb="FF00B0F0"/>
        <bgColor indexed="64"/>
      </patternFill>
    </fill>
    <fill>
      <patternFill patternType="solid">
        <fgColor theme="4" tint="0.39997558519241921"/>
        <bgColor indexed="64"/>
      </patternFill>
    </fill>
    <fill>
      <patternFill patternType="solid">
        <fgColor indexed="49"/>
        <bgColor indexed="64"/>
      </patternFill>
    </fill>
    <fill>
      <patternFill patternType="solid">
        <fgColor theme="2" tint="-0.249977111117893"/>
        <bgColor indexed="64"/>
      </patternFill>
    </fill>
    <fill>
      <patternFill patternType="solid">
        <fgColor theme="9" tint="0.39997558519241921"/>
        <bgColor indexed="64"/>
      </patternFill>
    </fill>
  </fills>
  <borders count="5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522B57"/>
      </left>
      <right style="thin">
        <color rgb="FF522B57"/>
      </right>
      <top style="thin">
        <color rgb="FF522B57"/>
      </top>
      <bottom style="thin">
        <color rgb="FF522B57"/>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theme="1"/>
      </left>
      <right style="thin">
        <color indexed="64"/>
      </right>
      <top style="thin">
        <color indexed="64"/>
      </top>
      <bottom style="thin">
        <color indexed="64"/>
      </bottom>
      <diagonal/>
    </border>
    <border>
      <left/>
      <right style="thin">
        <color rgb="FF522B57"/>
      </right>
      <top style="thin">
        <color rgb="FF522B57"/>
      </top>
      <bottom style="thin">
        <color rgb="FF522B57"/>
      </bottom>
      <diagonal/>
    </border>
    <border>
      <left style="thin">
        <color theme="1"/>
      </left>
      <right/>
      <top style="thin">
        <color theme="1"/>
      </top>
      <bottom style="thin">
        <color theme="1"/>
      </bottom>
      <diagonal/>
    </border>
    <border>
      <left style="thin">
        <color indexed="64"/>
      </left>
      <right style="thin">
        <color indexed="64"/>
      </right>
      <top style="thin">
        <color rgb="FF522B57"/>
      </top>
      <bottom/>
      <diagonal/>
    </border>
    <border>
      <left style="thin">
        <color rgb="FF000000"/>
      </left>
      <right style="thin">
        <color rgb="FF000000"/>
      </right>
      <top style="thin">
        <color rgb="FF000000"/>
      </top>
      <bottom style="thin">
        <color rgb="FF000000"/>
      </bottom>
      <diagonal/>
    </border>
    <border>
      <left style="medium">
        <color indexed="64"/>
      </left>
      <right/>
      <top/>
      <bottom/>
      <diagonal/>
    </border>
    <border>
      <left/>
      <right style="medium">
        <color indexed="64"/>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auto="1"/>
      </right>
      <top style="thin">
        <color auto="1"/>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style="medium">
        <color indexed="64"/>
      </left>
      <right/>
      <top/>
      <bottom style="medium">
        <color indexed="64"/>
      </bottom>
      <diagonal/>
    </border>
  </borders>
  <cellStyleXfs count="59">
    <xf numFmtId="0" fontId="0" fillId="0" borderId="0"/>
    <xf numFmtId="0" fontId="1" fillId="9"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10"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6" fillId="11" borderId="0" applyNumberFormat="0" applyBorder="0" applyAlignment="0" applyProtection="0"/>
    <xf numFmtId="0" fontId="16" fillId="15" borderId="0" applyNumberFormat="0" applyBorder="0" applyAlignment="0" applyProtection="0"/>
    <xf numFmtId="0" fontId="16" fillId="19" borderId="0" applyNumberFormat="0" applyBorder="0" applyAlignment="0" applyProtection="0"/>
    <xf numFmtId="0" fontId="16" fillId="23" borderId="0" applyNumberFormat="0" applyBorder="0" applyAlignment="0" applyProtection="0"/>
    <xf numFmtId="0" fontId="16" fillId="27" borderId="0" applyNumberFormat="0" applyBorder="0" applyAlignment="0" applyProtection="0"/>
    <xf numFmtId="0" fontId="16" fillId="31" borderId="0" applyNumberFormat="0" applyBorder="0" applyAlignment="0" applyProtection="0"/>
    <xf numFmtId="0" fontId="10" fillId="5" borderId="4" applyNumberFormat="0" applyAlignment="0" applyProtection="0"/>
    <xf numFmtId="0" fontId="12" fillId="6" borderId="7" applyNumberFormat="0" applyAlignment="0" applyProtection="0"/>
    <xf numFmtId="0" fontId="11" fillId="0" borderId="6" applyNumberFormat="0" applyFill="0" applyAlignment="0" applyProtection="0"/>
    <xf numFmtId="0" fontId="3" fillId="0" borderId="1" applyNumberFormat="0" applyFill="0" applyAlignment="0" applyProtection="0"/>
    <xf numFmtId="0" fontId="5" fillId="0" borderId="0" applyNumberFormat="0" applyFill="0" applyBorder="0" applyAlignment="0" applyProtection="0"/>
    <xf numFmtId="0" fontId="16" fillId="8" borderId="0" applyNumberFormat="0" applyBorder="0" applyAlignment="0" applyProtection="0"/>
    <xf numFmtId="0" fontId="16" fillId="12" borderId="0" applyNumberFormat="0" applyBorder="0" applyAlignment="0" applyProtection="0"/>
    <xf numFmtId="0" fontId="16" fillId="16" borderId="0" applyNumberFormat="0" applyBorder="0" applyAlignment="0" applyProtection="0"/>
    <xf numFmtId="0" fontId="16" fillId="20" borderId="0" applyNumberFormat="0" applyBorder="0" applyAlignment="0" applyProtection="0"/>
    <xf numFmtId="0" fontId="16" fillId="24" borderId="0" applyNumberFormat="0" applyBorder="0" applyAlignment="0" applyProtection="0"/>
    <xf numFmtId="0" fontId="16" fillId="28" borderId="0" applyNumberFormat="0" applyBorder="0" applyAlignment="0" applyProtection="0"/>
    <xf numFmtId="0" fontId="8" fillId="4" borderId="4" applyNumberFormat="0" applyAlignment="0" applyProtection="0"/>
    <xf numFmtId="0" fontId="6" fillId="2" borderId="0" applyNumberFormat="0" applyBorder="0" applyAlignment="0" applyProtection="0"/>
    <xf numFmtId="167" fontId="1" fillId="0" borderId="0" applyFont="0" applyFill="0" applyBorder="0" applyAlignment="0" applyProtection="0"/>
    <xf numFmtId="0" fontId="7" fillId="3" borderId="0" applyNumberFormat="0" applyBorder="0" applyAlignment="0" applyProtection="0"/>
    <xf numFmtId="0" fontId="1" fillId="7" borderId="8" applyNumberFormat="0" applyFont="0" applyAlignment="0" applyProtection="0"/>
    <xf numFmtId="0" fontId="9" fillId="5" borderId="5" applyNumberFormat="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2" fillId="0" borderId="0" applyNumberFormat="0" applyFill="0" applyBorder="0" applyAlignment="0" applyProtection="0"/>
    <xf numFmtId="0" fontId="4" fillId="0" borderId="2" applyNumberFormat="0" applyFill="0" applyAlignment="0" applyProtection="0"/>
    <xf numFmtId="0" fontId="5" fillId="0" borderId="3" applyNumberFormat="0" applyFill="0" applyAlignment="0" applyProtection="0"/>
    <xf numFmtId="0" fontId="15" fillId="0" borderId="9" applyNumberFormat="0" applyFill="0" applyAlignment="0" applyProtection="0"/>
    <xf numFmtId="43" fontId="17" fillId="0" borderId="0" applyFont="0" applyFill="0" applyBorder="0" applyAlignment="0" applyProtection="0"/>
    <xf numFmtId="167" fontId="1" fillId="0" borderId="0" applyFont="0" applyFill="0" applyBorder="0" applyAlignment="0" applyProtection="0"/>
    <xf numFmtId="0" fontId="18" fillId="32" borderId="10">
      <alignment horizontal="center" vertical="center" wrapText="1"/>
    </xf>
    <xf numFmtId="0" fontId="1" fillId="0" borderId="0"/>
    <xf numFmtId="9" fontId="17" fillId="0" borderId="0" applyFont="0" applyFill="0" applyBorder="0" applyAlignment="0" applyProtection="0"/>
    <xf numFmtId="165" fontId="1" fillId="0" borderId="0" applyFont="0" applyFill="0" applyBorder="0" applyAlignment="0" applyProtection="0"/>
    <xf numFmtId="9" fontId="1" fillId="0" borderId="0" applyFont="0" applyFill="0" applyBorder="0" applyAlignment="0" applyProtection="0"/>
    <xf numFmtId="168" fontId="1" fillId="0" borderId="0"/>
    <xf numFmtId="168" fontId="18" fillId="32" borderId="10">
      <alignment horizontal="center" vertical="center" wrapText="1"/>
    </xf>
    <xf numFmtId="166"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168" fontId="22" fillId="0" borderId="0"/>
    <xf numFmtId="171" fontId="1" fillId="0" borderId="0" applyFont="0" applyFill="0" applyBorder="0" applyAlignment="0" applyProtection="0"/>
    <xf numFmtId="165" fontId="1" fillId="0" borderId="0" applyFont="0" applyFill="0" applyBorder="0" applyAlignment="0" applyProtection="0"/>
    <xf numFmtId="9" fontId="1" fillId="0" borderId="0" applyFont="0" applyFill="0" applyBorder="0" applyAlignment="0" applyProtection="0"/>
    <xf numFmtId="167" fontId="17" fillId="0" borderId="0" applyFont="0" applyFill="0" applyBorder="0" applyAlignment="0" applyProtection="0"/>
  </cellStyleXfs>
  <cellXfs count="1022">
    <xf numFmtId="0" fontId="0" fillId="0" borderId="0" xfId="0"/>
    <xf numFmtId="0" fontId="24" fillId="0" borderId="0" xfId="0" applyFont="1"/>
    <xf numFmtId="169" fontId="25" fillId="33" borderId="14" xfId="58" applyNumberFormat="1" applyFont="1" applyFill="1" applyBorder="1" applyAlignment="1">
      <alignment vertical="center" wrapText="1"/>
    </xf>
    <xf numFmtId="169" fontId="25" fillId="33" borderId="11" xfId="58" applyNumberFormat="1" applyFont="1" applyFill="1" applyBorder="1" applyAlignment="1">
      <alignment horizontal="center" vertical="center" wrapText="1"/>
    </xf>
    <xf numFmtId="0" fontId="24" fillId="0" borderId="0" xfId="0" applyFont="1" applyFill="1"/>
    <xf numFmtId="0" fontId="20" fillId="0" borderId="11" xfId="0" applyFont="1" applyBorder="1" applyAlignment="1">
      <alignment horizontal="center" vertical="center"/>
    </xf>
    <xf numFmtId="0" fontId="20" fillId="0" borderId="11" xfId="0" applyFont="1" applyBorder="1" applyAlignment="1">
      <alignment horizontal="left" vertical="center"/>
    </xf>
    <xf numFmtId="169" fontId="19" fillId="0" borderId="11" xfId="58" applyNumberFormat="1" applyFont="1" applyBorder="1" applyAlignment="1">
      <alignment horizontal="right" vertical="center"/>
    </xf>
    <xf numFmtId="9" fontId="19" fillId="0" borderId="11" xfId="46" applyFont="1" applyBorder="1" applyAlignment="1">
      <alignment horizontal="center" vertical="center"/>
    </xf>
    <xf numFmtId="9" fontId="19" fillId="0" borderId="11" xfId="57" applyFont="1" applyBorder="1" applyAlignment="1">
      <alignment horizontal="center" vertical="center"/>
    </xf>
    <xf numFmtId="10" fontId="19" fillId="0" borderId="11" xfId="57" applyNumberFormat="1" applyFont="1" applyBorder="1" applyAlignment="1">
      <alignment horizontal="center" vertical="center"/>
    </xf>
    <xf numFmtId="43" fontId="19" fillId="0" borderId="11" xfId="57" applyNumberFormat="1" applyFont="1" applyBorder="1" applyAlignment="1">
      <alignment horizontal="right" vertical="center"/>
    </xf>
    <xf numFmtId="165" fontId="19" fillId="0" borderId="11" xfId="57" applyNumberFormat="1" applyFont="1" applyBorder="1" applyAlignment="1">
      <alignment horizontal="right" vertical="center"/>
    </xf>
    <xf numFmtId="10" fontId="19" fillId="0" borderId="11" xfId="57" applyNumberFormat="1" applyFont="1" applyBorder="1" applyAlignment="1">
      <alignment horizontal="right" vertical="center"/>
    </xf>
    <xf numFmtId="169" fontId="20" fillId="0" borderId="11" xfId="58" applyNumberFormat="1" applyFont="1" applyBorder="1" applyAlignment="1">
      <alignment vertical="center"/>
    </xf>
    <xf numFmtId="10" fontId="20" fillId="0" borderId="11" xfId="46" applyNumberFormat="1" applyFont="1" applyBorder="1" applyAlignment="1">
      <alignment horizontal="center" vertical="center"/>
    </xf>
    <xf numFmtId="0" fontId="24" fillId="0" borderId="0" xfId="0" applyFont="1" applyAlignment="1">
      <alignment vertical="center"/>
    </xf>
    <xf numFmtId="169" fontId="19" fillId="0" borderId="11" xfId="57" applyNumberFormat="1" applyFont="1" applyBorder="1" applyAlignment="1">
      <alignment horizontal="right" vertical="center"/>
    </xf>
    <xf numFmtId="165" fontId="19" fillId="0" borderId="11" xfId="57" applyNumberFormat="1" applyFont="1" applyBorder="1" applyAlignment="1">
      <alignment horizontal="center" vertical="center"/>
    </xf>
    <xf numFmtId="0" fontId="20" fillId="0" borderId="11" xfId="0" applyFont="1" applyBorder="1" applyAlignment="1">
      <alignment horizontal="left" vertical="center" wrapText="1"/>
    </xf>
    <xf numFmtId="0" fontId="19" fillId="0" borderId="11" xfId="0" applyFont="1" applyBorder="1" applyAlignment="1">
      <alignment horizontal="center" vertical="center"/>
    </xf>
    <xf numFmtId="169" fontId="19" fillId="0" borderId="11" xfId="0" applyNumberFormat="1" applyFont="1" applyBorder="1" applyAlignment="1">
      <alignment horizontal="right" vertical="center"/>
    </xf>
    <xf numFmtId="169" fontId="19" fillId="0" borderId="11" xfId="0" applyNumberFormat="1" applyFont="1" applyBorder="1" applyAlignment="1">
      <alignment vertical="center"/>
    </xf>
    <xf numFmtId="169" fontId="19" fillId="0" borderId="11" xfId="58" applyNumberFormat="1" applyFont="1" applyBorder="1" applyAlignment="1">
      <alignment vertical="center"/>
    </xf>
    <xf numFmtId="0" fontId="22" fillId="0" borderId="0" xfId="0" applyFont="1" applyAlignment="1">
      <alignment vertical="center"/>
    </xf>
    <xf numFmtId="0" fontId="21" fillId="33" borderId="0" xfId="0" applyFont="1" applyFill="1" applyAlignment="1">
      <alignment horizontal="left" vertical="center"/>
    </xf>
    <xf numFmtId="169" fontId="21" fillId="33" borderId="11" xfId="58" applyNumberFormat="1" applyFont="1" applyFill="1" applyBorder="1" applyAlignment="1">
      <alignment vertical="center"/>
    </xf>
    <xf numFmtId="9" fontId="21" fillId="33" borderId="11" xfId="46" applyFont="1" applyFill="1" applyBorder="1" applyAlignment="1">
      <alignment horizontal="center" vertical="center"/>
    </xf>
    <xf numFmtId="10" fontId="21" fillId="33" borderId="11" xfId="57" applyNumberFormat="1" applyFont="1" applyFill="1" applyBorder="1" applyAlignment="1">
      <alignment horizontal="center" vertical="center"/>
    </xf>
    <xf numFmtId="10" fontId="21" fillId="33" borderId="11" xfId="46" applyNumberFormat="1" applyFont="1" applyFill="1" applyBorder="1" applyAlignment="1">
      <alignment horizontal="center" vertical="center"/>
    </xf>
    <xf numFmtId="0" fontId="23" fillId="0" borderId="0" xfId="0" applyFont="1" applyAlignment="1">
      <alignment vertical="center"/>
    </xf>
    <xf numFmtId="0" fontId="24" fillId="0" borderId="0" xfId="0" applyFont="1" applyAlignment="1">
      <alignment horizontal="left"/>
    </xf>
    <xf numFmtId="169" fontId="24" fillId="0" borderId="0" xfId="58" applyNumberFormat="1" applyFont="1"/>
    <xf numFmtId="169" fontId="22" fillId="0" borderId="0" xfId="58" applyNumberFormat="1" applyFont="1" applyFill="1" applyBorder="1" applyAlignment="1">
      <alignment horizontal="center"/>
    </xf>
    <xf numFmtId="169" fontId="22" fillId="0" borderId="0" xfId="58" applyNumberFormat="1" applyFont="1" applyFill="1" applyBorder="1"/>
    <xf numFmtId="169" fontId="22" fillId="0" borderId="0" xfId="58" applyNumberFormat="1" applyFont="1" applyFill="1" applyBorder="1" applyAlignment="1">
      <alignment horizontal="center" vertical="center" wrapText="1"/>
    </xf>
    <xf numFmtId="9" fontId="22" fillId="0" borderId="0" xfId="46" applyFont="1" applyFill="1" applyBorder="1" applyAlignment="1">
      <alignment horizontal="center" vertical="center"/>
    </xf>
    <xf numFmtId="0" fontId="24" fillId="0" borderId="0" xfId="0" applyFont="1" applyFill="1" applyBorder="1" applyAlignment="1">
      <alignment horizontal="left"/>
    </xf>
    <xf numFmtId="169" fontId="24" fillId="0" borderId="0" xfId="58" applyNumberFormat="1" applyFont="1" applyFill="1" applyBorder="1"/>
    <xf numFmtId="0" fontId="26" fillId="0" borderId="0" xfId="0" applyFont="1" applyFill="1" applyBorder="1"/>
    <xf numFmtId="0" fontId="26" fillId="0" borderId="0" xfId="0" applyFont="1" applyFill="1" applyBorder="1" applyAlignment="1">
      <alignment horizontal="center"/>
    </xf>
    <xf numFmtId="9" fontId="27" fillId="0" borderId="0" xfId="57" applyFont="1" applyFill="1" applyBorder="1" applyAlignment="1">
      <alignment horizontal="center"/>
    </xf>
    <xf numFmtId="169" fontId="22" fillId="0" borderId="0" xfId="58" applyNumberFormat="1" applyFont="1"/>
    <xf numFmtId="0" fontId="27" fillId="0" borderId="0" xfId="0" applyFont="1" applyFill="1" applyBorder="1"/>
    <xf numFmtId="169" fontId="19" fillId="0" borderId="0" xfId="58" applyNumberFormat="1" applyFont="1" applyFill="1" applyBorder="1"/>
    <xf numFmtId="9" fontId="19" fillId="0" borderId="0" xfId="57" applyFont="1" applyFill="1" applyBorder="1" applyAlignment="1">
      <alignment horizontal="center" vertical="center"/>
    </xf>
    <xf numFmtId="10" fontId="19" fillId="0" borderId="0" xfId="57" applyNumberFormat="1" applyFont="1" applyFill="1" applyBorder="1" applyAlignment="1">
      <alignment horizontal="center" vertical="center"/>
    </xf>
    <xf numFmtId="10" fontId="19" fillId="0" borderId="0" xfId="57" applyNumberFormat="1" applyFont="1" applyFill="1" applyBorder="1" applyAlignment="1">
      <alignment horizontal="center"/>
    </xf>
    <xf numFmtId="43" fontId="27" fillId="0" borderId="0" xfId="0" applyNumberFormat="1" applyFont="1" applyFill="1" applyBorder="1" applyAlignment="1">
      <alignment horizontal="left"/>
    </xf>
    <xf numFmtId="0" fontId="22" fillId="0" borderId="0" xfId="0" applyFont="1" applyAlignment="1">
      <alignment horizontal="left"/>
    </xf>
    <xf numFmtId="0" fontId="22" fillId="0" borderId="0" xfId="0" applyFont="1" applyFill="1" applyBorder="1" applyAlignment="1">
      <alignment horizontal="left"/>
    </xf>
    <xf numFmtId="10" fontId="22" fillId="0" borderId="0" xfId="57" applyNumberFormat="1" applyFont="1" applyFill="1" applyBorder="1"/>
    <xf numFmtId="168" fontId="28" fillId="0" borderId="18" xfId="49" applyFont="1" applyFill="1" applyBorder="1" applyAlignment="1">
      <alignment vertical="center"/>
    </xf>
    <xf numFmtId="168" fontId="28" fillId="0" borderId="11" xfId="49" applyFont="1" applyBorder="1" applyAlignment="1">
      <alignment horizontal="left" vertical="center"/>
    </xf>
    <xf numFmtId="168" fontId="19" fillId="34" borderId="0" xfId="49" applyFont="1" applyFill="1" applyBorder="1"/>
    <xf numFmtId="168" fontId="19" fillId="0" borderId="0" xfId="49" applyFont="1" applyFill="1" applyBorder="1"/>
    <xf numFmtId="168" fontId="28" fillId="0" borderId="18" xfId="49" applyFont="1" applyFill="1" applyBorder="1" applyAlignment="1">
      <alignment horizontal="left" vertical="center"/>
    </xf>
    <xf numFmtId="172" fontId="28" fillId="0" borderId="11" xfId="49" applyNumberFormat="1" applyFont="1" applyBorder="1" applyAlignment="1">
      <alignment horizontal="left" vertical="center"/>
    </xf>
    <xf numFmtId="17" fontId="28" fillId="0" borderId="11" xfId="49" applyNumberFormat="1" applyFont="1" applyBorder="1" applyAlignment="1">
      <alignment horizontal="left" vertical="center"/>
    </xf>
    <xf numFmtId="3" fontId="28" fillId="35" borderId="11" xfId="49" applyNumberFormat="1" applyFont="1" applyFill="1" applyBorder="1" applyAlignment="1">
      <alignment horizontal="left" vertical="center" wrapText="1"/>
    </xf>
    <xf numFmtId="168" fontId="29" fillId="34" borderId="0" xfId="49" applyFont="1" applyFill="1" applyBorder="1" applyAlignment="1">
      <alignment horizontal="center" vertical="center"/>
    </xf>
    <xf numFmtId="168" fontId="29" fillId="0" borderId="0" xfId="49" applyFont="1" applyFill="1" applyBorder="1" applyAlignment="1">
      <alignment horizontal="center" vertical="center"/>
    </xf>
    <xf numFmtId="0" fontId="29" fillId="36" borderId="11" xfId="49" applyNumberFormat="1" applyFont="1" applyFill="1" applyBorder="1" applyAlignment="1">
      <alignment horizontal="center" vertical="center" wrapText="1"/>
    </xf>
    <xf numFmtId="169" fontId="29" fillId="36" borderId="11" xfId="42" applyNumberFormat="1" applyFont="1" applyFill="1" applyBorder="1" applyAlignment="1">
      <alignment horizontal="center" vertical="center" wrapText="1"/>
    </xf>
    <xf numFmtId="0" fontId="28" fillId="0" borderId="13" xfId="49" applyNumberFormat="1" applyFont="1" applyFill="1" applyBorder="1" applyAlignment="1">
      <alignment horizontal="left" vertical="center" wrapText="1"/>
    </xf>
    <xf numFmtId="0" fontId="28" fillId="0" borderId="13" xfId="49" applyNumberFormat="1" applyFont="1" applyFill="1" applyBorder="1" applyAlignment="1">
      <alignment horizontal="center" vertical="center" wrapText="1"/>
    </xf>
    <xf numFmtId="168" fontId="19" fillId="0" borderId="13" xfId="49" applyFont="1" applyFill="1" applyBorder="1" applyAlignment="1">
      <alignment horizontal="justify" vertical="center" wrapText="1"/>
    </xf>
    <xf numFmtId="0" fontId="19" fillId="0" borderId="13" xfId="49" applyNumberFormat="1" applyFont="1" applyFill="1" applyBorder="1" applyAlignment="1">
      <alignment horizontal="justify" vertical="center" wrapText="1"/>
    </xf>
    <xf numFmtId="0" fontId="19" fillId="0" borderId="13" xfId="49" applyNumberFormat="1" applyFont="1" applyFill="1" applyBorder="1" applyAlignment="1">
      <alignment horizontal="center" vertical="center" wrapText="1"/>
    </xf>
    <xf numFmtId="168" fontId="20" fillId="0" borderId="13" xfId="49" applyFont="1" applyFill="1" applyBorder="1" applyAlignment="1">
      <alignment horizontal="justify" vertical="center" wrapText="1"/>
    </xf>
    <xf numFmtId="168" fontId="20" fillId="0" borderId="13" xfId="49" applyFont="1" applyFill="1" applyBorder="1" applyAlignment="1">
      <alignment horizontal="center" vertical="center" wrapText="1"/>
    </xf>
    <xf numFmtId="168" fontId="19" fillId="0" borderId="13" xfId="49" applyFont="1" applyFill="1" applyBorder="1" applyAlignment="1">
      <alignment horizontal="center" vertical="center" wrapText="1"/>
    </xf>
    <xf numFmtId="0" fontId="20" fillId="0" borderId="13" xfId="49" applyNumberFormat="1" applyFont="1" applyFill="1" applyBorder="1" applyAlignment="1">
      <alignment horizontal="center" vertical="center" wrapText="1"/>
    </xf>
    <xf numFmtId="168" fontId="20" fillId="0" borderId="13" xfId="49" applyFont="1" applyBorder="1" applyAlignment="1">
      <alignment horizontal="justify" vertical="center" wrapText="1"/>
    </xf>
    <xf numFmtId="43" fontId="19" fillId="0" borderId="23" xfId="42" applyFont="1" applyFill="1" applyBorder="1" applyAlignment="1">
      <alignment horizontal="justify" vertical="center"/>
    </xf>
    <xf numFmtId="168" fontId="20" fillId="0" borderId="23" xfId="49" applyNumberFormat="1" applyFont="1" applyBorder="1" applyAlignment="1">
      <alignment vertical="center"/>
    </xf>
    <xf numFmtId="0" fontId="21" fillId="37" borderId="11" xfId="49" applyNumberFormat="1" applyFont="1" applyFill="1" applyBorder="1" applyAlignment="1">
      <alignment horizontal="left" vertical="center"/>
    </xf>
    <xf numFmtId="0" fontId="21" fillId="37" borderId="14" xfId="49" applyNumberFormat="1" applyFont="1" applyFill="1" applyBorder="1" applyAlignment="1">
      <alignment horizontal="left" vertical="center"/>
    </xf>
    <xf numFmtId="0" fontId="21" fillId="37" borderId="23" xfId="49" applyNumberFormat="1" applyFont="1" applyFill="1" applyBorder="1" applyAlignment="1">
      <alignment horizontal="left" vertical="center"/>
    </xf>
    <xf numFmtId="0" fontId="21" fillId="37" borderId="23" xfId="49" applyNumberFormat="1" applyFont="1" applyFill="1" applyBorder="1" applyAlignment="1">
      <alignment horizontal="center" vertical="center"/>
    </xf>
    <xf numFmtId="168" fontId="21" fillId="37" borderId="23" xfId="49" applyFont="1" applyFill="1" applyBorder="1" applyAlignment="1">
      <alignment horizontal="center" vertical="center"/>
    </xf>
    <xf numFmtId="0" fontId="21" fillId="37" borderId="23" xfId="49" applyNumberFormat="1" applyFont="1" applyFill="1" applyBorder="1" applyAlignment="1">
      <alignment horizontal="justify" vertical="center" wrapText="1"/>
    </xf>
    <xf numFmtId="0" fontId="21" fillId="37" borderId="23" xfId="49" applyNumberFormat="1" applyFont="1" applyFill="1" applyBorder="1" applyAlignment="1">
      <alignment horizontal="center" vertical="center" wrapText="1"/>
    </xf>
    <xf numFmtId="0" fontId="30" fillId="37" borderId="23" xfId="49" applyNumberFormat="1" applyFont="1" applyFill="1" applyBorder="1" applyAlignment="1">
      <alignment horizontal="center" vertical="center"/>
    </xf>
    <xf numFmtId="168" fontId="21" fillId="37" borderId="23" xfId="49" applyFont="1" applyFill="1" applyBorder="1" applyAlignment="1">
      <alignment horizontal="justify" vertical="center" wrapText="1"/>
    </xf>
    <xf numFmtId="168" fontId="21" fillId="37" borderId="23" xfId="49" applyFont="1" applyFill="1" applyBorder="1" applyAlignment="1">
      <alignment horizontal="center" vertical="center" wrapText="1"/>
    </xf>
    <xf numFmtId="168" fontId="30" fillId="37" borderId="11" xfId="49" applyFont="1" applyFill="1" applyBorder="1" applyAlignment="1">
      <alignment horizontal="center" vertical="center"/>
    </xf>
    <xf numFmtId="168" fontId="21" fillId="37" borderId="18" xfId="49" applyFont="1" applyFill="1" applyBorder="1" applyAlignment="1">
      <alignment horizontal="justify" vertical="center" wrapText="1"/>
    </xf>
    <xf numFmtId="43" fontId="21" fillId="37" borderId="11" xfId="49" applyNumberFormat="1" applyFont="1" applyFill="1" applyBorder="1" applyAlignment="1">
      <alignment horizontal="center" vertical="center"/>
    </xf>
    <xf numFmtId="168" fontId="28" fillId="34" borderId="0" xfId="49" applyFont="1" applyFill="1" applyBorder="1" applyAlignment="1">
      <alignment vertical="center"/>
    </xf>
    <xf numFmtId="168" fontId="28" fillId="0" borderId="0" xfId="49" applyFont="1" applyFill="1" applyBorder="1" applyAlignment="1">
      <alignment vertical="center"/>
    </xf>
    <xf numFmtId="168" fontId="28" fillId="0" borderId="25" xfId="49" applyFont="1" applyFill="1" applyBorder="1" applyAlignment="1">
      <alignment vertical="center"/>
    </xf>
    <xf numFmtId="0" fontId="28" fillId="38" borderId="22" xfId="49" applyNumberFormat="1" applyFont="1" applyFill="1" applyBorder="1" applyAlignment="1">
      <alignment horizontal="left" vertical="center" wrapText="1"/>
    </xf>
    <xf numFmtId="0" fontId="28" fillId="38" borderId="11" xfId="49" applyNumberFormat="1" applyFont="1" applyFill="1" applyBorder="1" applyAlignment="1">
      <alignment horizontal="left" vertical="center"/>
    </xf>
    <xf numFmtId="0" fontId="28" fillId="38" borderId="11" xfId="49" applyNumberFormat="1" applyFont="1" applyFill="1" applyBorder="1" applyAlignment="1">
      <alignment horizontal="center" vertical="center"/>
    </xf>
    <xf numFmtId="168" fontId="28" fillId="38" borderId="11" xfId="49" applyFont="1" applyFill="1" applyBorder="1" applyAlignment="1">
      <alignment horizontal="center" vertical="center"/>
    </xf>
    <xf numFmtId="0" fontId="28" fillId="38" borderId="11" xfId="49" applyNumberFormat="1" applyFont="1" applyFill="1" applyBorder="1" applyAlignment="1">
      <alignment horizontal="justify" vertical="center" wrapText="1"/>
    </xf>
    <xf numFmtId="0" fontId="28" fillId="38" borderId="11" xfId="49" applyNumberFormat="1" applyFont="1" applyFill="1" applyBorder="1" applyAlignment="1">
      <alignment horizontal="center" vertical="center" wrapText="1"/>
    </xf>
    <xf numFmtId="0" fontId="19" fillId="38" borderId="11" xfId="49" applyNumberFormat="1" applyFont="1" applyFill="1" applyBorder="1" applyAlignment="1">
      <alignment horizontal="center" vertical="center"/>
    </xf>
    <xf numFmtId="168" fontId="28" fillId="38" borderId="11" xfId="49" applyFont="1" applyFill="1" applyBorder="1" applyAlignment="1">
      <alignment horizontal="justify" vertical="center" wrapText="1"/>
    </xf>
    <xf numFmtId="168" fontId="28" fillId="38" borderId="11" xfId="49" applyFont="1" applyFill="1" applyBorder="1" applyAlignment="1">
      <alignment horizontal="center" vertical="center" wrapText="1"/>
    </xf>
    <xf numFmtId="168" fontId="19" fillId="38" borderId="11" xfId="49" applyFont="1" applyFill="1" applyBorder="1" applyAlignment="1">
      <alignment vertical="center"/>
    </xf>
    <xf numFmtId="0" fontId="19" fillId="38" borderId="11" xfId="49" applyNumberFormat="1" applyFont="1" applyFill="1" applyBorder="1" applyAlignment="1">
      <alignment vertical="center"/>
    </xf>
    <xf numFmtId="43" fontId="28" fillId="38" borderId="11" xfId="49" applyNumberFormat="1" applyFont="1" applyFill="1" applyBorder="1" applyAlignment="1">
      <alignment vertical="center"/>
    </xf>
    <xf numFmtId="168" fontId="19" fillId="0" borderId="25" xfId="49" applyFont="1" applyFill="1" applyBorder="1"/>
    <xf numFmtId="0" fontId="28" fillId="0" borderId="22" xfId="49" applyNumberFormat="1" applyFont="1" applyBorder="1" applyAlignment="1">
      <alignment horizontal="left" vertical="center" wrapText="1"/>
    </xf>
    <xf numFmtId="0" fontId="28" fillId="39" borderId="17" xfId="49" applyNumberFormat="1" applyFont="1" applyFill="1" applyBorder="1" applyAlignment="1">
      <alignment horizontal="left" vertical="center"/>
    </xf>
    <xf numFmtId="0" fontId="28" fillId="39" borderId="17" xfId="49" applyNumberFormat="1" applyFont="1" applyFill="1" applyBorder="1" applyAlignment="1">
      <alignment horizontal="center" vertical="center"/>
    </xf>
    <xf numFmtId="168" fontId="28" fillId="39" borderId="11" xfId="49" applyFont="1" applyFill="1" applyBorder="1" applyAlignment="1">
      <alignment horizontal="left" vertical="center"/>
    </xf>
    <xf numFmtId="0" fontId="28" fillId="39" borderId="11" xfId="49" applyNumberFormat="1" applyFont="1" applyFill="1" applyBorder="1" applyAlignment="1">
      <alignment horizontal="justify" vertical="center" wrapText="1"/>
    </xf>
    <xf numFmtId="0" fontId="28" fillId="39" borderId="11" xfId="49" applyNumberFormat="1" applyFont="1" applyFill="1" applyBorder="1" applyAlignment="1">
      <alignment horizontal="center" vertical="center" wrapText="1"/>
    </xf>
    <xf numFmtId="0" fontId="19" fillId="39" borderId="11" xfId="49" applyNumberFormat="1" applyFont="1" applyFill="1" applyBorder="1" applyAlignment="1">
      <alignment horizontal="center" vertical="center"/>
    </xf>
    <xf numFmtId="168" fontId="28" fillId="39" borderId="11" xfId="49" applyFont="1" applyFill="1" applyBorder="1" applyAlignment="1">
      <alignment horizontal="justify" vertical="center" wrapText="1"/>
    </xf>
    <xf numFmtId="168" fontId="28" fillId="39" borderId="11" xfId="49" applyFont="1" applyFill="1" applyBorder="1" applyAlignment="1">
      <alignment horizontal="center" vertical="center" wrapText="1"/>
    </xf>
    <xf numFmtId="168" fontId="19" fillId="39" borderId="11" xfId="49" applyFont="1" applyFill="1" applyBorder="1" applyAlignment="1">
      <alignment vertical="center"/>
    </xf>
    <xf numFmtId="0" fontId="19" fillId="39" borderId="11" xfId="49" applyNumberFormat="1" applyFont="1" applyFill="1" applyBorder="1" applyAlignment="1">
      <alignment vertical="center"/>
    </xf>
    <xf numFmtId="168" fontId="28" fillId="39" borderId="11" xfId="49" applyFont="1" applyFill="1" applyBorder="1" applyAlignment="1">
      <alignment horizontal="center" vertical="center"/>
    </xf>
    <xf numFmtId="43" fontId="28" fillId="39" borderId="11" xfId="49" applyNumberFormat="1" applyFont="1" applyFill="1" applyBorder="1" applyAlignment="1">
      <alignment vertical="center"/>
    </xf>
    <xf numFmtId="0" fontId="28" fillId="0" borderId="25" xfId="49" applyNumberFormat="1" applyFont="1" applyFill="1" applyBorder="1" applyAlignment="1">
      <alignment horizontal="left" vertical="center" wrapText="1"/>
    </xf>
    <xf numFmtId="0" fontId="28" fillId="0" borderId="16" xfId="49" applyNumberFormat="1" applyFont="1" applyFill="1" applyBorder="1" applyAlignment="1">
      <alignment horizontal="left" vertical="center" wrapText="1"/>
    </xf>
    <xf numFmtId="0" fontId="28" fillId="0" borderId="17" xfId="49" applyNumberFormat="1" applyFont="1" applyFill="1" applyBorder="1" applyAlignment="1">
      <alignment horizontal="center" vertical="center" wrapText="1"/>
    </xf>
    <xf numFmtId="168" fontId="19" fillId="0" borderId="18" xfId="49" applyFont="1" applyFill="1" applyBorder="1" applyAlignment="1">
      <alignment horizontal="center" vertical="center" wrapText="1"/>
    </xf>
    <xf numFmtId="0" fontId="20" fillId="0" borderId="11" xfId="49" applyNumberFormat="1" applyFont="1" applyFill="1" applyBorder="1" applyAlignment="1">
      <alignment horizontal="justify" vertical="center" wrapText="1"/>
    </xf>
    <xf numFmtId="0" fontId="20" fillId="0" borderId="11" xfId="49" applyNumberFormat="1" applyFont="1" applyFill="1" applyBorder="1" applyAlignment="1">
      <alignment horizontal="center" vertical="center" wrapText="1"/>
    </xf>
    <xf numFmtId="0" fontId="19" fillId="0" borderId="11" xfId="49" applyNumberFormat="1" applyFont="1" applyFill="1" applyBorder="1" applyAlignment="1">
      <alignment horizontal="center" vertical="center" wrapText="1"/>
    </xf>
    <xf numFmtId="168" fontId="20" fillId="0" borderId="11" xfId="49" applyFont="1" applyFill="1" applyBorder="1" applyAlignment="1">
      <alignment horizontal="justify" vertical="center" wrapText="1"/>
    </xf>
    <xf numFmtId="168" fontId="20" fillId="0" borderId="11" xfId="49" applyFont="1" applyFill="1" applyBorder="1" applyAlignment="1">
      <alignment horizontal="center" vertical="center" wrapText="1"/>
    </xf>
    <xf numFmtId="168" fontId="19" fillId="0" borderId="11" xfId="49" applyFont="1" applyFill="1" applyBorder="1" applyAlignment="1">
      <alignment horizontal="center" vertical="center" wrapText="1"/>
    </xf>
    <xf numFmtId="0" fontId="31" fillId="0" borderId="14" xfId="50" applyNumberFormat="1" applyFont="1" applyFill="1" applyBorder="1" applyAlignment="1">
      <alignment horizontal="center" vertical="center" wrapText="1"/>
    </xf>
    <xf numFmtId="43" fontId="19" fillId="0" borderId="11" xfId="42" applyFont="1" applyFill="1" applyBorder="1" applyAlignment="1">
      <alignment horizontal="justify" vertical="center"/>
    </xf>
    <xf numFmtId="168" fontId="19" fillId="0" borderId="11" xfId="51" applyNumberFormat="1" applyFont="1" applyFill="1" applyBorder="1" applyAlignment="1">
      <alignment horizontal="center" vertical="center"/>
    </xf>
    <xf numFmtId="43" fontId="19" fillId="0" borderId="11" xfId="49" applyNumberFormat="1" applyFont="1" applyFill="1" applyBorder="1" applyAlignment="1">
      <alignment vertical="center"/>
    </xf>
    <xf numFmtId="0" fontId="28" fillId="0" borderId="21" xfId="49" applyNumberFormat="1" applyFont="1" applyFill="1" applyBorder="1" applyAlignment="1">
      <alignment horizontal="center" vertical="center" wrapText="1"/>
    </xf>
    <xf numFmtId="168" fontId="20" fillId="0" borderId="11" xfId="51" applyNumberFormat="1" applyFont="1" applyFill="1" applyBorder="1" applyAlignment="1">
      <alignment vertical="center"/>
    </xf>
    <xf numFmtId="0" fontId="28" fillId="0" borderId="25" xfId="49" applyNumberFormat="1" applyFont="1" applyBorder="1" applyAlignment="1">
      <alignment horizontal="left" vertical="center" wrapText="1"/>
    </xf>
    <xf numFmtId="0" fontId="28" fillId="39" borderId="20" xfId="49" applyNumberFormat="1" applyFont="1" applyFill="1" applyBorder="1" applyAlignment="1">
      <alignment horizontal="left" vertical="center"/>
    </xf>
    <xf numFmtId="0" fontId="28" fillId="39" borderId="0" xfId="49" applyNumberFormat="1" applyFont="1" applyFill="1" applyBorder="1" applyAlignment="1">
      <alignment horizontal="center" vertical="center"/>
    </xf>
    <xf numFmtId="168" fontId="28" fillId="39" borderId="14" xfId="49" applyFont="1" applyFill="1" applyBorder="1" applyAlignment="1">
      <alignment vertical="center"/>
    </xf>
    <xf numFmtId="0" fontId="28" fillId="39" borderId="23" xfId="49" applyNumberFormat="1" applyFont="1" applyFill="1" applyBorder="1" applyAlignment="1">
      <alignment horizontal="justify" vertical="center" wrapText="1"/>
    </xf>
    <xf numFmtId="0" fontId="28" fillId="39" borderId="23" xfId="49" applyNumberFormat="1" applyFont="1" applyFill="1" applyBorder="1" applyAlignment="1">
      <alignment horizontal="center" vertical="center" wrapText="1"/>
    </xf>
    <xf numFmtId="0" fontId="19" fillId="39" borderId="18" xfId="49" applyNumberFormat="1" applyFont="1" applyFill="1" applyBorder="1" applyAlignment="1">
      <alignment horizontal="center" vertical="center"/>
    </xf>
    <xf numFmtId="168" fontId="19" fillId="0" borderId="24" xfId="49" applyFont="1" applyFill="1" applyBorder="1"/>
    <xf numFmtId="0" fontId="28" fillId="0" borderId="24" xfId="49" applyNumberFormat="1" applyFont="1" applyFill="1" applyBorder="1" applyAlignment="1">
      <alignment horizontal="left" vertical="center" wrapText="1"/>
    </xf>
    <xf numFmtId="0" fontId="28" fillId="0" borderId="23" xfId="49" applyNumberFormat="1" applyFont="1" applyFill="1" applyBorder="1" applyAlignment="1">
      <alignment horizontal="left" vertical="center" wrapText="1"/>
    </xf>
    <xf numFmtId="0" fontId="28" fillId="0" borderId="18" xfId="49" applyNumberFormat="1" applyFont="1" applyFill="1" applyBorder="1" applyAlignment="1">
      <alignment horizontal="center" vertical="center" wrapText="1"/>
    </xf>
    <xf numFmtId="0" fontId="19" fillId="0" borderId="11" xfId="49" applyNumberFormat="1" applyFont="1" applyFill="1" applyBorder="1" applyAlignment="1">
      <alignment horizontal="justify" vertical="center" wrapText="1"/>
    </xf>
    <xf numFmtId="0" fontId="31" fillId="0" borderId="11" xfId="45" applyFont="1" applyFill="1" applyBorder="1" applyAlignment="1">
      <alignment horizontal="center" vertical="center" wrapText="1"/>
    </xf>
    <xf numFmtId="0" fontId="32" fillId="0" borderId="11" xfId="45" applyFont="1" applyFill="1" applyBorder="1" applyAlignment="1">
      <alignment horizontal="justify" vertical="center"/>
    </xf>
    <xf numFmtId="0" fontId="19" fillId="0" borderId="14" xfId="49" applyNumberFormat="1" applyFont="1" applyFill="1" applyBorder="1" applyAlignment="1">
      <alignment horizontal="center" vertical="center" wrapText="1"/>
    </xf>
    <xf numFmtId="168" fontId="20" fillId="0" borderId="14" xfId="49" applyFont="1" applyFill="1" applyBorder="1" applyAlignment="1">
      <alignment horizontal="center" vertical="center" wrapText="1"/>
    </xf>
    <xf numFmtId="168" fontId="20" fillId="0" borderId="11" xfId="51" applyNumberFormat="1" applyFont="1" applyFill="1" applyBorder="1" applyAlignment="1">
      <alignment horizontal="right" vertical="center"/>
    </xf>
    <xf numFmtId="168" fontId="19" fillId="0" borderId="23" xfId="49" applyFont="1" applyFill="1" applyBorder="1" applyAlignment="1">
      <alignment horizontal="justify" vertical="center" wrapText="1"/>
    </xf>
    <xf numFmtId="0" fontId="19" fillId="0" borderId="23" xfId="49" applyNumberFormat="1" applyFont="1" applyFill="1" applyBorder="1" applyAlignment="1">
      <alignment horizontal="justify" vertical="center" wrapText="1"/>
    </xf>
    <xf numFmtId="0" fontId="19" fillId="0" borderId="23" xfId="49" applyNumberFormat="1" applyFont="1" applyFill="1" applyBorder="1" applyAlignment="1">
      <alignment horizontal="center" vertical="center" wrapText="1"/>
    </xf>
    <xf numFmtId="168" fontId="20" fillId="0" borderId="23" xfId="49" applyFont="1" applyFill="1" applyBorder="1" applyAlignment="1">
      <alignment horizontal="justify" vertical="center" wrapText="1"/>
    </xf>
    <xf numFmtId="168" fontId="20" fillId="0" borderId="23" xfId="49" applyFont="1" applyFill="1" applyBorder="1" applyAlignment="1">
      <alignment horizontal="center" vertical="center" wrapText="1"/>
    </xf>
    <xf numFmtId="168" fontId="19" fillId="0" borderId="23" xfId="49" applyFont="1" applyFill="1" applyBorder="1" applyAlignment="1">
      <alignment horizontal="center" vertical="center" wrapText="1"/>
    </xf>
    <xf numFmtId="0" fontId="20" fillId="0" borderId="23" xfId="49" applyNumberFormat="1" applyFont="1" applyFill="1" applyBorder="1" applyAlignment="1">
      <alignment horizontal="center" vertical="center" wrapText="1"/>
    </xf>
    <xf numFmtId="168" fontId="20" fillId="0" borderId="23" xfId="49" applyFont="1" applyBorder="1" applyAlignment="1">
      <alignment horizontal="justify" vertical="center" wrapText="1"/>
    </xf>
    <xf numFmtId="168" fontId="20" fillId="0" borderId="18" xfId="49" applyNumberFormat="1" applyFont="1" applyBorder="1" applyAlignment="1">
      <alignment vertical="center"/>
    </xf>
    <xf numFmtId="168" fontId="30" fillId="37" borderId="23" xfId="49" applyFont="1" applyFill="1" applyBorder="1" applyAlignment="1">
      <alignment horizontal="center" vertical="center"/>
    </xf>
    <xf numFmtId="43" fontId="21" fillId="37" borderId="11" xfId="52" applyNumberFormat="1" applyFont="1" applyFill="1" applyBorder="1" applyAlignment="1">
      <alignment horizontal="center" vertical="center"/>
    </xf>
    <xf numFmtId="0" fontId="28" fillId="38" borderId="15" xfId="49" applyNumberFormat="1" applyFont="1" applyFill="1" applyBorder="1" applyAlignment="1">
      <alignment horizontal="left" vertical="center" wrapText="1"/>
    </xf>
    <xf numFmtId="0" fontId="28" fillId="38" borderId="23" xfId="49" applyNumberFormat="1" applyFont="1" applyFill="1" applyBorder="1" applyAlignment="1">
      <alignment horizontal="left" vertical="center"/>
    </xf>
    <xf numFmtId="0" fontId="28" fillId="38" borderId="23" xfId="49" applyNumberFormat="1" applyFont="1" applyFill="1" applyBorder="1" applyAlignment="1">
      <alignment horizontal="center" vertical="center"/>
    </xf>
    <xf numFmtId="168" fontId="28" fillId="38" borderId="23" xfId="49" applyFont="1" applyFill="1" applyBorder="1" applyAlignment="1">
      <alignment horizontal="center" vertical="center"/>
    </xf>
    <xf numFmtId="0" fontId="28" fillId="38" borderId="23" xfId="49" applyNumberFormat="1" applyFont="1" applyFill="1" applyBorder="1" applyAlignment="1">
      <alignment horizontal="justify" vertical="center" wrapText="1"/>
    </xf>
    <xf numFmtId="0" fontId="28" fillId="38" borderId="23" xfId="49" applyNumberFormat="1" applyFont="1" applyFill="1" applyBorder="1" applyAlignment="1">
      <alignment horizontal="center" vertical="center" wrapText="1"/>
    </xf>
    <xf numFmtId="0" fontId="19" fillId="38" borderId="23" xfId="49" applyNumberFormat="1" applyFont="1" applyFill="1" applyBorder="1" applyAlignment="1">
      <alignment horizontal="center" vertical="center"/>
    </xf>
    <xf numFmtId="168" fontId="28" fillId="38" borderId="23" xfId="49" applyFont="1" applyFill="1" applyBorder="1" applyAlignment="1">
      <alignment horizontal="justify" vertical="center" wrapText="1"/>
    </xf>
    <xf numFmtId="168" fontId="28" fillId="38" borderId="23" xfId="49" applyFont="1" applyFill="1" applyBorder="1" applyAlignment="1">
      <alignment horizontal="center" vertical="center" wrapText="1"/>
    </xf>
    <xf numFmtId="168" fontId="19" fillId="38" borderId="23" xfId="49" applyFont="1" applyFill="1" applyBorder="1" applyAlignment="1">
      <alignment vertical="center"/>
    </xf>
    <xf numFmtId="0" fontId="19" fillId="38" borderId="23" xfId="49" applyNumberFormat="1" applyFont="1" applyFill="1" applyBorder="1" applyAlignment="1">
      <alignment vertical="center"/>
    </xf>
    <xf numFmtId="43" fontId="28" fillId="38" borderId="11" xfId="52" applyNumberFormat="1" applyFont="1" applyFill="1" applyBorder="1" applyAlignment="1">
      <alignment horizontal="center" vertical="center"/>
    </xf>
    <xf numFmtId="0" fontId="28" fillId="39" borderId="16" xfId="49" applyNumberFormat="1" applyFont="1" applyFill="1" applyBorder="1" applyAlignment="1">
      <alignment horizontal="center" vertical="center"/>
    </xf>
    <xf numFmtId="168" fontId="28" fillId="39" borderId="23" xfId="49" applyFont="1" applyFill="1" applyBorder="1" applyAlignment="1">
      <alignment horizontal="left" vertical="center"/>
    </xf>
    <xf numFmtId="0" fontId="19" fillId="39" borderId="23" xfId="49" applyNumberFormat="1" applyFont="1" applyFill="1" applyBorder="1" applyAlignment="1">
      <alignment horizontal="center" vertical="center"/>
    </xf>
    <xf numFmtId="168" fontId="28" fillId="39" borderId="23" xfId="49" applyFont="1" applyFill="1" applyBorder="1" applyAlignment="1">
      <alignment horizontal="justify" vertical="center" wrapText="1"/>
    </xf>
    <xf numFmtId="168" fontId="28" fillId="39" borderId="23" xfId="49" applyFont="1" applyFill="1" applyBorder="1" applyAlignment="1">
      <alignment horizontal="center" vertical="center" wrapText="1"/>
    </xf>
    <xf numFmtId="168" fontId="19" fillId="39" borderId="23" xfId="49" applyFont="1" applyFill="1" applyBorder="1" applyAlignment="1">
      <alignment vertical="center"/>
    </xf>
    <xf numFmtId="0" fontId="19" fillId="39" borderId="23" xfId="49" applyNumberFormat="1" applyFont="1" applyFill="1" applyBorder="1" applyAlignment="1">
      <alignment vertical="center"/>
    </xf>
    <xf numFmtId="168" fontId="28" fillId="39" borderId="23" xfId="49" applyFont="1" applyFill="1" applyBorder="1" applyAlignment="1">
      <alignment horizontal="center" vertical="center"/>
    </xf>
    <xf numFmtId="43" fontId="28" fillId="39" borderId="11" xfId="52" applyNumberFormat="1" applyFont="1" applyFill="1" applyBorder="1" applyAlignment="1">
      <alignment horizontal="center" vertical="center"/>
    </xf>
    <xf numFmtId="0" fontId="19" fillId="0" borderId="23" xfId="49" applyNumberFormat="1" applyFont="1" applyFill="1" applyBorder="1" applyAlignment="1">
      <alignment horizontal="left" vertical="center" wrapText="1"/>
    </xf>
    <xf numFmtId="0" fontId="19" fillId="0" borderId="18" xfId="49" applyNumberFormat="1" applyFont="1" applyFill="1" applyBorder="1" applyAlignment="1">
      <alignment horizontal="center" vertical="center" wrapText="1"/>
    </xf>
    <xf numFmtId="0" fontId="19" fillId="0" borderId="22" xfId="49" applyNumberFormat="1" applyFont="1" applyFill="1" applyBorder="1" applyAlignment="1">
      <alignment horizontal="center" vertical="center" wrapText="1"/>
    </xf>
    <xf numFmtId="168" fontId="19" fillId="0" borderId="11" xfId="49" applyFont="1" applyFill="1" applyBorder="1" applyAlignment="1">
      <alignment horizontal="justify" vertical="center" wrapText="1"/>
    </xf>
    <xf numFmtId="43" fontId="19" fillId="0" borderId="14" xfId="42" applyFont="1" applyFill="1" applyBorder="1" applyAlignment="1">
      <alignment horizontal="justify" vertical="center"/>
    </xf>
    <xf numFmtId="43" fontId="19" fillId="0" borderId="14" xfId="52" applyNumberFormat="1" applyFont="1" applyFill="1" applyBorder="1" applyAlignment="1">
      <alignment horizontal="right" vertical="center" wrapText="1"/>
    </xf>
    <xf numFmtId="0" fontId="19" fillId="0" borderId="16" xfId="49" applyNumberFormat="1" applyFont="1" applyFill="1" applyBorder="1" applyAlignment="1">
      <alignment horizontal="left" vertical="center" wrapText="1"/>
    </xf>
    <xf numFmtId="0" fontId="19" fillId="0" borderId="17" xfId="49" applyNumberFormat="1" applyFont="1" applyFill="1" applyBorder="1" applyAlignment="1">
      <alignment horizontal="center" vertical="center" wrapText="1"/>
    </xf>
    <xf numFmtId="0" fontId="20" fillId="0" borderId="22" xfId="49" applyNumberFormat="1" applyFont="1" applyFill="1" applyBorder="1" applyAlignment="1">
      <alignment horizontal="center" vertical="center" wrapText="1"/>
    </xf>
    <xf numFmtId="168" fontId="19" fillId="0" borderId="11" xfId="49" applyFont="1" applyFill="1" applyBorder="1" applyAlignment="1">
      <alignment horizontal="center" vertical="center"/>
    </xf>
    <xf numFmtId="0" fontId="19" fillId="0" borderId="11" xfId="49" applyNumberFormat="1" applyFont="1" applyFill="1" applyBorder="1" applyAlignment="1">
      <alignment horizontal="center" vertical="center"/>
    </xf>
    <xf numFmtId="43" fontId="28" fillId="0" borderId="11" xfId="49" applyNumberFormat="1" applyFont="1" applyFill="1" applyBorder="1" applyAlignment="1">
      <alignment vertical="center"/>
    </xf>
    <xf numFmtId="43" fontId="19" fillId="0" borderId="11" xfId="52" applyNumberFormat="1" applyFont="1" applyFill="1" applyBorder="1" applyAlignment="1">
      <alignment horizontal="center" vertical="center"/>
    </xf>
    <xf numFmtId="168" fontId="20" fillId="0" borderId="25" xfId="49" applyFont="1" applyFill="1" applyBorder="1"/>
    <xf numFmtId="0" fontId="20" fillId="0" borderId="25" xfId="49" applyNumberFormat="1" applyFont="1" applyFill="1" applyBorder="1" applyAlignment="1">
      <alignment horizontal="left" vertical="center" wrapText="1"/>
    </xf>
    <xf numFmtId="0" fontId="20" fillId="0" borderId="0" xfId="49" applyNumberFormat="1" applyFont="1" applyFill="1" applyBorder="1" applyAlignment="1">
      <alignment horizontal="left" vertical="center" wrapText="1"/>
    </xf>
    <xf numFmtId="0" fontId="20" fillId="0" borderId="20" xfId="49" applyNumberFormat="1" applyFont="1" applyFill="1" applyBorder="1" applyAlignment="1">
      <alignment horizontal="center" vertical="center" wrapText="1"/>
    </xf>
    <xf numFmtId="169" fontId="20" fillId="0" borderId="24" xfId="42" applyNumberFormat="1" applyFont="1" applyFill="1" applyBorder="1" applyAlignment="1">
      <alignment horizontal="center" vertical="center" wrapText="1"/>
    </xf>
    <xf numFmtId="0" fontId="20" fillId="0" borderId="24" xfId="42" applyNumberFormat="1" applyFont="1" applyFill="1" applyBorder="1" applyAlignment="1">
      <alignment horizontal="center" vertical="center" wrapText="1"/>
    </xf>
    <xf numFmtId="168" fontId="19" fillId="0" borderId="25" xfId="49" applyFont="1" applyFill="1" applyBorder="1" applyAlignment="1">
      <alignment horizontal="center" vertical="center" wrapText="1"/>
    </xf>
    <xf numFmtId="43" fontId="20" fillId="0" borderId="24" xfId="42" applyFont="1" applyFill="1" applyBorder="1" applyAlignment="1">
      <alignment horizontal="justify" vertical="center"/>
    </xf>
    <xf numFmtId="43" fontId="20" fillId="0" borderId="12" xfId="42" applyFont="1" applyFill="1" applyBorder="1" applyAlignment="1">
      <alignment horizontal="justify" vertical="center"/>
    </xf>
    <xf numFmtId="43" fontId="20" fillId="0" borderId="12" xfId="52" applyNumberFormat="1" applyFont="1" applyFill="1" applyBorder="1" applyAlignment="1">
      <alignment horizontal="right" vertical="center" wrapText="1"/>
    </xf>
    <xf numFmtId="168" fontId="20" fillId="0" borderId="0" xfId="49" applyFont="1" applyFill="1" applyBorder="1"/>
    <xf numFmtId="0" fontId="19" fillId="0" borderId="0" xfId="49" applyNumberFormat="1" applyFont="1" applyFill="1" applyBorder="1" applyAlignment="1">
      <alignment horizontal="left" vertical="center" wrapText="1"/>
    </xf>
    <xf numFmtId="0" fontId="19" fillId="0" borderId="20" xfId="49" applyNumberFormat="1" applyFont="1" applyFill="1" applyBorder="1" applyAlignment="1">
      <alignment horizontal="center" vertical="center" wrapText="1"/>
    </xf>
    <xf numFmtId="169" fontId="19" fillId="0" borderId="11" xfId="42" applyNumberFormat="1" applyFont="1" applyFill="1" applyBorder="1" applyAlignment="1">
      <alignment horizontal="center" vertical="center" wrapText="1"/>
    </xf>
    <xf numFmtId="0" fontId="19" fillId="0" borderId="11" xfId="42" applyNumberFormat="1" applyFont="1" applyFill="1" applyBorder="1" applyAlignment="1">
      <alignment horizontal="center" vertical="center" wrapText="1"/>
    </xf>
    <xf numFmtId="168" fontId="19" fillId="0" borderId="22" xfId="49" applyFont="1" applyFill="1" applyBorder="1" applyAlignment="1">
      <alignment horizontal="justify" vertical="center" wrapText="1"/>
    </xf>
    <xf numFmtId="168" fontId="19" fillId="0" borderId="22" xfId="49" applyFont="1" applyFill="1" applyBorder="1" applyAlignment="1">
      <alignment horizontal="center" vertical="center" wrapText="1"/>
    </xf>
    <xf numFmtId="0" fontId="19" fillId="0" borderId="22" xfId="42" applyNumberFormat="1" applyFont="1" applyFill="1" applyBorder="1" applyAlignment="1">
      <alignment horizontal="center" vertical="center" wrapText="1"/>
    </xf>
    <xf numFmtId="0" fontId="19" fillId="0" borderId="25" xfId="49" applyNumberFormat="1" applyFont="1" applyFill="1" applyBorder="1" applyAlignment="1">
      <alignment horizontal="center" vertical="center" wrapText="1"/>
    </xf>
    <xf numFmtId="0" fontId="31" fillId="0" borderId="26" xfId="45" applyFont="1" applyFill="1" applyBorder="1" applyAlignment="1">
      <alignment horizontal="center" vertical="center"/>
    </xf>
    <xf numFmtId="0" fontId="31" fillId="0" borderId="11" xfId="45" applyFont="1" applyFill="1" applyBorder="1" applyAlignment="1">
      <alignment horizontal="center" vertical="center"/>
    </xf>
    <xf numFmtId="2" fontId="31" fillId="0" borderId="26" xfId="45" applyNumberFormat="1" applyFont="1" applyFill="1" applyBorder="1" applyAlignment="1">
      <alignment horizontal="center" vertical="center"/>
    </xf>
    <xf numFmtId="169" fontId="19" fillId="0" borderId="22" xfId="42" applyNumberFormat="1" applyFont="1" applyFill="1" applyBorder="1" applyAlignment="1">
      <alignment horizontal="center" vertical="center" wrapText="1"/>
    </xf>
    <xf numFmtId="0" fontId="19" fillId="0" borderId="24" xfId="49" applyNumberFormat="1" applyFont="1" applyFill="1" applyBorder="1" applyAlignment="1">
      <alignment horizontal="center" vertical="center" wrapText="1"/>
    </xf>
    <xf numFmtId="43" fontId="19" fillId="0" borderId="22" xfId="42" applyFont="1" applyFill="1" applyBorder="1" applyAlignment="1">
      <alignment horizontal="justify" vertical="center"/>
    </xf>
    <xf numFmtId="43" fontId="19" fillId="0" borderId="15" xfId="42" applyFont="1" applyFill="1" applyBorder="1" applyAlignment="1">
      <alignment horizontal="justify" vertical="center"/>
    </xf>
    <xf numFmtId="43" fontId="19" fillId="0" borderId="15" xfId="52" applyNumberFormat="1" applyFont="1" applyFill="1" applyBorder="1" applyAlignment="1">
      <alignment horizontal="right" vertical="center" wrapText="1"/>
    </xf>
    <xf numFmtId="43" fontId="19" fillId="0" borderId="22" xfId="49" applyNumberFormat="1" applyFont="1" applyFill="1" applyBorder="1" applyAlignment="1">
      <alignment vertical="center"/>
    </xf>
    <xf numFmtId="0" fontId="19" fillId="0" borderId="24" xfId="49" applyNumberFormat="1" applyFont="1" applyFill="1" applyBorder="1" applyAlignment="1">
      <alignment horizontal="left" vertical="center"/>
    </xf>
    <xf numFmtId="0" fontId="19" fillId="0" borderId="13" xfId="49" applyNumberFormat="1" applyFont="1" applyFill="1" applyBorder="1" applyAlignment="1">
      <alignment horizontal="left" vertical="center"/>
    </xf>
    <xf numFmtId="0" fontId="19" fillId="0" borderId="21" xfId="49" applyNumberFormat="1" applyFont="1" applyFill="1" applyBorder="1" applyAlignment="1">
      <alignment horizontal="center" vertical="center"/>
    </xf>
    <xf numFmtId="0" fontId="31" fillId="0" borderId="26" xfId="45" applyFont="1" applyFill="1" applyBorder="1" applyAlignment="1">
      <alignment horizontal="center" vertical="center" wrapText="1"/>
    </xf>
    <xf numFmtId="168" fontId="19" fillId="0" borderId="11" xfId="49" applyFont="1" applyFill="1" applyBorder="1"/>
    <xf numFmtId="43" fontId="19" fillId="0" borderId="11" xfId="52" applyNumberFormat="1" applyFont="1" applyFill="1" applyBorder="1" applyAlignment="1">
      <alignment horizontal="right" vertical="center" wrapText="1"/>
    </xf>
    <xf numFmtId="0" fontId="19" fillId="0" borderId="0" xfId="49" applyNumberFormat="1" applyFont="1" applyFill="1" applyAlignment="1">
      <alignment horizontal="left" vertical="center"/>
    </xf>
    <xf numFmtId="0" fontId="19" fillId="0" borderId="0" xfId="49" applyNumberFormat="1" applyFont="1" applyFill="1" applyAlignment="1">
      <alignment horizontal="center" vertical="center"/>
    </xf>
    <xf numFmtId="168" fontId="19" fillId="0" borderId="0" xfId="49" applyFont="1" applyFill="1" applyAlignment="1">
      <alignment horizontal="center"/>
    </xf>
    <xf numFmtId="0" fontId="19" fillId="0" borderId="0" xfId="49" applyNumberFormat="1" applyFont="1" applyFill="1" applyAlignment="1">
      <alignment horizontal="justify" vertical="center" wrapText="1"/>
    </xf>
    <xf numFmtId="0" fontId="19" fillId="0" borderId="0" xfId="49" applyNumberFormat="1" applyFont="1" applyFill="1" applyAlignment="1">
      <alignment horizontal="center" vertical="center" wrapText="1"/>
    </xf>
    <xf numFmtId="0" fontId="19" fillId="0" borderId="0" xfId="49" applyNumberFormat="1" applyFont="1" applyFill="1" applyAlignment="1">
      <alignment horizontal="center"/>
    </xf>
    <xf numFmtId="168" fontId="19" fillId="0" borderId="0" xfId="49" applyFont="1" applyFill="1" applyAlignment="1">
      <alignment horizontal="justify" vertical="center" wrapText="1"/>
    </xf>
    <xf numFmtId="168" fontId="19" fillId="0" borderId="0" xfId="49" applyFont="1" applyFill="1" applyAlignment="1">
      <alignment horizontal="center" vertical="center" wrapText="1"/>
    </xf>
    <xf numFmtId="168" fontId="19" fillId="0" borderId="0" xfId="49" applyFont="1" applyFill="1"/>
    <xf numFmtId="173" fontId="19" fillId="0" borderId="0" xfId="52" applyNumberFormat="1" applyFont="1" applyFill="1" applyAlignment="1">
      <alignment horizontal="center"/>
    </xf>
    <xf numFmtId="168" fontId="19" fillId="0" borderId="23" xfId="49" applyFont="1" applyFill="1" applyBorder="1"/>
    <xf numFmtId="0" fontId="21" fillId="37" borderId="22" xfId="49" applyNumberFormat="1" applyFont="1" applyFill="1" applyBorder="1" applyAlignment="1">
      <alignment horizontal="left" vertical="center"/>
    </xf>
    <xf numFmtId="0" fontId="21" fillId="37" borderId="15" xfId="49" applyNumberFormat="1" applyFont="1" applyFill="1" applyBorder="1" applyAlignment="1">
      <alignment horizontal="left" vertical="center"/>
    </xf>
    <xf numFmtId="0" fontId="21" fillId="37" borderId="16" xfId="49" applyNumberFormat="1" applyFont="1" applyFill="1" applyBorder="1" applyAlignment="1">
      <alignment horizontal="left" vertical="center"/>
    </xf>
    <xf numFmtId="0" fontId="21" fillId="37" borderId="16" xfId="49" applyNumberFormat="1" applyFont="1" applyFill="1" applyBorder="1" applyAlignment="1">
      <alignment horizontal="center" vertical="center"/>
    </xf>
    <xf numFmtId="168" fontId="21" fillId="37" borderId="16" xfId="49" applyFont="1" applyFill="1" applyBorder="1" applyAlignment="1">
      <alignment horizontal="center" vertical="center"/>
    </xf>
    <xf numFmtId="0" fontId="21" fillId="37" borderId="16" xfId="49" applyNumberFormat="1" applyFont="1" applyFill="1" applyBorder="1" applyAlignment="1">
      <alignment horizontal="justify" vertical="center" wrapText="1"/>
    </xf>
    <xf numFmtId="0" fontId="21" fillId="37" borderId="16" xfId="49" applyNumberFormat="1" applyFont="1" applyFill="1" applyBorder="1" applyAlignment="1">
      <alignment horizontal="center" vertical="center" wrapText="1"/>
    </xf>
    <xf numFmtId="0" fontId="30" fillId="37" borderId="16" xfId="49" applyNumberFormat="1" applyFont="1" applyFill="1" applyBorder="1" applyAlignment="1">
      <alignment horizontal="center" vertical="center"/>
    </xf>
    <xf numFmtId="168" fontId="21" fillId="37" borderId="16" xfId="49" applyFont="1" applyFill="1" applyBorder="1" applyAlignment="1">
      <alignment horizontal="justify" vertical="center" wrapText="1"/>
    </xf>
    <xf numFmtId="168" fontId="21" fillId="37" borderId="16" xfId="49" applyFont="1" applyFill="1" applyBorder="1" applyAlignment="1">
      <alignment horizontal="center" vertical="center" wrapText="1"/>
    </xf>
    <xf numFmtId="43" fontId="21" fillId="37" borderId="11" xfId="49" applyNumberFormat="1" applyFont="1" applyFill="1" applyBorder="1" applyAlignment="1">
      <alignment horizontal="left" vertical="center"/>
    </xf>
    <xf numFmtId="0" fontId="28" fillId="39" borderId="17" xfId="49" applyNumberFormat="1" applyFont="1" applyFill="1" applyBorder="1" applyAlignment="1">
      <alignment horizontal="left" vertical="center" wrapText="1"/>
    </xf>
    <xf numFmtId="0" fontId="28" fillId="39" borderId="16" xfId="49" applyNumberFormat="1" applyFont="1" applyFill="1" applyBorder="1" applyAlignment="1">
      <alignment horizontal="center" vertical="center" wrapText="1"/>
    </xf>
    <xf numFmtId="168" fontId="28" fillId="39" borderId="23" xfId="49" applyFont="1" applyFill="1" applyBorder="1" applyAlignment="1">
      <alignment vertical="center" wrapText="1"/>
    </xf>
    <xf numFmtId="0" fontId="28" fillId="0" borderId="19" xfId="49" applyNumberFormat="1" applyFont="1" applyFill="1" applyBorder="1" applyAlignment="1">
      <alignment horizontal="left" vertical="center" wrapText="1"/>
    </xf>
    <xf numFmtId="0" fontId="28" fillId="0" borderId="15" xfId="49" applyNumberFormat="1" applyFont="1" applyFill="1" applyBorder="1" applyAlignment="1">
      <alignment horizontal="left" vertical="center" wrapText="1"/>
    </xf>
    <xf numFmtId="168" fontId="20" fillId="0" borderId="11" xfId="49" applyFont="1" applyFill="1" applyBorder="1" applyAlignment="1" applyProtection="1">
      <alignment horizontal="justify" vertical="center" wrapText="1"/>
      <protection locked="0"/>
    </xf>
    <xf numFmtId="0" fontId="20" fillId="0" borderId="11" xfId="49" applyNumberFormat="1" applyFont="1" applyFill="1" applyBorder="1" applyAlignment="1" applyProtection="1">
      <alignment horizontal="center" vertical="center" wrapText="1"/>
      <protection locked="0"/>
    </xf>
    <xf numFmtId="43" fontId="28" fillId="0" borderId="11" xfId="49" applyNumberFormat="1" applyFont="1" applyFill="1" applyBorder="1" applyAlignment="1">
      <alignment horizontal="left" vertical="center"/>
    </xf>
    <xf numFmtId="43" fontId="28" fillId="0" borderId="24" xfId="49" applyNumberFormat="1" applyFont="1" applyFill="1" applyBorder="1" applyAlignment="1">
      <alignment horizontal="left" vertical="center"/>
    </xf>
    <xf numFmtId="43" fontId="19" fillId="0" borderId="24" xfId="42" applyFont="1" applyFill="1" applyBorder="1" applyAlignment="1">
      <alignment horizontal="justify" vertical="center"/>
    </xf>
    <xf numFmtId="43" fontId="19" fillId="0" borderId="11" xfId="49" applyNumberFormat="1" applyFont="1" applyFill="1" applyBorder="1" applyAlignment="1">
      <alignment horizontal="left" vertical="center"/>
    </xf>
    <xf numFmtId="0" fontId="28" fillId="0" borderId="12" xfId="49" applyNumberFormat="1" applyFont="1" applyFill="1" applyBorder="1" applyAlignment="1">
      <alignment horizontal="left" vertical="center" wrapText="1"/>
    </xf>
    <xf numFmtId="168" fontId="20" fillId="0" borderId="24" xfId="49" applyFont="1" applyFill="1" applyBorder="1" applyAlignment="1" applyProtection="1">
      <alignment horizontal="justify" vertical="center" wrapText="1"/>
      <protection locked="0"/>
    </xf>
    <xf numFmtId="0" fontId="20" fillId="0" borderId="24" xfId="49" applyNumberFormat="1" applyFont="1" applyFill="1" applyBorder="1" applyAlignment="1" applyProtection="1">
      <alignment horizontal="center" vertical="center" wrapText="1"/>
      <protection locked="0"/>
    </xf>
    <xf numFmtId="4" fontId="19" fillId="0" borderId="14" xfId="49" applyNumberFormat="1" applyFont="1" applyFill="1" applyBorder="1" applyAlignment="1">
      <alignment horizontal="right" vertical="center" wrapText="1"/>
    </xf>
    <xf numFmtId="168" fontId="20" fillId="0" borderId="0" xfId="49" applyFont="1"/>
    <xf numFmtId="0" fontId="20" fillId="0" borderId="0" xfId="49" applyNumberFormat="1" applyFont="1" applyAlignment="1">
      <alignment horizontal="left" vertical="center"/>
    </xf>
    <xf numFmtId="0" fontId="20" fillId="0" borderId="0" xfId="49" applyNumberFormat="1" applyFont="1" applyAlignment="1">
      <alignment horizontal="center" vertical="center"/>
    </xf>
    <xf numFmtId="0" fontId="20" fillId="0" borderId="0" xfId="49" applyNumberFormat="1" applyFont="1" applyAlignment="1">
      <alignment horizontal="justify" vertical="center" wrapText="1"/>
    </xf>
    <xf numFmtId="0" fontId="20" fillId="0" borderId="0" xfId="49" applyNumberFormat="1" applyFont="1" applyAlignment="1">
      <alignment horizontal="center" vertical="center" wrapText="1"/>
    </xf>
    <xf numFmtId="0" fontId="20" fillId="0" borderId="0" xfId="49" applyNumberFormat="1" applyFont="1" applyAlignment="1">
      <alignment horizontal="center"/>
    </xf>
    <xf numFmtId="168" fontId="20" fillId="0" borderId="0" xfId="49" applyFont="1" applyAlignment="1">
      <alignment horizontal="justify" vertical="center" wrapText="1"/>
    </xf>
    <xf numFmtId="168" fontId="20" fillId="0" borderId="0" xfId="49" applyFont="1" applyAlignment="1">
      <alignment horizontal="center" vertical="center" wrapText="1"/>
    </xf>
    <xf numFmtId="0" fontId="20" fillId="0" borderId="0" xfId="49" applyNumberFormat="1" applyFont="1"/>
    <xf numFmtId="168" fontId="20" fillId="0" borderId="0" xfId="49" applyFont="1" applyAlignment="1">
      <alignment horizontal="center"/>
    </xf>
    <xf numFmtId="168" fontId="20" fillId="0" borderId="23" xfId="49" applyFont="1" applyBorder="1"/>
    <xf numFmtId="168" fontId="20" fillId="34" borderId="0" xfId="49" applyFont="1" applyFill="1"/>
    <xf numFmtId="0" fontId="28" fillId="39" borderId="18" xfId="49" applyNumberFormat="1" applyFont="1" applyFill="1" applyBorder="1" applyAlignment="1">
      <alignment horizontal="left" vertical="center" wrapText="1"/>
    </xf>
    <xf numFmtId="168" fontId="19" fillId="39" borderId="13" xfId="49" applyFont="1" applyFill="1" applyBorder="1" applyAlignment="1">
      <alignment vertical="center"/>
    </xf>
    <xf numFmtId="0" fontId="19" fillId="39" borderId="13" xfId="49" applyNumberFormat="1" applyFont="1" applyFill="1" applyBorder="1" applyAlignment="1">
      <alignment vertical="center"/>
    </xf>
    <xf numFmtId="0" fontId="28" fillId="0" borderId="0" xfId="49" applyNumberFormat="1" applyFont="1" applyFill="1" applyBorder="1" applyAlignment="1">
      <alignment horizontal="left" vertical="center" wrapText="1"/>
    </xf>
    <xf numFmtId="0" fontId="28" fillId="0" borderId="0" xfId="49" applyNumberFormat="1" applyFont="1" applyFill="1" applyBorder="1" applyAlignment="1">
      <alignment horizontal="center" vertical="center" wrapText="1"/>
    </xf>
    <xf numFmtId="0" fontId="33" fillId="0" borderId="11" xfId="49" applyNumberFormat="1" applyFont="1" applyFill="1" applyBorder="1" applyAlignment="1">
      <alignment horizontal="justify" vertical="center" wrapText="1"/>
    </xf>
    <xf numFmtId="0" fontId="31" fillId="0" borderId="11" xfId="50" applyNumberFormat="1" applyFont="1" applyFill="1" applyBorder="1" applyAlignment="1">
      <alignment horizontal="justify" vertical="center" wrapText="1"/>
    </xf>
    <xf numFmtId="0" fontId="31" fillId="0" borderId="14" xfId="50" applyNumberFormat="1" applyFont="1" applyFill="1" applyBorder="1" applyAlignment="1">
      <alignment horizontal="justify" vertical="center" wrapText="1"/>
    </xf>
    <xf numFmtId="168" fontId="19" fillId="0" borderId="14" xfId="49" applyFont="1" applyFill="1" applyBorder="1" applyAlignment="1">
      <alignment horizontal="center" vertical="center" wrapText="1"/>
    </xf>
    <xf numFmtId="170" fontId="19" fillId="0" borderId="11" xfId="47" applyNumberFormat="1" applyFont="1" applyFill="1" applyBorder="1" applyAlignment="1">
      <alignment horizontal="right" vertical="center"/>
    </xf>
    <xf numFmtId="43" fontId="19" fillId="0" borderId="11" xfId="42" applyFont="1" applyFill="1" applyBorder="1"/>
    <xf numFmtId="0" fontId="31" fillId="0" borderId="18" xfId="45" applyFont="1" applyFill="1" applyBorder="1" applyAlignment="1">
      <alignment horizontal="center" vertical="center" wrapText="1"/>
    </xf>
    <xf numFmtId="0" fontId="31" fillId="0" borderId="11" xfId="44" applyNumberFormat="1" applyFont="1" applyFill="1" applyBorder="1" applyAlignment="1">
      <alignment horizontal="center" vertical="center" wrapText="1"/>
    </xf>
    <xf numFmtId="0" fontId="31" fillId="0" borderId="11" xfId="44" applyNumberFormat="1" applyFont="1" applyFill="1" applyBorder="1" applyAlignment="1">
      <alignment horizontal="justify" vertical="center" wrapText="1"/>
    </xf>
    <xf numFmtId="0" fontId="19" fillId="0" borderId="15" xfId="49" applyNumberFormat="1" applyFont="1" applyFill="1" applyBorder="1" applyAlignment="1">
      <alignment horizontal="center" vertical="center" wrapText="1"/>
    </xf>
    <xf numFmtId="0" fontId="28" fillId="39" borderId="11" xfId="49" applyNumberFormat="1" applyFont="1" applyFill="1" applyBorder="1" applyAlignment="1">
      <alignment horizontal="left" vertical="center" wrapText="1"/>
    </xf>
    <xf numFmtId="0" fontId="28" fillId="0" borderId="14" xfId="49" applyNumberFormat="1" applyFont="1" applyFill="1" applyBorder="1" applyAlignment="1">
      <alignment horizontal="left" vertical="center" wrapText="1"/>
    </xf>
    <xf numFmtId="168" fontId="19" fillId="0" borderId="22" xfId="49" applyFont="1" applyFill="1" applyBorder="1" applyAlignment="1">
      <alignment horizontal="justify" vertical="center"/>
    </xf>
    <xf numFmtId="0" fontId="19" fillId="0" borderId="14" xfId="50" applyNumberFormat="1" applyFont="1" applyFill="1" applyBorder="1" applyAlignment="1">
      <alignment horizontal="center" vertical="center" wrapText="1"/>
    </xf>
    <xf numFmtId="0" fontId="19" fillId="0" borderId="14" xfId="50" applyNumberFormat="1" applyFont="1" applyFill="1" applyBorder="1" applyAlignment="1">
      <alignment horizontal="justify" vertical="center" wrapText="1"/>
    </xf>
    <xf numFmtId="0" fontId="19" fillId="0" borderId="15" xfId="50" applyNumberFormat="1" applyFont="1" applyFill="1" applyBorder="1" applyAlignment="1">
      <alignment horizontal="center" vertical="center" wrapText="1"/>
    </xf>
    <xf numFmtId="168" fontId="20" fillId="0" borderId="11" xfId="51" applyNumberFormat="1" applyFont="1" applyFill="1" applyBorder="1" applyAlignment="1">
      <alignment horizontal="center" vertical="center" wrapText="1"/>
    </xf>
    <xf numFmtId="168" fontId="20" fillId="0" borderId="14" xfId="51" applyNumberFormat="1" applyFont="1" applyFill="1" applyBorder="1" applyAlignment="1">
      <alignment horizontal="center" vertical="center" wrapText="1"/>
    </xf>
    <xf numFmtId="168" fontId="28" fillId="39" borderId="13" xfId="49" applyFont="1" applyFill="1" applyBorder="1" applyAlignment="1">
      <alignment horizontal="center" vertical="center"/>
    </xf>
    <xf numFmtId="168" fontId="28" fillId="39" borderId="13" xfId="49" applyFont="1" applyFill="1" applyBorder="1" applyAlignment="1">
      <alignment horizontal="justify" vertical="center" wrapText="1"/>
    </xf>
    <xf numFmtId="0" fontId="33" fillId="0" borderId="11" xfId="49" applyNumberFormat="1" applyFont="1" applyFill="1" applyBorder="1" applyAlignment="1">
      <alignment horizontal="center" vertical="center" wrapText="1"/>
    </xf>
    <xf numFmtId="0" fontId="19" fillId="0" borderId="11" xfId="50" applyNumberFormat="1" applyFont="1" applyFill="1" applyBorder="1" applyAlignment="1">
      <alignment horizontal="justify" vertical="center" wrapText="1"/>
    </xf>
    <xf numFmtId="167" fontId="19" fillId="0" borderId="11" xfId="49" applyNumberFormat="1" applyFont="1" applyFill="1" applyBorder="1" applyAlignment="1">
      <alignment vertical="center"/>
    </xf>
    <xf numFmtId="0" fontId="28" fillId="38" borderId="19" xfId="49" applyNumberFormat="1" applyFont="1" applyFill="1" applyBorder="1" applyAlignment="1">
      <alignment horizontal="left" vertical="center" wrapText="1"/>
    </xf>
    <xf numFmtId="0" fontId="19" fillId="0" borderId="11" xfId="50" applyNumberFormat="1" applyFont="1" applyFill="1" applyBorder="1" applyAlignment="1">
      <alignment horizontal="center" vertical="center" wrapText="1"/>
    </xf>
    <xf numFmtId="168" fontId="20" fillId="0" borderId="22" xfId="49" applyFont="1" applyFill="1" applyBorder="1" applyAlignment="1">
      <alignment horizontal="justify" vertical="center" wrapText="1"/>
    </xf>
    <xf numFmtId="43" fontId="19" fillId="0" borderId="11" xfId="52" applyNumberFormat="1" applyFont="1" applyFill="1" applyBorder="1" applyAlignment="1">
      <alignment horizontal="center" vertical="center" wrapText="1"/>
    </xf>
    <xf numFmtId="170" fontId="19" fillId="0" borderId="11" xfId="47" applyNumberFormat="1" applyFont="1" applyFill="1" applyBorder="1" applyAlignment="1">
      <alignment horizontal="right" vertical="center" wrapText="1"/>
    </xf>
    <xf numFmtId="0" fontId="19" fillId="0" borderId="22" xfId="49" applyNumberFormat="1" applyFont="1" applyFill="1" applyBorder="1" applyAlignment="1">
      <alignment horizontal="justify" vertical="center" wrapText="1"/>
    </xf>
    <xf numFmtId="0" fontId="19" fillId="0" borderId="11" xfId="52" applyNumberFormat="1" applyFont="1" applyFill="1" applyBorder="1" applyAlignment="1">
      <alignment horizontal="center" vertical="center" wrapText="1"/>
    </xf>
    <xf numFmtId="168" fontId="19" fillId="0" borderId="0" xfId="49" applyFont="1" applyFill="1" applyBorder="1" applyAlignment="1">
      <alignment vertical="center"/>
    </xf>
    <xf numFmtId="168" fontId="34" fillId="0" borderId="0" xfId="49" applyFont="1" applyFill="1" applyBorder="1" applyAlignment="1">
      <alignment vertical="center"/>
    </xf>
    <xf numFmtId="168" fontId="19" fillId="0" borderId="14" xfId="49" applyFont="1" applyFill="1" applyBorder="1" applyAlignment="1">
      <alignment horizontal="justify" vertical="center" wrapText="1"/>
    </xf>
    <xf numFmtId="168" fontId="19" fillId="0" borderId="15" xfId="49" applyFont="1" applyFill="1" applyBorder="1" applyAlignment="1">
      <alignment horizontal="center" vertical="center" wrapText="1"/>
    </xf>
    <xf numFmtId="174" fontId="19" fillId="0" borderId="14" xfId="49" applyNumberFormat="1" applyFont="1" applyFill="1" applyBorder="1" applyAlignment="1">
      <alignment horizontal="center" vertical="center" wrapText="1"/>
    </xf>
    <xf numFmtId="0" fontId="31" fillId="0" borderId="14" xfId="45" applyFont="1" applyFill="1" applyBorder="1" applyAlignment="1">
      <alignment horizontal="center" vertical="center" wrapText="1"/>
    </xf>
    <xf numFmtId="0" fontId="31" fillId="0" borderId="11" xfId="45" applyFont="1" applyFill="1" applyBorder="1" applyAlignment="1">
      <alignment horizontal="justify" vertical="center" wrapText="1"/>
    </xf>
    <xf numFmtId="43" fontId="19" fillId="0" borderId="11" xfId="52" applyFont="1" applyFill="1" applyBorder="1" applyAlignment="1">
      <alignment horizontal="right" vertical="center" wrapText="1"/>
    </xf>
    <xf numFmtId="168" fontId="19" fillId="0" borderId="17" xfId="49" applyFont="1" applyFill="1" applyBorder="1" applyAlignment="1">
      <alignment horizontal="center" vertical="center" wrapText="1"/>
    </xf>
    <xf numFmtId="0" fontId="28" fillId="0" borderId="20" xfId="49" applyNumberFormat="1" applyFont="1" applyFill="1" applyBorder="1" applyAlignment="1">
      <alignment horizontal="center" vertical="center" wrapText="1"/>
    </xf>
    <xf numFmtId="168" fontId="19" fillId="0" borderId="14" xfId="50" applyFont="1" applyFill="1" applyBorder="1" applyAlignment="1">
      <alignment horizontal="center" vertical="center" wrapText="1"/>
    </xf>
    <xf numFmtId="168" fontId="19" fillId="0" borderId="11" xfId="50" applyFont="1" applyFill="1" applyBorder="1" applyAlignment="1">
      <alignment horizontal="justify" vertical="center" wrapText="1"/>
    </xf>
    <xf numFmtId="168" fontId="19" fillId="0" borderId="14" xfId="50" applyFont="1" applyFill="1" applyBorder="1" applyAlignment="1">
      <alignment horizontal="justify" vertical="center" wrapText="1"/>
    </xf>
    <xf numFmtId="0" fontId="28" fillId="38" borderId="13" xfId="49" applyNumberFormat="1" applyFont="1" applyFill="1" applyBorder="1" applyAlignment="1">
      <alignment horizontal="left" vertical="center"/>
    </xf>
    <xf numFmtId="0" fontId="28" fillId="38" borderId="13" xfId="49" applyNumberFormat="1" applyFont="1" applyFill="1" applyBorder="1" applyAlignment="1">
      <alignment horizontal="center" vertical="center"/>
    </xf>
    <xf numFmtId="165" fontId="19" fillId="0" borderId="11" xfId="47" applyFont="1" applyFill="1" applyBorder="1" applyAlignment="1">
      <alignment vertical="center"/>
    </xf>
    <xf numFmtId="168" fontId="20" fillId="0" borderId="16" xfId="49" applyFont="1" applyBorder="1" applyAlignment="1">
      <alignment horizontal="center" vertical="center" wrapText="1"/>
    </xf>
    <xf numFmtId="0" fontId="19" fillId="0" borderId="16" xfId="50" applyNumberFormat="1" applyFont="1" applyFill="1" applyBorder="1" applyAlignment="1">
      <alignment horizontal="center" vertical="center" wrapText="1"/>
    </xf>
    <xf numFmtId="168" fontId="20" fillId="0" borderId="16" xfId="49" applyFont="1" applyBorder="1"/>
    <xf numFmtId="168" fontId="20" fillId="0" borderId="13" xfId="49" applyFont="1" applyBorder="1" applyAlignment="1">
      <alignment horizontal="center" vertical="center" wrapText="1"/>
    </xf>
    <xf numFmtId="0" fontId="19" fillId="0" borderId="13" xfId="50" applyNumberFormat="1" applyFont="1" applyFill="1" applyBorder="1" applyAlignment="1">
      <alignment horizontal="center" vertical="center" wrapText="1"/>
    </xf>
    <xf numFmtId="168" fontId="20" fillId="0" borderId="13" xfId="49" applyFont="1" applyBorder="1"/>
    <xf numFmtId="43" fontId="21" fillId="37" borderId="18" xfId="49" applyNumberFormat="1" applyFont="1" applyFill="1" applyBorder="1" applyAlignment="1">
      <alignment horizontal="left" vertical="center"/>
    </xf>
    <xf numFmtId="168" fontId="19" fillId="38" borderId="23" xfId="49" applyFont="1" applyFill="1" applyBorder="1" applyAlignment="1">
      <alignment horizontal="center" vertical="center"/>
    </xf>
    <xf numFmtId="43" fontId="28" fillId="38" borderId="18" xfId="49" applyNumberFormat="1" applyFont="1" applyFill="1" applyBorder="1" applyAlignment="1">
      <alignment vertical="center"/>
    </xf>
    <xf numFmtId="168" fontId="19" fillId="39" borderId="23" xfId="49" applyFont="1" applyFill="1" applyBorder="1" applyAlignment="1">
      <alignment horizontal="center" vertical="center"/>
    </xf>
    <xf numFmtId="167" fontId="28" fillId="39" borderId="23" xfId="43" applyFont="1" applyFill="1" applyBorder="1" applyAlignment="1">
      <alignment horizontal="left" vertical="center"/>
    </xf>
    <xf numFmtId="167" fontId="28" fillId="39" borderId="11" xfId="43" applyFont="1" applyFill="1" applyBorder="1" applyAlignment="1">
      <alignment horizontal="left" vertical="center"/>
    </xf>
    <xf numFmtId="0" fontId="32" fillId="0" borderId="11" xfId="45" applyFont="1" applyFill="1" applyBorder="1" applyAlignment="1">
      <alignment horizontal="center" vertical="center" wrapText="1"/>
    </xf>
    <xf numFmtId="0" fontId="32" fillId="0" borderId="11" xfId="45" applyFont="1" applyFill="1" applyBorder="1" applyAlignment="1">
      <alignment horizontal="justify" vertical="center" wrapText="1"/>
    </xf>
    <xf numFmtId="0" fontId="20" fillId="0" borderId="14" xfId="49" applyNumberFormat="1" applyFont="1" applyFill="1" applyBorder="1" applyAlignment="1">
      <alignment horizontal="center" vertical="center" wrapText="1"/>
    </xf>
    <xf numFmtId="167" fontId="19" fillId="0" borderId="11" xfId="43" applyFont="1" applyFill="1" applyBorder="1" applyAlignment="1">
      <alignment horizontal="justify" vertical="center"/>
    </xf>
    <xf numFmtId="0" fontId="28" fillId="39" borderId="20" xfId="49" applyNumberFormat="1" applyFont="1" applyFill="1" applyBorder="1" applyAlignment="1">
      <alignment horizontal="left" vertical="center" wrapText="1"/>
    </xf>
    <xf numFmtId="0" fontId="28" fillId="39" borderId="0" xfId="49" applyNumberFormat="1" applyFont="1" applyFill="1" applyBorder="1" applyAlignment="1">
      <alignment horizontal="center" vertical="center" wrapText="1"/>
    </xf>
    <xf numFmtId="43" fontId="28" fillId="39" borderId="23" xfId="49" applyNumberFormat="1" applyFont="1" applyFill="1" applyBorder="1" applyAlignment="1">
      <alignment vertical="center"/>
    </xf>
    <xf numFmtId="3" fontId="19" fillId="0" borderId="11" xfId="49" applyNumberFormat="1" applyFont="1" applyFill="1" applyBorder="1" applyAlignment="1">
      <alignment horizontal="center" vertical="center" wrapText="1"/>
    </xf>
    <xf numFmtId="43" fontId="19" fillId="0" borderId="24" xfId="49" applyNumberFormat="1" applyFont="1" applyFill="1" applyBorder="1" applyAlignment="1">
      <alignment vertical="center"/>
    </xf>
    <xf numFmtId="43" fontId="19" fillId="0" borderId="14" xfId="42" applyFont="1" applyFill="1" applyBorder="1" applyAlignment="1">
      <alignment vertical="center"/>
    </xf>
    <xf numFmtId="168" fontId="20" fillId="0" borderId="14" xfId="49" applyFont="1" applyFill="1" applyBorder="1" applyAlignment="1">
      <alignment horizontal="justify" vertical="center" wrapText="1"/>
    </xf>
    <xf numFmtId="3" fontId="19" fillId="0" borderId="22" xfId="49" applyNumberFormat="1" applyFont="1" applyFill="1" applyBorder="1" applyAlignment="1">
      <alignment horizontal="center" vertical="center" wrapText="1"/>
    </xf>
    <xf numFmtId="43" fontId="19" fillId="0" borderId="22" xfId="52" applyNumberFormat="1" applyFont="1" applyFill="1" applyBorder="1" applyAlignment="1">
      <alignment vertical="center"/>
    </xf>
    <xf numFmtId="168" fontId="19" fillId="0" borderId="16" xfId="49" applyFont="1" applyFill="1" applyBorder="1" applyAlignment="1">
      <alignment horizontal="center" vertical="center"/>
    </xf>
    <xf numFmtId="0" fontId="19" fillId="0" borderId="15" xfId="49" applyNumberFormat="1" applyFont="1" applyFill="1" applyBorder="1" applyAlignment="1">
      <alignment horizontal="justify" vertical="center" wrapText="1"/>
    </xf>
    <xf numFmtId="43" fontId="28" fillId="39" borderId="18" xfId="49" applyNumberFormat="1" applyFont="1" applyFill="1" applyBorder="1" applyAlignment="1">
      <alignment vertical="center"/>
    </xf>
    <xf numFmtId="0" fontId="19" fillId="0" borderId="15" xfId="49" applyNumberFormat="1" applyFont="1" applyFill="1" applyBorder="1" applyAlignment="1">
      <alignment horizontal="left" vertical="center" wrapText="1"/>
    </xf>
    <xf numFmtId="0" fontId="19" fillId="0" borderId="19" xfId="49" applyNumberFormat="1" applyFont="1" applyFill="1" applyBorder="1" applyAlignment="1">
      <alignment horizontal="left" vertical="center" wrapText="1"/>
    </xf>
    <xf numFmtId="0" fontId="19" fillId="0" borderId="12" xfId="49" applyNumberFormat="1" applyFont="1" applyFill="1" applyBorder="1" applyAlignment="1">
      <alignment horizontal="left" vertical="center" wrapText="1"/>
    </xf>
    <xf numFmtId="0" fontId="19" fillId="0" borderId="21" xfId="49" applyNumberFormat="1" applyFont="1" applyFill="1" applyBorder="1" applyAlignment="1">
      <alignment horizontal="center" vertical="center" wrapText="1"/>
    </xf>
    <xf numFmtId="0" fontId="28" fillId="39" borderId="21" xfId="49" applyNumberFormat="1" applyFont="1" applyFill="1" applyBorder="1" applyAlignment="1">
      <alignment horizontal="left" vertical="center" wrapText="1"/>
    </xf>
    <xf numFmtId="0" fontId="28" fillId="39" borderId="13" xfId="49" applyNumberFormat="1" applyFont="1" applyFill="1" applyBorder="1" applyAlignment="1">
      <alignment horizontal="center" vertical="center" wrapText="1"/>
    </xf>
    <xf numFmtId="43" fontId="28" fillId="39" borderId="23" xfId="49" applyNumberFormat="1" applyFont="1" applyFill="1" applyBorder="1" applyAlignment="1">
      <alignment horizontal="left" vertical="center"/>
    </xf>
    <xf numFmtId="0" fontId="19" fillId="0" borderId="14" xfId="49" applyNumberFormat="1" applyFont="1" applyFill="1" applyBorder="1" applyAlignment="1">
      <alignment horizontal="left" vertical="center" wrapText="1"/>
    </xf>
    <xf numFmtId="168" fontId="19" fillId="0" borderId="20" xfId="49" applyFont="1" applyFill="1" applyBorder="1" applyAlignment="1">
      <alignment horizontal="center" vertical="center" wrapText="1"/>
    </xf>
    <xf numFmtId="168" fontId="19" fillId="0" borderId="12" xfId="49" applyFont="1" applyFill="1" applyBorder="1" applyAlignment="1">
      <alignment horizontal="center" vertical="center" wrapText="1"/>
    </xf>
    <xf numFmtId="168" fontId="19" fillId="0" borderId="24" xfId="49" applyFont="1" applyFill="1" applyBorder="1" applyAlignment="1">
      <alignment horizontal="justify" vertical="center" wrapText="1"/>
    </xf>
    <xf numFmtId="168" fontId="19" fillId="0" borderId="12" xfId="49" applyFont="1" applyFill="1" applyBorder="1" applyAlignment="1">
      <alignment horizontal="justify" vertical="center" wrapText="1"/>
    </xf>
    <xf numFmtId="168" fontId="19" fillId="0" borderId="24" xfId="49" applyFont="1" applyFill="1" applyBorder="1" applyAlignment="1">
      <alignment horizontal="center" vertical="center" wrapText="1"/>
    </xf>
    <xf numFmtId="0" fontId="28" fillId="38" borderId="25" xfId="49" applyNumberFormat="1" applyFont="1" applyFill="1" applyBorder="1" applyAlignment="1">
      <alignment horizontal="left" vertical="center" wrapText="1"/>
    </xf>
    <xf numFmtId="0" fontId="31" fillId="0" borderId="22" xfId="45" applyFont="1" applyFill="1" applyBorder="1" applyAlignment="1">
      <alignment horizontal="center" vertical="center" wrapText="1"/>
    </xf>
    <xf numFmtId="0" fontId="28" fillId="38" borderId="12" xfId="49" applyNumberFormat="1" applyFont="1" applyFill="1" applyBorder="1" applyAlignment="1">
      <alignment horizontal="left" vertical="center" wrapText="1"/>
    </xf>
    <xf numFmtId="0" fontId="19" fillId="0" borderId="25" xfId="49" applyNumberFormat="1" applyFont="1" applyBorder="1" applyAlignment="1">
      <alignment horizontal="left" vertical="center" wrapText="1"/>
    </xf>
    <xf numFmtId="0" fontId="28" fillId="39" borderId="22" xfId="49" applyNumberFormat="1" applyFont="1" applyFill="1" applyBorder="1" applyAlignment="1">
      <alignment horizontal="left" vertical="center" wrapText="1"/>
    </xf>
    <xf numFmtId="168" fontId="28" fillId="39" borderId="23" xfId="49" applyFont="1" applyFill="1" applyBorder="1" applyAlignment="1">
      <alignment vertical="center"/>
    </xf>
    <xf numFmtId="0" fontId="20" fillId="0" borderId="11" xfId="49" applyNumberFormat="1" applyFont="1" applyFill="1" applyBorder="1" applyAlignment="1">
      <alignment horizontal="center" vertical="center"/>
    </xf>
    <xf numFmtId="168" fontId="35" fillId="0" borderId="11" xfId="49" applyFont="1" applyFill="1" applyBorder="1" applyAlignment="1">
      <alignment horizontal="center" vertical="center" wrapText="1"/>
    </xf>
    <xf numFmtId="168" fontId="35" fillId="0" borderId="11" xfId="49" applyFont="1" applyFill="1" applyBorder="1" applyAlignment="1">
      <alignment horizontal="justify" vertical="center" wrapText="1"/>
    </xf>
    <xf numFmtId="3" fontId="19" fillId="0" borderId="24" xfId="49" applyNumberFormat="1" applyFont="1" applyFill="1" applyBorder="1" applyAlignment="1">
      <alignment horizontal="center" vertical="center" wrapText="1"/>
    </xf>
    <xf numFmtId="0" fontId="35" fillId="0" borderId="24" xfId="49" applyNumberFormat="1" applyFont="1" applyFill="1" applyBorder="1" applyAlignment="1">
      <alignment horizontal="center" vertical="center" wrapText="1"/>
    </xf>
    <xf numFmtId="168" fontId="35" fillId="0" borderId="24" xfId="49" applyFont="1" applyFill="1" applyBorder="1" applyAlignment="1">
      <alignment horizontal="center" vertical="center" wrapText="1"/>
    </xf>
    <xf numFmtId="168" fontId="35" fillId="0" borderId="24" xfId="49" applyFont="1" applyFill="1" applyBorder="1" applyAlignment="1">
      <alignment horizontal="justify" vertical="center" wrapText="1"/>
    </xf>
    <xf numFmtId="0" fontId="19" fillId="0" borderId="27" xfId="50" applyNumberFormat="1" applyFont="1" applyFill="1" applyBorder="1" applyAlignment="1">
      <alignment horizontal="center" vertical="center" wrapText="1"/>
    </xf>
    <xf numFmtId="0" fontId="19" fillId="0" borderId="12" xfId="49" applyNumberFormat="1" applyFont="1" applyFill="1" applyBorder="1" applyAlignment="1">
      <alignment horizontal="center" vertical="center" wrapText="1"/>
    </xf>
    <xf numFmtId="168" fontId="30" fillId="37" borderId="16" xfId="49" applyFont="1" applyFill="1" applyBorder="1" applyAlignment="1">
      <alignment horizontal="center" vertical="center"/>
    </xf>
    <xf numFmtId="0" fontId="28" fillId="38" borderId="14" xfId="49" applyNumberFormat="1" applyFont="1" applyFill="1" applyBorder="1" applyAlignment="1">
      <alignment horizontal="left" vertical="center" wrapText="1"/>
    </xf>
    <xf numFmtId="0" fontId="28" fillId="39" borderId="16" xfId="49" applyNumberFormat="1" applyFont="1" applyFill="1" applyBorder="1" applyAlignment="1">
      <alignment horizontal="left" vertical="center" wrapText="1"/>
    </xf>
    <xf numFmtId="168" fontId="19" fillId="0" borderId="18" xfId="49" applyFont="1" applyFill="1" applyBorder="1" applyAlignment="1">
      <alignment horizontal="justify" vertical="center"/>
    </xf>
    <xf numFmtId="167" fontId="19" fillId="0" borderId="24" xfId="43" applyFont="1" applyFill="1" applyBorder="1" applyAlignment="1">
      <alignment horizontal="right" vertical="center"/>
    </xf>
    <xf numFmtId="167" fontId="19" fillId="0" borderId="24" xfId="43" applyFont="1" applyFill="1" applyBorder="1" applyAlignment="1">
      <alignment horizontal="justify" vertical="center"/>
    </xf>
    <xf numFmtId="167" fontId="20" fillId="0" borderId="11" xfId="43" applyFont="1" applyFill="1" applyBorder="1" applyAlignment="1">
      <alignment horizontal="center" vertical="center" wrapText="1"/>
    </xf>
    <xf numFmtId="167" fontId="20" fillId="0" borderId="12" xfId="43" applyFont="1" applyFill="1" applyBorder="1" applyAlignment="1">
      <alignment horizontal="center" vertical="center" wrapText="1"/>
    </xf>
    <xf numFmtId="167" fontId="19" fillId="0" borderId="12" xfId="43" applyFont="1" applyFill="1" applyBorder="1" applyAlignment="1">
      <alignment horizontal="justify" vertical="center"/>
    </xf>
    <xf numFmtId="167" fontId="19" fillId="0" borderId="11" xfId="43" applyFont="1" applyFill="1" applyBorder="1" applyAlignment="1">
      <alignment vertical="center"/>
    </xf>
    <xf numFmtId="167" fontId="35" fillId="0" borderId="11" xfId="43" applyFont="1" applyFill="1" applyBorder="1" applyAlignment="1">
      <alignment horizontal="center" vertical="center" wrapText="1"/>
    </xf>
    <xf numFmtId="167" fontId="19" fillId="0" borderId="14" xfId="43" applyFont="1" applyFill="1" applyBorder="1" applyAlignment="1">
      <alignment horizontal="justify" vertical="center"/>
    </xf>
    <xf numFmtId="167" fontId="19" fillId="0" borderId="14" xfId="43" applyFont="1" applyFill="1" applyBorder="1" applyAlignment="1">
      <alignment horizontal="right" vertical="center" wrapText="1"/>
    </xf>
    <xf numFmtId="2" fontId="31" fillId="0" borderId="11" xfId="43" applyNumberFormat="1" applyFont="1" applyFill="1" applyBorder="1" applyAlignment="1">
      <alignment horizontal="center" vertical="center" wrapText="1"/>
    </xf>
    <xf numFmtId="167" fontId="19" fillId="0" borderId="11" xfId="43" applyFont="1" applyFill="1" applyBorder="1" applyAlignment="1">
      <alignment horizontal="center" vertical="center" wrapText="1"/>
    </xf>
    <xf numFmtId="167" fontId="35" fillId="0" borderId="11" xfId="43" applyFont="1" applyFill="1" applyBorder="1" applyAlignment="1">
      <alignment vertical="center" wrapText="1"/>
    </xf>
    <xf numFmtId="167" fontId="20" fillId="0" borderId="14" xfId="43" applyFont="1" applyFill="1" applyBorder="1" applyAlignment="1">
      <alignment horizontal="center" vertical="center" wrapText="1"/>
    </xf>
    <xf numFmtId="0" fontId="28" fillId="39" borderId="0" xfId="49" applyNumberFormat="1" applyFont="1" applyFill="1" applyBorder="1" applyAlignment="1">
      <alignment horizontal="left" vertical="center" wrapText="1"/>
    </xf>
    <xf numFmtId="165" fontId="19" fillId="0" borderId="11" xfId="47" applyFont="1" applyFill="1" applyBorder="1" applyAlignment="1">
      <alignment horizontal="left" vertical="center" wrapText="1"/>
    </xf>
    <xf numFmtId="168" fontId="19" fillId="0" borderId="14" xfId="51" applyNumberFormat="1" applyFont="1" applyFill="1" applyBorder="1" applyAlignment="1">
      <alignment horizontal="left" vertical="center" wrapText="1"/>
    </xf>
    <xf numFmtId="0" fontId="19" fillId="0" borderId="0" xfId="49" applyNumberFormat="1" applyFont="1" applyAlignment="1">
      <alignment horizontal="left" vertical="center"/>
    </xf>
    <xf numFmtId="0" fontId="19" fillId="0" borderId="0" xfId="49" applyNumberFormat="1" applyFont="1" applyAlignment="1">
      <alignment horizontal="center" vertical="center"/>
    </xf>
    <xf numFmtId="168" fontId="19" fillId="0" borderId="0" xfId="49" applyFont="1" applyAlignment="1">
      <alignment horizontal="center"/>
    </xf>
    <xf numFmtId="0" fontId="19" fillId="0" borderId="0" xfId="49" applyNumberFormat="1" applyFont="1" applyAlignment="1">
      <alignment horizontal="justify" vertical="center" wrapText="1"/>
    </xf>
    <xf numFmtId="0" fontId="19" fillId="0" borderId="0" xfId="49" applyNumberFormat="1" applyFont="1" applyAlignment="1">
      <alignment horizontal="center" vertical="center" wrapText="1"/>
    </xf>
    <xf numFmtId="0" fontId="19" fillId="0" borderId="0" xfId="49" applyNumberFormat="1" applyFont="1" applyAlignment="1">
      <alignment horizontal="center"/>
    </xf>
    <xf numFmtId="168" fontId="19" fillId="0" borderId="0" xfId="49" applyFont="1" applyAlignment="1">
      <alignment horizontal="justify" vertical="center" wrapText="1"/>
    </xf>
    <xf numFmtId="168" fontId="19" fillId="0" borderId="0" xfId="49" applyFont="1" applyAlignment="1">
      <alignment horizontal="center" vertical="center" wrapText="1"/>
    </xf>
    <xf numFmtId="168" fontId="19" fillId="0" borderId="0" xfId="49" applyFont="1"/>
    <xf numFmtId="168" fontId="19" fillId="34" borderId="0" xfId="49" applyFont="1" applyFill="1"/>
    <xf numFmtId="173" fontId="19" fillId="0" borderId="0" xfId="52" applyNumberFormat="1" applyFont="1" applyAlignment="1">
      <alignment horizontal="center"/>
    </xf>
    <xf numFmtId="168" fontId="28" fillId="38" borderId="23" xfId="49" applyFont="1" applyFill="1" applyBorder="1" applyAlignment="1">
      <alignment vertical="center"/>
    </xf>
    <xf numFmtId="0" fontId="28" fillId="39" borderId="22" xfId="49" applyNumberFormat="1" applyFont="1" applyFill="1" applyBorder="1" applyAlignment="1">
      <alignment horizontal="left" vertical="center"/>
    </xf>
    <xf numFmtId="0" fontId="28" fillId="39" borderId="22" xfId="49" applyNumberFormat="1" applyFont="1" applyFill="1" applyBorder="1" applyAlignment="1">
      <alignment horizontal="center" vertical="center"/>
    </xf>
    <xf numFmtId="0" fontId="28" fillId="0" borderId="15" xfId="49" applyNumberFormat="1" applyFont="1" applyBorder="1" applyAlignment="1">
      <alignment horizontal="left" vertical="center" wrapText="1"/>
    </xf>
    <xf numFmtId="0" fontId="28" fillId="0" borderId="17" xfId="49" applyNumberFormat="1" applyFont="1" applyBorder="1" applyAlignment="1">
      <alignment horizontal="center" vertical="center" wrapText="1"/>
    </xf>
    <xf numFmtId="0" fontId="19" fillId="34" borderId="18" xfId="49" applyNumberFormat="1" applyFont="1" applyFill="1" applyBorder="1" applyAlignment="1">
      <alignment horizontal="justify" vertical="center" wrapText="1"/>
    </xf>
    <xf numFmtId="0" fontId="19" fillId="34" borderId="18" xfId="49" applyNumberFormat="1" applyFont="1" applyFill="1" applyBorder="1" applyAlignment="1">
      <alignment horizontal="center" vertical="center" wrapText="1"/>
    </xf>
    <xf numFmtId="168" fontId="19" fillId="34" borderId="11" xfId="49" applyFont="1" applyFill="1" applyBorder="1" applyAlignment="1">
      <alignment horizontal="justify" vertical="center" wrapText="1"/>
    </xf>
    <xf numFmtId="168" fontId="19" fillId="34" borderId="11" xfId="49" applyFont="1" applyFill="1" applyBorder="1" applyAlignment="1">
      <alignment horizontal="center" vertical="center" wrapText="1"/>
    </xf>
    <xf numFmtId="43" fontId="19" fillId="0" borderId="11" xfId="42" applyFont="1" applyBorder="1" applyAlignment="1">
      <alignment horizontal="justify" vertical="center"/>
    </xf>
    <xf numFmtId="43" fontId="19" fillId="0" borderId="14" xfId="42" applyFont="1" applyBorder="1" applyAlignment="1">
      <alignment horizontal="justify" vertical="center"/>
    </xf>
    <xf numFmtId="43" fontId="19" fillId="0" borderId="14" xfId="52" applyNumberFormat="1" applyFont="1" applyBorder="1" applyAlignment="1">
      <alignment horizontal="right" vertical="center" wrapText="1"/>
    </xf>
    <xf numFmtId="168" fontId="19" fillId="0" borderId="18" xfId="49" applyFont="1" applyFill="1" applyBorder="1" applyAlignment="1">
      <alignment horizontal="center" vertical="center"/>
    </xf>
    <xf numFmtId="0" fontId="19" fillId="0" borderId="18" xfId="49" applyNumberFormat="1" applyFont="1" applyFill="1" applyBorder="1" applyAlignment="1">
      <alignment horizontal="justify" vertical="center" wrapText="1"/>
    </xf>
    <xf numFmtId="0" fontId="28" fillId="0" borderId="20" xfId="49" applyNumberFormat="1" applyFont="1" applyBorder="1" applyAlignment="1">
      <alignment horizontal="center" vertical="center" wrapText="1"/>
    </xf>
    <xf numFmtId="168" fontId="19" fillId="0" borderId="25" xfId="49" applyFont="1" applyFill="1" applyBorder="1" applyAlignment="1">
      <alignment vertical="center"/>
    </xf>
    <xf numFmtId="0" fontId="28" fillId="0" borderId="21" xfId="49" applyNumberFormat="1" applyFont="1" applyBorder="1" applyAlignment="1">
      <alignment horizontal="center" vertical="center" wrapText="1"/>
    </xf>
    <xf numFmtId="0" fontId="20" fillId="0" borderId="18" xfId="49" applyNumberFormat="1" applyFont="1" applyFill="1" applyBorder="1" applyAlignment="1">
      <alignment horizontal="justify" vertical="center" wrapText="1"/>
    </xf>
    <xf numFmtId="0" fontId="20" fillId="0" borderId="18" xfId="49" applyNumberFormat="1" applyFont="1" applyFill="1" applyBorder="1" applyAlignment="1">
      <alignment horizontal="center" vertical="center" wrapText="1"/>
    </xf>
    <xf numFmtId="43" fontId="19" fillId="0" borderId="14" xfId="52" applyNumberFormat="1" applyFont="1" applyFill="1" applyBorder="1" applyAlignment="1">
      <alignment horizontal="center" vertical="center"/>
    </xf>
    <xf numFmtId="168" fontId="19" fillId="34" borderId="0" xfId="49" applyFont="1" applyFill="1" applyBorder="1" applyAlignment="1">
      <alignment vertical="center"/>
    </xf>
    <xf numFmtId="0" fontId="28" fillId="39" borderId="25" xfId="49" applyNumberFormat="1" applyFont="1" applyFill="1" applyBorder="1" applyAlignment="1">
      <alignment horizontal="left" vertical="center"/>
    </xf>
    <xf numFmtId="0" fontId="28" fillId="39" borderId="25" xfId="49" applyNumberFormat="1" applyFont="1" applyFill="1" applyBorder="1" applyAlignment="1">
      <alignment horizontal="center" vertical="center"/>
    </xf>
    <xf numFmtId="168" fontId="19" fillId="0" borderId="11" xfId="49" applyFont="1" applyBorder="1" applyAlignment="1">
      <alignment horizontal="justify" vertical="center" wrapText="1"/>
    </xf>
    <xf numFmtId="168" fontId="19" fillId="34" borderId="23" xfId="49" applyFont="1" applyFill="1" applyBorder="1"/>
    <xf numFmtId="0" fontId="21" fillId="37" borderId="11" xfId="49" applyNumberFormat="1" applyFont="1" applyFill="1" applyBorder="1" applyAlignment="1">
      <alignment horizontal="center" vertical="center"/>
    </xf>
    <xf numFmtId="168" fontId="21" fillId="37" borderId="11" xfId="49" applyFont="1" applyFill="1" applyBorder="1" applyAlignment="1">
      <alignment horizontal="center" vertical="center"/>
    </xf>
    <xf numFmtId="0" fontId="21" fillId="37" borderId="11" xfId="49" applyNumberFormat="1" applyFont="1" applyFill="1" applyBorder="1" applyAlignment="1">
      <alignment horizontal="justify" vertical="center" wrapText="1"/>
    </xf>
    <xf numFmtId="0" fontId="21" fillId="37" borderId="11" xfId="49" applyNumberFormat="1" applyFont="1" applyFill="1" applyBorder="1" applyAlignment="1">
      <alignment horizontal="center" vertical="center" wrapText="1"/>
    </xf>
    <xf numFmtId="0" fontId="30" fillId="37" borderId="11" xfId="49" applyNumberFormat="1" applyFont="1" applyFill="1" applyBorder="1" applyAlignment="1">
      <alignment horizontal="center" vertical="center"/>
    </xf>
    <xf numFmtId="168" fontId="21" fillId="37" borderId="11" xfId="49" applyFont="1" applyFill="1" applyBorder="1" applyAlignment="1">
      <alignment horizontal="justify" vertical="center" wrapText="1"/>
    </xf>
    <xf numFmtId="168" fontId="21" fillId="37" borderId="11" xfId="49" applyFont="1" applyFill="1" applyBorder="1" applyAlignment="1">
      <alignment horizontal="center" vertical="center" wrapText="1"/>
    </xf>
    <xf numFmtId="43" fontId="21" fillId="37" borderId="22" xfId="49" applyNumberFormat="1" applyFont="1" applyFill="1" applyBorder="1" applyAlignment="1">
      <alignment horizontal="left" vertical="center"/>
    </xf>
    <xf numFmtId="43" fontId="28" fillId="34" borderId="0" xfId="49" applyNumberFormat="1" applyFont="1" applyFill="1" applyBorder="1" applyAlignment="1">
      <alignment vertical="center"/>
    </xf>
    <xf numFmtId="175" fontId="19" fillId="34" borderId="0" xfId="53" applyNumberFormat="1" applyFont="1" applyFill="1" applyBorder="1"/>
    <xf numFmtId="175" fontId="19" fillId="0" borderId="11" xfId="53" applyNumberFormat="1" applyFont="1" applyFill="1" applyBorder="1" applyAlignment="1">
      <alignment horizontal="center" vertical="center" wrapText="1"/>
    </xf>
    <xf numFmtId="175" fontId="19" fillId="0" borderId="11" xfId="53" applyNumberFormat="1" applyFont="1" applyFill="1" applyBorder="1" applyAlignment="1">
      <alignment horizontal="center" vertical="center"/>
    </xf>
    <xf numFmtId="43" fontId="19" fillId="0" borderId="0" xfId="42" applyFont="1" applyFill="1" applyBorder="1" applyAlignment="1">
      <alignment horizontal="justify" vertical="center"/>
    </xf>
    <xf numFmtId="43" fontId="19" fillId="0" borderId="0" xfId="49" applyNumberFormat="1" applyFont="1" applyFill="1" applyBorder="1" applyAlignment="1">
      <alignment vertical="center"/>
    </xf>
    <xf numFmtId="175" fontId="19" fillId="0" borderId="0" xfId="53" applyNumberFormat="1" applyFont="1" applyFill="1" applyBorder="1"/>
    <xf numFmtId="0" fontId="31" fillId="0" borderId="24" xfId="45" applyFont="1" applyFill="1" applyBorder="1" applyAlignment="1">
      <alignment horizontal="center" vertical="center" wrapText="1"/>
    </xf>
    <xf numFmtId="0" fontId="31" fillId="0" borderId="24" xfId="44" applyNumberFormat="1" applyFont="1" applyFill="1" applyBorder="1" applyAlignment="1">
      <alignment horizontal="center" vertical="center" wrapText="1"/>
    </xf>
    <xf numFmtId="0" fontId="31" fillId="0" borderId="24" xfId="45" applyFont="1" applyFill="1" applyBorder="1" applyAlignment="1">
      <alignment horizontal="justify" vertical="center" wrapText="1"/>
    </xf>
    <xf numFmtId="43" fontId="19" fillId="0" borderId="11" xfId="49" applyNumberFormat="1" applyFont="1" applyFill="1" applyBorder="1" applyAlignment="1">
      <alignment horizontal="justify" vertical="center"/>
    </xf>
    <xf numFmtId="43" fontId="19" fillId="0" borderId="0" xfId="49" applyNumberFormat="1" applyFont="1" applyFill="1" applyBorder="1" applyAlignment="1">
      <alignment horizontal="justify" vertical="center"/>
    </xf>
    <xf numFmtId="0" fontId="19" fillId="0" borderId="11" xfId="50" applyNumberFormat="1" applyFont="1" applyFill="1" applyBorder="1" applyAlignment="1">
      <alignment horizontal="center" vertical="center"/>
    </xf>
    <xf numFmtId="2" fontId="19" fillId="0" borderId="11" xfId="54" applyNumberFormat="1" applyFont="1" applyFill="1" applyBorder="1" applyAlignment="1" applyProtection="1">
      <alignment horizontal="center" vertical="center" wrapText="1"/>
      <protection locked="0"/>
    </xf>
    <xf numFmtId="0" fontId="31" fillId="0" borderId="11" xfId="45" applyNumberFormat="1" applyFont="1" applyFill="1" applyBorder="1" applyAlignment="1">
      <alignment horizontal="center" vertical="center" wrapText="1"/>
    </xf>
    <xf numFmtId="167" fontId="28" fillId="39" borderId="11" xfId="43" applyFont="1" applyFill="1" applyBorder="1" applyAlignment="1">
      <alignment vertical="center"/>
    </xf>
    <xf numFmtId="168" fontId="28" fillId="39" borderId="11" xfId="49" applyFont="1" applyFill="1" applyBorder="1" applyAlignment="1">
      <alignment vertical="center" wrapText="1"/>
    </xf>
    <xf numFmtId="168" fontId="19" fillId="39" borderId="11" xfId="49" applyFont="1" applyFill="1" applyBorder="1" applyAlignment="1">
      <alignment horizontal="center" vertical="center" wrapText="1"/>
    </xf>
    <xf numFmtId="168" fontId="19" fillId="39" borderId="11" xfId="49" applyFont="1" applyFill="1" applyBorder="1" applyAlignment="1">
      <alignment horizontal="justify" vertical="center" wrapText="1"/>
    </xf>
    <xf numFmtId="43" fontId="19" fillId="39" borderId="11" xfId="42" applyFont="1" applyFill="1" applyBorder="1" applyAlignment="1">
      <alignment horizontal="justify" vertical="center"/>
    </xf>
    <xf numFmtId="43" fontId="28" fillId="39" borderId="11" xfId="42" applyFont="1" applyFill="1" applyBorder="1" applyAlignment="1">
      <alignment horizontal="justify" vertical="center"/>
    </xf>
    <xf numFmtId="167" fontId="28" fillId="39" borderId="11" xfId="43" applyFont="1" applyFill="1" applyBorder="1" applyAlignment="1">
      <alignment horizontal="justify" vertical="center"/>
    </xf>
    <xf numFmtId="43" fontId="19" fillId="34" borderId="0" xfId="42" applyFont="1" applyFill="1" applyBorder="1" applyAlignment="1">
      <alignment horizontal="justify" vertical="center"/>
    </xf>
    <xf numFmtId="0" fontId="19" fillId="0" borderId="25" xfId="49" applyNumberFormat="1" applyFont="1" applyFill="1" applyBorder="1" applyAlignment="1">
      <alignment horizontal="left" vertical="center"/>
    </xf>
    <xf numFmtId="0" fontId="19" fillId="0" borderId="0" xfId="49" applyNumberFormat="1" applyFont="1" applyFill="1" applyBorder="1" applyAlignment="1">
      <alignment horizontal="left" vertical="center"/>
    </xf>
    <xf numFmtId="0" fontId="19" fillId="0" borderId="0" xfId="49" applyNumberFormat="1" applyFont="1" applyFill="1" applyBorder="1" applyAlignment="1">
      <alignment horizontal="center" vertical="center"/>
    </xf>
    <xf numFmtId="167" fontId="19" fillId="0" borderId="11" xfId="43" applyFont="1" applyFill="1" applyBorder="1" applyAlignment="1">
      <alignment horizontal="center" vertical="center"/>
    </xf>
    <xf numFmtId="0" fontId="19" fillId="0" borderId="0" xfId="49" applyNumberFormat="1" applyFont="1" applyFill="1" applyBorder="1" applyAlignment="1">
      <alignment horizontal="center" vertical="center" wrapText="1"/>
    </xf>
    <xf numFmtId="0" fontId="19" fillId="0" borderId="24" xfId="49" applyNumberFormat="1" applyFont="1" applyFill="1" applyBorder="1" applyAlignment="1">
      <alignment horizontal="left" vertical="center" wrapText="1"/>
    </xf>
    <xf numFmtId="175" fontId="28" fillId="0" borderId="0" xfId="53" applyNumberFormat="1" applyFont="1" applyFill="1" applyBorder="1" applyAlignment="1">
      <alignment vertical="center"/>
    </xf>
    <xf numFmtId="0" fontId="28" fillId="38" borderId="24" xfId="49" applyNumberFormat="1" applyFont="1" applyFill="1" applyBorder="1" applyAlignment="1">
      <alignment horizontal="left" vertical="center" wrapText="1"/>
    </xf>
    <xf numFmtId="167" fontId="28" fillId="38" borderId="11" xfId="43" applyFont="1" applyFill="1" applyBorder="1" applyAlignment="1">
      <alignment vertical="center"/>
    </xf>
    <xf numFmtId="0" fontId="28" fillId="0" borderId="14" xfId="49" applyNumberFormat="1" applyFont="1" applyFill="1" applyBorder="1" applyAlignment="1">
      <alignment horizontal="left" vertical="center"/>
    </xf>
    <xf numFmtId="0" fontId="28" fillId="0" borderId="18" xfId="49" applyNumberFormat="1" applyFont="1" applyFill="1" applyBorder="1" applyAlignment="1">
      <alignment horizontal="center" vertical="center"/>
    </xf>
    <xf numFmtId="168" fontId="28" fillId="0" borderId="18" xfId="49" applyFont="1" applyFill="1" applyBorder="1" applyAlignment="1">
      <alignment horizontal="center" vertical="center"/>
    </xf>
    <xf numFmtId="168" fontId="19" fillId="0" borderId="11" xfId="49" applyFont="1" applyFill="1" applyBorder="1" applyAlignment="1">
      <alignment vertical="center"/>
    </xf>
    <xf numFmtId="43" fontId="28" fillId="0" borderId="0" xfId="49" applyNumberFormat="1" applyFont="1" applyFill="1" applyBorder="1" applyAlignment="1">
      <alignment vertical="center"/>
    </xf>
    <xf numFmtId="0" fontId="32" fillId="0" borderId="11" xfId="45" applyFont="1" applyFill="1" applyBorder="1" applyAlignment="1">
      <alignment horizontal="center" vertical="center"/>
    </xf>
    <xf numFmtId="9" fontId="19" fillId="0" borderId="11" xfId="49" applyNumberFormat="1" applyFont="1" applyFill="1" applyBorder="1" applyAlignment="1">
      <alignment horizontal="center" vertical="center" wrapText="1"/>
    </xf>
    <xf numFmtId="0" fontId="28" fillId="39" borderId="25" xfId="49" applyNumberFormat="1" applyFont="1" applyFill="1" applyBorder="1" applyAlignment="1">
      <alignment horizontal="center" vertical="center" wrapText="1"/>
    </xf>
    <xf numFmtId="0" fontId="28" fillId="38" borderId="24" xfId="49" applyNumberFormat="1" applyFont="1" applyFill="1" applyBorder="1" applyAlignment="1">
      <alignment horizontal="left" vertical="center"/>
    </xf>
    <xf numFmtId="0" fontId="28" fillId="38" borderId="24" xfId="49" applyNumberFormat="1" applyFont="1" applyFill="1" applyBorder="1" applyAlignment="1">
      <alignment horizontal="center" vertical="center"/>
    </xf>
    <xf numFmtId="168" fontId="28" fillId="38" borderId="24" xfId="49" applyFont="1" applyFill="1" applyBorder="1" applyAlignment="1">
      <alignment horizontal="center" vertical="center"/>
    </xf>
    <xf numFmtId="0" fontId="28" fillId="38" borderId="24" xfId="49" applyNumberFormat="1" applyFont="1" applyFill="1" applyBorder="1" applyAlignment="1">
      <alignment horizontal="justify" vertical="center" wrapText="1"/>
    </xf>
    <xf numFmtId="0" fontId="28" fillId="38" borderId="24" xfId="49" applyNumberFormat="1" applyFont="1" applyFill="1" applyBorder="1" applyAlignment="1">
      <alignment horizontal="center" vertical="center" wrapText="1"/>
    </xf>
    <xf numFmtId="0" fontId="19" fillId="38" borderId="24" xfId="49" applyNumberFormat="1" applyFont="1" applyFill="1" applyBorder="1" applyAlignment="1">
      <alignment horizontal="center" vertical="center"/>
    </xf>
    <xf numFmtId="168" fontId="28" fillId="38" borderId="24" xfId="49" applyFont="1" applyFill="1" applyBorder="1" applyAlignment="1">
      <alignment horizontal="justify" vertical="center" wrapText="1"/>
    </xf>
    <xf numFmtId="168" fontId="28" fillId="38" borderId="24" xfId="49" applyFont="1" applyFill="1" applyBorder="1" applyAlignment="1">
      <alignment horizontal="center" vertical="center" wrapText="1"/>
    </xf>
    <xf numFmtId="168" fontId="19" fillId="38" borderId="12" xfId="49" applyFont="1" applyFill="1" applyBorder="1" applyAlignment="1">
      <alignment vertical="center"/>
    </xf>
    <xf numFmtId="0" fontId="19" fillId="38" borderId="12" xfId="49" applyNumberFormat="1" applyFont="1" applyFill="1" applyBorder="1" applyAlignment="1">
      <alignment vertical="center"/>
    </xf>
    <xf numFmtId="43" fontId="28" fillId="38" borderId="24" xfId="49" applyNumberFormat="1" applyFont="1" applyFill="1" applyBorder="1" applyAlignment="1">
      <alignment vertical="center"/>
    </xf>
    <xf numFmtId="0" fontId="28" fillId="39" borderId="22" xfId="49" applyNumberFormat="1" applyFont="1" applyFill="1" applyBorder="1" applyAlignment="1">
      <alignment horizontal="center" vertical="center" wrapText="1"/>
    </xf>
    <xf numFmtId="168" fontId="19" fillId="39" borderId="14" xfId="49" applyFont="1" applyFill="1" applyBorder="1" applyAlignment="1">
      <alignment vertical="center"/>
    </xf>
    <xf numFmtId="0" fontId="19" fillId="39" borderId="14" xfId="49" applyNumberFormat="1" applyFont="1" applyFill="1" applyBorder="1" applyAlignment="1">
      <alignment vertical="center"/>
    </xf>
    <xf numFmtId="0" fontId="28" fillId="39" borderId="11" xfId="49" applyNumberFormat="1" applyFont="1" applyFill="1" applyBorder="1" applyAlignment="1">
      <alignment horizontal="center" vertical="center"/>
    </xf>
    <xf numFmtId="4" fontId="19" fillId="0" borderId="11" xfId="49" applyNumberFormat="1" applyFont="1" applyFill="1" applyBorder="1" applyAlignment="1">
      <alignment horizontal="right" vertical="center" wrapText="1"/>
    </xf>
    <xf numFmtId="168" fontId="28" fillId="39" borderId="11" xfId="49" applyFont="1" applyFill="1" applyBorder="1" applyAlignment="1">
      <alignment vertical="center"/>
    </xf>
    <xf numFmtId="167" fontId="20" fillId="0" borderId="11" xfId="43" applyFont="1" applyFill="1" applyBorder="1" applyAlignment="1">
      <alignment vertical="center" wrapText="1"/>
    </xf>
    <xf numFmtId="176" fontId="20" fillId="0" borderId="11" xfId="51" applyNumberFormat="1" applyFont="1" applyFill="1" applyBorder="1" applyAlignment="1">
      <alignment vertical="center" wrapText="1"/>
    </xf>
    <xf numFmtId="0" fontId="28" fillId="39" borderId="16" xfId="49" applyNumberFormat="1" applyFont="1" applyFill="1" applyBorder="1" applyAlignment="1">
      <alignment horizontal="left" vertical="center"/>
    </xf>
    <xf numFmtId="168" fontId="28" fillId="39" borderId="16" xfId="49" applyFont="1" applyFill="1" applyBorder="1" applyAlignment="1">
      <alignment vertical="center"/>
    </xf>
    <xf numFmtId="0" fontId="28" fillId="39" borderId="16" xfId="49" applyNumberFormat="1" applyFont="1" applyFill="1" applyBorder="1" applyAlignment="1">
      <alignment horizontal="justify" vertical="center" wrapText="1"/>
    </xf>
    <xf numFmtId="0" fontId="19" fillId="39" borderId="16" xfId="49" applyNumberFormat="1" applyFont="1" applyFill="1" applyBorder="1" applyAlignment="1">
      <alignment horizontal="center" vertical="center"/>
    </xf>
    <xf numFmtId="168" fontId="28" fillId="39" borderId="16" xfId="49" applyFont="1" applyFill="1" applyBorder="1" applyAlignment="1">
      <alignment horizontal="justify" vertical="center" wrapText="1"/>
    </xf>
    <xf numFmtId="168" fontId="28" fillId="39" borderId="16" xfId="49" applyFont="1" applyFill="1" applyBorder="1" applyAlignment="1">
      <alignment horizontal="center" vertical="center" wrapText="1"/>
    </xf>
    <xf numFmtId="168" fontId="19" fillId="39" borderId="16" xfId="49" applyFont="1" applyFill="1" applyBorder="1" applyAlignment="1">
      <alignment vertical="center"/>
    </xf>
    <xf numFmtId="0" fontId="19" fillId="39" borderId="16" xfId="49" applyNumberFormat="1" applyFont="1" applyFill="1" applyBorder="1" applyAlignment="1">
      <alignment vertical="center"/>
    </xf>
    <xf numFmtId="168" fontId="28" fillId="39" borderId="16" xfId="49" applyFont="1" applyFill="1" applyBorder="1" applyAlignment="1">
      <alignment horizontal="center" vertical="center"/>
    </xf>
    <xf numFmtId="2" fontId="31" fillId="0" borderId="11" xfId="45" applyNumberFormat="1" applyFont="1" applyFill="1" applyBorder="1" applyAlignment="1">
      <alignment horizontal="center" vertical="center" wrapText="1"/>
    </xf>
    <xf numFmtId="0" fontId="31" fillId="0" borderId="11" xfId="43" applyNumberFormat="1" applyFont="1" applyFill="1" applyBorder="1" applyAlignment="1">
      <alignment horizontal="center" vertical="center" wrapText="1"/>
    </xf>
    <xf numFmtId="43" fontId="19" fillId="0" borderId="15" xfId="52" applyFont="1" applyFill="1" applyBorder="1" applyAlignment="1">
      <alignment horizontal="center" vertical="center"/>
    </xf>
    <xf numFmtId="43" fontId="20" fillId="0" borderId="11" xfId="42" applyFont="1" applyFill="1" applyBorder="1" applyAlignment="1">
      <alignment horizontal="justify" vertical="center"/>
    </xf>
    <xf numFmtId="43" fontId="28" fillId="0" borderId="14" xfId="42" applyFont="1" applyFill="1" applyBorder="1" applyAlignment="1">
      <alignment horizontal="justify" vertical="center"/>
    </xf>
    <xf numFmtId="43" fontId="19" fillId="0" borderId="14" xfId="52" applyFont="1" applyFill="1" applyBorder="1" applyAlignment="1">
      <alignment vertical="center"/>
    </xf>
    <xf numFmtId="43" fontId="19" fillId="0" borderId="15" xfId="52" applyFont="1" applyFill="1" applyBorder="1" applyAlignment="1">
      <alignment vertical="center"/>
    </xf>
    <xf numFmtId="0" fontId="19" fillId="0" borderId="24" xfId="49" applyNumberFormat="1" applyFont="1" applyFill="1" applyBorder="1" applyAlignment="1">
      <alignment horizontal="justify" vertical="center" wrapText="1"/>
    </xf>
    <xf numFmtId="43" fontId="19" fillId="0" borderId="12" xfId="42" applyFont="1" applyFill="1" applyBorder="1" applyAlignment="1">
      <alignment horizontal="justify" vertical="center"/>
    </xf>
    <xf numFmtId="43" fontId="19" fillId="0" borderId="12" xfId="52" applyNumberFormat="1" applyFont="1" applyFill="1" applyBorder="1" applyAlignment="1">
      <alignment horizontal="right" vertical="center" wrapText="1"/>
    </xf>
    <xf numFmtId="43" fontId="19" fillId="0" borderId="11" xfId="52" applyNumberFormat="1" applyFont="1" applyFill="1" applyBorder="1" applyAlignment="1">
      <alignment vertical="center"/>
    </xf>
    <xf numFmtId="0" fontId="19" fillId="0" borderId="11" xfId="52" applyNumberFormat="1" applyFont="1" applyFill="1" applyBorder="1" applyAlignment="1">
      <alignment horizontal="justify" vertical="center" wrapText="1"/>
    </xf>
    <xf numFmtId="43" fontId="19" fillId="0" borderId="11" xfId="49" applyNumberFormat="1" applyFont="1" applyFill="1" applyBorder="1" applyAlignment="1">
      <alignment horizontal="justify" vertical="center" wrapText="1"/>
    </xf>
    <xf numFmtId="43" fontId="19" fillId="0" borderId="11" xfId="42" applyFont="1" applyFill="1" applyBorder="1" applyAlignment="1">
      <alignment horizontal="justify" vertical="center" wrapText="1"/>
    </xf>
    <xf numFmtId="43" fontId="19" fillId="0" borderId="11" xfId="49" applyNumberFormat="1" applyFont="1" applyFill="1" applyBorder="1" applyAlignment="1">
      <alignment horizontal="right" vertical="center"/>
    </xf>
    <xf numFmtId="43" fontId="19" fillId="0" borderId="14" xfId="49" applyNumberFormat="1" applyFont="1" applyFill="1" applyBorder="1" applyAlignment="1">
      <alignment horizontal="justify" vertical="center" wrapText="1"/>
    </xf>
    <xf numFmtId="3" fontId="19" fillId="0" borderId="22" xfId="49" applyNumberFormat="1" applyFont="1" applyFill="1" applyBorder="1" applyAlignment="1">
      <alignment vertical="center"/>
    </xf>
    <xf numFmtId="168" fontId="19" fillId="0" borderId="22" xfId="49" applyFont="1" applyFill="1" applyBorder="1" applyAlignment="1">
      <alignment vertical="center" wrapText="1"/>
    </xf>
    <xf numFmtId="3" fontId="19" fillId="0" borderId="25" xfId="49" applyNumberFormat="1" applyFont="1" applyFill="1" applyBorder="1" applyAlignment="1">
      <alignment vertical="center"/>
    </xf>
    <xf numFmtId="168" fontId="19" fillId="0" borderId="25" xfId="49" applyFont="1" applyFill="1" applyBorder="1" applyAlignment="1">
      <alignment vertical="center" wrapText="1"/>
    </xf>
    <xf numFmtId="168" fontId="19" fillId="0" borderId="17" xfId="49" applyFont="1" applyFill="1" applyBorder="1" applyAlignment="1">
      <alignment horizontal="center" vertical="center"/>
    </xf>
    <xf numFmtId="43" fontId="20" fillId="0" borderId="11" xfId="49" applyNumberFormat="1" applyFont="1" applyFill="1" applyBorder="1" applyAlignment="1">
      <alignment vertical="center"/>
    </xf>
    <xf numFmtId="43" fontId="34" fillId="0" borderId="11" xfId="42" applyFont="1" applyFill="1" applyBorder="1" applyAlignment="1">
      <alignment horizontal="justify" vertical="center"/>
    </xf>
    <xf numFmtId="3" fontId="19" fillId="0" borderId="24" xfId="49" applyNumberFormat="1" applyFont="1" applyFill="1" applyBorder="1" applyAlignment="1">
      <alignment vertical="center"/>
    </xf>
    <xf numFmtId="168" fontId="19" fillId="0" borderId="24" xfId="49" applyFont="1" applyFill="1" applyBorder="1" applyAlignment="1">
      <alignment vertical="center" wrapText="1"/>
    </xf>
    <xf numFmtId="43" fontId="19" fillId="0" borderId="25" xfId="42" applyFont="1" applyFill="1" applyBorder="1" applyAlignment="1">
      <alignment horizontal="justify" vertical="center"/>
    </xf>
    <xf numFmtId="43" fontId="19" fillId="0" borderId="25" xfId="42" applyFont="1" applyFill="1" applyBorder="1" applyAlignment="1">
      <alignment horizontal="justify" vertical="center" wrapText="1"/>
    </xf>
    <xf numFmtId="168" fontId="19" fillId="0" borderId="25" xfId="49" applyFont="1" applyFill="1" applyBorder="1" applyAlignment="1">
      <alignment horizontal="left" vertical="center" wrapText="1"/>
    </xf>
    <xf numFmtId="168" fontId="19" fillId="0" borderId="0" xfId="49" applyFont="1" applyFill="1" applyBorder="1" applyAlignment="1">
      <alignment horizontal="left" vertical="center" wrapText="1"/>
    </xf>
    <xf numFmtId="168" fontId="19" fillId="0" borderId="21" xfId="49" applyFont="1" applyFill="1" applyBorder="1" applyAlignment="1">
      <alignment horizontal="center" vertical="center"/>
    </xf>
    <xf numFmtId="4" fontId="19" fillId="0" borderId="11" xfId="49" applyNumberFormat="1" applyFont="1" applyFill="1" applyBorder="1" applyAlignment="1">
      <alignment horizontal="center" vertical="center"/>
    </xf>
    <xf numFmtId="43" fontId="19" fillId="0" borderId="11" xfId="52" applyFont="1" applyFill="1" applyBorder="1" applyAlignment="1">
      <alignment vertical="center"/>
    </xf>
    <xf numFmtId="0" fontId="19" fillId="0" borderId="11" xfId="0" applyFont="1" applyFill="1" applyBorder="1" applyAlignment="1">
      <alignment horizontal="justify" vertical="center" wrapText="1"/>
    </xf>
    <xf numFmtId="0" fontId="20" fillId="0" borderId="11" xfId="0" applyFont="1" applyFill="1" applyBorder="1" applyAlignment="1">
      <alignment horizontal="center" vertical="center"/>
    </xf>
    <xf numFmtId="0" fontId="19" fillId="0" borderId="22" xfId="50" applyNumberFormat="1" applyFont="1" applyFill="1" applyBorder="1" applyAlignment="1">
      <alignment horizontal="center" vertical="center" wrapText="1"/>
    </xf>
    <xf numFmtId="168" fontId="19" fillId="0" borderId="25" xfId="49" applyFont="1" applyFill="1" applyBorder="1" applyAlignment="1">
      <alignment horizontal="justify" vertical="center" wrapText="1"/>
    </xf>
    <xf numFmtId="168" fontId="19" fillId="0" borderId="24" xfId="49" applyFont="1" applyFill="1" applyBorder="1" applyAlignment="1">
      <alignment horizontal="left" vertical="center" wrapText="1"/>
    </xf>
    <xf numFmtId="1" fontId="19" fillId="0" borderId="11" xfId="49" applyNumberFormat="1" applyFont="1" applyFill="1" applyBorder="1" applyAlignment="1">
      <alignment horizontal="center" vertical="center" wrapText="1"/>
    </xf>
    <xf numFmtId="168" fontId="20" fillId="0" borderId="25" xfId="49" applyFont="1" applyBorder="1"/>
    <xf numFmtId="0" fontId="37" fillId="39" borderId="28" xfId="45" applyNumberFormat="1" applyFont="1" applyFill="1" applyBorder="1" applyAlignment="1">
      <alignment horizontal="left" vertical="center"/>
    </xf>
    <xf numFmtId="43" fontId="28" fillId="39" borderId="23" xfId="52" applyFont="1" applyFill="1" applyBorder="1" applyAlignment="1">
      <alignment horizontal="center" vertical="center"/>
    </xf>
    <xf numFmtId="43" fontId="28" fillId="39" borderId="18" xfId="52" applyFont="1" applyFill="1" applyBorder="1" applyAlignment="1">
      <alignment horizontal="center" vertical="center"/>
    </xf>
    <xf numFmtId="43" fontId="19" fillId="0" borderId="14" xfId="52" applyFont="1" applyFill="1" applyBorder="1" applyAlignment="1">
      <alignment horizontal="right" vertical="center" wrapText="1"/>
    </xf>
    <xf numFmtId="168" fontId="20" fillId="0" borderId="0" xfId="49" applyFont="1" applyFill="1"/>
    <xf numFmtId="0" fontId="19" fillId="0" borderId="22" xfId="49" applyNumberFormat="1" applyFont="1" applyFill="1" applyBorder="1" applyAlignment="1" applyProtection="1">
      <alignment horizontal="center" vertical="center" wrapText="1"/>
      <protection locked="0"/>
    </xf>
    <xf numFmtId="168" fontId="19" fillId="0" borderId="17" xfId="49" applyFont="1" applyFill="1" applyBorder="1" applyAlignment="1" applyProtection="1">
      <alignment horizontal="justify" vertical="center" wrapText="1"/>
      <protection locked="0"/>
    </xf>
    <xf numFmtId="168" fontId="19" fillId="39" borderId="23" xfId="49" applyFont="1" applyFill="1" applyBorder="1" applyAlignment="1">
      <alignment horizontal="right" vertical="center"/>
    </xf>
    <xf numFmtId="0" fontId="19" fillId="39" borderId="23" xfId="49" applyNumberFormat="1" applyFont="1" applyFill="1" applyBorder="1" applyAlignment="1">
      <alignment horizontal="right" vertical="center"/>
    </xf>
    <xf numFmtId="168" fontId="19" fillId="0" borderId="0" xfId="49" applyFont="1" applyFill="1" applyBorder="1" applyAlignment="1">
      <alignment horizontal="center" vertical="center"/>
    </xf>
    <xf numFmtId="168" fontId="19" fillId="0" borderId="16" xfId="49" applyFont="1" applyFill="1" applyBorder="1" applyAlignment="1">
      <alignment horizontal="justify" vertical="center" wrapText="1"/>
    </xf>
    <xf numFmtId="0" fontId="31" fillId="0" borderId="18" xfId="44" applyNumberFormat="1" applyFont="1" applyFill="1" applyBorder="1" applyAlignment="1">
      <alignment horizontal="center" vertical="center" wrapText="1"/>
    </xf>
    <xf numFmtId="0" fontId="31" fillId="0" borderId="22" xfId="44" applyNumberFormat="1" applyFont="1" applyFill="1" applyBorder="1" applyAlignment="1">
      <alignment horizontal="center" vertical="center" wrapText="1"/>
    </xf>
    <xf numFmtId="168" fontId="19" fillId="0" borderId="20" xfId="49" applyFont="1" applyFill="1" applyBorder="1" applyAlignment="1">
      <alignment horizontal="center" vertical="center"/>
    </xf>
    <xf numFmtId="0" fontId="19" fillId="0" borderId="10" xfId="50" applyNumberFormat="1" applyFont="1" applyFill="1" applyAlignment="1">
      <alignment horizontal="center" vertical="center" wrapText="1"/>
    </xf>
    <xf numFmtId="0" fontId="31" fillId="0" borderId="14" xfId="44" applyNumberFormat="1" applyFont="1" applyFill="1" applyBorder="1" applyAlignment="1">
      <alignment horizontal="center" vertical="center" wrapText="1"/>
    </xf>
    <xf numFmtId="168" fontId="20" fillId="0" borderId="22" xfId="49" applyFont="1" applyFill="1" applyBorder="1" applyAlignment="1">
      <alignment horizontal="center" vertical="center" wrapText="1"/>
    </xf>
    <xf numFmtId="168" fontId="19" fillId="0" borderId="22" xfId="49" applyFont="1" applyFill="1" applyBorder="1" applyAlignment="1" applyProtection="1">
      <alignment horizontal="justify" vertical="center" wrapText="1"/>
      <protection locked="0"/>
    </xf>
    <xf numFmtId="168" fontId="19" fillId="0" borderId="11" xfId="49" applyFont="1" applyFill="1" applyBorder="1" applyAlignment="1" applyProtection="1">
      <alignment horizontal="center" vertical="center" wrapText="1"/>
      <protection locked="0"/>
    </xf>
    <xf numFmtId="168" fontId="19" fillId="0" borderId="11" xfId="49" applyFont="1" applyFill="1" applyBorder="1" applyAlignment="1" applyProtection="1">
      <alignment horizontal="justify" vertical="center" wrapText="1"/>
      <protection locked="0"/>
    </xf>
    <xf numFmtId="0" fontId="19" fillId="0" borderId="15" xfId="49" applyNumberFormat="1" applyFont="1" applyFill="1" applyBorder="1" applyAlignment="1" applyProtection="1">
      <alignment horizontal="center" vertical="center" wrapText="1"/>
      <protection locked="0"/>
    </xf>
    <xf numFmtId="0" fontId="28" fillId="0" borderId="19" xfId="49" applyNumberFormat="1" applyFont="1" applyBorder="1" applyAlignment="1">
      <alignment horizontal="left" vertical="center" wrapText="1"/>
    </xf>
    <xf numFmtId="0" fontId="28" fillId="39" borderId="19" xfId="49" applyNumberFormat="1" applyFont="1" applyFill="1" applyBorder="1" applyAlignment="1">
      <alignment horizontal="left" vertical="center" wrapText="1"/>
    </xf>
    <xf numFmtId="0" fontId="28" fillId="39" borderId="20" xfId="49" applyNumberFormat="1" applyFont="1" applyFill="1" applyBorder="1" applyAlignment="1">
      <alignment horizontal="center" vertical="center" wrapText="1"/>
    </xf>
    <xf numFmtId="43" fontId="19" fillId="39" borderId="23" xfId="52" applyFont="1" applyFill="1" applyBorder="1" applyAlignment="1">
      <alignment horizontal="center" vertical="center"/>
    </xf>
    <xf numFmtId="0" fontId="19" fillId="39" borderId="23" xfId="52" applyNumberFormat="1" applyFont="1" applyFill="1" applyBorder="1" applyAlignment="1">
      <alignment horizontal="center" vertical="center"/>
    </xf>
    <xf numFmtId="49" fontId="32" fillId="0" borderId="11" xfId="45" applyNumberFormat="1" applyFont="1" applyFill="1" applyBorder="1" applyAlignment="1">
      <alignment horizontal="justify" vertical="center" wrapText="1"/>
    </xf>
    <xf numFmtId="0" fontId="19" fillId="0" borderId="11" xfId="49" applyNumberFormat="1" applyFont="1" applyFill="1" applyBorder="1" applyAlignment="1" applyProtection="1">
      <alignment horizontal="center" vertical="center" wrapText="1"/>
      <protection locked="0"/>
    </xf>
    <xf numFmtId="43" fontId="19" fillId="0" borderId="14" xfId="52" applyFont="1" applyFill="1" applyBorder="1" applyAlignment="1">
      <alignment horizontal="center" vertical="center"/>
    </xf>
    <xf numFmtId="4" fontId="19" fillId="0" borderId="11" xfId="49" applyNumberFormat="1" applyFont="1" applyFill="1" applyBorder="1" applyAlignment="1">
      <alignment vertical="center" wrapText="1"/>
    </xf>
    <xf numFmtId="0" fontId="19" fillId="0" borderId="29" xfId="49" applyNumberFormat="1" applyFont="1" applyFill="1" applyBorder="1" applyAlignment="1" applyProtection="1">
      <alignment horizontal="center" vertical="center" wrapText="1"/>
      <protection locked="0"/>
    </xf>
    <xf numFmtId="0" fontId="31" fillId="0" borderId="14" xfId="45" applyNumberFormat="1" applyFont="1" applyFill="1" applyBorder="1" applyAlignment="1">
      <alignment horizontal="center" vertical="center" wrapText="1"/>
    </xf>
    <xf numFmtId="168" fontId="19" fillId="39" borderId="23" xfId="49" applyFont="1" applyFill="1" applyBorder="1" applyAlignment="1">
      <alignment horizontal="justify" vertical="center"/>
    </xf>
    <xf numFmtId="0" fontId="19" fillId="39" borderId="23" xfId="49" applyNumberFormat="1" applyFont="1" applyFill="1" applyBorder="1" applyAlignment="1">
      <alignment horizontal="justify" vertical="center"/>
    </xf>
    <xf numFmtId="0" fontId="20" fillId="0" borderId="11" xfId="50" applyNumberFormat="1" applyFont="1" applyFill="1" applyBorder="1" applyAlignment="1">
      <alignment horizontal="center" vertical="center" wrapText="1"/>
    </xf>
    <xf numFmtId="0" fontId="32" fillId="0" borderId="11" xfId="44" applyNumberFormat="1" applyFont="1" applyFill="1" applyBorder="1" applyAlignment="1">
      <alignment horizontal="center" vertical="center" wrapText="1"/>
    </xf>
    <xf numFmtId="0" fontId="32" fillId="0" borderId="14" xfId="45" applyFont="1" applyFill="1" applyBorder="1" applyAlignment="1">
      <alignment horizontal="center" vertical="center"/>
    </xf>
    <xf numFmtId="0" fontId="19" fillId="0" borderId="22" xfId="49" applyNumberFormat="1" applyFont="1" applyFill="1" applyBorder="1" applyAlignment="1" applyProtection="1">
      <alignment horizontal="justify" vertical="center" wrapText="1"/>
      <protection locked="0"/>
    </xf>
    <xf numFmtId="43" fontId="28" fillId="38" borderId="23" xfId="52" applyFont="1" applyFill="1" applyBorder="1" applyAlignment="1">
      <alignment horizontal="center" vertical="center"/>
    </xf>
    <xf numFmtId="43" fontId="28" fillId="38" borderId="18" xfId="52" applyFont="1" applyFill="1" applyBorder="1" applyAlignment="1">
      <alignment horizontal="center" vertical="center"/>
    </xf>
    <xf numFmtId="168" fontId="20" fillId="0" borderId="24" xfId="49" applyFont="1" applyFill="1" applyBorder="1"/>
    <xf numFmtId="0" fontId="31" fillId="0" borderId="11" xfId="45" applyFont="1" applyFill="1" applyBorder="1" applyAlignment="1">
      <alignment vertical="center" wrapText="1"/>
    </xf>
    <xf numFmtId="0" fontId="32" fillId="0" borderId="11" xfId="47" applyNumberFormat="1" applyFont="1" applyFill="1" applyBorder="1" applyAlignment="1">
      <alignment horizontal="center" vertical="center"/>
    </xf>
    <xf numFmtId="168" fontId="19" fillId="0" borderId="25" xfId="49" applyFont="1" applyBorder="1"/>
    <xf numFmtId="0" fontId="19" fillId="0" borderId="25" xfId="49" applyNumberFormat="1" applyFont="1" applyFill="1" applyBorder="1" applyAlignment="1">
      <alignment horizontal="left" vertical="center" wrapText="1"/>
    </xf>
    <xf numFmtId="2" fontId="31" fillId="0" borderId="11" xfId="44" applyNumberFormat="1" applyFont="1" applyFill="1" applyBorder="1" applyAlignment="1">
      <alignment horizontal="center" vertical="center" wrapText="1"/>
    </xf>
    <xf numFmtId="168" fontId="19" fillId="0" borderId="18" xfId="49" applyFont="1" applyFill="1" applyBorder="1" applyAlignment="1">
      <alignment vertical="center" wrapText="1"/>
    </xf>
    <xf numFmtId="4" fontId="35" fillId="0" borderId="11" xfId="49" applyNumberFormat="1" applyFont="1" applyFill="1" applyBorder="1" applyAlignment="1">
      <alignment horizontal="center" vertical="center"/>
    </xf>
    <xf numFmtId="4" fontId="35" fillId="0" borderId="14" xfId="49" applyNumberFormat="1" applyFont="1" applyFill="1" applyBorder="1" applyAlignment="1">
      <alignment horizontal="center" vertical="center"/>
    </xf>
    <xf numFmtId="166" fontId="19" fillId="0" borderId="11" xfId="51" applyFont="1" applyFill="1" applyBorder="1" applyAlignment="1">
      <alignment horizontal="center" vertical="center"/>
    </xf>
    <xf numFmtId="0" fontId="20" fillId="0" borderId="22" xfId="49" applyNumberFormat="1" applyFont="1" applyFill="1" applyBorder="1" applyAlignment="1">
      <alignment horizontal="justify" vertical="center" wrapText="1"/>
    </xf>
    <xf numFmtId="174" fontId="31" fillId="0" borderId="22" xfId="44" applyNumberFormat="1" applyFont="1" applyFill="1" applyBorder="1" applyAlignment="1">
      <alignment horizontal="center" vertical="center" wrapText="1"/>
    </xf>
    <xf numFmtId="174" fontId="31" fillId="0" borderId="11" xfId="44" applyNumberFormat="1" applyFont="1" applyFill="1" applyBorder="1" applyAlignment="1">
      <alignment horizontal="center" vertical="center" wrapText="1"/>
    </xf>
    <xf numFmtId="43" fontId="19" fillId="0" borderId="11" xfId="52" applyFont="1" applyFill="1" applyBorder="1" applyAlignment="1">
      <alignment horizontal="center" vertical="center"/>
    </xf>
    <xf numFmtId="43" fontId="38" fillId="0" borderId="11" xfId="52" applyFont="1" applyFill="1" applyBorder="1" applyAlignment="1">
      <alignment horizontal="center" vertical="center"/>
    </xf>
    <xf numFmtId="174" fontId="31" fillId="34" borderId="11" xfId="44" applyNumberFormat="1" applyFont="1" applyFill="1" applyBorder="1" applyAlignment="1">
      <alignment horizontal="center" vertical="center" wrapText="1"/>
    </xf>
    <xf numFmtId="167" fontId="19" fillId="0" borderId="30" xfId="43" applyFont="1" applyFill="1" applyBorder="1" applyAlignment="1">
      <alignment vertical="center"/>
    </xf>
    <xf numFmtId="168" fontId="20" fillId="0" borderId="19" xfId="49" applyFont="1" applyFill="1" applyBorder="1" applyAlignment="1">
      <alignment horizontal="center" vertical="center" wrapText="1"/>
    </xf>
    <xf numFmtId="167" fontId="19" fillId="0" borderId="30" xfId="43" applyFont="1" applyBorder="1" applyAlignment="1">
      <alignment vertical="center"/>
    </xf>
    <xf numFmtId="174" fontId="31" fillId="0" borderId="26" xfId="44" applyNumberFormat="1" applyFont="1" applyFill="1" applyBorder="1" applyAlignment="1">
      <alignment horizontal="center" vertical="center" wrapText="1"/>
    </xf>
    <xf numFmtId="4" fontId="19" fillId="0" borderId="11" xfId="49" applyNumberFormat="1" applyFont="1" applyFill="1" applyBorder="1" applyAlignment="1">
      <alignment vertical="center"/>
    </xf>
    <xf numFmtId="0" fontId="19" fillId="0" borderId="13" xfId="49" applyNumberFormat="1" applyFont="1" applyFill="1" applyBorder="1" applyAlignment="1">
      <alignment horizontal="left" vertical="center" wrapText="1"/>
    </xf>
    <xf numFmtId="167" fontId="28" fillId="39" borderId="23" xfId="49" applyNumberFormat="1" applyFont="1" applyFill="1" applyBorder="1" applyAlignment="1">
      <alignment vertical="center"/>
    </xf>
    <xf numFmtId="43" fontId="19" fillId="0" borderId="11" xfId="42" applyFont="1" applyFill="1" applyBorder="1" applyAlignment="1">
      <alignment horizontal="right" vertical="center"/>
    </xf>
    <xf numFmtId="0" fontId="32" fillId="0" borderId="11" xfId="45" applyNumberFormat="1" applyFont="1" applyFill="1" applyBorder="1" applyAlignment="1">
      <alignment horizontal="center" vertical="center" wrapText="1"/>
    </xf>
    <xf numFmtId="0" fontId="19" fillId="0" borderId="25" xfId="49" applyNumberFormat="1" applyFont="1" applyFill="1" applyBorder="1" applyAlignment="1">
      <alignment horizontal="justify" vertical="center" wrapText="1"/>
    </xf>
    <xf numFmtId="43" fontId="19" fillId="0" borderId="11" xfId="49" applyNumberFormat="1" applyFont="1" applyFill="1" applyBorder="1" applyAlignment="1">
      <alignment horizontal="right" vertical="center" wrapText="1"/>
    </xf>
    <xf numFmtId="174" fontId="31" fillId="0" borderId="11" xfId="45" applyNumberFormat="1" applyFont="1" applyFill="1" applyBorder="1" applyAlignment="1">
      <alignment horizontal="center" vertical="center" wrapText="1"/>
    </xf>
    <xf numFmtId="168" fontId="31" fillId="0" borderId="11" xfId="49" applyFont="1" applyFill="1" applyBorder="1" applyAlignment="1">
      <alignment horizontal="justify" vertical="center" wrapText="1"/>
    </xf>
    <xf numFmtId="2" fontId="31" fillId="0" borderId="18" xfId="45" applyNumberFormat="1" applyFont="1" applyFill="1" applyBorder="1" applyAlignment="1">
      <alignment horizontal="center" vertical="center" wrapText="1"/>
    </xf>
    <xf numFmtId="0" fontId="19" fillId="0" borderId="24" xfId="49" applyNumberFormat="1" applyFont="1" applyBorder="1" applyAlignment="1">
      <alignment horizontal="left" vertical="center"/>
    </xf>
    <xf numFmtId="43" fontId="19" fillId="34" borderId="0" xfId="49" applyNumberFormat="1" applyFont="1" applyFill="1"/>
    <xf numFmtId="0" fontId="21" fillId="37" borderId="12" xfId="49" applyNumberFormat="1" applyFont="1" applyFill="1" applyBorder="1" applyAlignment="1">
      <alignment horizontal="left" vertical="center"/>
    </xf>
    <xf numFmtId="167" fontId="28" fillId="38" borderId="18" xfId="49" applyNumberFormat="1" applyFont="1" applyFill="1" applyBorder="1" applyAlignment="1">
      <alignment vertical="center"/>
    </xf>
    <xf numFmtId="0" fontId="28" fillId="39" borderId="11" xfId="49" applyNumberFormat="1" applyFont="1" applyFill="1" applyBorder="1" applyAlignment="1">
      <alignment horizontal="left" vertical="center"/>
    </xf>
    <xf numFmtId="168" fontId="19" fillId="0" borderId="22" xfId="49" applyFont="1" applyFill="1" applyBorder="1" applyAlignment="1">
      <alignment horizontal="center" vertical="center"/>
    </xf>
    <xf numFmtId="0" fontId="28" fillId="39" borderId="24" xfId="49" applyNumberFormat="1" applyFont="1" applyFill="1" applyBorder="1" applyAlignment="1">
      <alignment horizontal="left" vertical="center"/>
    </xf>
    <xf numFmtId="168" fontId="28" fillId="39" borderId="13" xfId="49" applyFont="1" applyFill="1" applyBorder="1" applyAlignment="1">
      <alignment horizontal="left" vertical="center"/>
    </xf>
    <xf numFmtId="0" fontId="28" fillId="39" borderId="13" xfId="49" applyNumberFormat="1" applyFont="1" applyFill="1" applyBorder="1" applyAlignment="1">
      <alignment horizontal="justify" vertical="center" wrapText="1"/>
    </xf>
    <xf numFmtId="0" fontId="19" fillId="39" borderId="13" xfId="49" applyNumberFormat="1" applyFont="1" applyFill="1" applyBorder="1" applyAlignment="1">
      <alignment horizontal="center" vertical="center"/>
    </xf>
    <xf numFmtId="168" fontId="28" fillId="39" borderId="13" xfId="49" applyFont="1" applyFill="1" applyBorder="1" applyAlignment="1">
      <alignment horizontal="center" vertical="center" wrapText="1"/>
    </xf>
    <xf numFmtId="43" fontId="28" fillId="39" borderId="21" xfId="49" applyNumberFormat="1" applyFont="1" applyFill="1" applyBorder="1" applyAlignment="1">
      <alignment vertical="center"/>
    </xf>
    <xf numFmtId="0" fontId="28" fillId="39" borderId="23" xfId="49" applyNumberFormat="1" applyFont="1" applyFill="1" applyBorder="1" applyAlignment="1">
      <alignment horizontal="center" vertical="center"/>
    </xf>
    <xf numFmtId="0" fontId="28" fillId="40" borderId="11" xfId="49" applyNumberFormat="1" applyFont="1" applyFill="1" applyBorder="1" applyAlignment="1">
      <alignment horizontal="center" vertical="center" wrapText="1"/>
    </xf>
    <xf numFmtId="168" fontId="28" fillId="40" borderId="11" xfId="49" applyFont="1" applyFill="1" applyBorder="1" applyAlignment="1">
      <alignment horizontal="justify" vertical="center" wrapText="1"/>
    </xf>
    <xf numFmtId="168" fontId="28" fillId="40" borderId="11" xfId="49" applyFont="1" applyFill="1" applyBorder="1" applyAlignment="1">
      <alignment horizontal="center" vertical="center" wrapText="1"/>
    </xf>
    <xf numFmtId="168" fontId="28" fillId="40" borderId="11" xfId="49" applyFont="1" applyFill="1" applyBorder="1" applyAlignment="1">
      <alignment horizontal="center" vertical="center"/>
    </xf>
    <xf numFmtId="0" fontId="28" fillId="40" borderId="11" xfId="49" applyNumberFormat="1" applyFont="1" applyFill="1" applyBorder="1" applyAlignment="1">
      <alignment vertical="center" wrapText="1"/>
    </xf>
    <xf numFmtId="43" fontId="28" fillId="40" borderId="11" xfId="49" applyNumberFormat="1" applyFont="1" applyFill="1" applyBorder="1" applyAlignment="1">
      <alignment vertical="center"/>
    </xf>
    <xf numFmtId="168" fontId="28" fillId="34" borderId="0" xfId="49" applyFont="1" applyFill="1" applyBorder="1"/>
    <xf numFmtId="168" fontId="28" fillId="0" borderId="0" xfId="49" applyFont="1" applyFill="1" applyBorder="1"/>
    <xf numFmtId="0" fontId="19" fillId="39" borderId="11" xfId="49" applyNumberFormat="1" applyFont="1" applyFill="1" applyBorder="1" applyAlignment="1">
      <alignment horizontal="justify" vertical="center" wrapText="1"/>
    </xf>
    <xf numFmtId="0" fontId="19" fillId="39" borderId="11" xfId="49" applyNumberFormat="1" applyFont="1" applyFill="1" applyBorder="1" applyAlignment="1">
      <alignment horizontal="center" vertical="center" wrapText="1"/>
    </xf>
    <xf numFmtId="168" fontId="19" fillId="39" borderId="11" xfId="49" applyFont="1" applyFill="1" applyBorder="1" applyAlignment="1">
      <alignment horizontal="center" vertical="center"/>
    </xf>
    <xf numFmtId="43" fontId="28" fillId="39" borderId="11" xfId="52" applyFont="1" applyFill="1" applyBorder="1" applyAlignment="1">
      <alignment horizontal="center" vertical="center"/>
    </xf>
    <xf numFmtId="0" fontId="28" fillId="0" borderId="17" xfId="49" applyNumberFormat="1" applyFont="1" applyFill="1" applyBorder="1" applyAlignment="1">
      <alignment horizontal="left" vertical="center" wrapText="1"/>
    </xf>
    <xf numFmtId="0" fontId="39" fillId="0" borderId="11" xfId="45" applyFont="1" applyFill="1" applyBorder="1" applyAlignment="1">
      <alignment horizontal="justify" vertical="center" wrapText="1"/>
    </xf>
    <xf numFmtId="43" fontId="19" fillId="0" borderId="11" xfId="52" applyFont="1" applyFill="1" applyBorder="1" applyAlignment="1">
      <alignment horizontal="right" vertical="center"/>
    </xf>
    <xf numFmtId="43" fontId="19" fillId="0" borderId="11" xfId="42" applyFont="1" applyFill="1" applyBorder="1" applyAlignment="1">
      <alignment horizontal="center" vertical="center" wrapText="1"/>
    </xf>
    <xf numFmtId="43" fontId="19" fillId="0" borderId="14" xfId="42" applyFont="1" applyFill="1" applyBorder="1" applyAlignment="1">
      <alignment horizontal="center" vertical="center" wrapText="1"/>
    </xf>
    <xf numFmtId="0" fontId="28" fillId="0" borderId="20" xfId="49" applyNumberFormat="1" applyFont="1" applyFill="1" applyBorder="1" applyAlignment="1">
      <alignment horizontal="left" vertical="center" wrapText="1"/>
    </xf>
    <xf numFmtId="43" fontId="20" fillId="0" borderId="11" xfId="42" applyFont="1" applyFill="1" applyBorder="1" applyAlignment="1">
      <alignment horizontal="center" vertical="center" wrapText="1"/>
    </xf>
    <xf numFmtId="43" fontId="19" fillId="0" borderId="11" xfId="49" applyNumberFormat="1" applyFont="1" applyFill="1" applyBorder="1" applyAlignment="1">
      <alignment horizontal="center" vertical="center"/>
    </xf>
    <xf numFmtId="167" fontId="19" fillId="0" borderId="11" xfId="43" applyFont="1" applyFill="1" applyBorder="1" applyAlignment="1">
      <alignment horizontal="right" vertical="center"/>
    </xf>
    <xf numFmtId="167" fontId="19" fillId="0" borderId="14" xfId="43" applyFont="1" applyFill="1" applyBorder="1" applyAlignment="1">
      <alignment horizontal="right" vertical="center"/>
    </xf>
    <xf numFmtId="43" fontId="20" fillId="0" borderId="11" xfId="49" applyNumberFormat="1" applyFont="1" applyFill="1" applyBorder="1" applyAlignment="1">
      <alignment horizontal="center" vertical="center"/>
    </xf>
    <xf numFmtId="0" fontId="28" fillId="0" borderId="21" xfId="49" applyNumberFormat="1" applyFont="1" applyFill="1" applyBorder="1" applyAlignment="1">
      <alignment horizontal="left" vertical="center" wrapText="1"/>
    </xf>
    <xf numFmtId="168" fontId="20" fillId="0" borderId="18" xfId="49" applyFont="1" applyFill="1" applyBorder="1"/>
    <xf numFmtId="0" fontId="19" fillId="0" borderId="18" xfId="43" applyNumberFormat="1" applyFont="1" applyFill="1" applyBorder="1" applyAlignment="1">
      <alignment horizontal="center" vertical="center" wrapText="1"/>
    </xf>
    <xf numFmtId="3" fontId="19" fillId="0" borderId="22" xfId="49" applyNumberFormat="1" applyFont="1" applyFill="1" applyBorder="1" applyAlignment="1">
      <alignment horizontal="justify" vertical="center" wrapText="1"/>
    </xf>
    <xf numFmtId="43" fontId="19" fillId="0" borderId="18" xfId="42" applyFont="1" applyFill="1" applyBorder="1" applyAlignment="1">
      <alignment horizontal="justify" vertical="center"/>
    </xf>
    <xf numFmtId="43" fontId="19" fillId="0" borderId="11" xfId="49" applyNumberFormat="1" applyFont="1" applyFill="1" applyBorder="1" applyAlignment="1">
      <alignment vertical="center" wrapText="1"/>
    </xf>
    <xf numFmtId="43" fontId="19" fillId="0" borderId="14" xfId="49" applyNumberFormat="1" applyFont="1" applyFill="1" applyBorder="1" applyAlignment="1">
      <alignment vertical="center" wrapText="1"/>
    </xf>
    <xf numFmtId="43" fontId="19" fillId="0" borderId="14" xfId="49" applyNumberFormat="1" applyFont="1" applyFill="1" applyBorder="1" applyAlignment="1">
      <alignment vertical="center"/>
    </xf>
    <xf numFmtId="43" fontId="20" fillId="0" borderId="14" xfId="49" applyNumberFormat="1" applyFont="1" applyFill="1" applyBorder="1" applyAlignment="1">
      <alignment horizontal="center" vertical="center" wrapText="1"/>
    </xf>
    <xf numFmtId="168" fontId="20" fillId="0" borderId="20" xfId="49" applyFont="1" applyBorder="1"/>
    <xf numFmtId="0" fontId="19" fillId="38" borderId="23" xfId="49" applyNumberFormat="1" applyFont="1" applyFill="1" applyBorder="1" applyAlignment="1">
      <alignment horizontal="center" vertical="center" wrapText="1"/>
    </xf>
    <xf numFmtId="168" fontId="19" fillId="38" borderId="23" xfId="49" applyFont="1" applyFill="1" applyBorder="1" applyAlignment="1">
      <alignment vertical="center" wrapText="1"/>
    </xf>
    <xf numFmtId="0" fontId="19" fillId="38" borderId="23" xfId="49" applyNumberFormat="1" applyFont="1" applyFill="1" applyBorder="1" applyAlignment="1">
      <alignment vertical="center" wrapText="1"/>
    </xf>
    <xf numFmtId="43" fontId="28" fillId="38" borderId="11" xfId="49" applyNumberFormat="1" applyFont="1" applyFill="1" applyBorder="1" applyAlignment="1">
      <alignment vertical="center" wrapText="1"/>
    </xf>
    <xf numFmtId="43" fontId="28" fillId="39" borderId="11" xfId="49" applyNumberFormat="1" applyFont="1" applyFill="1" applyBorder="1" applyAlignment="1">
      <alignment horizontal="justify" vertical="center" wrapText="1"/>
    </xf>
    <xf numFmtId="43" fontId="28" fillId="39" borderId="11" xfId="49" applyNumberFormat="1" applyFont="1" applyFill="1" applyBorder="1" applyAlignment="1">
      <alignment horizontal="center" vertical="center" wrapText="1"/>
    </xf>
    <xf numFmtId="43" fontId="19" fillId="39" borderId="11" xfId="49" applyNumberFormat="1" applyFont="1" applyFill="1" applyBorder="1" applyAlignment="1">
      <alignment vertical="center" wrapText="1"/>
    </xf>
    <xf numFmtId="0" fontId="19" fillId="39" borderId="11" xfId="49" applyNumberFormat="1" applyFont="1" applyFill="1" applyBorder="1" applyAlignment="1">
      <alignment vertical="center" wrapText="1"/>
    </xf>
    <xf numFmtId="43" fontId="28" fillId="39" borderId="11" xfId="49" applyNumberFormat="1" applyFont="1" applyFill="1" applyBorder="1" applyAlignment="1">
      <alignment vertical="center" wrapText="1"/>
    </xf>
    <xf numFmtId="169" fontId="19" fillId="0" borderId="17" xfId="49" applyNumberFormat="1" applyFont="1" applyFill="1" applyBorder="1" applyAlignment="1">
      <alignment horizontal="justify" vertical="center" wrapText="1"/>
    </xf>
    <xf numFmtId="43" fontId="20" fillId="0" borderId="14" xfId="52" applyFont="1" applyFill="1" applyBorder="1" applyAlignment="1">
      <alignment horizontal="center" vertical="center" wrapText="1"/>
    </xf>
    <xf numFmtId="0" fontId="28" fillId="0" borderId="25" xfId="49" applyNumberFormat="1" applyFont="1" applyBorder="1" applyAlignment="1">
      <alignment horizontal="left" vertical="center"/>
    </xf>
    <xf numFmtId="0" fontId="28" fillId="39" borderId="25" xfId="49" applyNumberFormat="1" applyFont="1" applyFill="1" applyBorder="1" applyAlignment="1">
      <alignment horizontal="left" vertical="center" wrapText="1"/>
    </xf>
    <xf numFmtId="0" fontId="19" fillId="39" borderId="23" xfId="49" applyNumberFormat="1" applyFont="1" applyFill="1" applyBorder="1" applyAlignment="1">
      <alignment horizontal="center" vertical="center" wrapText="1"/>
    </xf>
    <xf numFmtId="168" fontId="19" fillId="39" borderId="23" xfId="49" applyFont="1" applyFill="1" applyBorder="1" applyAlignment="1">
      <alignment vertical="center" wrapText="1"/>
    </xf>
    <xf numFmtId="0" fontId="19" fillId="39" borderId="23" xfId="49" applyNumberFormat="1" applyFont="1" applyFill="1" applyBorder="1" applyAlignment="1">
      <alignment vertical="center" wrapText="1"/>
    </xf>
    <xf numFmtId="43" fontId="19" fillId="0" borderId="14" xfId="42" applyFont="1" applyFill="1" applyBorder="1"/>
    <xf numFmtId="43" fontId="28" fillId="38" borderId="23" xfId="49" applyNumberFormat="1" applyFont="1" applyFill="1" applyBorder="1" applyAlignment="1">
      <alignment vertical="center" wrapText="1"/>
    </xf>
    <xf numFmtId="43" fontId="28" fillId="38" borderId="18" xfId="49" applyNumberFormat="1" applyFont="1" applyFill="1" applyBorder="1" applyAlignment="1">
      <alignment vertical="center" wrapText="1"/>
    </xf>
    <xf numFmtId="43" fontId="28" fillId="39" borderId="23" xfId="49" applyNumberFormat="1" applyFont="1" applyFill="1" applyBorder="1" applyAlignment="1">
      <alignment vertical="center" wrapText="1"/>
    </xf>
    <xf numFmtId="43" fontId="28" fillId="39" borderId="18" xfId="49" applyNumberFormat="1" applyFont="1" applyFill="1" applyBorder="1" applyAlignment="1">
      <alignment vertical="center" wrapText="1"/>
    </xf>
    <xf numFmtId="43" fontId="20" fillId="0" borderId="15" xfId="52" applyFont="1" applyFill="1" applyBorder="1" applyAlignment="1">
      <alignment horizontal="center" vertical="center" wrapText="1"/>
    </xf>
    <xf numFmtId="0" fontId="19" fillId="0" borderId="11" xfId="49" applyNumberFormat="1" applyFont="1" applyFill="1" applyBorder="1" applyAlignment="1" applyProtection="1">
      <alignment horizontal="center" vertical="center"/>
      <protection locked="0"/>
    </xf>
    <xf numFmtId="43" fontId="20" fillId="0" borderId="14" xfId="42" applyFont="1" applyFill="1" applyBorder="1" applyAlignment="1">
      <alignment horizontal="justify" vertical="center"/>
    </xf>
    <xf numFmtId="43" fontId="19" fillId="0" borderId="15" xfId="52" applyFont="1" applyFill="1" applyBorder="1" applyAlignment="1">
      <alignment horizontal="center" vertical="center" wrapText="1"/>
    </xf>
    <xf numFmtId="0" fontId="28" fillId="0" borderId="22" xfId="49" applyNumberFormat="1" applyFont="1" applyBorder="1" applyAlignment="1">
      <alignment horizontal="left" vertical="center"/>
    </xf>
    <xf numFmtId="0" fontId="28" fillId="39" borderId="15" xfId="49" applyNumberFormat="1" applyFont="1" applyFill="1" applyBorder="1" applyAlignment="1">
      <alignment horizontal="center" vertical="center" wrapText="1"/>
    </xf>
    <xf numFmtId="168" fontId="0" fillId="0" borderId="11" xfId="49" applyFont="1" applyFill="1" applyBorder="1" applyAlignment="1">
      <alignment horizontal="center" vertical="center" wrapText="1"/>
    </xf>
    <xf numFmtId="169" fontId="19" fillId="0" borderId="18" xfId="49" applyNumberFormat="1" applyFont="1" applyFill="1" applyBorder="1" applyAlignment="1">
      <alignment horizontal="justify" vertical="center" wrapText="1"/>
    </xf>
    <xf numFmtId="0" fontId="28" fillId="38" borderId="11" xfId="49" applyNumberFormat="1" applyFont="1" applyFill="1" applyBorder="1" applyAlignment="1">
      <alignment horizontal="left" vertical="center" wrapText="1"/>
    </xf>
    <xf numFmtId="0" fontId="28" fillId="0" borderId="15" xfId="49" applyNumberFormat="1" applyFont="1" applyFill="1" applyBorder="1" applyAlignment="1">
      <alignment horizontal="left" vertical="center"/>
    </xf>
    <xf numFmtId="0" fontId="28" fillId="0" borderId="17" xfId="49" applyNumberFormat="1" applyFont="1" applyFill="1" applyBorder="1" applyAlignment="1">
      <alignment horizontal="center" vertical="center"/>
    </xf>
    <xf numFmtId="0" fontId="40" fillId="0" borderId="11" xfId="45" applyFont="1" applyFill="1" applyBorder="1" applyAlignment="1">
      <alignment horizontal="center" vertical="center" wrapText="1"/>
    </xf>
    <xf numFmtId="0" fontId="28" fillId="0" borderId="19" xfId="49" applyNumberFormat="1" applyFont="1" applyBorder="1" applyAlignment="1">
      <alignment horizontal="left" vertical="center"/>
    </xf>
    <xf numFmtId="0" fontId="28" fillId="0" borderId="20" xfId="49" applyNumberFormat="1" applyFont="1" applyBorder="1" applyAlignment="1">
      <alignment horizontal="center" vertical="center"/>
    </xf>
    <xf numFmtId="0" fontId="19" fillId="0" borderId="11" xfId="49" applyNumberFormat="1" applyFont="1" applyBorder="1" applyAlignment="1">
      <alignment horizontal="center" vertical="center" wrapText="1"/>
    </xf>
    <xf numFmtId="168" fontId="20" fillId="0" borderId="11" xfId="49" applyFont="1" applyBorder="1" applyAlignment="1">
      <alignment horizontal="justify" vertical="center" wrapText="1"/>
    </xf>
    <xf numFmtId="43" fontId="19" fillId="0" borderId="14" xfId="52" applyFont="1" applyBorder="1" applyAlignment="1">
      <alignment horizontal="center" vertical="center"/>
    </xf>
    <xf numFmtId="43" fontId="19" fillId="0" borderId="11" xfId="49" applyNumberFormat="1" applyFont="1" applyBorder="1" applyAlignment="1">
      <alignment vertical="center"/>
    </xf>
    <xf numFmtId="168" fontId="19" fillId="0" borderId="24" xfId="49" applyFont="1" applyBorder="1"/>
    <xf numFmtId="0" fontId="28" fillId="0" borderId="12" xfId="49" applyNumberFormat="1" applyFont="1" applyBorder="1" applyAlignment="1">
      <alignment horizontal="left" vertical="center" wrapText="1"/>
    </xf>
    <xf numFmtId="0" fontId="28" fillId="0" borderId="12" xfId="49" applyNumberFormat="1" applyFont="1" applyBorder="1" applyAlignment="1">
      <alignment horizontal="left" vertical="center"/>
    </xf>
    <xf numFmtId="0" fontId="28" fillId="0" borderId="21" xfId="49" applyNumberFormat="1" applyFont="1" applyBorder="1" applyAlignment="1">
      <alignment horizontal="center" vertical="center"/>
    </xf>
    <xf numFmtId="0" fontId="35" fillId="0" borderId="11" xfId="49" applyNumberFormat="1" applyFont="1" applyFill="1" applyBorder="1" applyAlignment="1">
      <alignment horizontal="center" vertical="center" wrapText="1"/>
    </xf>
    <xf numFmtId="0" fontId="19" fillId="0" borderId="11" xfId="49" applyNumberFormat="1" applyFont="1" applyFill="1" applyBorder="1" applyAlignment="1">
      <alignment horizontal="center" vertical="center" wrapText="1"/>
    </xf>
    <xf numFmtId="0" fontId="19" fillId="0" borderId="24" xfId="49" applyNumberFormat="1" applyFont="1" applyFill="1" applyBorder="1" applyAlignment="1">
      <alignment horizontal="center" vertical="center" wrapText="1"/>
    </xf>
    <xf numFmtId="0" fontId="19" fillId="0" borderId="11" xfId="49" applyNumberFormat="1" applyFont="1" applyFill="1" applyBorder="1" applyAlignment="1">
      <alignment horizontal="center" vertical="center" wrapText="1"/>
    </xf>
    <xf numFmtId="168" fontId="19" fillId="0" borderId="25" xfId="49" applyFont="1" applyFill="1" applyBorder="1" applyAlignment="1">
      <alignment horizontal="justify" vertical="center" wrapText="1"/>
    </xf>
    <xf numFmtId="168" fontId="19" fillId="0" borderId="22" xfId="49" applyFont="1" applyFill="1" applyBorder="1" applyAlignment="1">
      <alignment horizontal="center" vertical="center"/>
    </xf>
    <xf numFmtId="168" fontId="19" fillId="0" borderId="25" xfId="49" applyFont="1" applyFill="1" applyBorder="1" applyAlignment="1">
      <alignment horizontal="center" vertical="center"/>
    </xf>
    <xf numFmtId="168" fontId="19" fillId="0" borderId="24" xfId="49" applyFont="1" applyFill="1" applyBorder="1" applyAlignment="1">
      <alignment horizontal="center" vertical="center"/>
    </xf>
    <xf numFmtId="168" fontId="19" fillId="0" borderId="22" xfId="49" applyFont="1" applyFill="1" applyBorder="1" applyAlignment="1">
      <alignment horizontal="center" vertical="center" wrapText="1"/>
    </xf>
    <xf numFmtId="168" fontId="19" fillId="0" borderId="24" xfId="49" applyFont="1" applyFill="1" applyBorder="1" applyAlignment="1">
      <alignment horizontal="center" vertical="center" wrapText="1"/>
    </xf>
    <xf numFmtId="168" fontId="19" fillId="0" borderId="25" xfId="49" applyFont="1" applyFill="1" applyBorder="1" applyAlignment="1">
      <alignment horizontal="center" vertical="center" wrapText="1"/>
    </xf>
    <xf numFmtId="168" fontId="19" fillId="0" borderId="22" xfId="49" applyFont="1" applyBorder="1" applyAlignment="1">
      <alignment horizontal="center" vertical="center" wrapText="1"/>
    </xf>
    <xf numFmtId="168" fontId="19" fillId="0" borderId="25" xfId="49" applyFont="1" applyBorder="1" applyAlignment="1">
      <alignment horizontal="center" vertical="center" wrapText="1"/>
    </xf>
    <xf numFmtId="168" fontId="19" fillId="0" borderId="24" xfId="49" applyFont="1" applyBorder="1" applyAlignment="1">
      <alignment horizontal="center" vertical="center" wrapText="1"/>
    </xf>
    <xf numFmtId="168" fontId="19" fillId="0" borderId="11" xfId="49" applyFont="1" applyFill="1" applyBorder="1" applyAlignment="1">
      <alignment horizontal="center" vertical="center" wrapText="1"/>
    </xf>
    <xf numFmtId="168" fontId="19" fillId="0" borderId="11" xfId="49" applyFont="1" applyFill="1" applyBorder="1" applyAlignment="1">
      <alignment horizontal="center" vertical="center"/>
    </xf>
    <xf numFmtId="0" fontId="19" fillId="0" borderId="22" xfId="49" applyNumberFormat="1" applyFont="1" applyFill="1" applyBorder="1" applyAlignment="1">
      <alignment horizontal="center" vertical="center" wrapText="1"/>
    </xf>
    <xf numFmtId="0" fontId="19" fillId="0" borderId="11" xfId="49" applyNumberFormat="1" applyFont="1" applyFill="1" applyBorder="1" applyAlignment="1">
      <alignment horizontal="center" vertical="center" wrapText="1"/>
    </xf>
    <xf numFmtId="0" fontId="43" fillId="0" borderId="0" xfId="0" applyFont="1"/>
    <xf numFmtId="0" fontId="44" fillId="0" borderId="0" xfId="0" applyFont="1" applyAlignment="1">
      <alignment horizontal="center" vertical="center"/>
    </xf>
    <xf numFmtId="0" fontId="44" fillId="0" borderId="0" xfId="0" applyFont="1" applyAlignment="1">
      <alignment vertical="center"/>
    </xf>
    <xf numFmtId="43" fontId="44" fillId="41" borderId="34" xfId="0" applyNumberFormat="1" applyFont="1" applyFill="1" applyBorder="1" applyAlignment="1">
      <alignment horizontal="left" vertical="center"/>
    </xf>
    <xf numFmtId="0" fontId="45" fillId="0" borderId="11" xfId="0" applyFont="1" applyBorder="1" applyAlignment="1">
      <alignment horizontal="center" vertical="center" wrapText="1"/>
    </xf>
    <xf numFmtId="43" fontId="43" fillId="0" borderId="36" xfId="0" applyNumberFormat="1" applyFont="1" applyBorder="1" applyAlignment="1">
      <alignment vertical="center"/>
    </xf>
    <xf numFmtId="43" fontId="44" fillId="0" borderId="0" xfId="0" applyNumberFormat="1" applyFont="1" applyAlignment="1">
      <alignment vertical="center"/>
    </xf>
    <xf numFmtId="43" fontId="46" fillId="0" borderId="36" xfId="0" applyNumberFormat="1" applyFont="1" applyBorder="1" applyAlignment="1">
      <alignment vertical="center"/>
    </xf>
    <xf numFmtId="0" fontId="46" fillId="0" borderId="0" xfId="0" applyFont="1"/>
    <xf numFmtId="43" fontId="43" fillId="0" borderId="0" xfId="0" applyNumberFormat="1" applyFont="1"/>
    <xf numFmtId="43" fontId="43" fillId="0" borderId="11" xfId="0" applyNumberFormat="1" applyFont="1" applyBorder="1" applyAlignment="1">
      <alignment vertical="center"/>
    </xf>
    <xf numFmtId="0" fontId="45" fillId="0" borderId="22" xfId="0" applyFont="1" applyBorder="1" applyAlignment="1">
      <alignment horizontal="center" vertical="center" wrapText="1"/>
    </xf>
    <xf numFmtId="43" fontId="43" fillId="0" borderId="22" xfId="0" applyNumberFormat="1" applyFont="1" applyBorder="1" applyAlignment="1">
      <alignment vertical="center"/>
    </xf>
    <xf numFmtId="43" fontId="45" fillId="0" borderId="11" xfId="0" applyNumberFormat="1" applyFont="1" applyBorder="1" applyAlignment="1">
      <alignment vertical="center"/>
    </xf>
    <xf numFmtId="0" fontId="45" fillId="0" borderId="11" xfId="0" applyFont="1" applyFill="1" applyBorder="1" applyAlignment="1">
      <alignment horizontal="center" vertical="center" wrapText="1"/>
    </xf>
    <xf numFmtId="0" fontId="45" fillId="0" borderId="11" xfId="0" applyFont="1" applyFill="1" applyBorder="1" applyAlignment="1">
      <alignment horizontal="justify" vertical="center" wrapText="1"/>
    </xf>
    <xf numFmtId="43" fontId="45" fillId="0" borderId="11" xfId="0" applyNumberFormat="1" applyFont="1" applyFill="1" applyBorder="1" applyAlignment="1">
      <alignment horizontal="left" vertical="center" wrapText="1"/>
    </xf>
    <xf numFmtId="0" fontId="43" fillId="0" borderId="0" xfId="0" applyFont="1" applyFill="1"/>
    <xf numFmtId="0" fontId="43" fillId="0" borderId="0" xfId="0" applyFont="1" applyAlignment="1">
      <alignment horizontal="left" vertical="center" wrapText="1"/>
    </xf>
    <xf numFmtId="1" fontId="45" fillId="0" borderId="11" xfId="0" applyNumberFormat="1" applyFont="1" applyBorder="1" applyAlignment="1">
      <alignment horizontal="center" vertical="center" wrapText="1"/>
    </xf>
    <xf numFmtId="0" fontId="43" fillId="0" borderId="11" xfId="0" applyFont="1" applyBorder="1" applyAlignment="1">
      <alignment horizontal="justify" vertical="center" wrapText="1"/>
    </xf>
    <xf numFmtId="1" fontId="45" fillId="0" borderId="22" xfId="0" applyNumberFormat="1" applyFont="1" applyBorder="1" applyAlignment="1">
      <alignment horizontal="center" vertical="center" wrapText="1"/>
    </xf>
    <xf numFmtId="43" fontId="44" fillId="41" borderId="36" xfId="0" applyNumberFormat="1" applyFont="1" applyFill="1" applyBorder="1" applyAlignment="1">
      <alignment horizontal="left" vertical="center"/>
    </xf>
    <xf numFmtId="0" fontId="44" fillId="42" borderId="23" xfId="0" applyFont="1" applyFill="1" applyBorder="1" applyAlignment="1">
      <alignment horizontal="center" vertical="center" wrapText="1"/>
    </xf>
    <xf numFmtId="43" fontId="44" fillId="42" borderId="34" xfId="42" applyFont="1" applyFill="1" applyBorder="1" applyAlignment="1">
      <alignment horizontal="justify" vertical="center"/>
    </xf>
    <xf numFmtId="43" fontId="43" fillId="34" borderId="0" xfId="0" applyNumberFormat="1" applyFont="1" applyFill="1"/>
    <xf numFmtId="0" fontId="43" fillId="34" borderId="0" xfId="0" applyFont="1" applyFill="1"/>
    <xf numFmtId="3" fontId="45" fillId="0" borderId="11" xfId="0" applyNumberFormat="1" applyFont="1" applyBorder="1" applyAlignment="1">
      <alignment horizontal="justify" vertical="center" wrapText="1"/>
    </xf>
    <xf numFmtId="3" fontId="43" fillId="0" borderId="11" xfId="0" applyNumberFormat="1" applyFont="1" applyBorder="1" applyAlignment="1">
      <alignment horizontal="justify" vertical="center" wrapText="1"/>
    </xf>
    <xf numFmtId="169" fontId="45" fillId="0" borderId="11" xfId="0" applyNumberFormat="1" applyFont="1" applyBorder="1" applyAlignment="1">
      <alignment horizontal="justify" vertical="center" wrapText="1"/>
    </xf>
    <xf numFmtId="43" fontId="44" fillId="42" borderId="34" xfId="52" applyFont="1" applyFill="1" applyBorder="1" applyAlignment="1">
      <alignment horizontal="center" vertical="center" wrapText="1"/>
    </xf>
    <xf numFmtId="0" fontId="47" fillId="0" borderId="0" xfId="0" applyFont="1"/>
    <xf numFmtId="0" fontId="47" fillId="40" borderId="40" xfId="0" applyFont="1" applyFill="1" applyBorder="1" applyAlignment="1">
      <alignment horizontal="justify" vertical="center" wrapText="1"/>
    </xf>
    <xf numFmtId="43" fontId="44" fillId="40" borderId="41" xfId="42" applyFont="1" applyFill="1" applyBorder="1" applyAlignment="1">
      <alignment vertical="center"/>
    </xf>
    <xf numFmtId="0" fontId="43" fillId="34" borderId="0" xfId="0" applyFont="1" applyFill="1" applyAlignment="1">
      <alignment horizontal="justify" vertical="center" wrapText="1"/>
    </xf>
    <xf numFmtId="0" fontId="45" fillId="34" borderId="0" xfId="0" applyFont="1" applyFill="1" applyAlignment="1">
      <alignment horizontal="center" vertical="center" wrapText="1"/>
    </xf>
    <xf numFmtId="167" fontId="43" fillId="34" borderId="0" xfId="0" applyNumberFormat="1" applyFont="1" applyFill="1" applyAlignment="1">
      <alignment vertical="center"/>
    </xf>
    <xf numFmtId="4" fontId="43" fillId="34" borderId="0" xfId="0" applyNumberFormat="1" applyFont="1" applyFill="1" applyAlignment="1">
      <alignment vertical="center" wrapText="1"/>
    </xf>
    <xf numFmtId="0" fontId="43" fillId="34" borderId="0" xfId="0" applyFont="1" applyFill="1" applyAlignment="1">
      <alignment vertical="center"/>
    </xf>
    <xf numFmtId="0" fontId="43" fillId="0" borderId="0" xfId="0" applyFont="1" applyAlignment="1">
      <alignment horizontal="justify" vertical="center" wrapText="1"/>
    </xf>
    <xf numFmtId="0" fontId="45" fillId="0" borderId="0" xfId="0" applyFont="1" applyAlignment="1">
      <alignment horizontal="center" vertical="center" wrapText="1"/>
    </xf>
    <xf numFmtId="0" fontId="43" fillId="0" borderId="0" xfId="0" applyFont="1" applyAlignment="1">
      <alignment vertical="center"/>
    </xf>
    <xf numFmtId="0" fontId="44" fillId="40" borderId="45" xfId="0" applyFont="1" applyFill="1" applyBorder="1" applyAlignment="1">
      <alignment horizontal="center" vertical="center" wrapText="1"/>
    </xf>
    <xf numFmtId="0" fontId="44" fillId="40" borderId="42" xfId="0" applyFont="1" applyFill="1" applyBorder="1" applyAlignment="1">
      <alignment horizontal="justify" vertical="center" wrapText="1"/>
    </xf>
    <xf numFmtId="168" fontId="19" fillId="0" borderId="25" xfId="49" applyFont="1" applyFill="1" applyBorder="1" applyAlignment="1">
      <alignment horizontal="justify" vertical="center"/>
    </xf>
    <xf numFmtId="168" fontId="19" fillId="0" borderId="24" xfId="49" applyFont="1" applyFill="1" applyBorder="1" applyAlignment="1">
      <alignment horizontal="justify" vertical="center"/>
    </xf>
    <xf numFmtId="168" fontId="19" fillId="34" borderId="22" xfId="49" applyFont="1" applyFill="1" applyBorder="1" applyAlignment="1">
      <alignment horizontal="center" vertical="center"/>
    </xf>
    <xf numFmtId="168" fontId="19" fillId="0" borderId="22" xfId="49" applyFont="1" applyFill="1" applyBorder="1" applyAlignment="1">
      <alignment horizontal="center"/>
    </xf>
    <xf numFmtId="168" fontId="19" fillId="0" borderId="24" xfId="49" applyFont="1" applyFill="1" applyBorder="1" applyAlignment="1">
      <alignment horizontal="center"/>
    </xf>
    <xf numFmtId="168" fontId="19" fillId="0" borderId="25" xfId="49" applyFont="1" applyFill="1" applyBorder="1" applyAlignment="1">
      <alignment horizontal="center"/>
    </xf>
    <xf numFmtId="0" fontId="45" fillId="0" borderId="14" xfId="0" applyFont="1" applyBorder="1" applyAlignment="1">
      <alignment horizontal="justify" vertical="center" wrapText="1"/>
    </xf>
    <xf numFmtId="43" fontId="46" fillId="0" borderId="11" xfId="0" applyNumberFormat="1" applyFont="1" applyBorder="1" applyAlignment="1">
      <alignment vertical="center"/>
    </xf>
    <xf numFmtId="0" fontId="45" fillId="0" borderId="24" xfId="0" applyFont="1" applyBorder="1" applyAlignment="1">
      <alignment horizontal="center" vertical="center" wrapText="1"/>
    </xf>
    <xf numFmtId="43" fontId="43" fillId="0" borderId="24" xfId="0" applyNumberFormat="1" applyFont="1" applyBorder="1" applyAlignment="1">
      <alignment vertical="center"/>
    </xf>
    <xf numFmtId="43" fontId="44" fillId="41" borderId="41" xfId="0" applyNumberFormat="1" applyFont="1" applyFill="1" applyBorder="1" applyAlignment="1">
      <alignment horizontal="left" vertical="center" wrapText="1"/>
    </xf>
    <xf numFmtId="0" fontId="45" fillId="0" borderId="47" xfId="0" applyFont="1" applyBorder="1" applyAlignment="1">
      <alignment horizontal="justify" vertical="center" wrapText="1"/>
    </xf>
    <xf numFmtId="0" fontId="45" fillId="0" borderId="47" xfId="0" applyFont="1" applyBorder="1" applyAlignment="1">
      <alignment horizontal="center" vertical="center" wrapText="1"/>
    </xf>
    <xf numFmtId="43" fontId="43" fillId="0" borderId="47" xfId="0" applyNumberFormat="1" applyFont="1" applyBorder="1" applyAlignment="1">
      <alignment vertical="center"/>
    </xf>
    <xf numFmtId="43" fontId="43" fillId="0" borderId="48" xfId="0" applyNumberFormat="1" applyFont="1" applyBorder="1" applyAlignment="1">
      <alignment vertical="center"/>
    </xf>
    <xf numFmtId="43" fontId="43" fillId="0" borderId="43" xfId="0" applyNumberFormat="1" applyFont="1" applyBorder="1" applyAlignment="1">
      <alignment vertical="center"/>
    </xf>
    <xf numFmtId="43" fontId="44" fillId="41" borderId="44" xfId="0" applyNumberFormat="1" applyFont="1" applyFill="1" applyBorder="1" applyAlignment="1">
      <alignment horizontal="left" vertical="center"/>
    </xf>
    <xf numFmtId="43" fontId="44" fillId="41" borderId="45" xfId="0" applyNumberFormat="1" applyFont="1" applyFill="1" applyBorder="1" applyAlignment="1">
      <alignment horizontal="left" vertical="center"/>
    </xf>
    <xf numFmtId="0" fontId="45" fillId="0" borderId="12" xfId="0" applyFont="1" applyBorder="1" applyAlignment="1">
      <alignment horizontal="justify" vertical="center" wrapText="1"/>
    </xf>
    <xf numFmtId="43" fontId="44" fillId="41" borderId="41" xfId="0" applyNumberFormat="1" applyFont="1" applyFill="1" applyBorder="1" applyAlignment="1">
      <alignment horizontal="left" vertical="center"/>
    </xf>
    <xf numFmtId="0" fontId="45" fillId="0" borderId="15" xfId="0" applyFont="1" applyBorder="1" applyAlignment="1">
      <alignment horizontal="justify" vertical="center" wrapText="1"/>
    </xf>
    <xf numFmtId="43" fontId="43" fillId="0" borderId="50" xfId="0" applyNumberFormat="1" applyFont="1" applyBorder="1" applyAlignment="1">
      <alignment vertical="center"/>
    </xf>
    <xf numFmtId="43" fontId="44" fillId="41" borderId="42" xfId="0" applyNumberFormat="1" applyFont="1" applyFill="1" applyBorder="1" applyAlignment="1">
      <alignment horizontal="left" vertical="center"/>
    </xf>
    <xf numFmtId="43" fontId="44" fillId="41" borderId="39" xfId="0" applyNumberFormat="1" applyFont="1" applyFill="1" applyBorder="1" applyAlignment="1">
      <alignment horizontal="left" vertical="center"/>
    </xf>
    <xf numFmtId="0" fontId="45" fillId="0" borderId="24" xfId="0" applyFont="1" applyFill="1" applyBorder="1" applyAlignment="1">
      <alignment horizontal="center" vertical="center" wrapText="1"/>
    </xf>
    <xf numFmtId="43" fontId="45" fillId="0" borderId="24" xfId="0" applyNumberFormat="1" applyFont="1" applyFill="1" applyBorder="1" applyAlignment="1">
      <alignment horizontal="left" vertical="center" wrapText="1"/>
    </xf>
    <xf numFmtId="1" fontId="45" fillId="0" borderId="22" xfId="0" applyNumberFormat="1" applyFont="1" applyFill="1" applyBorder="1" applyAlignment="1">
      <alignment horizontal="center" vertical="center" wrapText="1"/>
    </xf>
    <xf numFmtId="43" fontId="45" fillId="0" borderId="22" xfId="0" applyNumberFormat="1" applyFont="1" applyFill="1" applyBorder="1" applyAlignment="1">
      <alignment horizontal="left" vertical="center" wrapText="1"/>
    </xf>
    <xf numFmtId="0" fontId="44" fillId="42" borderId="23" xfId="0" applyFont="1" applyFill="1" applyBorder="1" applyAlignment="1">
      <alignment horizontal="left" vertical="center"/>
    </xf>
    <xf numFmtId="0" fontId="28" fillId="43" borderId="0" xfId="49" applyNumberFormat="1" applyFont="1" applyFill="1" applyAlignment="1">
      <alignment horizontal="left" vertical="center"/>
    </xf>
    <xf numFmtId="0" fontId="28" fillId="43" borderId="0" xfId="49" applyNumberFormat="1" applyFont="1" applyFill="1" applyAlignment="1">
      <alignment horizontal="center" vertical="center"/>
    </xf>
    <xf numFmtId="168" fontId="28" fillId="43" borderId="0" xfId="49" applyFont="1" applyFill="1" applyAlignment="1">
      <alignment horizontal="center"/>
    </xf>
    <xf numFmtId="0" fontId="28" fillId="43" borderId="0" xfId="49" applyNumberFormat="1" applyFont="1" applyFill="1" applyAlignment="1">
      <alignment horizontal="justify" vertical="center" wrapText="1"/>
    </xf>
    <xf numFmtId="0" fontId="28" fillId="43" borderId="0" xfId="49" applyNumberFormat="1" applyFont="1" applyFill="1" applyAlignment="1">
      <alignment horizontal="center" vertical="center" wrapText="1"/>
    </xf>
    <xf numFmtId="0" fontId="28" fillId="43" borderId="0" xfId="49" applyNumberFormat="1" applyFont="1" applyFill="1" applyAlignment="1">
      <alignment horizontal="center"/>
    </xf>
    <xf numFmtId="168" fontId="28" fillId="43" borderId="0" xfId="49" applyFont="1" applyFill="1" applyAlignment="1">
      <alignment horizontal="justify" vertical="center" wrapText="1"/>
    </xf>
    <xf numFmtId="168" fontId="28" fillId="43" borderId="0" xfId="49" applyFont="1" applyFill="1" applyAlignment="1">
      <alignment horizontal="center" vertical="center" wrapText="1"/>
    </xf>
    <xf numFmtId="167" fontId="28" fillId="43" borderId="11" xfId="49" applyNumberFormat="1" applyFont="1" applyFill="1" applyBorder="1"/>
    <xf numFmtId="0" fontId="28" fillId="40" borderId="0" xfId="49" applyNumberFormat="1" applyFont="1" applyFill="1" applyAlignment="1">
      <alignment horizontal="left" vertical="center"/>
    </xf>
    <xf numFmtId="0" fontId="19" fillId="40" borderId="0" xfId="49" applyNumberFormat="1" applyFont="1" applyFill="1" applyAlignment="1">
      <alignment horizontal="left" vertical="center"/>
    </xf>
    <xf numFmtId="0" fontId="19" fillId="40" borderId="0" xfId="49" applyNumberFormat="1" applyFont="1" applyFill="1" applyAlignment="1">
      <alignment horizontal="center" vertical="center"/>
    </xf>
    <xf numFmtId="168" fontId="19" fillId="40" borderId="0" xfId="49" applyFont="1" applyFill="1" applyAlignment="1">
      <alignment horizontal="center"/>
    </xf>
    <xf numFmtId="0" fontId="19" fillId="40" borderId="0" xfId="49" applyNumberFormat="1" applyFont="1" applyFill="1" applyAlignment="1">
      <alignment horizontal="justify" vertical="center" wrapText="1"/>
    </xf>
    <xf numFmtId="0" fontId="19" fillId="40" borderId="0" xfId="49" applyNumberFormat="1" applyFont="1" applyFill="1" applyAlignment="1">
      <alignment horizontal="center" vertical="center" wrapText="1"/>
    </xf>
    <xf numFmtId="0" fontId="19" fillId="40" borderId="0" xfId="49" applyNumberFormat="1" applyFont="1" applyFill="1" applyAlignment="1">
      <alignment horizontal="center"/>
    </xf>
    <xf numFmtId="168" fontId="19" fillId="40" borderId="0" xfId="49" applyFont="1" applyFill="1" applyAlignment="1">
      <alignment horizontal="justify" vertical="center" wrapText="1"/>
    </xf>
    <xf numFmtId="168" fontId="19" fillId="40" borderId="0" xfId="49" applyFont="1" applyFill="1" applyAlignment="1">
      <alignment horizontal="center" vertical="center" wrapText="1"/>
    </xf>
    <xf numFmtId="167" fontId="28" fillId="40" borderId="11" xfId="49" applyNumberFormat="1" applyFont="1" applyFill="1" applyBorder="1"/>
    <xf numFmtId="0" fontId="43" fillId="0" borderId="22" xfId="0" applyFont="1" applyBorder="1" applyAlignment="1">
      <alignment horizontal="justify" vertical="center" wrapText="1"/>
    </xf>
    <xf numFmtId="169" fontId="45" fillId="0" borderId="24" xfId="0" applyNumberFormat="1" applyFont="1" applyBorder="1" applyAlignment="1">
      <alignment horizontal="justify" vertical="center" wrapText="1"/>
    </xf>
    <xf numFmtId="170" fontId="44" fillId="41" borderId="42" xfId="56" applyNumberFormat="1" applyFont="1" applyFill="1" applyBorder="1" applyAlignment="1">
      <alignment horizontal="justify" vertical="center" wrapText="1"/>
    </xf>
    <xf numFmtId="43" fontId="44" fillId="42" borderId="51" xfId="52" applyFont="1" applyFill="1" applyBorder="1" applyAlignment="1">
      <alignment horizontal="center" vertical="center" wrapText="1"/>
    </xf>
    <xf numFmtId="43" fontId="44" fillId="40" borderId="42" xfId="42" applyFont="1" applyFill="1" applyBorder="1" applyAlignment="1">
      <alignment vertical="center"/>
    </xf>
    <xf numFmtId="167" fontId="19" fillId="0" borderId="11" xfId="32" applyFont="1" applyFill="1" applyBorder="1" applyAlignment="1">
      <alignment horizontal="center" vertical="center"/>
    </xf>
    <xf numFmtId="167" fontId="20" fillId="0" borderId="11" xfId="32" applyFont="1" applyFill="1" applyBorder="1" applyAlignment="1">
      <alignment vertical="center"/>
    </xf>
    <xf numFmtId="167" fontId="28" fillId="39" borderId="11" xfId="32" applyFont="1" applyFill="1" applyBorder="1" applyAlignment="1">
      <alignment vertical="center"/>
    </xf>
    <xf numFmtId="167" fontId="20" fillId="0" borderId="11" xfId="32" applyFont="1" applyFill="1" applyBorder="1" applyAlignment="1">
      <alignment horizontal="right" vertical="center"/>
    </xf>
    <xf numFmtId="43" fontId="38" fillId="0" borderId="11" xfId="42" applyFont="1" applyFill="1" applyBorder="1" applyAlignment="1">
      <alignment horizontal="justify" vertical="center"/>
    </xf>
    <xf numFmtId="0" fontId="44" fillId="40" borderId="39" xfId="0" applyFont="1" applyFill="1" applyBorder="1" applyAlignment="1">
      <alignment horizontal="justify" vertical="center" wrapText="1"/>
    </xf>
    <xf numFmtId="0" fontId="45" fillId="0" borderId="24" xfId="0" applyFont="1" applyBorder="1" applyAlignment="1">
      <alignment horizontal="justify" vertical="center" wrapText="1"/>
    </xf>
    <xf numFmtId="0" fontId="45" fillId="0" borderId="11" xfId="0" applyFont="1" applyBorder="1" applyAlignment="1">
      <alignment horizontal="justify" vertical="center" wrapText="1"/>
    </xf>
    <xf numFmtId="0" fontId="45" fillId="0" borderId="22" xfId="0" applyFont="1" applyBorder="1" applyAlignment="1">
      <alignment horizontal="justify" vertical="center" wrapText="1"/>
    </xf>
    <xf numFmtId="0" fontId="45" fillId="0" borderId="25" xfId="0" applyFont="1" applyBorder="1" applyAlignment="1">
      <alignment horizontal="justify" vertical="center" wrapText="1"/>
    </xf>
    <xf numFmtId="0" fontId="44" fillId="42" borderId="23" xfId="0" applyFont="1" applyFill="1" applyBorder="1" applyAlignment="1">
      <alignment horizontal="justify" vertical="center" wrapText="1"/>
    </xf>
    <xf numFmtId="0" fontId="45" fillId="0" borderId="37" xfId="0" applyFont="1" applyBorder="1" applyAlignment="1">
      <alignment horizontal="justify" vertical="center" wrapText="1"/>
    </xf>
    <xf numFmtId="0" fontId="45" fillId="0" borderId="24" xfId="0" applyFont="1" applyFill="1" applyBorder="1" applyAlignment="1">
      <alignment horizontal="justify" vertical="center" wrapText="1"/>
    </xf>
    <xf numFmtId="0" fontId="45" fillId="0" borderId="22" xfId="0" applyFont="1" applyFill="1" applyBorder="1" applyAlignment="1">
      <alignment horizontal="justify" vertical="center" wrapText="1"/>
    </xf>
    <xf numFmtId="0" fontId="44" fillId="0" borderId="11" xfId="0" applyFont="1" applyBorder="1" applyAlignment="1">
      <alignment horizontal="justify" vertical="center" wrapText="1"/>
    </xf>
    <xf numFmtId="0" fontId="44" fillId="40" borderId="40" xfId="0" applyFont="1" applyFill="1" applyBorder="1" applyAlignment="1">
      <alignment horizontal="center" vertical="center" wrapText="1"/>
    </xf>
    <xf numFmtId="0" fontId="44" fillId="40" borderId="41" xfId="0" applyFont="1" applyFill="1" applyBorder="1" applyAlignment="1">
      <alignment horizontal="center" vertical="center" wrapText="1"/>
    </xf>
    <xf numFmtId="0" fontId="43" fillId="0" borderId="52" xfId="0" applyFont="1" applyBorder="1"/>
    <xf numFmtId="0" fontId="43" fillId="0" borderId="31" xfId="0" applyFont="1" applyBorder="1"/>
    <xf numFmtId="0" fontId="44" fillId="0" borderId="31" xfId="0" applyFont="1" applyBorder="1" applyAlignment="1">
      <alignment horizontal="center" vertical="center"/>
    </xf>
    <xf numFmtId="0" fontId="44" fillId="42" borderId="34" xfId="0" applyFont="1" applyFill="1" applyBorder="1" applyAlignment="1">
      <alignment horizontal="center" vertical="center" wrapText="1"/>
    </xf>
    <xf numFmtId="0" fontId="44" fillId="0" borderId="31" xfId="0" applyFont="1" applyBorder="1" applyAlignment="1">
      <alignment vertical="center"/>
    </xf>
    <xf numFmtId="0" fontId="43" fillId="0" borderId="31" xfId="0" applyFont="1" applyBorder="1" applyAlignment="1">
      <alignment horizontal="center" vertical="center"/>
    </xf>
    <xf numFmtId="43" fontId="45" fillId="0" borderId="36" xfId="0" applyNumberFormat="1" applyFont="1" applyBorder="1" applyAlignment="1">
      <alignment vertical="center"/>
    </xf>
    <xf numFmtId="0" fontId="47" fillId="0" borderId="31" xfId="0" applyFont="1" applyBorder="1" applyAlignment="1">
      <alignment horizontal="center" vertical="center" wrapText="1"/>
    </xf>
    <xf numFmtId="0" fontId="43" fillId="0" borderId="37" xfId="0" applyFont="1" applyFill="1" applyBorder="1" applyAlignment="1">
      <alignment horizontal="center" vertical="center" wrapText="1"/>
    </xf>
    <xf numFmtId="43" fontId="45" fillId="0" borderId="43" xfId="0" applyNumberFormat="1" applyFont="1" applyFill="1" applyBorder="1" applyAlignment="1">
      <alignment horizontal="left" vertical="center" wrapText="1"/>
    </xf>
    <xf numFmtId="43" fontId="45" fillId="0" borderId="36" xfId="0" applyNumberFormat="1" applyFont="1" applyFill="1" applyBorder="1" applyAlignment="1">
      <alignment horizontal="left" vertical="center" wrapText="1"/>
    </xf>
    <xf numFmtId="43" fontId="45" fillId="0" borderId="50" xfId="0" applyNumberFormat="1" applyFont="1" applyFill="1" applyBorder="1" applyAlignment="1">
      <alignment horizontal="left" vertical="center" wrapText="1"/>
    </xf>
    <xf numFmtId="0" fontId="43" fillId="0" borderId="0" xfId="0" applyFont="1" applyBorder="1"/>
    <xf numFmtId="0" fontId="43" fillId="0" borderId="32" xfId="0" applyFont="1" applyBorder="1"/>
    <xf numFmtId="0" fontId="47" fillId="0" borderId="56" xfId="0" applyFont="1" applyBorder="1"/>
    <xf numFmtId="0" fontId="19" fillId="0" borderId="11" xfId="49" applyNumberFormat="1" applyFont="1" applyFill="1" applyBorder="1" applyAlignment="1">
      <alignment horizontal="center" vertical="center" wrapText="1"/>
    </xf>
    <xf numFmtId="0" fontId="20" fillId="34" borderId="11" xfId="0" applyFont="1" applyFill="1" applyBorder="1" applyAlignment="1">
      <alignment horizontal="center" vertical="center" wrapText="1"/>
    </xf>
    <xf numFmtId="0" fontId="20" fillId="0" borderId="11" xfId="0" applyFont="1" applyFill="1" applyBorder="1" applyAlignment="1">
      <alignment horizontal="center" vertical="center" wrapText="1"/>
    </xf>
    <xf numFmtId="168" fontId="29" fillId="36" borderId="11" xfId="49" applyFont="1" applyFill="1" applyBorder="1" applyAlignment="1">
      <alignment horizontal="center" vertical="center" wrapText="1"/>
    </xf>
    <xf numFmtId="168" fontId="29" fillId="36" borderId="11" xfId="49" applyFont="1" applyFill="1" applyBorder="1" applyAlignment="1">
      <alignment horizontal="center" vertical="center"/>
    </xf>
    <xf numFmtId="0" fontId="29" fillId="36" borderId="11" xfId="49" applyNumberFormat="1" applyFont="1" applyFill="1" applyBorder="1" applyAlignment="1">
      <alignment horizontal="center" vertical="center" wrapText="1"/>
    </xf>
    <xf numFmtId="0" fontId="29" fillId="36" borderId="14" xfId="49" applyNumberFormat="1" applyFont="1" applyFill="1" applyBorder="1" applyAlignment="1">
      <alignment horizontal="center" vertical="center" wrapText="1"/>
    </xf>
    <xf numFmtId="0" fontId="29" fillId="36" borderId="18" xfId="49" applyNumberFormat="1" applyFont="1" applyFill="1" applyBorder="1" applyAlignment="1">
      <alignment horizontal="center" vertical="center" wrapText="1"/>
    </xf>
    <xf numFmtId="168" fontId="28" fillId="0" borderId="15" xfId="49" applyFont="1" applyBorder="1" applyAlignment="1">
      <alignment horizontal="center" vertical="center" wrapText="1"/>
    </xf>
    <xf numFmtId="168" fontId="28" fillId="0" borderId="16" xfId="49" applyFont="1" applyBorder="1" applyAlignment="1">
      <alignment horizontal="center" vertical="center" wrapText="1"/>
    </xf>
    <xf numFmtId="168" fontId="28" fillId="0" borderId="17" xfId="49" applyFont="1" applyBorder="1" applyAlignment="1">
      <alignment horizontal="center" vertical="center" wrapText="1"/>
    </xf>
    <xf numFmtId="168" fontId="28" fillId="0" borderId="19" xfId="49" applyFont="1" applyBorder="1" applyAlignment="1">
      <alignment horizontal="center" vertical="center" wrapText="1"/>
    </xf>
    <xf numFmtId="168" fontId="28" fillId="0" borderId="0" xfId="49" applyFont="1" applyBorder="1" applyAlignment="1">
      <alignment horizontal="center" vertical="center" wrapText="1"/>
    </xf>
    <xf numFmtId="168" fontId="28" fillId="0" borderId="20" xfId="49" applyFont="1" applyBorder="1" applyAlignment="1">
      <alignment horizontal="center" vertical="center" wrapText="1"/>
    </xf>
    <xf numFmtId="168" fontId="28" fillId="0" borderId="12" xfId="49" applyFont="1" applyBorder="1" applyAlignment="1">
      <alignment horizontal="center" vertical="center" wrapText="1"/>
    </xf>
    <xf numFmtId="168" fontId="28" fillId="0" borderId="13" xfId="49" applyFont="1" applyBorder="1" applyAlignment="1">
      <alignment horizontal="center" vertical="center" wrapText="1"/>
    </xf>
    <xf numFmtId="168" fontId="28" fillId="0" borderId="21" xfId="49" applyFont="1" applyBorder="1" applyAlignment="1">
      <alignment horizontal="center" vertical="center" wrapText="1"/>
    </xf>
    <xf numFmtId="0" fontId="29" fillId="36" borderId="22" xfId="49" applyNumberFormat="1" applyFont="1" applyFill="1" applyBorder="1" applyAlignment="1">
      <alignment horizontal="center" vertical="center" wrapText="1"/>
    </xf>
    <xf numFmtId="0" fontId="29" fillId="36" borderId="24" xfId="49" applyNumberFormat="1" applyFont="1" applyFill="1" applyBorder="1" applyAlignment="1">
      <alignment horizontal="center" vertical="center" wrapText="1"/>
    </xf>
    <xf numFmtId="168" fontId="29" fillId="36" borderId="22" xfId="49" applyFont="1" applyFill="1" applyBorder="1" applyAlignment="1">
      <alignment horizontal="center" vertical="center" wrapText="1"/>
    </xf>
    <xf numFmtId="168" fontId="29" fillId="36" borderId="24" xfId="49" applyFont="1" applyFill="1" applyBorder="1" applyAlignment="1">
      <alignment horizontal="center" vertical="center" wrapText="1"/>
    </xf>
    <xf numFmtId="169" fontId="29" fillId="36" borderId="14" xfId="42" applyNumberFormat="1" applyFont="1" applyFill="1" applyBorder="1" applyAlignment="1">
      <alignment horizontal="center" vertical="center" wrapText="1"/>
    </xf>
    <xf numFmtId="169" fontId="29" fillId="36" borderId="23" xfId="42" applyNumberFormat="1" applyFont="1" applyFill="1" applyBorder="1" applyAlignment="1">
      <alignment horizontal="center" vertical="center" wrapText="1"/>
    </xf>
    <xf numFmtId="169" fontId="29" fillId="36" borderId="18" xfId="42" applyNumberFormat="1" applyFont="1" applyFill="1" applyBorder="1" applyAlignment="1">
      <alignment horizontal="center" vertical="center" wrapText="1"/>
    </xf>
    <xf numFmtId="168" fontId="19" fillId="0" borderId="22" xfId="49" applyFont="1" applyFill="1" applyBorder="1" applyAlignment="1">
      <alignment horizontal="center" vertical="center" wrapText="1"/>
    </xf>
    <xf numFmtId="168" fontId="19" fillId="0" borderId="25" xfId="49" applyFont="1" applyFill="1" applyBorder="1" applyAlignment="1">
      <alignment horizontal="center" vertical="center" wrapText="1"/>
    </xf>
    <xf numFmtId="168" fontId="19" fillId="0" borderId="24" xfId="49" applyFont="1" applyFill="1" applyBorder="1" applyAlignment="1">
      <alignment horizontal="center" vertical="center" wrapText="1"/>
    </xf>
    <xf numFmtId="168" fontId="19" fillId="0" borderId="22" xfId="49" applyFont="1" applyFill="1" applyBorder="1" applyAlignment="1">
      <alignment horizontal="justify" vertical="center" wrapText="1"/>
    </xf>
    <xf numFmtId="168" fontId="19" fillId="0" borderId="25" xfId="49" applyFont="1" applyFill="1" applyBorder="1" applyAlignment="1">
      <alignment horizontal="justify" vertical="center" wrapText="1"/>
    </xf>
    <xf numFmtId="168" fontId="20" fillId="0" borderId="22" xfId="49" applyFont="1" applyFill="1" applyBorder="1" applyAlignment="1">
      <alignment horizontal="center" vertical="center" wrapText="1"/>
    </xf>
    <xf numFmtId="168" fontId="20" fillId="0" borderId="24" xfId="49" applyFont="1" applyFill="1" applyBorder="1" applyAlignment="1">
      <alignment horizontal="center" vertical="center" wrapText="1"/>
    </xf>
    <xf numFmtId="168" fontId="19" fillId="0" borderId="24" xfId="49" applyFont="1" applyFill="1" applyBorder="1" applyAlignment="1">
      <alignment horizontal="justify" vertical="center" wrapText="1"/>
    </xf>
    <xf numFmtId="168" fontId="20" fillId="0" borderId="25" xfId="49" applyFont="1" applyFill="1" applyBorder="1" applyAlignment="1">
      <alignment horizontal="center" vertical="center" wrapText="1"/>
    </xf>
    <xf numFmtId="168" fontId="19" fillId="0" borderId="11" xfId="49" applyFont="1" applyFill="1" applyBorder="1" applyAlignment="1">
      <alignment horizontal="center" vertical="center" wrapText="1"/>
    </xf>
    <xf numFmtId="168" fontId="19" fillId="0" borderId="11" xfId="49" applyFont="1" applyFill="1" applyBorder="1" applyAlignment="1">
      <alignment horizontal="justify" vertical="center" wrapText="1"/>
    </xf>
    <xf numFmtId="0" fontId="28" fillId="0" borderId="15" xfId="49" applyNumberFormat="1" applyFont="1" applyBorder="1" applyAlignment="1">
      <alignment horizontal="center" vertical="center" wrapText="1"/>
    </xf>
    <xf numFmtId="0" fontId="28" fillId="0" borderId="19" xfId="49" applyNumberFormat="1" applyFont="1" applyBorder="1" applyAlignment="1">
      <alignment horizontal="center" vertical="center" wrapText="1"/>
    </xf>
    <xf numFmtId="0" fontId="28" fillId="0" borderId="12" xfId="49" applyNumberFormat="1" applyFont="1" applyBorder="1" applyAlignment="1">
      <alignment horizontal="center" vertical="center" wrapText="1"/>
    </xf>
    <xf numFmtId="168" fontId="19" fillId="0" borderId="22" xfId="49" applyFont="1" applyBorder="1" applyAlignment="1">
      <alignment horizontal="center" vertical="center" wrapText="1"/>
    </xf>
    <xf numFmtId="168" fontId="19" fillId="0" borderId="25" xfId="49" applyFont="1" applyBorder="1" applyAlignment="1">
      <alignment horizontal="center" vertical="center" wrapText="1"/>
    </xf>
    <xf numFmtId="168" fontId="19" fillId="0" borderId="24" xfId="49" applyFont="1" applyBorder="1" applyAlignment="1">
      <alignment horizontal="center" vertical="center" wrapText="1"/>
    </xf>
    <xf numFmtId="168" fontId="19" fillId="0" borderId="22" xfId="49" applyFont="1" applyBorder="1" applyAlignment="1">
      <alignment horizontal="justify" vertical="center" wrapText="1"/>
    </xf>
    <xf numFmtId="168" fontId="19" fillId="0" borderId="25" xfId="49" applyFont="1" applyBorder="1" applyAlignment="1">
      <alignment horizontal="justify" vertical="center" wrapText="1"/>
    </xf>
    <xf numFmtId="168" fontId="19" fillId="0" borderId="24" xfId="49" applyFont="1" applyBorder="1" applyAlignment="1">
      <alignment horizontal="justify" vertical="center" wrapText="1"/>
    </xf>
    <xf numFmtId="0" fontId="28" fillId="0" borderId="18" xfId="49" applyNumberFormat="1" applyFont="1" applyBorder="1" applyAlignment="1">
      <alignment horizontal="center" vertical="center" wrapText="1"/>
    </xf>
    <xf numFmtId="0" fontId="28" fillId="0" borderId="23" xfId="49" applyNumberFormat="1" applyFont="1" applyBorder="1" applyAlignment="1">
      <alignment horizontal="center" vertical="center" wrapText="1"/>
    </xf>
    <xf numFmtId="0" fontId="28" fillId="0" borderId="19" xfId="49" applyNumberFormat="1" applyFont="1" applyBorder="1" applyAlignment="1">
      <alignment horizontal="left" vertical="center" wrapText="1"/>
    </xf>
    <xf numFmtId="0" fontId="28" fillId="0" borderId="12" xfId="49" applyNumberFormat="1" applyFont="1" applyBorder="1" applyAlignment="1">
      <alignment horizontal="left" vertical="center" wrapText="1"/>
    </xf>
    <xf numFmtId="168" fontId="19" fillId="0" borderId="11" xfId="49" applyFont="1" applyFill="1" applyBorder="1" applyAlignment="1">
      <alignment horizontal="center" vertical="center"/>
    </xf>
    <xf numFmtId="168" fontId="20" fillId="0" borderId="11" xfId="49" applyFont="1" applyFill="1" applyBorder="1" applyAlignment="1">
      <alignment horizontal="justify" vertical="center" wrapText="1"/>
    </xf>
    <xf numFmtId="168" fontId="28" fillId="39" borderId="11" xfId="49" applyFont="1" applyFill="1" applyBorder="1" applyAlignment="1">
      <alignment horizontal="left" vertical="center"/>
    </xf>
    <xf numFmtId="3" fontId="19" fillId="0" borderId="11" xfId="49" applyNumberFormat="1" applyFont="1" applyFill="1" applyBorder="1" applyAlignment="1">
      <alignment horizontal="center" vertical="center" wrapText="1"/>
    </xf>
    <xf numFmtId="168" fontId="19" fillId="0" borderId="22" xfId="49" applyFont="1" applyFill="1" applyBorder="1" applyAlignment="1">
      <alignment horizontal="center" vertical="center"/>
    </xf>
    <xf numFmtId="168" fontId="19" fillId="0" borderId="24" xfId="49" applyFont="1" applyFill="1" applyBorder="1" applyAlignment="1">
      <alignment horizontal="center" vertical="center"/>
    </xf>
    <xf numFmtId="0" fontId="20" fillId="0" borderId="22" xfId="49" applyNumberFormat="1" applyFont="1" applyFill="1" applyBorder="1" applyAlignment="1">
      <alignment horizontal="justify" vertical="center" wrapText="1"/>
    </xf>
    <xf numFmtId="0" fontId="20" fillId="0" borderId="24" xfId="49" applyNumberFormat="1" applyFont="1" applyFill="1" applyBorder="1" applyAlignment="1">
      <alignment horizontal="justify" vertical="center" wrapText="1"/>
    </xf>
    <xf numFmtId="2" fontId="31" fillId="0" borderId="22" xfId="45" applyNumberFormat="1" applyFont="1" applyFill="1" applyBorder="1" applyAlignment="1">
      <alignment horizontal="center" vertical="center" wrapText="1"/>
    </xf>
    <xf numFmtId="2" fontId="31" fillId="0" borderId="24" xfId="45" applyNumberFormat="1" applyFont="1" applyFill="1" applyBorder="1" applyAlignment="1">
      <alignment horizontal="center" vertical="center" wrapText="1"/>
    </xf>
    <xf numFmtId="0" fontId="19" fillId="0" borderId="22" xfId="49" applyNumberFormat="1" applyFont="1" applyFill="1" applyBorder="1" applyAlignment="1">
      <alignment horizontal="center" vertical="center" wrapText="1"/>
    </xf>
    <xf numFmtId="0" fontId="19" fillId="0" borderId="24" xfId="49" applyNumberFormat="1" applyFont="1" applyFill="1" applyBorder="1" applyAlignment="1">
      <alignment horizontal="center" vertical="center" wrapText="1"/>
    </xf>
    <xf numFmtId="3" fontId="19" fillId="0" borderId="22" xfId="49" applyNumberFormat="1" applyFont="1" applyFill="1" applyBorder="1" applyAlignment="1">
      <alignment horizontal="center" vertical="center" wrapText="1"/>
    </xf>
    <xf numFmtId="3" fontId="19" fillId="0" borderId="24" xfId="49" applyNumberFormat="1" applyFont="1" applyFill="1" applyBorder="1" applyAlignment="1">
      <alignment horizontal="center" vertical="center" wrapText="1"/>
    </xf>
    <xf numFmtId="43" fontId="19" fillId="0" borderId="22" xfId="52" applyFont="1" applyFill="1" applyBorder="1" applyAlignment="1">
      <alignment horizontal="center" vertical="center"/>
    </xf>
    <xf numFmtId="43" fontId="19" fillId="0" borderId="24" xfId="52" applyFont="1" applyFill="1" applyBorder="1" applyAlignment="1">
      <alignment horizontal="center" vertical="center"/>
    </xf>
    <xf numFmtId="171" fontId="19" fillId="0" borderId="22" xfId="55" applyFont="1" applyFill="1" applyBorder="1" applyAlignment="1">
      <alignment horizontal="justify" vertical="center" wrapText="1"/>
    </xf>
    <xf numFmtId="171" fontId="19" fillId="0" borderId="24" xfId="55" applyFont="1" applyFill="1" applyBorder="1" applyAlignment="1">
      <alignment horizontal="justify" vertical="center" wrapText="1"/>
    </xf>
    <xf numFmtId="168" fontId="19" fillId="0" borderId="25" xfId="49" applyFont="1" applyFill="1" applyBorder="1" applyAlignment="1">
      <alignment horizontal="center" vertical="center"/>
    </xf>
    <xf numFmtId="0" fontId="20" fillId="0" borderId="11" xfId="49" applyNumberFormat="1" applyFont="1" applyFill="1" applyBorder="1" applyAlignment="1">
      <alignment horizontal="justify" vertical="center" wrapText="1"/>
    </xf>
    <xf numFmtId="2" fontId="31" fillId="0" borderId="11" xfId="45" applyNumberFormat="1" applyFont="1" applyFill="1" applyBorder="1" applyAlignment="1">
      <alignment horizontal="center" vertical="center" wrapText="1"/>
    </xf>
    <xf numFmtId="0" fontId="19" fillId="0" borderId="11" xfId="49" applyNumberFormat="1" applyFont="1" applyFill="1" applyBorder="1" applyAlignment="1">
      <alignment horizontal="center" vertical="center" wrapText="1"/>
    </xf>
    <xf numFmtId="3" fontId="19" fillId="0" borderId="25" xfId="49" applyNumberFormat="1" applyFont="1" applyFill="1" applyBorder="1" applyAlignment="1">
      <alignment horizontal="center" vertical="center" wrapText="1"/>
    </xf>
    <xf numFmtId="174" fontId="31" fillId="0" borderId="22" xfId="44" applyNumberFormat="1" applyFont="1" applyFill="1" applyBorder="1" applyAlignment="1">
      <alignment horizontal="center" vertical="center" wrapText="1"/>
    </xf>
    <xf numFmtId="174" fontId="31" fillId="0" borderId="24" xfId="44" applyNumberFormat="1" applyFont="1" applyFill="1" applyBorder="1" applyAlignment="1">
      <alignment horizontal="center" vertical="center" wrapText="1"/>
    </xf>
    <xf numFmtId="168" fontId="19" fillId="0" borderId="11" xfId="49" applyFont="1" applyBorder="1" applyAlignment="1">
      <alignment horizontal="center" vertical="center" wrapText="1"/>
    </xf>
    <xf numFmtId="0" fontId="28" fillId="0" borderId="22" xfId="49" applyNumberFormat="1" applyFont="1" applyBorder="1" applyAlignment="1">
      <alignment horizontal="left" vertical="center" wrapText="1"/>
    </xf>
    <xf numFmtId="0" fontId="28" fillId="0" borderId="25" xfId="49" applyNumberFormat="1" applyFont="1" applyBorder="1" applyAlignment="1">
      <alignment horizontal="left" vertical="center" wrapText="1"/>
    </xf>
    <xf numFmtId="0" fontId="28" fillId="0" borderId="16" xfId="49" applyNumberFormat="1" applyFont="1" applyFill="1" applyBorder="1" applyAlignment="1">
      <alignment horizontal="left" vertical="center" wrapText="1"/>
    </xf>
    <xf numFmtId="0" fontId="28" fillId="0" borderId="13" xfId="49" applyNumberFormat="1" applyFont="1" applyFill="1" applyBorder="1" applyAlignment="1">
      <alignment horizontal="left" vertical="center" wrapText="1"/>
    </xf>
    <xf numFmtId="0" fontId="20" fillId="0" borderId="22" xfId="49" applyNumberFormat="1" applyFont="1" applyFill="1" applyBorder="1" applyAlignment="1">
      <alignment horizontal="left" vertical="center" wrapText="1"/>
    </xf>
    <xf numFmtId="0" fontId="20" fillId="0" borderId="24" xfId="49" applyNumberFormat="1" applyFont="1" applyFill="1" applyBorder="1" applyAlignment="1">
      <alignment horizontal="left" vertical="center" wrapText="1"/>
    </xf>
    <xf numFmtId="0" fontId="31" fillId="0" borderId="22" xfId="45" applyFont="1" applyFill="1" applyBorder="1" applyAlignment="1">
      <alignment horizontal="center" vertical="center" wrapText="1"/>
    </xf>
    <xf numFmtId="0" fontId="31" fillId="0" borderId="24" xfId="45" applyFont="1" applyFill="1" applyBorder="1" applyAlignment="1">
      <alignment horizontal="center" vertical="center" wrapText="1"/>
    </xf>
    <xf numFmtId="0" fontId="28" fillId="40" borderId="14" xfId="49" applyNumberFormat="1" applyFont="1" applyFill="1" applyBorder="1" applyAlignment="1">
      <alignment horizontal="left" vertical="center" wrapText="1"/>
    </xf>
    <xf numFmtId="0" fontId="28" fillId="40" borderId="23" xfId="49" applyNumberFormat="1" applyFont="1" applyFill="1" applyBorder="1" applyAlignment="1">
      <alignment horizontal="left" vertical="center" wrapText="1"/>
    </xf>
    <xf numFmtId="0" fontId="28" fillId="40" borderId="18" xfId="49" applyNumberFormat="1" applyFont="1" applyFill="1" applyBorder="1" applyAlignment="1">
      <alignment horizontal="left" vertical="center" wrapText="1"/>
    </xf>
    <xf numFmtId="168" fontId="20" fillId="0" borderId="11" xfId="49" applyFont="1" applyFill="1" applyBorder="1" applyAlignment="1">
      <alignment horizontal="center" vertical="center" wrapText="1"/>
    </xf>
    <xf numFmtId="0" fontId="28" fillId="0" borderId="25" xfId="49" applyNumberFormat="1" applyFont="1" applyFill="1" applyBorder="1" applyAlignment="1">
      <alignment horizontal="left" vertical="center" wrapText="1"/>
    </xf>
    <xf numFmtId="0" fontId="28" fillId="0" borderId="24" xfId="49" applyNumberFormat="1" applyFont="1" applyFill="1" applyBorder="1" applyAlignment="1">
      <alignment horizontal="left" vertical="center" wrapText="1"/>
    </xf>
    <xf numFmtId="0" fontId="28" fillId="0" borderId="15" xfId="49" applyNumberFormat="1" applyFont="1" applyFill="1" applyBorder="1" applyAlignment="1">
      <alignment horizontal="left" vertical="center" wrapText="1"/>
    </xf>
    <xf numFmtId="0" fontId="28" fillId="0" borderId="12" xfId="49" applyNumberFormat="1" applyFont="1" applyFill="1" applyBorder="1" applyAlignment="1">
      <alignment horizontal="left" vertical="center" wrapText="1"/>
    </xf>
    <xf numFmtId="169" fontId="19" fillId="0" borderId="22" xfId="49" applyNumberFormat="1" applyFont="1" applyFill="1" applyBorder="1" applyAlignment="1">
      <alignment horizontal="justify" vertical="center" wrapText="1"/>
    </xf>
    <xf numFmtId="169" fontId="19" fillId="0" borderId="25" xfId="49" applyNumberFormat="1" applyFont="1" applyFill="1" applyBorder="1" applyAlignment="1">
      <alignment horizontal="justify" vertical="center" wrapText="1"/>
    </xf>
    <xf numFmtId="169" fontId="19" fillId="0" borderId="24" xfId="49" applyNumberFormat="1" applyFont="1" applyFill="1" applyBorder="1" applyAlignment="1">
      <alignment horizontal="justify" vertical="center" wrapText="1"/>
    </xf>
    <xf numFmtId="168" fontId="19" fillId="0" borderId="22" xfId="49" applyFont="1" applyBorder="1" applyAlignment="1">
      <alignment horizontal="center" vertical="center"/>
    </xf>
    <xf numFmtId="168" fontId="19" fillId="0" borderId="25" xfId="49" applyFont="1" applyBorder="1" applyAlignment="1">
      <alignment horizontal="center" vertical="center"/>
    </xf>
    <xf numFmtId="168" fontId="19" fillId="0" borderId="24" xfId="49" applyFont="1" applyBorder="1" applyAlignment="1">
      <alignment horizontal="center" vertical="center"/>
    </xf>
    <xf numFmtId="0" fontId="28" fillId="0" borderId="22" xfId="49" applyNumberFormat="1" applyFont="1" applyBorder="1" applyAlignment="1">
      <alignment horizontal="left" vertical="center"/>
    </xf>
    <xf numFmtId="0" fontId="28" fillId="0" borderId="19" xfId="49" applyNumberFormat="1" applyFont="1" applyBorder="1" applyAlignment="1">
      <alignment horizontal="left" vertical="center"/>
    </xf>
    <xf numFmtId="0" fontId="28" fillId="0" borderId="25" xfId="49" applyNumberFormat="1" applyFont="1" applyBorder="1" applyAlignment="1">
      <alignment horizontal="left" vertical="center"/>
    </xf>
    <xf numFmtId="0" fontId="28" fillId="0" borderId="0" xfId="49" applyNumberFormat="1" applyFont="1" applyFill="1" applyBorder="1" applyAlignment="1">
      <alignment horizontal="left" vertical="center" wrapText="1"/>
    </xf>
    <xf numFmtId="0" fontId="44" fillId="41" borderId="39" xfId="0" applyFont="1" applyFill="1" applyBorder="1" applyAlignment="1">
      <alignment horizontal="left" vertical="center" wrapText="1"/>
    </xf>
    <xf numFmtId="0" fontId="44" fillId="41" borderId="40" xfId="0" applyFont="1" applyFill="1" applyBorder="1" applyAlignment="1">
      <alignment horizontal="left" vertical="center" wrapText="1"/>
    </xf>
    <xf numFmtId="0" fontId="45" fillId="0" borderId="49" xfId="0" applyFont="1" applyBorder="1" applyAlignment="1">
      <alignment horizontal="justify" vertical="center" wrapText="1"/>
    </xf>
    <xf numFmtId="0" fontId="45" fillId="0" borderId="37" xfId="0" applyFont="1" applyBorder="1" applyAlignment="1">
      <alignment horizontal="justify" vertical="center" wrapText="1"/>
    </xf>
    <xf numFmtId="0" fontId="45" fillId="0" borderId="35" xfId="0" applyFont="1" applyBorder="1" applyAlignment="1">
      <alignment horizontal="justify" vertical="center" wrapText="1"/>
    </xf>
    <xf numFmtId="0" fontId="45" fillId="0" borderId="25" xfId="0" applyFont="1" applyBorder="1" applyAlignment="1">
      <alignment horizontal="justify" vertical="center" wrapText="1"/>
    </xf>
    <xf numFmtId="0" fontId="45" fillId="0" borderId="24" xfId="0" applyFont="1" applyBorder="1" applyAlignment="1">
      <alignment horizontal="justify" vertical="center" wrapText="1"/>
    </xf>
    <xf numFmtId="0" fontId="44" fillId="0" borderId="52" xfId="0" applyFont="1" applyBorder="1" applyAlignment="1">
      <alignment horizontal="center" vertical="center" wrapText="1"/>
    </xf>
    <xf numFmtId="0" fontId="44" fillId="0" borderId="53" xfId="0" applyFont="1" applyBorder="1" applyAlignment="1">
      <alignment horizontal="center" vertical="center" wrapText="1"/>
    </xf>
    <xf numFmtId="0" fontId="44" fillId="0" borderId="54" xfId="0" applyFont="1" applyBorder="1" applyAlignment="1">
      <alignment horizontal="center" vertical="center" wrapText="1"/>
    </xf>
    <xf numFmtId="0" fontId="44" fillId="0" borderId="31" xfId="0" applyFont="1" applyBorder="1" applyAlignment="1">
      <alignment horizontal="center" vertical="center" wrapText="1"/>
    </xf>
    <xf numFmtId="0" fontId="44" fillId="0" borderId="0" xfId="0" applyFont="1" applyBorder="1" applyAlignment="1">
      <alignment horizontal="center" vertical="center" wrapText="1"/>
    </xf>
    <xf numFmtId="0" fontId="44" fillId="0" borderId="32" xfId="0" applyFont="1" applyBorder="1" applyAlignment="1">
      <alignment horizontal="center" vertical="center" wrapText="1"/>
    </xf>
    <xf numFmtId="0" fontId="44" fillId="40" borderId="39" xfId="0" applyFont="1" applyFill="1" applyBorder="1" applyAlignment="1">
      <alignment horizontal="center" vertical="center" wrapText="1"/>
    </xf>
    <xf numFmtId="0" fontId="44" fillId="40" borderId="40" xfId="0" applyFont="1" applyFill="1" applyBorder="1" applyAlignment="1">
      <alignment horizontal="center" vertical="center" wrapText="1"/>
    </xf>
    <xf numFmtId="0" fontId="44" fillId="40" borderId="41" xfId="0" applyFont="1" applyFill="1" applyBorder="1" applyAlignment="1">
      <alignment horizontal="center" vertical="center" wrapText="1"/>
    </xf>
    <xf numFmtId="0" fontId="45" fillId="0" borderId="22" xfId="0" applyFont="1" applyBorder="1" applyAlignment="1">
      <alignment horizontal="justify" vertical="center" wrapText="1"/>
    </xf>
    <xf numFmtId="0" fontId="44" fillId="0" borderId="49" xfId="0" applyFont="1" applyBorder="1" applyAlignment="1">
      <alignment horizontal="justify" vertical="center" wrapText="1"/>
    </xf>
    <xf numFmtId="0" fontId="44" fillId="0" borderId="35" xfId="0" applyFont="1" applyBorder="1" applyAlignment="1">
      <alignment horizontal="justify" vertical="center" wrapText="1"/>
    </xf>
    <xf numFmtId="0" fontId="43" fillId="0" borderId="38" xfId="0" applyFont="1" applyBorder="1" applyAlignment="1">
      <alignment horizontal="center" vertical="center"/>
    </xf>
    <xf numFmtId="0" fontId="45" fillId="0" borderId="11" xfId="42" applyNumberFormat="1" applyFont="1" applyFill="1" applyBorder="1" applyAlignment="1">
      <alignment horizontal="justify" vertical="center" wrapText="1"/>
    </xf>
    <xf numFmtId="0" fontId="45" fillId="0" borderId="11" xfId="0" applyFont="1" applyBorder="1" applyAlignment="1">
      <alignment horizontal="justify" vertical="center" wrapText="1"/>
    </xf>
    <xf numFmtId="0" fontId="45" fillId="0" borderId="38" xfId="0" applyFont="1" applyFill="1" applyBorder="1" applyAlignment="1">
      <alignment horizontal="justify" vertical="center" wrapText="1"/>
    </xf>
    <xf numFmtId="0" fontId="43" fillId="0" borderId="55" xfId="0" applyFont="1" applyBorder="1" applyAlignment="1">
      <alignment horizontal="center" vertical="center"/>
    </xf>
    <xf numFmtId="0" fontId="44" fillId="0" borderId="22" xfId="0" applyFont="1" applyBorder="1" applyAlignment="1">
      <alignment horizontal="justify" vertical="center" wrapText="1"/>
    </xf>
    <xf numFmtId="0" fontId="44" fillId="0" borderId="25" xfId="0" applyFont="1" applyBorder="1" applyAlignment="1">
      <alignment horizontal="justify" vertical="center" wrapText="1"/>
    </xf>
    <xf numFmtId="0" fontId="45" fillId="0" borderId="22" xfId="42" applyNumberFormat="1" applyFont="1" applyFill="1" applyBorder="1" applyAlignment="1">
      <alignment horizontal="justify" vertical="center" wrapText="1"/>
    </xf>
    <xf numFmtId="0" fontId="44" fillId="41" borderId="41" xfId="0" applyFont="1" applyFill="1" applyBorder="1" applyAlignment="1">
      <alignment horizontal="left" vertical="center" wrapText="1"/>
    </xf>
    <xf numFmtId="0" fontId="44" fillId="0" borderId="24" xfId="0" applyFont="1" applyBorder="1" applyAlignment="1">
      <alignment horizontal="justify" vertical="center" wrapText="1"/>
    </xf>
    <xf numFmtId="0" fontId="44" fillId="0" borderId="11" xfId="0" applyFont="1" applyBorder="1" applyAlignment="1">
      <alignment horizontal="justify" vertical="center" wrapText="1"/>
    </xf>
    <xf numFmtId="0" fontId="44" fillId="0" borderId="38" xfId="0" applyFont="1" applyBorder="1" applyAlignment="1">
      <alignment horizontal="justify" vertical="center" wrapText="1"/>
    </xf>
    <xf numFmtId="0" fontId="44" fillId="0" borderId="46" xfId="0" applyFont="1" applyBorder="1" applyAlignment="1">
      <alignment horizontal="justify" vertical="center" wrapText="1"/>
    </xf>
    <xf numFmtId="0" fontId="45" fillId="0" borderId="25" xfId="0" applyFont="1" applyFill="1" applyBorder="1" applyAlignment="1">
      <alignment horizontal="justify" vertical="center" wrapText="1"/>
    </xf>
    <xf numFmtId="0" fontId="45" fillId="0" borderId="24" xfId="0" applyFont="1" applyFill="1" applyBorder="1" applyAlignment="1">
      <alignment horizontal="justify" vertical="center" wrapText="1"/>
    </xf>
    <xf numFmtId="0" fontId="45" fillId="0" borderId="22" xfId="0" applyFont="1" applyFill="1" applyBorder="1" applyAlignment="1">
      <alignment horizontal="justify" vertical="center" wrapText="1"/>
    </xf>
    <xf numFmtId="0" fontId="44" fillId="41" borderId="33" xfId="0" applyFont="1" applyFill="1" applyBorder="1" applyAlignment="1">
      <alignment horizontal="left" vertical="center" wrapText="1"/>
    </xf>
    <xf numFmtId="0" fontId="44" fillId="41" borderId="23" xfId="0" applyFont="1" applyFill="1" applyBorder="1" applyAlignment="1">
      <alignment horizontal="left" vertical="center" wrapText="1"/>
    </xf>
    <xf numFmtId="0" fontId="44" fillId="42" borderId="33" xfId="0" applyFont="1" applyFill="1" applyBorder="1" applyAlignment="1">
      <alignment horizontal="justify" vertical="center" wrapText="1"/>
    </xf>
    <xf numFmtId="0" fontId="44" fillId="42" borderId="23" xfId="0" applyFont="1" applyFill="1" applyBorder="1" applyAlignment="1">
      <alignment horizontal="justify" vertical="center" wrapText="1"/>
    </xf>
    <xf numFmtId="0" fontId="45" fillId="0" borderId="38" xfId="0" applyFont="1" applyBorder="1" applyAlignment="1">
      <alignment horizontal="justify" vertical="center" wrapText="1"/>
    </xf>
    <xf numFmtId="0" fontId="45" fillId="0" borderId="20" xfId="0" applyFont="1" applyBorder="1" applyAlignment="1">
      <alignment horizontal="justify" vertical="center" wrapText="1"/>
    </xf>
    <xf numFmtId="0" fontId="45" fillId="0" borderId="21" xfId="0" applyFont="1" applyBorder="1" applyAlignment="1">
      <alignment horizontal="justify" vertical="center" wrapText="1"/>
    </xf>
    <xf numFmtId="0" fontId="44" fillId="0" borderId="37" xfId="0" applyFont="1" applyBorder="1" applyAlignment="1">
      <alignment horizontal="left" vertical="center" wrapText="1"/>
    </xf>
    <xf numFmtId="0" fontId="44" fillId="0" borderId="11" xfId="0" applyFont="1" applyBorder="1" applyAlignment="1">
      <alignment horizontal="left" vertical="center" wrapText="1"/>
    </xf>
    <xf numFmtId="0" fontId="44" fillId="0" borderId="36" xfId="0" applyFont="1" applyBorder="1" applyAlignment="1">
      <alignment horizontal="left" vertical="center" wrapText="1"/>
    </xf>
    <xf numFmtId="0" fontId="44" fillId="41" borderId="33" xfId="0" applyFont="1" applyFill="1" applyBorder="1" applyAlignment="1">
      <alignment horizontal="justify" vertical="center" wrapText="1"/>
    </xf>
    <xf numFmtId="0" fontId="44" fillId="41" borderId="23" xfId="0" applyFont="1" applyFill="1" applyBorder="1" applyAlignment="1">
      <alignment horizontal="justify" vertical="center" wrapText="1"/>
    </xf>
    <xf numFmtId="0" fontId="44" fillId="41" borderId="18" xfId="0" applyFont="1" applyFill="1" applyBorder="1" applyAlignment="1">
      <alignment horizontal="justify" vertical="center" wrapText="1"/>
    </xf>
    <xf numFmtId="0" fontId="45" fillId="0" borderId="17" xfId="0" applyFont="1" applyBorder="1" applyAlignment="1">
      <alignment horizontal="justify" vertical="center" wrapText="1"/>
    </xf>
    <xf numFmtId="0" fontId="44" fillId="40" borderId="39" xfId="0" applyFont="1" applyFill="1" applyBorder="1" applyAlignment="1">
      <alignment horizontal="justify" vertical="center" wrapText="1"/>
    </xf>
    <xf numFmtId="0" fontId="44" fillId="40" borderId="40" xfId="0" applyFont="1" applyFill="1" applyBorder="1" applyAlignment="1">
      <alignment horizontal="justify" vertical="center" wrapText="1"/>
    </xf>
    <xf numFmtId="0" fontId="44" fillId="34" borderId="0" xfId="0" applyFont="1" applyFill="1" applyAlignment="1">
      <alignment horizontal="center"/>
    </xf>
    <xf numFmtId="0" fontId="43" fillId="34" borderId="0" xfId="0" applyFont="1" applyFill="1" applyAlignment="1">
      <alignment horizontal="center"/>
    </xf>
    <xf numFmtId="0" fontId="45" fillId="34" borderId="0" xfId="0" applyFont="1" applyFill="1" applyAlignment="1">
      <alignment horizontal="left" vertical="center"/>
    </xf>
    <xf numFmtId="0" fontId="45" fillId="34" borderId="0" xfId="0" applyFont="1" applyFill="1" applyAlignment="1">
      <alignment horizontal="left" vertical="center" wrapText="1"/>
    </xf>
    <xf numFmtId="0" fontId="23" fillId="0" borderId="12" xfId="0" applyFont="1" applyBorder="1" applyAlignment="1">
      <alignment horizontal="center" vertical="center" wrapText="1"/>
    </xf>
    <xf numFmtId="0" fontId="23" fillId="0" borderId="13" xfId="0" applyFont="1" applyBorder="1" applyAlignment="1">
      <alignment horizontal="center" vertical="center" wrapText="1"/>
    </xf>
    <xf numFmtId="169" fontId="22" fillId="0" borderId="0" xfId="58" applyNumberFormat="1" applyFont="1" applyFill="1" applyBorder="1" applyAlignment="1">
      <alignment horizontal="center"/>
    </xf>
    <xf numFmtId="169" fontId="24" fillId="0" borderId="0" xfId="58" applyNumberFormat="1" applyFont="1" applyAlignment="1">
      <alignment horizontal="center" vertical="center"/>
    </xf>
  </cellXfs>
  <cellStyles count="59">
    <cellStyle name="20% - Énfasis1" xfId="1" builtinId="30" customBuiltin="1"/>
    <cellStyle name="20% - Énfasis2" xfId="2" builtinId="34" customBuiltin="1"/>
    <cellStyle name="20% - Énfasis3" xfId="3" builtinId="38" customBuiltin="1"/>
    <cellStyle name="20% - Énfasis4" xfId="4" builtinId="42" customBuiltin="1"/>
    <cellStyle name="20% - Énfasis5" xfId="5" builtinId="46" customBuiltin="1"/>
    <cellStyle name="20% - Énfasis6" xfId="6" builtinId="50" customBuiltin="1"/>
    <cellStyle name="40% - Énfasis1" xfId="7" builtinId="31" customBuiltin="1"/>
    <cellStyle name="40% - Énfasis2" xfId="8" builtinId="35" customBuiltin="1"/>
    <cellStyle name="40% - Énfasis3" xfId="9" builtinId="39" customBuiltin="1"/>
    <cellStyle name="40% - Énfasis4" xfId="10" builtinId="43" customBuiltin="1"/>
    <cellStyle name="40% - Énfasis5" xfId="11" builtinId="47" customBuiltin="1"/>
    <cellStyle name="40% - Énfasis6" xfId="12" builtinId="51" customBuiltin="1"/>
    <cellStyle name="60% - Énfasis1" xfId="13" builtinId="32" customBuiltin="1"/>
    <cellStyle name="60% - Énfasis2" xfId="14" builtinId="36" customBuiltin="1"/>
    <cellStyle name="60% - Énfasis3" xfId="15" builtinId="40" customBuiltin="1"/>
    <cellStyle name="60% - Énfasis4" xfId="16" builtinId="44" customBuiltin="1"/>
    <cellStyle name="60% - Énfasis5" xfId="17" builtinId="48" customBuiltin="1"/>
    <cellStyle name="60% - Énfasis6" xfId="18" builtinId="52" customBuiltin="1"/>
    <cellStyle name="Cálculo" xfId="19" builtinId="22" customBuiltin="1"/>
    <cellStyle name="Celda de comprobación" xfId="20" builtinId="23" customBuiltin="1"/>
    <cellStyle name="Celda vinculada" xfId="21" builtinId="24" customBuiltin="1"/>
    <cellStyle name="Encabezado 1" xfId="22" builtinId="16" customBuiltin="1"/>
    <cellStyle name="Encabezado 4" xfId="23" builtinId="19" customBuiltin="1"/>
    <cellStyle name="Énfasis1" xfId="24" builtinId="29" customBuiltin="1"/>
    <cellStyle name="Énfasis2" xfId="25" builtinId="33" customBuiltin="1"/>
    <cellStyle name="Énfasis3" xfId="26" builtinId="37" customBuiltin="1"/>
    <cellStyle name="Énfasis4" xfId="27" builtinId="41" customBuiltin="1"/>
    <cellStyle name="Énfasis5" xfId="28" builtinId="45" customBuiltin="1"/>
    <cellStyle name="Énfasis6" xfId="29" builtinId="49" customBuiltin="1"/>
    <cellStyle name="Entrada" xfId="30" builtinId="20" customBuiltin="1"/>
    <cellStyle name="Incorrecto" xfId="31" builtinId="27" customBuiltin="1"/>
    <cellStyle name="KPT04" xfId="50"/>
    <cellStyle name="KPT04 2" xfId="44"/>
    <cellStyle name="Millares" xfId="32" builtinId="3"/>
    <cellStyle name="Millares [0]" xfId="56" builtinId="6"/>
    <cellStyle name="Millares [0] 2" xfId="47"/>
    <cellStyle name="Millares 2" xfId="42"/>
    <cellStyle name="Millares 2 2" xfId="52"/>
    <cellStyle name="Millares 2 2 2 2" xfId="43"/>
    <cellStyle name="Millares 2 4" xfId="58"/>
    <cellStyle name="Moneda [0] 2" xfId="53"/>
    <cellStyle name="Moneda 2" xfId="51"/>
    <cellStyle name="Moneda 2 2" xfId="55"/>
    <cellStyle name="Neutral" xfId="33" builtinId="28" customBuiltin="1"/>
    <cellStyle name="Normal" xfId="0" builtinId="0"/>
    <cellStyle name="Normal 2" xfId="45"/>
    <cellStyle name="Normal 2 2" xfId="54"/>
    <cellStyle name="Normal 3" xfId="49"/>
    <cellStyle name="Notas" xfId="34" builtinId="10" customBuiltin="1"/>
    <cellStyle name="Porcentaje" xfId="57" builtinId="5"/>
    <cellStyle name="Porcentaje 2 2" xfId="46"/>
    <cellStyle name="Porcentaje 2 2 2" xfId="48"/>
    <cellStyle name="Salida" xfId="35" builtinId="21" customBuiltin="1"/>
    <cellStyle name="Texto de advertencia" xfId="36" builtinId="11" customBuiltin="1"/>
    <cellStyle name="Texto explicativo" xfId="37" builtinId="53" customBuiltin="1"/>
    <cellStyle name="Título" xfId="38" builtinId="15" customBuiltin="1"/>
    <cellStyle name="Título 2" xfId="39" builtinId="17" customBuiltin="1"/>
    <cellStyle name="Título 3" xfId="40" builtinId="18" customBuiltin="1"/>
    <cellStyle name="Total" xfId="41" builtinId="25" customBuiltin="1"/>
  </cellStyles>
  <dxfs count="3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harts/_rels/chart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3.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1" i="0" u="none" strike="noStrike" kern="1200" spc="0" baseline="0">
                <a:solidFill>
                  <a:schemeClr val="tx1">
                    <a:lumMod val="65000"/>
                    <a:lumOff val="35000"/>
                  </a:schemeClr>
                </a:solidFill>
                <a:latin typeface="+mn-lt"/>
                <a:ea typeface="+mn-ea"/>
                <a:cs typeface="+mn-cs"/>
              </a:defRPr>
            </a:pPr>
            <a:r>
              <a:rPr lang="es-CO" sz="1000" b="1"/>
              <a:t>Departamento del Quindío</a:t>
            </a:r>
          </a:p>
          <a:p>
            <a:pPr>
              <a:defRPr sz="1000" b="1" i="0" u="none" strike="noStrike" kern="1200" spc="0" baseline="0">
                <a:solidFill>
                  <a:schemeClr val="tx1">
                    <a:lumMod val="65000"/>
                    <a:lumOff val="35000"/>
                  </a:schemeClr>
                </a:solidFill>
                <a:latin typeface="+mn-lt"/>
                <a:ea typeface="+mn-ea"/>
                <a:cs typeface="+mn-cs"/>
              </a:defRPr>
            </a:pPr>
            <a:r>
              <a:rPr lang="es-CO" sz="1000" b="1"/>
              <a:t>Estado de ejecución gastos de inversión</a:t>
            </a:r>
          </a:p>
          <a:p>
            <a:pPr>
              <a:defRPr sz="1000" b="1" i="0" u="none" strike="noStrike" kern="1200" spc="0" baseline="0">
                <a:solidFill>
                  <a:schemeClr val="tx1">
                    <a:lumMod val="65000"/>
                    <a:lumOff val="35000"/>
                  </a:schemeClr>
                </a:solidFill>
                <a:latin typeface="+mn-lt"/>
                <a:ea typeface="+mn-ea"/>
                <a:cs typeface="+mn-cs"/>
              </a:defRPr>
            </a:pPr>
            <a:r>
              <a:rPr lang="es-CO" sz="1000" b="1" baseline="0"/>
              <a:t> a junio 30  de 2020</a:t>
            </a:r>
            <a:r>
              <a:rPr lang="es-CO" sz="1000" b="1"/>
              <a:t> </a:t>
            </a:r>
          </a:p>
        </c:rich>
      </c:tx>
      <c:overlay val="0"/>
      <c:spPr>
        <a:noFill/>
        <a:ln w="25400">
          <a:noFill/>
        </a:ln>
      </c:spPr>
    </c:title>
    <c:autoTitleDeleted val="0"/>
    <c:plotArea>
      <c:layout/>
      <c:barChart>
        <c:barDir val="col"/>
        <c:grouping val="clustered"/>
        <c:varyColors val="0"/>
        <c:ser>
          <c:idx val="0"/>
          <c:order val="0"/>
          <c:tx>
            <c:strRef>
              <c:f>UNIDADES!$N$29</c:f>
              <c:strCache>
                <c:ptCount val="1"/>
                <c:pt idx="0">
                  <c:v>Valor</c:v>
                </c:pt>
              </c:strCache>
            </c:strRef>
          </c:tx>
          <c:spPr>
            <a:solidFill>
              <a:srgbClr val="5B9BD5"/>
            </a:solidFill>
            <a:ln w="25400">
              <a:noFill/>
            </a:ln>
          </c:spPr>
          <c:invertIfNegative val="0"/>
          <c:dPt>
            <c:idx val="0"/>
            <c:invertIfNegative val="0"/>
            <c:bubble3D val="0"/>
            <c:spPr>
              <a:solidFill>
                <a:schemeClr val="accent5">
                  <a:lumMod val="50000"/>
                </a:schemeClr>
              </a:solidFill>
              <a:ln>
                <a:noFill/>
              </a:ln>
              <a:effectLst/>
            </c:spPr>
            <c:extLst xmlns:c16r2="http://schemas.microsoft.com/office/drawing/2015/06/chart">
              <c:ext xmlns:c16="http://schemas.microsoft.com/office/drawing/2014/chart" uri="{C3380CC4-5D6E-409C-BE32-E72D297353CC}">
                <c16:uniqueId val="{00000001-6E13-4DDA-BFC6-1A55103DB8FA}"/>
              </c:ext>
            </c:extLst>
          </c:dPt>
          <c:dPt>
            <c:idx val="1"/>
            <c:invertIfNegative val="0"/>
            <c:bubble3D val="0"/>
            <c:spPr>
              <a:solidFill>
                <a:srgbClr val="92D050"/>
              </a:solidFill>
              <a:ln w="25400">
                <a:noFill/>
              </a:ln>
            </c:spPr>
            <c:extLst xmlns:c16r2="http://schemas.microsoft.com/office/drawing/2015/06/chart">
              <c:ext xmlns:c16="http://schemas.microsoft.com/office/drawing/2014/chart" uri="{C3380CC4-5D6E-409C-BE32-E72D297353CC}">
                <c16:uniqueId val="{00000003-6E13-4DDA-BFC6-1A55103DB8FA}"/>
              </c:ext>
            </c:extLst>
          </c:dPt>
          <c:dPt>
            <c:idx val="2"/>
            <c:invertIfNegative val="0"/>
            <c:bubble3D val="0"/>
            <c:spPr>
              <a:solidFill>
                <a:srgbClr val="0070C0"/>
              </a:solidFill>
              <a:ln w="25400">
                <a:noFill/>
              </a:ln>
            </c:spPr>
            <c:extLst xmlns:c16r2="http://schemas.microsoft.com/office/drawing/2015/06/chart">
              <c:ext xmlns:c16="http://schemas.microsoft.com/office/drawing/2014/chart" uri="{C3380CC4-5D6E-409C-BE32-E72D297353CC}">
                <c16:uniqueId val="{00000005-6E13-4DDA-BFC6-1A55103DB8FA}"/>
              </c:ext>
            </c:extLst>
          </c:dPt>
          <c:dPt>
            <c:idx val="3"/>
            <c:invertIfNegative val="0"/>
            <c:bubble3D val="0"/>
            <c:spPr>
              <a:solidFill>
                <a:srgbClr val="FFC000"/>
              </a:solidFill>
              <a:ln w="25400">
                <a:noFill/>
              </a:ln>
            </c:spPr>
            <c:extLst xmlns:c16r2="http://schemas.microsoft.com/office/drawing/2015/06/chart">
              <c:ext xmlns:c16="http://schemas.microsoft.com/office/drawing/2014/chart" uri="{C3380CC4-5D6E-409C-BE32-E72D297353CC}">
                <c16:uniqueId val="{00000007-6E13-4DDA-BFC6-1A55103DB8FA}"/>
              </c:ext>
            </c:extLst>
          </c:dPt>
          <c:cat>
            <c:strRef>
              <c:f>UNIDADES!$M$30:$M$35</c:f>
              <c:strCache>
                <c:ptCount val="6"/>
                <c:pt idx="0">
                  <c:v>Definitivo</c:v>
                </c:pt>
                <c:pt idx="1">
                  <c:v>Certificados</c:v>
                </c:pt>
                <c:pt idx="2">
                  <c:v>Compromisos</c:v>
                </c:pt>
                <c:pt idx="3">
                  <c:v>Obligaciones</c:v>
                </c:pt>
                <c:pt idx="4">
                  <c:v>Pagos</c:v>
                </c:pt>
                <c:pt idx="5">
                  <c:v>Disponible</c:v>
                </c:pt>
              </c:strCache>
            </c:strRef>
          </c:cat>
          <c:val>
            <c:numRef>
              <c:f>UNIDADES!$N$30:$N$35</c:f>
              <c:numCache>
                <c:formatCode>_(* #,##0_);_(* \(#,##0\);_(* "-"??_);_(@_)</c:formatCode>
                <c:ptCount val="6"/>
                <c:pt idx="0">
                  <c:v>257777557422.77832</c:v>
                </c:pt>
                <c:pt idx="1">
                  <c:v>111790021761.99001</c:v>
                </c:pt>
                <c:pt idx="2">
                  <c:v>111790021761.99001</c:v>
                </c:pt>
                <c:pt idx="3">
                  <c:v>78570077788.330002</c:v>
                </c:pt>
                <c:pt idx="4">
                  <c:v>0</c:v>
                </c:pt>
                <c:pt idx="5">
                  <c:v>145987535660.78833</c:v>
                </c:pt>
              </c:numCache>
            </c:numRef>
          </c:val>
          <c:extLst xmlns:c16r2="http://schemas.microsoft.com/office/drawing/2015/06/chart">
            <c:ext xmlns:c16="http://schemas.microsoft.com/office/drawing/2014/chart" uri="{C3380CC4-5D6E-409C-BE32-E72D297353CC}">
              <c16:uniqueId val="{00000008-6E13-4DDA-BFC6-1A55103DB8FA}"/>
            </c:ext>
          </c:extLst>
        </c:ser>
        <c:ser>
          <c:idx val="1"/>
          <c:order val="1"/>
          <c:tx>
            <c:strRef>
              <c:f>UNIDADES!$O$29</c:f>
              <c:strCache>
                <c:ptCount val="1"/>
                <c:pt idx="0">
                  <c:v>%</c:v>
                </c:pt>
              </c:strCache>
            </c:strRef>
          </c:tx>
          <c:spPr>
            <a:solidFill>
              <a:srgbClr val="ED7D31"/>
            </a:solidFill>
            <a:ln w="25400">
              <a:noFill/>
            </a:ln>
          </c:spPr>
          <c:invertIfNegative val="0"/>
          <c:cat>
            <c:strRef>
              <c:f>UNIDADES!$M$30:$M$35</c:f>
              <c:strCache>
                <c:ptCount val="6"/>
                <c:pt idx="0">
                  <c:v>Definitivo</c:v>
                </c:pt>
                <c:pt idx="1">
                  <c:v>Certificados</c:v>
                </c:pt>
                <c:pt idx="2">
                  <c:v>Compromisos</c:v>
                </c:pt>
                <c:pt idx="3">
                  <c:v>Obligaciones</c:v>
                </c:pt>
                <c:pt idx="4">
                  <c:v>Pagos</c:v>
                </c:pt>
                <c:pt idx="5">
                  <c:v>Disponible</c:v>
                </c:pt>
              </c:strCache>
            </c:strRef>
          </c:cat>
          <c:val>
            <c:numRef>
              <c:f>UNIDADES!$O$30:$O$35</c:f>
              <c:numCache>
                <c:formatCode>0.00%</c:formatCode>
                <c:ptCount val="6"/>
                <c:pt idx="0" formatCode="0%">
                  <c:v>1</c:v>
                </c:pt>
                <c:pt idx="1">
                  <c:v>0.43366855858070041</c:v>
                </c:pt>
                <c:pt idx="2">
                  <c:v>0.43366855858070041</c:v>
                </c:pt>
                <c:pt idx="3">
                  <c:v>0.70283623305496845</c:v>
                </c:pt>
                <c:pt idx="4">
                  <c:v>0</c:v>
                </c:pt>
                <c:pt idx="5">
                  <c:v>0.5663314414192997</c:v>
                </c:pt>
              </c:numCache>
            </c:numRef>
          </c:val>
          <c:extLst xmlns:c16r2="http://schemas.microsoft.com/office/drawing/2015/06/chart">
            <c:ext xmlns:c16="http://schemas.microsoft.com/office/drawing/2014/chart" uri="{C3380CC4-5D6E-409C-BE32-E72D297353CC}">
              <c16:uniqueId val="{00000009-6E13-4DDA-BFC6-1A55103DB8FA}"/>
            </c:ext>
          </c:extLst>
        </c:ser>
        <c:dLbls>
          <c:showLegendKey val="0"/>
          <c:showVal val="0"/>
          <c:showCatName val="0"/>
          <c:showSerName val="0"/>
          <c:showPercent val="0"/>
          <c:showBubbleSize val="0"/>
        </c:dLbls>
        <c:gapWidth val="219"/>
        <c:overlap val="-27"/>
        <c:axId val="375324640"/>
        <c:axId val="375323856"/>
      </c:barChart>
      <c:catAx>
        <c:axId val="3753246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375323856"/>
        <c:crosses val="autoZero"/>
        <c:auto val="1"/>
        <c:lblAlgn val="ctr"/>
        <c:lblOffset val="100"/>
        <c:noMultiLvlLbl val="0"/>
      </c:catAx>
      <c:valAx>
        <c:axId val="375323856"/>
        <c:scaling>
          <c:orientation val="minMax"/>
        </c:scaling>
        <c:delete val="0"/>
        <c:axPos val="l"/>
        <c:numFmt formatCode="_(* #,##0_);_(* \(#,##0\);_(* &quot;-&quot;??_);_(@_)" sourceLinked="1"/>
        <c:majorTickMark val="none"/>
        <c:minorTickMark val="none"/>
        <c:tickLblPos val="nextTo"/>
        <c:spPr>
          <a:ln w="6350">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375324640"/>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s-CO"/>
          </a:p>
        </c:txPr>
      </c:dTable>
      <c:spPr>
        <a:noFill/>
        <a:ln w="25400">
          <a:noFill/>
        </a:ln>
      </c:spPr>
    </c:plotArea>
    <c:plotVisOnly val="1"/>
    <c:dispBlanksAs val="gap"/>
    <c:showDLblsOverMax val="0"/>
  </c:chart>
  <c:spPr>
    <a:no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all" spc="120" normalizeH="0" baseline="0">
                <a:solidFill>
                  <a:schemeClr val="tx1">
                    <a:lumMod val="65000"/>
                    <a:lumOff val="35000"/>
                  </a:schemeClr>
                </a:solidFill>
                <a:latin typeface="+mn-lt"/>
                <a:ea typeface="+mn-ea"/>
                <a:cs typeface="+mn-cs"/>
              </a:defRPr>
            </a:pPr>
            <a:r>
              <a:rPr lang="es-CO"/>
              <a:t>Departamento Quindío</a:t>
            </a:r>
          </a:p>
          <a:p>
            <a:pPr>
              <a:defRPr/>
            </a:pPr>
            <a:r>
              <a:rPr lang="es-CO"/>
              <a:t>avance porcentaje de ejecución gastos de inversión por unidad ejecutora</a:t>
            </a:r>
          </a:p>
          <a:p>
            <a:pPr>
              <a:defRPr/>
            </a:pPr>
            <a:r>
              <a:rPr lang="es-CO"/>
              <a:t>a JUNIO 30</a:t>
            </a:r>
            <a:r>
              <a:rPr lang="es-CO" baseline="0"/>
              <a:t> de 2020</a:t>
            </a:r>
            <a:r>
              <a:rPr lang="es-CO"/>
              <a:t> </a:t>
            </a:r>
          </a:p>
        </c:rich>
      </c:tx>
      <c:layout>
        <c:manualLayout>
          <c:xMode val="edge"/>
          <c:yMode val="edge"/>
          <c:x val="0.24296631419714565"/>
          <c:y val="0"/>
        </c:manualLayout>
      </c:layout>
      <c:overlay val="0"/>
      <c:spPr>
        <a:noFill/>
        <a:ln>
          <a:noFill/>
        </a:ln>
        <a:effectLst/>
      </c:spPr>
      <c:txPr>
        <a:bodyPr rot="0" spcFirstLastPara="1" vertOverflow="ellipsis" vert="horz" wrap="square" anchor="ctr" anchorCtr="1"/>
        <a:lstStyle/>
        <a:p>
          <a:pPr>
            <a:defRPr sz="1600" b="1" i="0" u="none" strike="noStrike" kern="1200" cap="all" spc="120" normalizeH="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clustered"/>
        <c:varyColors val="0"/>
        <c:ser>
          <c:idx val="0"/>
          <c:order val="0"/>
          <c:tx>
            <c:strRef>
              <c:f>UNIDADES!$D$2</c:f>
              <c:strCache>
                <c:ptCount val="1"/>
                <c:pt idx="0">
                  <c:v>% PD</c:v>
                </c:pt>
              </c:strCache>
            </c:strRef>
          </c:tx>
          <c:spPr>
            <a:solidFill>
              <a:schemeClr val="accent1"/>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c:ext xmlns:c15="http://schemas.microsoft.com/office/drawing/2012/chart" uri="{02D57815-91ED-43cb-92C2-25804820EDAC}">
                  <c15:fullRef>
                    <c15:sqref>UNIDADES!$B$3:$B$22</c15:sqref>
                  </c15:fullRef>
                </c:ext>
              </c:extLst>
              <c:f>(UNIDADES!$B$3:$B$15,UNIDADES!$B$17:$B$19,UNIDADES!$B$22)</c:f>
              <c:strCache>
                <c:ptCount val="17"/>
                <c:pt idx="0">
                  <c:v>Administrativa</c:v>
                </c:pt>
                <c:pt idx="1">
                  <c:v>Planeación</c:v>
                </c:pt>
                <c:pt idx="2">
                  <c:v>Hacienda</c:v>
                </c:pt>
                <c:pt idx="3">
                  <c:v>Aguas e Infraestructura</c:v>
                </c:pt>
                <c:pt idx="4">
                  <c:v>Interior</c:v>
                </c:pt>
                <c:pt idx="5">
                  <c:v>Cultura</c:v>
                </c:pt>
                <c:pt idx="6">
                  <c:v>Turismo Industria y Comercio</c:v>
                </c:pt>
                <c:pt idx="7">
                  <c:v>Agricultura, Desarrollo Rural y Medio Ambiente</c:v>
                </c:pt>
                <c:pt idx="8">
                  <c:v>Oficina Privada</c:v>
                </c:pt>
                <c:pt idx="9">
                  <c:v>Educación</c:v>
                </c:pt>
                <c:pt idx="10">
                  <c:v>Familia</c:v>
                </c:pt>
                <c:pt idx="11">
                  <c:v>Salud</c:v>
                </c:pt>
                <c:pt idx="12">
                  <c:v>Tecnología de la Información y las Comunicaciones</c:v>
                </c:pt>
                <c:pt idx="13">
                  <c:v>Indeportes</c:v>
                </c:pt>
                <c:pt idx="14">
                  <c:v>Promotora</c:v>
                </c:pt>
                <c:pt idx="15">
                  <c:v>IDTQ</c:v>
                </c:pt>
                <c:pt idx="16">
                  <c:v>TOTAL INVERSION</c:v>
                </c:pt>
              </c:strCache>
            </c:strRef>
          </c:cat>
          <c:val>
            <c:numRef>
              <c:extLst>
                <c:ext xmlns:c15="http://schemas.microsoft.com/office/drawing/2012/chart" uri="{02D57815-91ED-43cb-92C2-25804820EDAC}">
                  <c15:fullRef>
                    <c15:sqref>UNIDADES!$D$3:$D$22</c15:sqref>
                  </c15:fullRef>
                </c:ext>
              </c:extLst>
              <c:f>(UNIDADES!$D$3:$D$15,UNIDADES!$D$17:$D$19,UNIDADES!$D$22)</c:f>
              <c:numCache>
                <c:formatCode>0%</c:formatCode>
                <c:ptCount val="17"/>
                <c:pt idx="0">
                  <c:v>1</c:v>
                </c:pt>
                <c:pt idx="1">
                  <c:v>1</c:v>
                </c:pt>
                <c:pt idx="2">
                  <c:v>1</c:v>
                </c:pt>
                <c:pt idx="3">
                  <c:v>1</c:v>
                </c:pt>
                <c:pt idx="4">
                  <c:v>1</c:v>
                </c:pt>
                <c:pt idx="5">
                  <c:v>1</c:v>
                </c:pt>
                <c:pt idx="6">
                  <c:v>1</c:v>
                </c:pt>
                <c:pt idx="7">
                  <c:v>1</c:v>
                </c:pt>
                <c:pt idx="8">
                  <c:v>1</c:v>
                </c:pt>
                <c:pt idx="9">
                  <c:v>1</c:v>
                </c:pt>
                <c:pt idx="10">
                  <c:v>1</c:v>
                </c:pt>
                <c:pt idx="11">
                  <c:v>1</c:v>
                </c:pt>
                <c:pt idx="12">
                  <c:v>1</c:v>
                </c:pt>
                <c:pt idx="13">
                  <c:v>1</c:v>
                </c:pt>
                <c:pt idx="14">
                  <c:v>1</c:v>
                </c:pt>
                <c:pt idx="15">
                  <c:v>1</c:v>
                </c:pt>
                <c:pt idx="16">
                  <c:v>1</c:v>
                </c:pt>
              </c:numCache>
            </c:numRef>
          </c:val>
          <c:extLst xmlns:c16r2="http://schemas.microsoft.com/office/drawing/2015/06/chart">
            <c:ext xmlns:c16="http://schemas.microsoft.com/office/drawing/2014/chart" uri="{C3380CC4-5D6E-409C-BE32-E72D297353CC}">
              <c16:uniqueId val="{00000000-47E1-4C68-AFB7-BEDE79BC0B55}"/>
            </c:ext>
          </c:extLst>
        </c:ser>
        <c:ser>
          <c:idx val="1"/>
          <c:order val="1"/>
          <c:tx>
            <c:strRef>
              <c:f>UNIDADES!$F$2</c:f>
              <c:strCache>
                <c:ptCount val="1"/>
                <c:pt idx="0">
                  <c:v>% CDP</c:v>
                </c:pt>
              </c:strCache>
            </c:strRef>
          </c:tx>
          <c:spPr>
            <a:solidFill>
              <a:schemeClr val="accent2"/>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c:ext xmlns:c15="http://schemas.microsoft.com/office/drawing/2012/chart" uri="{02D57815-91ED-43cb-92C2-25804820EDAC}">
                  <c15:fullRef>
                    <c15:sqref>UNIDADES!$B$3:$B$22</c15:sqref>
                  </c15:fullRef>
                </c:ext>
              </c:extLst>
              <c:f>(UNIDADES!$B$3:$B$15,UNIDADES!$B$17:$B$19,UNIDADES!$B$22)</c:f>
              <c:strCache>
                <c:ptCount val="17"/>
                <c:pt idx="0">
                  <c:v>Administrativa</c:v>
                </c:pt>
                <c:pt idx="1">
                  <c:v>Planeación</c:v>
                </c:pt>
                <c:pt idx="2">
                  <c:v>Hacienda</c:v>
                </c:pt>
                <c:pt idx="3">
                  <c:v>Aguas e Infraestructura</c:v>
                </c:pt>
                <c:pt idx="4">
                  <c:v>Interior</c:v>
                </c:pt>
                <c:pt idx="5">
                  <c:v>Cultura</c:v>
                </c:pt>
                <c:pt idx="6">
                  <c:v>Turismo Industria y Comercio</c:v>
                </c:pt>
                <c:pt idx="7">
                  <c:v>Agricultura, Desarrollo Rural y Medio Ambiente</c:v>
                </c:pt>
                <c:pt idx="8">
                  <c:v>Oficina Privada</c:v>
                </c:pt>
                <c:pt idx="9">
                  <c:v>Educación</c:v>
                </c:pt>
                <c:pt idx="10">
                  <c:v>Familia</c:v>
                </c:pt>
                <c:pt idx="11">
                  <c:v>Salud</c:v>
                </c:pt>
                <c:pt idx="12">
                  <c:v>Tecnología de la Información y las Comunicaciones</c:v>
                </c:pt>
                <c:pt idx="13">
                  <c:v>Indeportes</c:v>
                </c:pt>
                <c:pt idx="14">
                  <c:v>Promotora</c:v>
                </c:pt>
                <c:pt idx="15">
                  <c:v>IDTQ</c:v>
                </c:pt>
                <c:pt idx="16">
                  <c:v>TOTAL INVERSION</c:v>
                </c:pt>
              </c:strCache>
            </c:strRef>
          </c:cat>
          <c:val>
            <c:numRef>
              <c:extLst>
                <c:ext xmlns:c15="http://schemas.microsoft.com/office/drawing/2012/chart" uri="{02D57815-91ED-43cb-92C2-25804820EDAC}">
                  <c15:fullRef>
                    <c15:sqref>UNIDADES!$F$3:$F$22</c15:sqref>
                  </c15:fullRef>
                </c:ext>
              </c:extLst>
              <c:f>(UNIDADES!$F$3:$F$15,UNIDADES!$F$17:$F$19,UNIDADES!$F$22)</c:f>
              <c:numCache>
                <c:formatCode>0%</c:formatCode>
                <c:ptCount val="17"/>
                <c:pt idx="0">
                  <c:v>0</c:v>
                </c:pt>
                <c:pt idx="1">
                  <c:v>0.2545940910172701</c:v>
                </c:pt>
                <c:pt idx="2">
                  <c:v>0.34285170531274034</c:v>
                </c:pt>
                <c:pt idx="3">
                  <c:v>4.3564721027205933E-2</c:v>
                </c:pt>
                <c:pt idx="4">
                  <c:v>4.7116734564924011E-2</c:v>
                </c:pt>
                <c:pt idx="5">
                  <c:v>3.1009125609232333E-2</c:v>
                </c:pt>
                <c:pt idx="6">
                  <c:v>0.25579398530260522</c:v>
                </c:pt>
                <c:pt idx="7">
                  <c:v>0.12151796919499036</c:v>
                </c:pt>
                <c:pt idx="8">
                  <c:v>0.27818325502552149</c:v>
                </c:pt>
                <c:pt idx="9">
                  <c:v>0.47759459345003213</c:v>
                </c:pt>
                <c:pt idx="10">
                  <c:v>0.22810062306182927</c:v>
                </c:pt>
                <c:pt idx="11">
                  <c:v>0.54608727972261206</c:v>
                </c:pt>
                <c:pt idx="12">
                  <c:v>0.29821834778454315</c:v>
                </c:pt>
                <c:pt idx="13">
                  <c:v>0.21728399575367963</c:v>
                </c:pt>
                <c:pt idx="14">
                  <c:v>0.31238836275864496</c:v>
                </c:pt>
                <c:pt idx="15">
                  <c:v>0.21543925233644859</c:v>
                </c:pt>
                <c:pt idx="16" formatCode="0.00%">
                  <c:v>0.43366855858070041</c:v>
                </c:pt>
              </c:numCache>
            </c:numRef>
          </c:val>
          <c:extLst xmlns:c16r2="http://schemas.microsoft.com/office/drawing/2015/06/chart">
            <c:ext xmlns:c16="http://schemas.microsoft.com/office/drawing/2014/chart" uri="{C3380CC4-5D6E-409C-BE32-E72D297353CC}">
              <c16:uniqueId val="{00000001-47E1-4C68-AFB7-BEDE79BC0B55}"/>
            </c:ext>
          </c:extLst>
        </c:ser>
        <c:ser>
          <c:idx val="2"/>
          <c:order val="2"/>
          <c:tx>
            <c:strRef>
              <c:f>UNIDADES!$H$2</c:f>
              <c:strCache>
                <c:ptCount val="1"/>
                <c:pt idx="0">
                  <c:v>% RP</c:v>
                </c:pt>
              </c:strCache>
            </c:strRef>
          </c:tx>
          <c:spPr>
            <a:solidFill>
              <a:schemeClr val="accent3"/>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c:ext xmlns:c15="http://schemas.microsoft.com/office/drawing/2012/chart" uri="{02D57815-91ED-43cb-92C2-25804820EDAC}">
                  <c15:fullRef>
                    <c15:sqref>UNIDADES!$B$3:$B$22</c15:sqref>
                  </c15:fullRef>
                </c:ext>
              </c:extLst>
              <c:f>(UNIDADES!$B$3:$B$15,UNIDADES!$B$17:$B$19,UNIDADES!$B$22)</c:f>
              <c:strCache>
                <c:ptCount val="17"/>
                <c:pt idx="0">
                  <c:v>Administrativa</c:v>
                </c:pt>
                <c:pt idx="1">
                  <c:v>Planeación</c:v>
                </c:pt>
                <c:pt idx="2">
                  <c:v>Hacienda</c:v>
                </c:pt>
                <c:pt idx="3">
                  <c:v>Aguas e Infraestructura</c:v>
                </c:pt>
                <c:pt idx="4">
                  <c:v>Interior</c:v>
                </c:pt>
                <c:pt idx="5">
                  <c:v>Cultura</c:v>
                </c:pt>
                <c:pt idx="6">
                  <c:v>Turismo Industria y Comercio</c:v>
                </c:pt>
                <c:pt idx="7">
                  <c:v>Agricultura, Desarrollo Rural y Medio Ambiente</c:v>
                </c:pt>
                <c:pt idx="8">
                  <c:v>Oficina Privada</c:v>
                </c:pt>
                <c:pt idx="9">
                  <c:v>Educación</c:v>
                </c:pt>
                <c:pt idx="10">
                  <c:v>Familia</c:v>
                </c:pt>
                <c:pt idx="11">
                  <c:v>Salud</c:v>
                </c:pt>
                <c:pt idx="12">
                  <c:v>Tecnología de la Información y las Comunicaciones</c:v>
                </c:pt>
                <c:pt idx="13">
                  <c:v>Indeportes</c:v>
                </c:pt>
                <c:pt idx="14">
                  <c:v>Promotora</c:v>
                </c:pt>
                <c:pt idx="15">
                  <c:v>IDTQ</c:v>
                </c:pt>
                <c:pt idx="16">
                  <c:v>TOTAL INVERSION</c:v>
                </c:pt>
              </c:strCache>
            </c:strRef>
          </c:cat>
          <c:val>
            <c:numRef>
              <c:extLst>
                <c:ext xmlns:c15="http://schemas.microsoft.com/office/drawing/2012/chart" uri="{02D57815-91ED-43cb-92C2-25804820EDAC}">
                  <c15:fullRef>
                    <c15:sqref>UNIDADES!$H$3:$H$22</c15:sqref>
                  </c15:fullRef>
                </c:ext>
              </c:extLst>
              <c:f>(UNIDADES!$H$3:$H$15,UNIDADES!$H$17:$H$19,UNIDADES!$H$22)</c:f>
              <c:numCache>
                <c:formatCode>0.00%</c:formatCode>
                <c:ptCount val="17"/>
                <c:pt idx="0">
                  <c:v>0</c:v>
                </c:pt>
                <c:pt idx="1">
                  <c:v>0.2545940910172701</c:v>
                </c:pt>
                <c:pt idx="2">
                  <c:v>0.34285170531274034</c:v>
                </c:pt>
                <c:pt idx="3">
                  <c:v>4.3564721027205933E-2</c:v>
                </c:pt>
                <c:pt idx="4">
                  <c:v>4.7116734564924011E-2</c:v>
                </c:pt>
                <c:pt idx="5">
                  <c:v>3.1009125609232333E-2</c:v>
                </c:pt>
                <c:pt idx="6">
                  <c:v>0.25579398530260522</c:v>
                </c:pt>
                <c:pt idx="7">
                  <c:v>0.12151796919499036</c:v>
                </c:pt>
                <c:pt idx="8">
                  <c:v>0.27818325502552149</c:v>
                </c:pt>
                <c:pt idx="9">
                  <c:v>0.47759459345003213</c:v>
                </c:pt>
                <c:pt idx="10">
                  <c:v>0.22810062306182927</c:v>
                </c:pt>
                <c:pt idx="11">
                  <c:v>0.54608727972261206</c:v>
                </c:pt>
                <c:pt idx="12">
                  <c:v>0.29821834778454315</c:v>
                </c:pt>
                <c:pt idx="13">
                  <c:v>0.21728399575367963</c:v>
                </c:pt>
                <c:pt idx="14">
                  <c:v>0.31238836275864496</c:v>
                </c:pt>
                <c:pt idx="15">
                  <c:v>0.21543925233644859</c:v>
                </c:pt>
                <c:pt idx="16">
                  <c:v>0.43366855858070041</c:v>
                </c:pt>
              </c:numCache>
            </c:numRef>
          </c:val>
          <c:extLst xmlns:c16r2="http://schemas.microsoft.com/office/drawing/2015/06/chart">
            <c:ext xmlns:c16="http://schemas.microsoft.com/office/drawing/2014/chart" uri="{C3380CC4-5D6E-409C-BE32-E72D297353CC}">
              <c16:uniqueId val="{00000002-47E1-4C68-AFB7-BEDE79BC0B55}"/>
            </c:ext>
          </c:extLst>
        </c:ser>
        <c:ser>
          <c:idx val="3"/>
          <c:order val="3"/>
          <c:tx>
            <c:strRef>
              <c:f>UNIDADES!$N$2</c:f>
              <c:strCache>
                <c:ptCount val="1"/>
                <c:pt idx="0">
                  <c:v>% SALDO DISP.</c:v>
                </c:pt>
              </c:strCache>
            </c:strRef>
          </c:tx>
          <c:spPr>
            <a:solidFill>
              <a:schemeClr val="accent4"/>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c:ext xmlns:c15="http://schemas.microsoft.com/office/drawing/2012/chart" uri="{02D57815-91ED-43cb-92C2-25804820EDAC}">
                  <c15:fullRef>
                    <c15:sqref>UNIDADES!$B$3:$B$22</c15:sqref>
                  </c15:fullRef>
                </c:ext>
              </c:extLst>
              <c:f>(UNIDADES!$B$3:$B$15,UNIDADES!$B$17:$B$19,UNIDADES!$B$22)</c:f>
              <c:strCache>
                <c:ptCount val="17"/>
                <c:pt idx="0">
                  <c:v>Administrativa</c:v>
                </c:pt>
                <c:pt idx="1">
                  <c:v>Planeación</c:v>
                </c:pt>
                <c:pt idx="2">
                  <c:v>Hacienda</c:v>
                </c:pt>
                <c:pt idx="3">
                  <c:v>Aguas e Infraestructura</c:v>
                </c:pt>
                <c:pt idx="4">
                  <c:v>Interior</c:v>
                </c:pt>
                <c:pt idx="5">
                  <c:v>Cultura</c:v>
                </c:pt>
                <c:pt idx="6">
                  <c:v>Turismo Industria y Comercio</c:v>
                </c:pt>
                <c:pt idx="7">
                  <c:v>Agricultura, Desarrollo Rural y Medio Ambiente</c:v>
                </c:pt>
                <c:pt idx="8">
                  <c:v>Oficina Privada</c:v>
                </c:pt>
                <c:pt idx="9">
                  <c:v>Educación</c:v>
                </c:pt>
                <c:pt idx="10">
                  <c:v>Familia</c:v>
                </c:pt>
                <c:pt idx="11">
                  <c:v>Salud</c:v>
                </c:pt>
                <c:pt idx="12">
                  <c:v>Tecnología de la Información y las Comunicaciones</c:v>
                </c:pt>
                <c:pt idx="13">
                  <c:v>Indeportes</c:v>
                </c:pt>
                <c:pt idx="14">
                  <c:v>Promotora</c:v>
                </c:pt>
                <c:pt idx="15">
                  <c:v>IDTQ</c:v>
                </c:pt>
                <c:pt idx="16">
                  <c:v>TOTAL INVERSION</c:v>
                </c:pt>
              </c:strCache>
            </c:strRef>
          </c:cat>
          <c:val>
            <c:numRef>
              <c:extLst>
                <c:ext xmlns:c15="http://schemas.microsoft.com/office/drawing/2012/chart" uri="{02D57815-91ED-43cb-92C2-25804820EDAC}">
                  <c15:fullRef>
                    <c15:sqref>UNIDADES!$N$3:$N$22</c15:sqref>
                  </c15:fullRef>
                </c:ext>
              </c:extLst>
              <c:f>(UNIDADES!$N$3:$N$15,UNIDADES!$N$17:$N$19,UNIDADES!$N$22)</c:f>
              <c:numCache>
                <c:formatCode>0.00%</c:formatCode>
                <c:ptCount val="17"/>
                <c:pt idx="0">
                  <c:v>1</c:v>
                </c:pt>
                <c:pt idx="1">
                  <c:v>0.74540590898272985</c:v>
                </c:pt>
                <c:pt idx="2">
                  <c:v>0.65714829468725966</c:v>
                </c:pt>
                <c:pt idx="3">
                  <c:v>0.95643527897279412</c:v>
                </c:pt>
                <c:pt idx="4">
                  <c:v>0.95288326543507595</c:v>
                </c:pt>
                <c:pt idx="5">
                  <c:v>0.9689908743907677</c:v>
                </c:pt>
                <c:pt idx="6">
                  <c:v>0.74420601469739478</c:v>
                </c:pt>
                <c:pt idx="7">
                  <c:v>0.87848203080500964</c:v>
                </c:pt>
                <c:pt idx="8">
                  <c:v>0.72181674497447856</c:v>
                </c:pt>
                <c:pt idx="9">
                  <c:v>0.52240540654996792</c:v>
                </c:pt>
                <c:pt idx="10">
                  <c:v>0.77189937693817068</c:v>
                </c:pt>
                <c:pt idx="11">
                  <c:v>0.45391272027738799</c:v>
                </c:pt>
                <c:pt idx="12">
                  <c:v>0.70178165221545685</c:v>
                </c:pt>
                <c:pt idx="13">
                  <c:v>0.78271600424632037</c:v>
                </c:pt>
                <c:pt idx="14">
                  <c:v>0.6876116372413551</c:v>
                </c:pt>
                <c:pt idx="15">
                  <c:v>0.78456074766355144</c:v>
                </c:pt>
                <c:pt idx="16">
                  <c:v>0.5663314414192997</c:v>
                </c:pt>
              </c:numCache>
            </c:numRef>
          </c:val>
          <c:extLst xmlns:c16r2="http://schemas.microsoft.com/office/drawing/2015/06/chart">
            <c:ext xmlns:c16="http://schemas.microsoft.com/office/drawing/2014/chart" uri="{C3380CC4-5D6E-409C-BE32-E72D297353CC}">
              <c16:uniqueId val="{00000003-47E1-4C68-AFB7-BEDE79BC0B55}"/>
            </c:ext>
          </c:extLst>
        </c:ser>
        <c:dLbls>
          <c:dLblPos val="outEnd"/>
          <c:showLegendKey val="0"/>
          <c:showVal val="1"/>
          <c:showCatName val="0"/>
          <c:showSerName val="0"/>
          <c:showPercent val="0"/>
          <c:showBubbleSize val="0"/>
        </c:dLbls>
        <c:gapWidth val="444"/>
        <c:overlap val="-90"/>
        <c:axId val="375327920"/>
        <c:axId val="375329880"/>
      </c:barChart>
      <c:catAx>
        <c:axId val="375327920"/>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es-CO"/>
          </a:p>
        </c:txPr>
        <c:crossAx val="375329880"/>
        <c:crosses val="autoZero"/>
        <c:auto val="1"/>
        <c:lblAlgn val="ctr"/>
        <c:lblOffset val="100"/>
        <c:noMultiLvlLbl val="0"/>
      </c:catAx>
      <c:valAx>
        <c:axId val="375329880"/>
        <c:scaling>
          <c:orientation val="minMax"/>
        </c:scaling>
        <c:delete val="1"/>
        <c:axPos val="l"/>
        <c:numFmt formatCode="0%" sourceLinked="1"/>
        <c:majorTickMark val="none"/>
        <c:minorTickMark val="none"/>
        <c:tickLblPos val="nextTo"/>
        <c:crossAx val="375327920"/>
        <c:crosses val="autoZero"/>
        <c:crossBetween val="between"/>
      </c:valAx>
      <c:spPr>
        <a:noFill/>
        <a:ln>
          <a:noFill/>
        </a:ln>
        <a:effectLst/>
      </c:spPr>
    </c:plotArea>
    <c:legend>
      <c:legendPos val="t"/>
      <c:layout>
        <c:manualLayout>
          <c:xMode val="edge"/>
          <c:yMode val="edge"/>
          <c:x val="0.37767004375353003"/>
          <c:y val="0.89841192665647163"/>
          <c:w val="0.14951344741371725"/>
          <c:h val="4.6147406245922271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no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0" i="0" u="none" strike="noStrike" kern="1200" spc="0" baseline="0">
                <a:solidFill>
                  <a:schemeClr val="tx1">
                    <a:lumMod val="65000"/>
                    <a:lumOff val="35000"/>
                  </a:schemeClr>
                </a:solidFill>
                <a:latin typeface="+mn-lt"/>
                <a:ea typeface="+mn-ea"/>
                <a:cs typeface="+mn-cs"/>
              </a:defRPr>
            </a:pPr>
            <a:r>
              <a:rPr lang="es-CO" sz="1100"/>
              <a:t>Departamento</a:t>
            </a:r>
            <a:r>
              <a:rPr lang="es-CO" sz="1100" baseline="0"/>
              <a:t> Quindío</a:t>
            </a:r>
          </a:p>
          <a:p>
            <a:pPr>
              <a:defRPr sz="1100"/>
            </a:pPr>
            <a:r>
              <a:rPr lang="es-CO" sz="1100" baseline="0"/>
              <a:t>Avance Ejecución Gastos Inversión</a:t>
            </a:r>
          </a:p>
          <a:p>
            <a:pPr>
              <a:defRPr sz="1100"/>
            </a:pPr>
            <a:r>
              <a:rPr lang="es-CO" sz="1100" baseline="0"/>
              <a:t>Sector Central a junio 30 2020</a:t>
            </a:r>
            <a:endParaRPr lang="es-CO" sz="1100"/>
          </a:p>
        </c:rich>
      </c:tx>
      <c:overlay val="0"/>
      <c:spPr>
        <a:noFill/>
        <a:ln>
          <a:noFill/>
        </a:ln>
        <a:effectLst/>
      </c:spPr>
      <c:txPr>
        <a:bodyPr rot="0" spcFirstLastPara="1" vertOverflow="ellipsis" vert="horz" wrap="square" anchor="ctr" anchorCtr="1"/>
        <a:lstStyle/>
        <a:p>
          <a:pPr>
            <a:defRPr sz="11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clustered"/>
        <c:varyColors val="0"/>
        <c:ser>
          <c:idx val="0"/>
          <c:order val="0"/>
          <c:tx>
            <c:strRef>
              <c:f>UNIDADES!$C$29</c:f>
              <c:strCache>
                <c:ptCount val="1"/>
                <c:pt idx="0">
                  <c:v>Valor</c:v>
                </c:pt>
              </c:strCache>
            </c:strRef>
          </c:tx>
          <c:spPr>
            <a:solidFill>
              <a:srgbClr val="002060"/>
            </a:solidFill>
            <a:ln>
              <a:noFill/>
            </a:ln>
            <a:effectLst/>
          </c:spPr>
          <c:invertIfNegative val="0"/>
          <c:dPt>
            <c:idx val="1"/>
            <c:invertIfNegative val="0"/>
            <c:bubble3D val="0"/>
            <c:spPr>
              <a:solidFill>
                <a:schemeClr val="accent2">
                  <a:lumMod val="50000"/>
                </a:schemeClr>
              </a:solidFill>
              <a:ln>
                <a:noFill/>
              </a:ln>
              <a:effectLst/>
            </c:spPr>
            <c:extLst xmlns:c16r2="http://schemas.microsoft.com/office/drawing/2015/06/chart">
              <c:ext xmlns:c16="http://schemas.microsoft.com/office/drawing/2014/chart" uri="{C3380CC4-5D6E-409C-BE32-E72D297353CC}">
                <c16:uniqueId val="{00000003-3960-46AD-8AEB-A9264092E8AD}"/>
              </c:ext>
            </c:extLst>
          </c:dPt>
          <c:dPt>
            <c:idx val="2"/>
            <c:invertIfNegative val="0"/>
            <c:bubble3D val="0"/>
            <c:spPr>
              <a:solidFill>
                <a:schemeClr val="accent4">
                  <a:lumMod val="50000"/>
                </a:schemeClr>
              </a:solidFill>
              <a:ln>
                <a:noFill/>
              </a:ln>
              <a:effectLst/>
            </c:spPr>
            <c:extLst xmlns:c16r2="http://schemas.microsoft.com/office/drawing/2015/06/chart">
              <c:ext xmlns:c16="http://schemas.microsoft.com/office/drawing/2014/chart" uri="{C3380CC4-5D6E-409C-BE32-E72D297353CC}">
                <c16:uniqueId val="{00000006-3960-46AD-8AEB-A9264092E8AD}"/>
              </c:ext>
            </c:extLst>
          </c:dPt>
          <c:dPt>
            <c:idx val="3"/>
            <c:invertIfNegative val="0"/>
            <c:bubble3D val="0"/>
            <c:spPr>
              <a:solidFill>
                <a:schemeClr val="accent6">
                  <a:lumMod val="50000"/>
                </a:schemeClr>
              </a:solidFill>
              <a:ln>
                <a:noFill/>
              </a:ln>
              <a:effectLst/>
            </c:spPr>
            <c:extLst xmlns:c16r2="http://schemas.microsoft.com/office/drawing/2015/06/chart">
              <c:ext xmlns:c16="http://schemas.microsoft.com/office/drawing/2014/chart" uri="{C3380CC4-5D6E-409C-BE32-E72D297353CC}">
                <c16:uniqueId val="{00000009-3960-46AD-8AEB-A9264092E8AD}"/>
              </c:ext>
            </c:extLst>
          </c:dPt>
          <c:dPt>
            <c:idx val="4"/>
            <c:invertIfNegative val="0"/>
            <c:bubble3D val="0"/>
            <c:spPr>
              <a:solidFill>
                <a:schemeClr val="bg2">
                  <a:lumMod val="50000"/>
                </a:schemeClr>
              </a:solidFill>
              <a:ln>
                <a:noFill/>
              </a:ln>
              <a:effectLst/>
            </c:spPr>
            <c:extLst xmlns:c16r2="http://schemas.microsoft.com/office/drawing/2015/06/chart">
              <c:ext xmlns:c16="http://schemas.microsoft.com/office/drawing/2014/chart" uri="{C3380CC4-5D6E-409C-BE32-E72D297353CC}">
                <c16:uniqueId val="{0000000E-3960-46AD-8AEB-A9264092E8AD}"/>
              </c:ext>
            </c:extLst>
          </c:dPt>
          <c:dPt>
            <c:idx val="5"/>
            <c:invertIfNegative val="0"/>
            <c:bubble3D val="0"/>
            <c:spPr>
              <a:solidFill>
                <a:srgbClr val="C00000"/>
              </a:solidFill>
              <a:ln>
                <a:noFill/>
              </a:ln>
              <a:effectLst/>
            </c:spPr>
            <c:extLst xmlns:c16r2="http://schemas.microsoft.com/office/drawing/2015/06/chart">
              <c:ext xmlns:c16="http://schemas.microsoft.com/office/drawing/2014/chart" uri="{C3380CC4-5D6E-409C-BE32-E72D297353CC}">
                <c16:uniqueId val="{00000012-3960-46AD-8AEB-A9264092E8AD}"/>
              </c:ext>
            </c:extLst>
          </c:dPt>
          <c:cat>
            <c:strRef>
              <c:f>UNIDADES!$B$30:$B$35</c:f>
              <c:strCache>
                <c:ptCount val="6"/>
                <c:pt idx="0">
                  <c:v>Definitivo</c:v>
                </c:pt>
                <c:pt idx="1">
                  <c:v>Certificados</c:v>
                </c:pt>
                <c:pt idx="2">
                  <c:v>Compromisos</c:v>
                </c:pt>
                <c:pt idx="3">
                  <c:v>Obligaciones</c:v>
                </c:pt>
                <c:pt idx="4">
                  <c:v>Pagos</c:v>
                </c:pt>
                <c:pt idx="5">
                  <c:v>Disponible</c:v>
                </c:pt>
              </c:strCache>
            </c:strRef>
          </c:cat>
          <c:val>
            <c:numRef>
              <c:f>UNIDADES!$C$30:$C$35</c:f>
              <c:numCache>
                <c:formatCode>_(* #,##0_);_(* \(#,##0\);_(* "-"??_);_(@_)</c:formatCode>
                <c:ptCount val="6"/>
                <c:pt idx="0">
                  <c:v>254368261203.77832</c:v>
                </c:pt>
                <c:pt idx="1">
                  <c:v>110868400760</c:v>
                </c:pt>
                <c:pt idx="2">
                  <c:v>110868400760</c:v>
                </c:pt>
                <c:pt idx="3">
                  <c:v>77898842577.330002</c:v>
                </c:pt>
                <c:pt idx="4">
                  <c:v>0</c:v>
                </c:pt>
                <c:pt idx="5">
                  <c:v>143499860443.77832</c:v>
                </c:pt>
              </c:numCache>
            </c:numRef>
          </c:val>
          <c:extLst xmlns:c16r2="http://schemas.microsoft.com/office/drawing/2015/06/chart">
            <c:ext xmlns:c16="http://schemas.microsoft.com/office/drawing/2014/chart" uri="{C3380CC4-5D6E-409C-BE32-E72D297353CC}">
              <c16:uniqueId val="{00000000-3960-46AD-8AEB-A9264092E8AD}"/>
            </c:ext>
          </c:extLst>
        </c:ser>
        <c:ser>
          <c:idx val="1"/>
          <c:order val="1"/>
          <c:tx>
            <c:strRef>
              <c:f>UNIDADES!$D$29</c:f>
              <c:strCache>
                <c:ptCount val="1"/>
                <c:pt idx="0">
                  <c:v>%</c:v>
                </c:pt>
              </c:strCache>
            </c:strRef>
          </c:tx>
          <c:spPr>
            <a:solidFill>
              <a:schemeClr val="accent2"/>
            </a:solidFill>
            <a:ln>
              <a:noFill/>
            </a:ln>
            <a:effectLst/>
          </c:spPr>
          <c:invertIfNegative val="0"/>
          <c:cat>
            <c:strRef>
              <c:f>UNIDADES!$B$30:$B$35</c:f>
              <c:strCache>
                <c:ptCount val="6"/>
                <c:pt idx="0">
                  <c:v>Definitivo</c:v>
                </c:pt>
                <c:pt idx="1">
                  <c:v>Certificados</c:v>
                </c:pt>
                <c:pt idx="2">
                  <c:v>Compromisos</c:v>
                </c:pt>
                <c:pt idx="3">
                  <c:v>Obligaciones</c:v>
                </c:pt>
                <c:pt idx="4">
                  <c:v>Pagos</c:v>
                </c:pt>
                <c:pt idx="5">
                  <c:v>Disponible</c:v>
                </c:pt>
              </c:strCache>
            </c:strRef>
          </c:cat>
          <c:val>
            <c:numRef>
              <c:f>UNIDADES!$D$30:$D$35</c:f>
              <c:numCache>
                <c:formatCode>0.00%</c:formatCode>
                <c:ptCount val="6"/>
                <c:pt idx="0" formatCode="0%">
                  <c:v>1</c:v>
                </c:pt>
                <c:pt idx="1">
                  <c:v>0.43585783947778617</c:v>
                </c:pt>
                <c:pt idx="2">
                  <c:v>0.43585783947778617</c:v>
                </c:pt>
                <c:pt idx="3">
                  <c:v>0.70262439110995978</c:v>
                </c:pt>
                <c:pt idx="4">
                  <c:v>0</c:v>
                </c:pt>
                <c:pt idx="5">
                  <c:v>0.56414216052221378</c:v>
                </c:pt>
              </c:numCache>
            </c:numRef>
          </c:val>
          <c:extLst xmlns:c16r2="http://schemas.microsoft.com/office/drawing/2015/06/chart">
            <c:ext xmlns:c16="http://schemas.microsoft.com/office/drawing/2014/chart" uri="{C3380CC4-5D6E-409C-BE32-E72D297353CC}">
              <c16:uniqueId val="{00000001-3960-46AD-8AEB-A9264092E8AD}"/>
            </c:ext>
          </c:extLst>
        </c:ser>
        <c:dLbls>
          <c:showLegendKey val="0"/>
          <c:showVal val="0"/>
          <c:showCatName val="0"/>
          <c:showSerName val="0"/>
          <c:showPercent val="0"/>
          <c:showBubbleSize val="0"/>
        </c:dLbls>
        <c:gapWidth val="219"/>
        <c:overlap val="-27"/>
        <c:axId val="375328704"/>
        <c:axId val="375330272"/>
      </c:barChart>
      <c:catAx>
        <c:axId val="3753287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375330272"/>
        <c:crosses val="autoZero"/>
        <c:auto val="1"/>
        <c:lblAlgn val="ctr"/>
        <c:lblOffset val="100"/>
        <c:noMultiLvlLbl val="0"/>
      </c:catAx>
      <c:valAx>
        <c:axId val="375330272"/>
        <c:scaling>
          <c:orientation val="minMax"/>
        </c:scaling>
        <c:delete val="0"/>
        <c:axPos val="l"/>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375328704"/>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s-CO"/>
          </a:p>
        </c:txPr>
      </c:dTable>
      <c:spPr>
        <a:noFill/>
        <a:ln>
          <a:noFill/>
        </a:ln>
        <a:effectLst/>
      </c:spPr>
    </c:plotArea>
    <c:plotVisOnly val="1"/>
    <c:dispBlanksAs val="gap"/>
    <c:showDLblsOverMax val="0"/>
  </c:chart>
  <c:spPr>
    <a:no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2">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800" b="0" i="0" u="none" strike="noStrike" kern="1200" baseline="0"/>
    <cs:bodyPr rot="-5400000" spcFirstLastPara="1" vertOverflow="clip" horzOverflow="clip" vert="horz" wrap="square" lIns="38100" tIns="19050" rIns="38100" bIns="19050" anchor="ctr" anchorCtr="1">
      <a:spAutoFit/>
    </cs:bodyPr>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oneCellAnchor>
    <xdr:from>
      <xdr:col>0</xdr:col>
      <xdr:colOff>158750</xdr:colOff>
      <xdr:row>0</xdr:row>
      <xdr:rowOff>175556</xdr:rowOff>
    </xdr:from>
    <xdr:ext cx="2847373" cy="816429"/>
    <xdr:pic>
      <xdr:nvPicPr>
        <xdr:cNvPr id="2" name="Imagen 1">
          <a:extLst>
            <a:ext uri="{FF2B5EF4-FFF2-40B4-BE49-F238E27FC236}">
              <a16:creationId xmlns:a16="http://schemas.microsoft.com/office/drawing/2014/main" xmlns="" id="{9125725D-73B7-40FE-A737-BD9615D33919}"/>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62112"/>
        <a:stretch/>
      </xdr:blipFill>
      <xdr:spPr>
        <a:xfrm>
          <a:off x="158750" y="175556"/>
          <a:ext cx="2847373" cy="816429"/>
        </a:xfrm>
        <a:prstGeom prst="rect">
          <a:avLst/>
        </a:prstGeom>
      </xdr:spPr>
    </xdr:pic>
    <xdr:clientData/>
  </xdr:oneCellAnchor>
  <xdr:twoCellAnchor>
    <xdr:from>
      <xdr:col>2</xdr:col>
      <xdr:colOff>598712</xdr:colOff>
      <xdr:row>0</xdr:row>
      <xdr:rowOff>265995</xdr:rowOff>
    </xdr:from>
    <xdr:to>
      <xdr:col>5</xdr:col>
      <xdr:colOff>1343233</xdr:colOff>
      <xdr:row>2</xdr:row>
      <xdr:rowOff>328231</xdr:rowOff>
    </xdr:to>
    <xdr:pic>
      <xdr:nvPicPr>
        <xdr:cNvPr id="3" name="Imagen 1"/>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l="17996" t="12991" r="67844" b="74319"/>
        <a:stretch>
          <a:fillRect/>
        </a:stretch>
      </xdr:blipFill>
      <xdr:spPr bwMode="auto">
        <a:xfrm>
          <a:off x="2932337" y="265995"/>
          <a:ext cx="3897296" cy="7670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15</xdr:col>
      <xdr:colOff>689881</xdr:colOff>
      <xdr:row>22</xdr:row>
      <xdr:rowOff>133349</xdr:rowOff>
    </xdr:from>
    <xdr:to>
      <xdr:col>27</xdr:col>
      <xdr:colOff>191860</xdr:colOff>
      <xdr:row>43</xdr:row>
      <xdr:rowOff>55788</xdr:rowOff>
    </xdr:to>
    <xdr:graphicFrame macro="">
      <xdr:nvGraphicFramePr>
        <xdr:cNvPr id="2" name="Grá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54428</xdr:colOff>
      <xdr:row>48</xdr:row>
      <xdr:rowOff>50346</xdr:rowOff>
    </xdr:from>
    <xdr:to>
      <xdr:col>22</xdr:col>
      <xdr:colOff>598714</xdr:colOff>
      <xdr:row>76</xdr:row>
      <xdr:rowOff>122464</xdr:rowOff>
    </xdr:to>
    <xdr:graphicFrame macro="">
      <xdr:nvGraphicFramePr>
        <xdr:cNvPr id="3" name="Gráfico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149678</xdr:colOff>
      <xdr:row>24</xdr:row>
      <xdr:rowOff>104774</xdr:rowOff>
    </xdr:from>
    <xdr:to>
      <xdr:col>10</xdr:col>
      <xdr:colOff>639536</xdr:colOff>
      <xdr:row>44</xdr:row>
      <xdr:rowOff>0</xdr:rowOff>
    </xdr:to>
    <xdr:graphicFrame macro="">
      <xdr:nvGraphicFramePr>
        <xdr:cNvPr id="4" name="Gráfico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GOBERNACION%20QUINDIO%202020/INSTRUMENTOS%20JUNIO%202020/POAI%20JULIO%2031-2020%20CON%20LISTA%20PROYECTOS%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AI JULIO 31-2020"/>
      <sheetName val="LISTA PROYECTOS"/>
    </sheetNames>
    <sheetDataSet>
      <sheetData sheetId="0">
        <row r="10">
          <cell r="AF10">
            <v>30000000</v>
          </cell>
        </row>
        <row r="30">
          <cell r="AG30">
            <v>0</v>
          </cell>
          <cell r="AH30">
            <v>0</v>
          </cell>
        </row>
      </sheetData>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
  <dimension ref="A1:BU405"/>
  <sheetViews>
    <sheetView showGridLines="0" tabSelected="1" zoomScale="60" zoomScaleNormal="60" workbookViewId="0">
      <selection activeCell="E5" sqref="E5:E6"/>
    </sheetView>
  </sheetViews>
  <sheetFormatPr baseColWidth="10" defaultColWidth="11.42578125" defaultRowHeight="15" x14ac:dyDescent="0.2"/>
  <cols>
    <col min="1" max="1" width="16.7109375" style="55" customWidth="1"/>
    <col min="2" max="2" width="18.28515625" style="406" customWidth="1"/>
    <col min="3" max="3" width="15.85546875" style="406" customWidth="1"/>
    <col min="4" max="4" width="15" style="407" customWidth="1"/>
    <col min="5" max="5" width="16.42578125" style="408" customWidth="1"/>
    <col min="6" max="6" width="58" style="409" customWidth="1"/>
    <col min="7" max="7" width="14.5703125" style="410" customWidth="1"/>
    <col min="8" max="8" width="16.5703125" style="411" customWidth="1"/>
    <col min="9" max="9" width="48.140625" style="412" customWidth="1"/>
    <col min="10" max="10" width="22" style="413" customWidth="1"/>
    <col min="11" max="11" width="19" style="413" customWidth="1"/>
    <col min="12" max="12" width="41.5703125" style="412" customWidth="1"/>
    <col min="13" max="13" width="11.7109375" style="408" customWidth="1"/>
    <col min="14" max="14" width="14.140625" style="411" customWidth="1"/>
    <col min="15" max="16" width="12.5703125" style="410" customWidth="1"/>
    <col min="17" max="17" width="29" style="408" customWidth="1"/>
    <col min="18" max="18" width="23" style="408" customWidth="1"/>
    <col min="19" max="19" width="47.140625" style="412" customWidth="1"/>
    <col min="20" max="37" width="27.5703125" style="414" customWidth="1"/>
    <col min="38" max="43" width="27.5703125" style="415" customWidth="1"/>
    <col min="44" max="49" width="27.5703125" style="414" customWidth="1"/>
    <col min="50" max="50" width="31.140625" style="416" customWidth="1"/>
    <col min="51" max="52" width="27.5703125" style="416" customWidth="1"/>
    <col min="53" max="55" width="27.5703125" style="414" customWidth="1"/>
    <col min="56" max="56" width="32.140625" style="238" customWidth="1"/>
    <col min="57" max="58" width="27.5703125" style="238" customWidth="1"/>
    <col min="59" max="59" width="32.28515625" style="415" customWidth="1"/>
    <col min="60" max="60" width="31.140625" style="415" customWidth="1"/>
    <col min="61" max="61" width="32.5703125" style="415" customWidth="1"/>
    <col min="62" max="62" width="27.42578125" style="54" customWidth="1"/>
    <col min="63" max="63" width="19.28515625" style="54" bestFit="1" customWidth="1"/>
    <col min="64" max="68" width="11.42578125" style="54"/>
    <col min="69" max="16384" width="11.42578125" style="55"/>
  </cols>
  <sheetData>
    <row r="1" spans="1:68" ht="27.75" customHeight="1" x14ac:dyDescent="0.2">
      <c r="A1" s="871" t="s">
        <v>56</v>
      </c>
      <c r="B1" s="872"/>
      <c r="C1" s="872"/>
      <c r="D1" s="872"/>
      <c r="E1" s="872"/>
      <c r="F1" s="872"/>
      <c r="G1" s="872"/>
      <c r="H1" s="872"/>
      <c r="I1" s="872"/>
      <c r="J1" s="872"/>
      <c r="K1" s="872"/>
      <c r="L1" s="872"/>
      <c r="M1" s="872"/>
      <c r="N1" s="872"/>
      <c r="O1" s="872"/>
      <c r="P1" s="872"/>
      <c r="Q1" s="872"/>
      <c r="R1" s="872"/>
      <c r="S1" s="872"/>
      <c r="T1" s="872"/>
      <c r="U1" s="872"/>
      <c r="V1" s="872"/>
      <c r="W1" s="872"/>
      <c r="X1" s="872"/>
      <c r="Y1" s="872"/>
      <c r="Z1" s="872"/>
      <c r="AA1" s="872"/>
      <c r="AB1" s="872"/>
      <c r="AC1" s="872"/>
      <c r="AD1" s="872"/>
      <c r="AE1" s="872"/>
      <c r="AF1" s="872"/>
      <c r="AG1" s="872"/>
      <c r="AH1" s="872"/>
      <c r="AI1" s="872"/>
      <c r="AJ1" s="872"/>
      <c r="AK1" s="872"/>
      <c r="AL1" s="872"/>
      <c r="AM1" s="872"/>
      <c r="AN1" s="872"/>
      <c r="AO1" s="872"/>
      <c r="AP1" s="872"/>
      <c r="AQ1" s="872"/>
      <c r="AR1" s="872"/>
      <c r="AS1" s="872"/>
      <c r="AT1" s="872"/>
      <c r="AU1" s="872"/>
      <c r="AV1" s="872"/>
      <c r="AW1" s="872"/>
      <c r="AX1" s="872"/>
      <c r="AY1" s="872"/>
      <c r="AZ1" s="872"/>
      <c r="BA1" s="872"/>
      <c r="BB1" s="872"/>
      <c r="BC1" s="872"/>
      <c r="BD1" s="872"/>
      <c r="BE1" s="872"/>
      <c r="BF1" s="872"/>
      <c r="BG1" s="873"/>
      <c r="BH1" s="52" t="s">
        <v>57</v>
      </c>
      <c r="BI1" s="53" t="s">
        <v>58</v>
      </c>
    </row>
    <row r="2" spans="1:68" ht="27.75" customHeight="1" x14ac:dyDescent="0.2">
      <c r="A2" s="874"/>
      <c r="B2" s="875"/>
      <c r="C2" s="875"/>
      <c r="D2" s="875"/>
      <c r="E2" s="875"/>
      <c r="F2" s="875"/>
      <c r="G2" s="875"/>
      <c r="H2" s="875"/>
      <c r="I2" s="875"/>
      <c r="J2" s="875"/>
      <c r="K2" s="875"/>
      <c r="L2" s="875"/>
      <c r="M2" s="875"/>
      <c r="N2" s="875"/>
      <c r="O2" s="875"/>
      <c r="P2" s="875"/>
      <c r="Q2" s="875"/>
      <c r="R2" s="875"/>
      <c r="S2" s="875"/>
      <c r="T2" s="875"/>
      <c r="U2" s="875"/>
      <c r="V2" s="875"/>
      <c r="W2" s="875"/>
      <c r="X2" s="875"/>
      <c r="Y2" s="875"/>
      <c r="Z2" s="875"/>
      <c r="AA2" s="875"/>
      <c r="AB2" s="875"/>
      <c r="AC2" s="875"/>
      <c r="AD2" s="875"/>
      <c r="AE2" s="875"/>
      <c r="AF2" s="875"/>
      <c r="AG2" s="875"/>
      <c r="AH2" s="875"/>
      <c r="AI2" s="875"/>
      <c r="AJ2" s="875"/>
      <c r="AK2" s="875"/>
      <c r="AL2" s="875"/>
      <c r="AM2" s="875"/>
      <c r="AN2" s="875"/>
      <c r="AO2" s="875"/>
      <c r="AP2" s="875"/>
      <c r="AQ2" s="875"/>
      <c r="AR2" s="875"/>
      <c r="AS2" s="875"/>
      <c r="AT2" s="875"/>
      <c r="AU2" s="875"/>
      <c r="AV2" s="875"/>
      <c r="AW2" s="875"/>
      <c r="AX2" s="875"/>
      <c r="AY2" s="875"/>
      <c r="AZ2" s="875"/>
      <c r="BA2" s="875"/>
      <c r="BB2" s="875"/>
      <c r="BC2" s="875"/>
      <c r="BD2" s="875"/>
      <c r="BE2" s="875"/>
      <c r="BF2" s="875"/>
      <c r="BG2" s="876"/>
      <c r="BH2" s="56" t="s">
        <v>59</v>
      </c>
      <c r="BI2" s="57">
        <v>3</v>
      </c>
    </row>
    <row r="3" spans="1:68" ht="27.75" customHeight="1" x14ac:dyDescent="0.2">
      <c r="A3" s="874"/>
      <c r="B3" s="875"/>
      <c r="C3" s="875"/>
      <c r="D3" s="875"/>
      <c r="E3" s="875"/>
      <c r="F3" s="875"/>
      <c r="G3" s="875"/>
      <c r="H3" s="875"/>
      <c r="I3" s="875"/>
      <c r="J3" s="875"/>
      <c r="K3" s="875"/>
      <c r="L3" s="875"/>
      <c r="M3" s="875"/>
      <c r="N3" s="875"/>
      <c r="O3" s="875"/>
      <c r="P3" s="875"/>
      <c r="Q3" s="875"/>
      <c r="R3" s="875"/>
      <c r="S3" s="875"/>
      <c r="T3" s="875"/>
      <c r="U3" s="875"/>
      <c r="V3" s="875"/>
      <c r="W3" s="875"/>
      <c r="X3" s="875"/>
      <c r="Y3" s="875"/>
      <c r="Z3" s="875"/>
      <c r="AA3" s="875"/>
      <c r="AB3" s="875"/>
      <c r="AC3" s="875"/>
      <c r="AD3" s="875"/>
      <c r="AE3" s="875"/>
      <c r="AF3" s="875"/>
      <c r="AG3" s="875"/>
      <c r="AH3" s="875"/>
      <c r="AI3" s="875"/>
      <c r="AJ3" s="875"/>
      <c r="AK3" s="875"/>
      <c r="AL3" s="875"/>
      <c r="AM3" s="875"/>
      <c r="AN3" s="875"/>
      <c r="AO3" s="875"/>
      <c r="AP3" s="875"/>
      <c r="AQ3" s="875"/>
      <c r="AR3" s="875"/>
      <c r="AS3" s="875"/>
      <c r="AT3" s="875"/>
      <c r="AU3" s="875"/>
      <c r="AV3" s="875"/>
      <c r="AW3" s="875"/>
      <c r="AX3" s="875"/>
      <c r="AY3" s="875"/>
      <c r="AZ3" s="875"/>
      <c r="BA3" s="875"/>
      <c r="BB3" s="875"/>
      <c r="BC3" s="875"/>
      <c r="BD3" s="875"/>
      <c r="BE3" s="875"/>
      <c r="BF3" s="875"/>
      <c r="BG3" s="876"/>
      <c r="BH3" s="52" t="s">
        <v>60</v>
      </c>
      <c r="BI3" s="58" t="s">
        <v>61</v>
      </c>
    </row>
    <row r="4" spans="1:68" ht="27.75" customHeight="1" x14ac:dyDescent="0.2">
      <c r="A4" s="877"/>
      <c r="B4" s="878"/>
      <c r="C4" s="878"/>
      <c r="D4" s="878"/>
      <c r="E4" s="878"/>
      <c r="F4" s="878"/>
      <c r="G4" s="878"/>
      <c r="H4" s="878"/>
      <c r="I4" s="878"/>
      <c r="J4" s="878"/>
      <c r="K4" s="878"/>
      <c r="L4" s="878"/>
      <c r="M4" s="878"/>
      <c r="N4" s="878"/>
      <c r="O4" s="878"/>
      <c r="P4" s="878"/>
      <c r="Q4" s="878"/>
      <c r="R4" s="878"/>
      <c r="S4" s="878"/>
      <c r="T4" s="878"/>
      <c r="U4" s="878"/>
      <c r="V4" s="878"/>
      <c r="W4" s="878"/>
      <c r="X4" s="878"/>
      <c r="Y4" s="878"/>
      <c r="Z4" s="878"/>
      <c r="AA4" s="878"/>
      <c r="AB4" s="878"/>
      <c r="AC4" s="878"/>
      <c r="AD4" s="878"/>
      <c r="AE4" s="878"/>
      <c r="AF4" s="878"/>
      <c r="AG4" s="878"/>
      <c r="AH4" s="878"/>
      <c r="AI4" s="878"/>
      <c r="AJ4" s="878"/>
      <c r="AK4" s="878"/>
      <c r="AL4" s="878"/>
      <c r="AM4" s="878"/>
      <c r="AN4" s="878"/>
      <c r="AO4" s="878"/>
      <c r="AP4" s="878"/>
      <c r="AQ4" s="878"/>
      <c r="AR4" s="878"/>
      <c r="AS4" s="878"/>
      <c r="AT4" s="878"/>
      <c r="AU4" s="878"/>
      <c r="AV4" s="878"/>
      <c r="AW4" s="878"/>
      <c r="AX4" s="878"/>
      <c r="AY4" s="878"/>
      <c r="AZ4" s="878"/>
      <c r="BA4" s="878"/>
      <c r="BB4" s="878"/>
      <c r="BC4" s="878"/>
      <c r="BD4" s="878"/>
      <c r="BE4" s="878"/>
      <c r="BF4" s="878"/>
      <c r="BG4" s="879"/>
      <c r="BH4" s="52" t="s">
        <v>62</v>
      </c>
      <c r="BI4" s="59" t="s">
        <v>63</v>
      </c>
    </row>
    <row r="5" spans="1:68" s="61" customFormat="1" ht="84.75" customHeight="1" x14ac:dyDescent="0.25">
      <c r="A5" s="868" t="s">
        <v>12</v>
      </c>
      <c r="B5" s="868" t="s">
        <v>64</v>
      </c>
      <c r="C5" s="868" t="s">
        <v>65</v>
      </c>
      <c r="D5" s="880" t="s">
        <v>66</v>
      </c>
      <c r="E5" s="866" t="s">
        <v>67</v>
      </c>
      <c r="F5" s="882" t="s">
        <v>68</v>
      </c>
      <c r="G5" s="866" t="s">
        <v>69</v>
      </c>
      <c r="H5" s="866" t="s">
        <v>70</v>
      </c>
      <c r="I5" s="867" t="s">
        <v>71</v>
      </c>
      <c r="J5" s="866" t="s">
        <v>72</v>
      </c>
      <c r="K5" s="866" t="s">
        <v>73</v>
      </c>
      <c r="L5" s="867" t="s">
        <v>74</v>
      </c>
      <c r="M5" s="866" t="s">
        <v>75</v>
      </c>
      <c r="N5" s="868" t="s">
        <v>76</v>
      </c>
      <c r="O5" s="869" t="s">
        <v>77</v>
      </c>
      <c r="P5" s="870"/>
      <c r="Q5" s="866" t="s">
        <v>78</v>
      </c>
      <c r="R5" s="866" t="s">
        <v>79</v>
      </c>
      <c r="S5" s="866" t="s">
        <v>80</v>
      </c>
      <c r="T5" s="885" t="s">
        <v>81</v>
      </c>
      <c r="U5" s="885"/>
      <c r="V5" s="886"/>
      <c r="W5" s="884" t="s">
        <v>82</v>
      </c>
      <c r="X5" s="885"/>
      <c r="Y5" s="886"/>
      <c r="Z5" s="884" t="s">
        <v>83</v>
      </c>
      <c r="AA5" s="885"/>
      <c r="AB5" s="886"/>
      <c r="AC5" s="884" t="s">
        <v>84</v>
      </c>
      <c r="AD5" s="885"/>
      <c r="AE5" s="886"/>
      <c r="AF5" s="884" t="s">
        <v>85</v>
      </c>
      <c r="AG5" s="885"/>
      <c r="AH5" s="886"/>
      <c r="AI5" s="884" t="s">
        <v>86</v>
      </c>
      <c r="AJ5" s="885"/>
      <c r="AK5" s="886"/>
      <c r="AL5" s="884" t="s">
        <v>87</v>
      </c>
      <c r="AM5" s="885"/>
      <c r="AN5" s="886"/>
      <c r="AO5" s="884" t="s">
        <v>88</v>
      </c>
      <c r="AP5" s="885"/>
      <c r="AQ5" s="886"/>
      <c r="AR5" s="884" t="s">
        <v>89</v>
      </c>
      <c r="AS5" s="885"/>
      <c r="AT5" s="886"/>
      <c r="AU5" s="884" t="s">
        <v>90</v>
      </c>
      <c r="AV5" s="885"/>
      <c r="AW5" s="886"/>
      <c r="AX5" s="884" t="s">
        <v>91</v>
      </c>
      <c r="AY5" s="885"/>
      <c r="AZ5" s="886"/>
      <c r="BA5" s="884" t="s">
        <v>92</v>
      </c>
      <c r="BB5" s="885"/>
      <c r="BC5" s="886"/>
      <c r="BD5" s="884" t="s">
        <v>93</v>
      </c>
      <c r="BE5" s="885"/>
      <c r="BF5" s="886"/>
      <c r="BG5" s="884" t="s">
        <v>94</v>
      </c>
      <c r="BH5" s="885"/>
      <c r="BI5" s="886"/>
      <c r="BJ5" s="60"/>
      <c r="BK5" s="60"/>
      <c r="BL5" s="60"/>
      <c r="BM5" s="60"/>
      <c r="BN5" s="60"/>
      <c r="BO5" s="60"/>
      <c r="BP5" s="60"/>
    </row>
    <row r="6" spans="1:68" s="61" customFormat="1" ht="32.25" customHeight="1" x14ac:dyDescent="0.25">
      <c r="A6" s="868"/>
      <c r="B6" s="868"/>
      <c r="C6" s="868"/>
      <c r="D6" s="881"/>
      <c r="E6" s="866"/>
      <c r="F6" s="883"/>
      <c r="G6" s="866"/>
      <c r="H6" s="866"/>
      <c r="I6" s="867"/>
      <c r="J6" s="866"/>
      <c r="K6" s="866"/>
      <c r="L6" s="867"/>
      <c r="M6" s="866"/>
      <c r="N6" s="868"/>
      <c r="O6" s="62" t="s">
        <v>95</v>
      </c>
      <c r="P6" s="62" t="s">
        <v>96</v>
      </c>
      <c r="Q6" s="866"/>
      <c r="R6" s="866"/>
      <c r="S6" s="866"/>
      <c r="T6" s="63" t="s">
        <v>97</v>
      </c>
      <c r="U6" s="63" t="s">
        <v>98</v>
      </c>
      <c r="V6" s="63" t="s">
        <v>99</v>
      </c>
      <c r="W6" s="63" t="s">
        <v>97</v>
      </c>
      <c r="X6" s="63" t="s">
        <v>98</v>
      </c>
      <c r="Y6" s="63" t="s">
        <v>99</v>
      </c>
      <c r="Z6" s="63" t="s">
        <v>97</v>
      </c>
      <c r="AA6" s="63" t="s">
        <v>98</v>
      </c>
      <c r="AB6" s="63" t="s">
        <v>99</v>
      </c>
      <c r="AC6" s="63" t="s">
        <v>97</v>
      </c>
      <c r="AD6" s="63" t="s">
        <v>98</v>
      </c>
      <c r="AE6" s="63" t="s">
        <v>99</v>
      </c>
      <c r="AF6" s="63" t="s">
        <v>97</v>
      </c>
      <c r="AG6" s="63" t="s">
        <v>98</v>
      </c>
      <c r="AH6" s="63" t="s">
        <v>99</v>
      </c>
      <c r="AI6" s="63" t="s">
        <v>97</v>
      </c>
      <c r="AJ6" s="63" t="s">
        <v>98</v>
      </c>
      <c r="AK6" s="63" t="s">
        <v>99</v>
      </c>
      <c r="AL6" s="63" t="s">
        <v>97</v>
      </c>
      <c r="AM6" s="63" t="s">
        <v>98</v>
      </c>
      <c r="AN6" s="63" t="s">
        <v>99</v>
      </c>
      <c r="AO6" s="63" t="s">
        <v>97</v>
      </c>
      <c r="AP6" s="63" t="s">
        <v>98</v>
      </c>
      <c r="AQ6" s="63" t="s">
        <v>99</v>
      </c>
      <c r="AR6" s="63" t="s">
        <v>97</v>
      </c>
      <c r="AS6" s="63" t="s">
        <v>98</v>
      </c>
      <c r="AT6" s="63" t="s">
        <v>99</v>
      </c>
      <c r="AU6" s="63" t="s">
        <v>97</v>
      </c>
      <c r="AV6" s="63" t="s">
        <v>98</v>
      </c>
      <c r="AW6" s="63" t="s">
        <v>99</v>
      </c>
      <c r="AX6" s="63" t="s">
        <v>97</v>
      </c>
      <c r="AY6" s="63" t="s">
        <v>98</v>
      </c>
      <c r="AZ6" s="63" t="s">
        <v>99</v>
      </c>
      <c r="BA6" s="63" t="s">
        <v>97</v>
      </c>
      <c r="BB6" s="63" t="s">
        <v>98</v>
      </c>
      <c r="BC6" s="63" t="s">
        <v>99</v>
      </c>
      <c r="BD6" s="63" t="s">
        <v>97</v>
      </c>
      <c r="BE6" s="63" t="s">
        <v>98</v>
      </c>
      <c r="BF6" s="63" t="s">
        <v>99</v>
      </c>
      <c r="BG6" s="63" t="s">
        <v>97</v>
      </c>
      <c r="BH6" s="63" t="s">
        <v>98</v>
      </c>
      <c r="BI6" s="63" t="s">
        <v>99</v>
      </c>
      <c r="BJ6" s="60"/>
      <c r="BK6" s="60"/>
      <c r="BL6" s="60"/>
      <c r="BM6" s="60"/>
      <c r="BN6" s="60"/>
      <c r="BO6" s="60"/>
      <c r="BP6" s="60"/>
    </row>
    <row r="7" spans="1:68" ht="15.75" x14ac:dyDescent="0.2">
      <c r="B7" s="64"/>
      <c r="C7" s="64"/>
      <c r="D7" s="65"/>
      <c r="E7" s="66"/>
      <c r="F7" s="67"/>
      <c r="G7" s="68"/>
      <c r="H7" s="68"/>
      <c r="I7" s="69"/>
      <c r="J7" s="70"/>
      <c r="K7" s="70"/>
      <c r="L7" s="69"/>
      <c r="M7" s="71"/>
      <c r="N7" s="68"/>
      <c r="O7" s="72"/>
      <c r="P7" s="72"/>
      <c r="Q7" s="71"/>
      <c r="R7" s="71"/>
      <c r="S7" s="73"/>
      <c r="T7" s="74"/>
      <c r="U7" s="74"/>
      <c r="V7" s="74"/>
      <c r="W7" s="74"/>
      <c r="X7" s="74"/>
      <c r="Y7" s="74"/>
      <c r="Z7" s="74"/>
      <c r="AA7" s="74"/>
      <c r="AB7" s="74"/>
      <c r="AC7" s="74"/>
      <c r="AD7" s="74"/>
      <c r="AE7" s="74"/>
      <c r="AF7" s="74"/>
      <c r="AG7" s="74"/>
      <c r="AH7" s="74"/>
      <c r="AI7" s="74"/>
      <c r="AJ7" s="74"/>
      <c r="AK7" s="74"/>
      <c r="AL7" s="74"/>
      <c r="AM7" s="74"/>
      <c r="AN7" s="74"/>
      <c r="AO7" s="74"/>
      <c r="AP7" s="74"/>
      <c r="AQ7" s="74"/>
      <c r="AR7" s="74"/>
      <c r="AS7" s="74"/>
      <c r="AT7" s="74"/>
      <c r="AU7" s="74"/>
      <c r="AV7" s="74"/>
      <c r="AW7" s="74"/>
      <c r="AX7" s="75"/>
      <c r="AY7" s="75"/>
      <c r="AZ7" s="75"/>
      <c r="BA7" s="74"/>
      <c r="BB7" s="74"/>
      <c r="BC7" s="74"/>
      <c r="BD7" s="74"/>
      <c r="BE7" s="74"/>
      <c r="BF7" s="74"/>
      <c r="BG7" s="75"/>
      <c r="BH7" s="75"/>
      <c r="BI7" s="75"/>
    </row>
    <row r="8" spans="1:68" s="90" customFormat="1" ht="15.75" x14ac:dyDescent="0.25">
      <c r="A8" s="76" t="s">
        <v>100</v>
      </c>
      <c r="B8" s="77"/>
      <c r="C8" s="78"/>
      <c r="D8" s="79"/>
      <c r="E8" s="80"/>
      <c r="F8" s="81"/>
      <c r="G8" s="82"/>
      <c r="H8" s="83"/>
      <c r="I8" s="84"/>
      <c r="J8" s="85"/>
      <c r="K8" s="85"/>
      <c r="L8" s="84"/>
      <c r="M8" s="86"/>
      <c r="N8" s="83"/>
      <c r="O8" s="82"/>
      <c r="P8" s="82"/>
      <c r="Q8" s="80"/>
      <c r="R8" s="80"/>
      <c r="S8" s="87"/>
      <c r="T8" s="88">
        <f>T9</f>
        <v>0</v>
      </c>
      <c r="U8" s="88"/>
      <c r="V8" s="88"/>
      <c r="W8" s="88">
        <f>W9</f>
        <v>0</v>
      </c>
      <c r="X8" s="88"/>
      <c r="Y8" s="88"/>
      <c r="Z8" s="88">
        <f>Z9</f>
        <v>0</v>
      </c>
      <c r="AA8" s="88"/>
      <c r="AB8" s="88"/>
      <c r="AC8" s="88">
        <f>AC9</f>
        <v>0</v>
      </c>
      <c r="AD8" s="88"/>
      <c r="AE8" s="88"/>
      <c r="AF8" s="88">
        <f>AF9</f>
        <v>0</v>
      </c>
      <c r="AG8" s="88"/>
      <c r="AH8" s="88"/>
      <c r="AI8" s="88">
        <f>AI9</f>
        <v>0</v>
      </c>
      <c r="AJ8" s="88"/>
      <c r="AK8" s="88"/>
      <c r="AL8" s="88">
        <f>AL9</f>
        <v>0</v>
      </c>
      <c r="AM8" s="88"/>
      <c r="AN8" s="88"/>
      <c r="AO8" s="88">
        <f>AO9</f>
        <v>0</v>
      </c>
      <c r="AP8" s="88"/>
      <c r="AQ8" s="88"/>
      <c r="AR8" s="88">
        <f>AR9</f>
        <v>0</v>
      </c>
      <c r="AS8" s="88"/>
      <c r="AT8" s="88"/>
      <c r="AU8" s="88">
        <f>AU9</f>
        <v>0</v>
      </c>
      <c r="AV8" s="88"/>
      <c r="AW8" s="88"/>
      <c r="AX8" s="88">
        <f>AX9</f>
        <v>146122927.59999999</v>
      </c>
      <c r="AY8" s="88">
        <f>AY9</f>
        <v>0</v>
      </c>
      <c r="AZ8" s="88">
        <f>AZ9</f>
        <v>0</v>
      </c>
      <c r="BA8" s="88">
        <f>BA9</f>
        <v>0</v>
      </c>
      <c r="BB8" s="88"/>
      <c r="BC8" s="88"/>
      <c r="BD8" s="88">
        <f>BD9</f>
        <v>0</v>
      </c>
      <c r="BE8" s="88"/>
      <c r="BF8" s="88"/>
      <c r="BG8" s="88">
        <f>BG9</f>
        <v>146122927.59999999</v>
      </c>
      <c r="BH8" s="88">
        <f>BH9</f>
        <v>0</v>
      </c>
      <c r="BI8" s="88">
        <f>BI9</f>
        <v>0</v>
      </c>
      <c r="BJ8" s="89"/>
      <c r="BK8" s="89"/>
      <c r="BL8" s="89"/>
      <c r="BM8" s="89"/>
      <c r="BN8" s="89"/>
      <c r="BO8" s="89"/>
      <c r="BP8" s="89"/>
    </row>
    <row r="9" spans="1:68" s="90" customFormat="1" ht="15.75" x14ac:dyDescent="0.25">
      <c r="A9" s="91"/>
      <c r="B9" s="92">
        <v>4</v>
      </c>
      <c r="C9" s="93" t="s">
        <v>101</v>
      </c>
      <c r="D9" s="94"/>
      <c r="E9" s="95"/>
      <c r="F9" s="96"/>
      <c r="G9" s="97"/>
      <c r="H9" s="98"/>
      <c r="I9" s="99"/>
      <c r="J9" s="100"/>
      <c r="K9" s="100"/>
      <c r="L9" s="99"/>
      <c r="M9" s="101"/>
      <c r="N9" s="102"/>
      <c r="O9" s="97"/>
      <c r="P9" s="97"/>
      <c r="Q9" s="95"/>
      <c r="R9" s="95"/>
      <c r="S9" s="99"/>
      <c r="T9" s="103">
        <f>T10+T13</f>
        <v>0</v>
      </c>
      <c r="U9" s="103"/>
      <c r="V9" s="103"/>
      <c r="W9" s="103">
        <f>W10+W13</f>
        <v>0</v>
      </c>
      <c r="X9" s="103"/>
      <c r="Y9" s="103"/>
      <c r="Z9" s="103">
        <f>Z10+Z13</f>
        <v>0</v>
      </c>
      <c r="AA9" s="103"/>
      <c r="AB9" s="103"/>
      <c r="AC9" s="103">
        <f>AC10+AC13</f>
        <v>0</v>
      </c>
      <c r="AD9" s="103"/>
      <c r="AE9" s="103"/>
      <c r="AF9" s="103">
        <f>AF10+AF13</f>
        <v>0</v>
      </c>
      <c r="AG9" s="103"/>
      <c r="AH9" s="103"/>
      <c r="AI9" s="103">
        <f>AI10+AI13</f>
        <v>0</v>
      </c>
      <c r="AJ9" s="103"/>
      <c r="AK9" s="103"/>
      <c r="AL9" s="103">
        <f>AL10+AL13</f>
        <v>0</v>
      </c>
      <c r="AM9" s="103"/>
      <c r="AN9" s="103"/>
      <c r="AO9" s="103">
        <f>AO10+AO13</f>
        <v>0</v>
      </c>
      <c r="AP9" s="103"/>
      <c r="AQ9" s="103"/>
      <c r="AR9" s="103">
        <f>AR10+AR13</f>
        <v>0</v>
      </c>
      <c r="AS9" s="103"/>
      <c r="AT9" s="103"/>
      <c r="AU9" s="103">
        <f>AU10+AU13</f>
        <v>0</v>
      </c>
      <c r="AV9" s="103"/>
      <c r="AW9" s="103"/>
      <c r="AX9" s="103">
        <f>AX10+AX13</f>
        <v>146122927.59999999</v>
      </c>
      <c r="AY9" s="103">
        <f>AY10+AY13</f>
        <v>0</v>
      </c>
      <c r="AZ9" s="103">
        <f>AZ10+AZ13</f>
        <v>0</v>
      </c>
      <c r="BA9" s="103">
        <f>BA10+BA13</f>
        <v>0</v>
      </c>
      <c r="BB9" s="103"/>
      <c r="BC9" s="103"/>
      <c r="BD9" s="103">
        <f>BD10+BD13</f>
        <v>0</v>
      </c>
      <c r="BE9" s="103"/>
      <c r="BF9" s="103"/>
      <c r="BG9" s="103">
        <f>BG10+BG13</f>
        <v>146122927.59999999</v>
      </c>
      <c r="BH9" s="103">
        <f>BH10+BH13</f>
        <v>0</v>
      </c>
      <c r="BI9" s="103">
        <f>BI10+BI13</f>
        <v>0</v>
      </c>
      <c r="BJ9" s="89"/>
      <c r="BK9" s="89"/>
      <c r="BL9" s="89"/>
      <c r="BM9" s="89"/>
      <c r="BN9" s="89"/>
      <c r="BO9" s="89"/>
      <c r="BP9" s="89"/>
    </row>
    <row r="10" spans="1:68" ht="15.75" x14ac:dyDescent="0.2">
      <c r="A10" s="104"/>
      <c r="B10" s="105"/>
      <c r="C10" s="106">
        <v>45</v>
      </c>
      <c r="D10" s="107" t="s">
        <v>102</v>
      </c>
      <c r="E10" s="108" t="s">
        <v>103</v>
      </c>
      <c r="F10" s="109"/>
      <c r="G10" s="110"/>
      <c r="H10" s="111"/>
      <c r="I10" s="112"/>
      <c r="J10" s="113"/>
      <c r="K10" s="113"/>
      <c r="L10" s="112"/>
      <c r="M10" s="114"/>
      <c r="N10" s="115"/>
      <c r="O10" s="110"/>
      <c r="P10" s="110"/>
      <c r="Q10" s="116"/>
      <c r="R10" s="116"/>
      <c r="S10" s="112"/>
      <c r="T10" s="117">
        <f>SUM(T11:T12)</f>
        <v>0</v>
      </c>
      <c r="U10" s="117"/>
      <c r="V10" s="117"/>
      <c r="W10" s="117">
        <f>SUM(W11:W12)</f>
        <v>0</v>
      </c>
      <c r="X10" s="117"/>
      <c r="Y10" s="117"/>
      <c r="Z10" s="117">
        <f>SUM(Z11:Z12)</f>
        <v>0</v>
      </c>
      <c r="AA10" s="117"/>
      <c r="AB10" s="117"/>
      <c r="AC10" s="117">
        <f>SUM(AC11:AC12)</f>
        <v>0</v>
      </c>
      <c r="AD10" s="117"/>
      <c r="AE10" s="117"/>
      <c r="AF10" s="117">
        <f>SUM(AF11:AF12)</f>
        <v>0</v>
      </c>
      <c r="AG10" s="117"/>
      <c r="AH10" s="117"/>
      <c r="AI10" s="117">
        <f>SUM(AI11:AI12)</f>
        <v>0</v>
      </c>
      <c r="AJ10" s="117"/>
      <c r="AK10" s="117"/>
      <c r="AL10" s="117">
        <f>SUM(AL11:AL12)</f>
        <v>0</v>
      </c>
      <c r="AM10" s="117"/>
      <c r="AN10" s="117"/>
      <c r="AO10" s="117">
        <f>SUM(AO11:AO12)</f>
        <v>0</v>
      </c>
      <c r="AP10" s="117"/>
      <c r="AQ10" s="117"/>
      <c r="AR10" s="117">
        <f>SUM(AR11:AR12)</f>
        <v>0</v>
      </c>
      <c r="AS10" s="117"/>
      <c r="AT10" s="117"/>
      <c r="AU10" s="117">
        <f>SUM(AU11:AU12)</f>
        <v>0</v>
      </c>
      <c r="AV10" s="117"/>
      <c r="AW10" s="117"/>
      <c r="AX10" s="117">
        <f>SUM(AX11:AX12)</f>
        <v>91000000</v>
      </c>
      <c r="AY10" s="117">
        <f>SUM(AY11:AY12)</f>
        <v>0</v>
      </c>
      <c r="AZ10" s="117">
        <f>SUM(AZ11:AZ12)</f>
        <v>0</v>
      </c>
      <c r="BA10" s="117">
        <f>SUM(BA11:BA12)</f>
        <v>0</v>
      </c>
      <c r="BB10" s="117"/>
      <c r="BC10" s="117"/>
      <c r="BD10" s="117">
        <f>SUM(BD11:BD12)</f>
        <v>0</v>
      </c>
      <c r="BE10" s="117"/>
      <c r="BF10" s="117"/>
      <c r="BG10" s="117">
        <f>SUM(BG11:BG12)</f>
        <v>91000000</v>
      </c>
      <c r="BH10" s="117">
        <f>SUM(BH11:BH12)</f>
        <v>0</v>
      </c>
      <c r="BI10" s="117">
        <f>SUM(BI11:BI12)</f>
        <v>0</v>
      </c>
    </row>
    <row r="11" spans="1:68" ht="76.5" customHeight="1" x14ac:dyDescent="0.2">
      <c r="A11" s="104"/>
      <c r="B11" s="118"/>
      <c r="C11" s="119"/>
      <c r="D11" s="120"/>
      <c r="E11" s="121"/>
      <c r="F11" s="122" t="s">
        <v>104</v>
      </c>
      <c r="G11" s="123" t="s">
        <v>105</v>
      </c>
      <c r="H11" s="124" t="s">
        <v>102</v>
      </c>
      <c r="I11" s="125" t="s">
        <v>106</v>
      </c>
      <c r="J11" s="126" t="s">
        <v>107</v>
      </c>
      <c r="K11" s="126" t="s">
        <v>102</v>
      </c>
      <c r="L11" s="125" t="s">
        <v>108</v>
      </c>
      <c r="M11" s="127" t="s">
        <v>109</v>
      </c>
      <c r="N11" s="128">
        <v>3</v>
      </c>
      <c r="O11" s="128">
        <v>3</v>
      </c>
      <c r="P11" s="128"/>
      <c r="Q11" s="127" t="s">
        <v>110</v>
      </c>
      <c r="R11" s="127" t="s">
        <v>111</v>
      </c>
      <c r="S11" s="125" t="s">
        <v>112</v>
      </c>
      <c r="T11" s="129"/>
      <c r="U11" s="129"/>
      <c r="V11" s="129"/>
      <c r="W11" s="129"/>
      <c r="X11" s="129"/>
      <c r="Y11" s="129"/>
      <c r="Z11" s="129"/>
      <c r="AA11" s="129"/>
      <c r="AB11" s="129"/>
      <c r="AC11" s="129"/>
      <c r="AD11" s="129"/>
      <c r="AE11" s="129"/>
      <c r="AF11" s="129"/>
      <c r="AG11" s="129"/>
      <c r="AH11" s="129"/>
      <c r="AI11" s="129"/>
      <c r="AJ11" s="129"/>
      <c r="AK11" s="129"/>
      <c r="AL11" s="129"/>
      <c r="AM11" s="129"/>
      <c r="AN11" s="129"/>
      <c r="AO11" s="129"/>
      <c r="AP11" s="129"/>
      <c r="AQ11" s="129"/>
      <c r="AR11" s="129"/>
      <c r="AS11" s="129"/>
      <c r="AT11" s="129"/>
      <c r="AU11" s="129"/>
      <c r="AV11" s="129"/>
      <c r="AW11" s="129"/>
      <c r="AX11" s="831">
        <v>60000000</v>
      </c>
      <c r="AY11" s="130"/>
      <c r="AZ11" s="130"/>
      <c r="BA11" s="129"/>
      <c r="BB11" s="129"/>
      <c r="BC11" s="129"/>
      <c r="BD11" s="129"/>
      <c r="BE11" s="129"/>
      <c r="BF11" s="129"/>
      <c r="BG11" s="131">
        <f t="shared" ref="BG11:BI12" si="0">+T11+W11+Z11+AC11+AF11+AI11+AL11+AO11+AR11+AU11+AX11+BA11+BD11</f>
        <v>60000000</v>
      </c>
      <c r="BH11" s="131">
        <f t="shared" si="0"/>
        <v>0</v>
      </c>
      <c r="BI11" s="131">
        <f t="shared" si="0"/>
        <v>0</v>
      </c>
      <c r="BJ11" s="55"/>
      <c r="BK11" s="55"/>
      <c r="BL11" s="55"/>
      <c r="BM11" s="55"/>
      <c r="BN11" s="55"/>
      <c r="BO11" s="55"/>
      <c r="BP11" s="55"/>
    </row>
    <row r="12" spans="1:68" ht="116.25" customHeight="1" x14ac:dyDescent="0.2">
      <c r="A12" s="104"/>
      <c r="B12" s="118"/>
      <c r="C12" s="64"/>
      <c r="D12" s="132"/>
      <c r="E12" s="121"/>
      <c r="F12" s="122" t="s">
        <v>104</v>
      </c>
      <c r="G12" s="123" t="s">
        <v>113</v>
      </c>
      <c r="H12" s="124" t="s">
        <v>102</v>
      </c>
      <c r="I12" s="125" t="s">
        <v>114</v>
      </c>
      <c r="J12" s="126" t="s">
        <v>115</v>
      </c>
      <c r="K12" s="126" t="s">
        <v>102</v>
      </c>
      <c r="L12" s="125" t="s">
        <v>116</v>
      </c>
      <c r="M12" s="127" t="s">
        <v>109</v>
      </c>
      <c r="N12" s="128">
        <v>4</v>
      </c>
      <c r="O12" s="128">
        <v>4</v>
      </c>
      <c r="P12" s="128"/>
      <c r="Q12" s="127" t="s">
        <v>110</v>
      </c>
      <c r="R12" s="127" t="s">
        <v>117</v>
      </c>
      <c r="S12" s="125" t="s">
        <v>118</v>
      </c>
      <c r="T12" s="129"/>
      <c r="U12" s="129"/>
      <c r="V12" s="129"/>
      <c r="W12" s="129"/>
      <c r="X12" s="129"/>
      <c r="Y12" s="129"/>
      <c r="Z12" s="129"/>
      <c r="AA12" s="129"/>
      <c r="AB12" s="129"/>
      <c r="AC12" s="129"/>
      <c r="AD12" s="129"/>
      <c r="AE12" s="129"/>
      <c r="AF12" s="129"/>
      <c r="AG12" s="129"/>
      <c r="AH12" s="129"/>
      <c r="AI12" s="129"/>
      <c r="AJ12" s="129"/>
      <c r="AK12" s="129"/>
      <c r="AL12" s="129"/>
      <c r="AM12" s="129"/>
      <c r="AN12" s="129"/>
      <c r="AO12" s="129"/>
      <c r="AP12" s="129"/>
      <c r="AQ12" s="129"/>
      <c r="AR12" s="129"/>
      <c r="AS12" s="129"/>
      <c r="AT12" s="129"/>
      <c r="AU12" s="129"/>
      <c r="AV12" s="129"/>
      <c r="AW12" s="129"/>
      <c r="AX12" s="832">
        <v>31000000</v>
      </c>
      <c r="AY12" s="133"/>
      <c r="AZ12" s="133"/>
      <c r="BA12" s="129"/>
      <c r="BB12" s="129"/>
      <c r="BC12" s="129"/>
      <c r="BD12" s="129"/>
      <c r="BE12" s="129"/>
      <c r="BF12" s="129"/>
      <c r="BG12" s="131">
        <f t="shared" si="0"/>
        <v>31000000</v>
      </c>
      <c r="BH12" s="131">
        <f t="shared" si="0"/>
        <v>0</v>
      </c>
      <c r="BI12" s="131">
        <f t="shared" si="0"/>
        <v>0</v>
      </c>
      <c r="BJ12" s="55"/>
      <c r="BK12" s="55"/>
      <c r="BL12" s="55"/>
      <c r="BM12" s="55"/>
      <c r="BN12" s="55"/>
      <c r="BO12" s="55"/>
      <c r="BP12" s="55"/>
    </row>
    <row r="13" spans="1:68" ht="15.75" x14ac:dyDescent="0.2">
      <c r="A13" s="104"/>
      <c r="B13" s="134"/>
      <c r="C13" s="135">
        <v>42</v>
      </c>
      <c r="D13" s="136">
        <v>4502</v>
      </c>
      <c r="E13" s="137" t="s">
        <v>119</v>
      </c>
      <c r="F13" s="138"/>
      <c r="G13" s="139"/>
      <c r="H13" s="140"/>
      <c r="I13" s="112"/>
      <c r="J13" s="113"/>
      <c r="K13" s="113"/>
      <c r="L13" s="112"/>
      <c r="M13" s="114"/>
      <c r="N13" s="115"/>
      <c r="O13" s="110"/>
      <c r="P13" s="110"/>
      <c r="Q13" s="116"/>
      <c r="R13" s="116"/>
      <c r="S13" s="112"/>
      <c r="T13" s="117">
        <f>SUM(T14)</f>
        <v>0</v>
      </c>
      <c r="U13" s="117"/>
      <c r="V13" s="117"/>
      <c r="W13" s="117">
        <f>SUM(W14)</f>
        <v>0</v>
      </c>
      <c r="X13" s="117"/>
      <c r="Y13" s="117"/>
      <c r="Z13" s="117">
        <f>SUM(Z14)</f>
        <v>0</v>
      </c>
      <c r="AA13" s="117"/>
      <c r="AB13" s="117"/>
      <c r="AC13" s="117">
        <f>SUM(AC14)</f>
        <v>0</v>
      </c>
      <c r="AD13" s="117"/>
      <c r="AE13" s="117"/>
      <c r="AF13" s="117">
        <f>SUM(AF14)</f>
        <v>0</v>
      </c>
      <c r="AG13" s="117"/>
      <c r="AH13" s="117"/>
      <c r="AI13" s="117">
        <f>SUM(AI14)</f>
        <v>0</v>
      </c>
      <c r="AJ13" s="117"/>
      <c r="AK13" s="117"/>
      <c r="AL13" s="117">
        <f>SUM(AL14)</f>
        <v>0</v>
      </c>
      <c r="AM13" s="117"/>
      <c r="AN13" s="117"/>
      <c r="AO13" s="117">
        <f>SUM(AO14)</f>
        <v>0</v>
      </c>
      <c r="AP13" s="117"/>
      <c r="AQ13" s="117"/>
      <c r="AR13" s="117">
        <f>SUM(AR14)</f>
        <v>0</v>
      </c>
      <c r="AS13" s="117"/>
      <c r="AT13" s="117"/>
      <c r="AU13" s="117">
        <f>SUM(AU14)</f>
        <v>0</v>
      </c>
      <c r="AV13" s="117"/>
      <c r="AW13" s="117"/>
      <c r="AX13" s="833">
        <f>SUM(AX14)</f>
        <v>55122927.600000001</v>
      </c>
      <c r="AY13" s="117">
        <f>SUM(AY14)</f>
        <v>0</v>
      </c>
      <c r="AZ13" s="117">
        <f>SUM(AZ14)</f>
        <v>0</v>
      </c>
      <c r="BA13" s="117">
        <f>SUM(BA14)</f>
        <v>0</v>
      </c>
      <c r="BB13" s="117"/>
      <c r="BC13" s="117"/>
      <c r="BD13" s="117">
        <f>SUM(BD14)</f>
        <v>0</v>
      </c>
      <c r="BE13" s="117"/>
      <c r="BF13" s="117"/>
      <c r="BG13" s="117">
        <f>SUM(BG14)</f>
        <v>55122927.600000001</v>
      </c>
      <c r="BH13" s="117">
        <f>SUM(BH14)</f>
        <v>0</v>
      </c>
      <c r="BI13" s="117">
        <f>SUM(BI14)</f>
        <v>0</v>
      </c>
    </row>
    <row r="14" spans="1:68" ht="72.75" customHeight="1" x14ac:dyDescent="0.2">
      <c r="A14" s="141"/>
      <c r="B14" s="142"/>
      <c r="C14" s="143"/>
      <c r="D14" s="144"/>
      <c r="E14" s="121"/>
      <c r="F14" s="145" t="s">
        <v>120</v>
      </c>
      <c r="G14" s="124" t="s">
        <v>121</v>
      </c>
      <c r="H14" s="124" t="s">
        <v>102</v>
      </c>
      <c r="I14" s="125" t="s">
        <v>122</v>
      </c>
      <c r="J14" s="146" t="s">
        <v>123</v>
      </c>
      <c r="K14" s="146" t="s">
        <v>102</v>
      </c>
      <c r="L14" s="147" t="s">
        <v>124</v>
      </c>
      <c r="M14" s="127" t="s">
        <v>109</v>
      </c>
      <c r="N14" s="148">
        <v>1</v>
      </c>
      <c r="O14" s="128">
        <v>1</v>
      </c>
      <c r="P14" s="128"/>
      <c r="Q14" s="149" t="s">
        <v>125</v>
      </c>
      <c r="R14" s="127" t="s">
        <v>126</v>
      </c>
      <c r="S14" s="125" t="s">
        <v>0</v>
      </c>
      <c r="T14" s="129"/>
      <c r="U14" s="129"/>
      <c r="V14" s="129"/>
      <c r="W14" s="129"/>
      <c r="X14" s="129"/>
      <c r="Y14" s="129"/>
      <c r="Z14" s="129"/>
      <c r="AA14" s="129"/>
      <c r="AB14" s="129"/>
      <c r="AC14" s="129"/>
      <c r="AD14" s="129"/>
      <c r="AE14" s="129"/>
      <c r="AF14" s="129"/>
      <c r="AG14" s="129"/>
      <c r="AH14" s="129"/>
      <c r="AI14" s="129"/>
      <c r="AJ14" s="129"/>
      <c r="AK14" s="129"/>
      <c r="AL14" s="129"/>
      <c r="AM14" s="129"/>
      <c r="AN14" s="129"/>
      <c r="AO14" s="129"/>
      <c r="AP14" s="129"/>
      <c r="AQ14" s="129"/>
      <c r="AR14" s="129"/>
      <c r="AS14" s="129"/>
      <c r="AT14" s="129"/>
      <c r="AU14" s="129"/>
      <c r="AV14" s="129"/>
      <c r="AW14" s="129"/>
      <c r="AX14" s="834">
        <f>55122927.21+0.39</f>
        <v>55122927.600000001</v>
      </c>
      <c r="AY14" s="150"/>
      <c r="AZ14" s="150"/>
      <c r="BA14" s="129"/>
      <c r="BB14" s="129"/>
      <c r="BC14" s="129"/>
      <c r="BD14" s="129"/>
      <c r="BE14" s="129"/>
      <c r="BF14" s="129"/>
      <c r="BG14" s="131">
        <f>+T14+W14+Z14+AC14+AF14+AI14+AL14+AO14+AR14+AU14+AX14+BA14+BD14</f>
        <v>55122927.600000001</v>
      </c>
      <c r="BH14" s="131">
        <f>+U14+X14+AA14+AD14+AG14+AJ14+AM14+AP14+AS14+AV14+AY14+BB14+BE14</f>
        <v>0</v>
      </c>
      <c r="BI14" s="131">
        <f>+V14+Y14+AB14+AE14+AH14+AK14+AN14+AQ14+AT14+AW14+AZ14+BC14+BF14</f>
        <v>0</v>
      </c>
      <c r="BJ14" s="55"/>
      <c r="BK14" s="55"/>
      <c r="BL14" s="55"/>
      <c r="BM14" s="55"/>
      <c r="BN14" s="55"/>
      <c r="BO14" s="55"/>
      <c r="BP14" s="55"/>
    </row>
    <row r="15" spans="1:68" ht="15.75" x14ac:dyDescent="0.2">
      <c r="B15" s="64"/>
      <c r="C15" s="64"/>
      <c r="D15" s="65"/>
      <c r="E15" s="151"/>
      <c r="F15" s="152"/>
      <c r="G15" s="153"/>
      <c r="H15" s="153"/>
      <c r="I15" s="154"/>
      <c r="J15" s="155"/>
      <c r="K15" s="155"/>
      <c r="L15" s="154"/>
      <c r="M15" s="156"/>
      <c r="N15" s="153"/>
      <c r="O15" s="157"/>
      <c r="P15" s="157"/>
      <c r="Q15" s="156"/>
      <c r="R15" s="156"/>
      <c r="S15" s="158"/>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5"/>
      <c r="AY15" s="75"/>
      <c r="AZ15" s="75"/>
      <c r="BA15" s="74"/>
      <c r="BB15" s="74"/>
      <c r="BC15" s="74"/>
      <c r="BD15" s="74"/>
      <c r="BE15" s="74"/>
      <c r="BF15" s="74"/>
      <c r="BG15" s="159"/>
      <c r="BH15" s="159"/>
      <c r="BI15" s="159"/>
    </row>
    <row r="16" spans="1:68" s="90" customFormat="1" ht="15.75" x14ac:dyDescent="0.25">
      <c r="A16" s="76" t="s">
        <v>127</v>
      </c>
      <c r="B16" s="77"/>
      <c r="C16" s="78"/>
      <c r="D16" s="79"/>
      <c r="E16" s="80"/>
      <c r="F16" s="81"/>
      <c r="G16" s="82"/>
      <c r="H16" s="83"/>
      <c r="I16" s="84"/>
      <c r="J16" s="85"/>
      <c r="K16" s="85"/>
      <c r="L16" s="84"/>
      <c r="M16" s="160"/>
      <c r="N16" s="83"/>
      <c r="O16" s="82"/>
      <c r="P16" s="82"/>
      <c r="Q16" s="80"/>
      <c r="R16" s="80"/>
      <c r="S16" s="84"/>
      <c r="T16" s="161">
        <f>T17</f>
        <v>0</v>
      </c>
      <c r="U16" s="161"/>
      <c r="V16" s="161"/>
      <c r="W16" s="161">
        <f>W17</f>
        <v>0</v>
      </c>
      <c r="X16" s="161"/>
      <c r="Y16" s="161"/>
      <c r="Z16" s="161">
        <f>Z17</f>
        <v>0</v>
      </c>
      <c r="AA16" s="161"/>
      <c r="AB16" s="161"/>
      <c r="AC16" s="161">
        <f>AC17</f>
        <v>0</v>
      </c>
      <c r="AD16" s="161"/>
      <c r="AE16" s="161"/>
      <c r="AF16" s="161">
        <f>AF17</f>
        <v>0</v>
      </c>
      <c r="AG16" s="161"/>
      <c r="AH16" s="161"/>
      <c r="AI16" s="161">
        <f>AI17</f>
        <v>0</v>
      </c>
      <c r="AJ16" s="161"/>
      <c r="AK16" s="161"/>
      <c r="AL16" s="161">
        <f>AL17</f>
        <v>0</v>
      </c>
      <c r="AM16" s="161"/>
      <c r="AN16" s="161"/>
      <c r="AO16" s="161">
        <f>AO17</f>
        <v>0</v>
      </c>
      <c r="AP16" s="161"/>
      <c r="AQ16" s="161"/>
      <c r="AR16" s="161">
        <f>AR17</f>
        <v>0</v>
      </c>
      <c r="AS16" s="161"/>
      <c r="AT16" s="161"/>
      <c r="AU16" s="161">
        <f>AU17</f>
        <v>0</v>
      </c>
      <c r="AV16" s="161"/>
      <c r="AW16" s="161"/>
      <c r="AX16" s="161">
        <f>AX17</f>
        <v>1063529522.3</v>
      </c>
      <c r="AY16" s="161">
        <f>AY17</f>
        <v>270768332</v>
      </c>
      <c r="AZ16" s="161">
        <f>AZ17</f>
        <v>190375000</v>
      </c>
      <c r="BA16" s="161">
        <f>BA17</f>
        <v>0</v>
      </c>
      <c r="BB16" s="161"/>
      <c r="BC16" s="161"/>
      <c r="BD16" s="161">
        <f>BD17</f>
        <v>0</v>
      </c>
      <c r="BE16" s="161"/>
      <c r="BF16" s="161"/>
      <c r="BG16" s="161">
        <f>BG17</f>
        <v>1063529522.3</v>
      </c>
      <c r="BH16" s="161">
        <f>BH17</f>
        <v>270768332</v>
      </c>
      <c r="BI16" s="161">
        <f>BI17</f>
        <v>190375000</v>
      </c>
      <c r="BJ16" s="89"/>
      <c r="BK16" s="89"/>
      <c r="BL16" s="89"/>
      <c r="BM16" s="89"/>
      <c r="BN16" s="89"/>
      <c r="BO16" s="89"/>
      <c r="BP16" s="89"/>
    </row>
    <row r="17" spans="1:68" ht="15.75" x14ac:dyDescent="0.2">
      <c r="A17" s="104"/>
      <c r="B17" s="162">
        <v>4</v>
      </c>
      <c r="C17" s="163" t="s">
        <v>128</v>
      </c>
      <c r="D17" s="164"/>
      <c r="E17" s="165"/>
      <c r="F17" s="166"/>
      <c r="G17" s="167"/>
      <c r="H17" s="168"/>
      <c r="I17" s="169"/>
      <c r="J17" s="170"/>
      <c r="K17" s="170"/>
      <c r="L17" s="169"/>
      <c r="M17" s="171"/>
      <c r="N17" s="172"/>
      <c r="O17" s="167"/>
      <c r="P17" s="167"/>
      <c r="Q17" s="165"/>
      <c r="R17" s="165"/>
      <c r="S17" s="169"/>
      <c r="T17" s="173">
        <f>T18+T20</f>
        <v>0</v>
      </c>
      <c r="U17" s="173"/>
      <c r="V17" s="173"/>
      <c r="W17" s="173">
        <f>W18+W20</f>
        <v>0</v>
      </c>
      <c r="X17" s="173"/>
      <c r="Y17" s="173"/>
      <c r="Z17" s="173">
        <f>Z18+Z20</f>
        <v>0</v>
      </c>
      <c r="AA17" s="173"/>
      <c r="AB17" s="173"/>
      <c r="AC17" s="173">
        <f>AC18+AC20</f>
        <v>0</v>
      </c>
      <c r="AD17" s="173"/>
      <c r="AE17" s="173"/>
      <c r="AF17" s="173">
        <f>AF18+AF20</f>
        <v>0</v>
      </c>
      <c r="AG17" s="173"/>
      <c r="AH17" s="173"/>
      <c r="AI17" s="173">
        <f>AI18+AI20</f>
        <v>0</v>
      </c>
      <c r="AJ17" s="173"/>
      <c r="AK17" s="173"/>
      <c r="AL17" s="173">
        <f>AL18+AL20</f>
        <v>0</v>
      </c>
      <c r="AM17" s="173"/>
      <c r="AN17" s="173"/>
      <c r="AO17" s="173">
        <f>AO18+AO20</f>
        <v>0</v>
      </c>
      <c r="AP17" s="173"/>
      <c r="AQ17" s="173"/>
      <c r="AR17" s="173">
        <f>AR18+AR20</f>
        <v>0</v>
      </c>
      <c r="AS17" s="173"/>
      <c r="AT17" s="173"/>
      <c r="AU17" s="173">
        <f>AU18+AU20</f>
        <v>0</v>
      </c>
      <c r="AV17" s="173"/>
      <c r="AW17" s="173"/>
      <c r="AX17" s="173">
        <f>AX18+AX20</f>
        <v>1063529522.3</v>
      </c>
      <c r="AY17" s="173">
        <f>AY18+AY20</f>
        <v>270768332</v>
      </c>
      <c r="AZ17" s="173">
        <f>AZ18+AZ20</f>
        <v>190375000</v>
      </c>
      <c r="BA17" s="173">
        <f>BA18+BA20</f>
        <v>0</v>
      </c>
      <c r="BB17" s="173"/>
      <c r="BC17" s="173"/>
      <c r="BD17" s="173">
        <f>BD18+BD20</f>
        <v>0</v>
      </c>
      <c r="BE17" s="173"/>
      <c r="BF17" s="173"/>
      <c r="BG17" s="173">
        <f>BG18+BG20</f>
        <v>1063529522.3</v>
      </c>
      <c r="BH17" s="173">
        <f>BH18+BH20</f>
        <v>270768332</v>
      </c>
      <c r="BI17" s="173">
        <f>BI18+BI20</f>
        <v>190375000</v>
      </c>
    </row>
    <row r="18" spans="1:68" ht="15.75" x14ac:dyDescent="0.2">
      <c r="A18" s="104"/>
      <c r="B18" s="105"/>
      <c r="C18" s="106">
        <v>42</v>
      </c>
      <c r="D18" s="174">
        <v>4502</v>
      </c>
      <c r="E18" s="175" t="s">
        <v>119</v>
      </c>
      <c r="F18" s="138"/>
      <c r="G18" s="139"/>
      <c r="H18" s="176"/>
      <c r="I18" s="177"/>
      <c r="J18" s="178"/>
      <c r="K18" s="178"/>
      <c r="L18" s="177"/>
      <c r="M18" s="179"/>
      <c r="N18" s="180"/>
      <c r="O18" s="139"/>
      <c r="P18" s="139"/>
      <c r="Q18" s="181"/>
      <c r="R18" s="181"/>
      <c r="S18" s="177"/>
      <c r="T18" s="182">
        <f>T19</f>
        <v>0</v>
      </c>
      <c r="U18" s="182"/>
      <c r="V18" s="182"/>
      <c r="W18" s="182">
        <f>W19</f>
        <v>0</v>
      </c>
      <c r="X18" s="182"/>
      <c r="Y18" s="182"/>
      <c r="Z18" s="182">
        <f>Z19</f>
        <v>0</v>
      </c>
      <c r="AA18" s="182"/>
      <c r="AB18" s="182"/>
      <c r="AC18" s="182">
        <f>AC19</f>
        <v>0</v>
      </c>
      <c r="AD18" s="182"/>
      <c r="AE18" s="182"/>
      <c r="AF18" s="182">
        <f>AF19</f>
        <v>0</v>
      </c>
      <c r="AG18" s="182"/>
      <c r="AH18" s="182"/>
      <c r="AI18" s="182">
        <f>AI19</f>
        <v>0</v>
      </c>
      <c r="AJ18" s="182"/>
      <c r="AK18" s="182"/>
      <c r="AL18" s="182">
        <f>AL19</f>
        <v>0</v>
      </c>
      <c r="AM18" s="182"/>
      <c r="AN18" s="182"/>
      <c r="AO18" s="182">
        <f>AO19</f>
        <v>0</v>
      </c>
      <c r="AP18" s="182"/>
      <c r="AQ18" s="182"/>
      <c r="AR18" s="182">
        <f>AR19</f>
        <v>0</v>
      </c>
      <c r="AS18" s="182"/>
      <c r="AT18" s="182"/>
      <c r="AU18" s="182">
        <f>AU19</f>
        <v>0</v>
      </c>
      <c r="AV18" s="182"/>
      <c r="AW18" s="182"/>
      <c r="AX18" s="182">
        <f>AX19</f>
        <v>200000000</v>
      </c>
      <c r="AY18" s="182">
        <f>AY19</f>
        <v>6425000</v>
      </c>
      <c r="AZ18" s="182">
        <f>AZ19</f>
        <v>6425000</v>
      </c>
      <c r="BA18" s="182">
        <f>BA19</f>
        <v>0</v>
      </c>
      <c r="BB18" s="182"/>
      <c r="BC18" s="182"/>
      <c r="BD18" s="182">
        <f>BD19</f>
        <v>0</v>
      </c>
      <c r="BE18" s="182"/>
      <c r="BF18" s="182"/>
      <c r="BG18" s="182">
        <f>BG19</f>
        <v>200000000</v>
      </c>
      <c r="BH18" s="182">
        <f>BH19</f>
        <v>6425000</v>
      </c>
      <c r="BI18" s="182">
        <f>BI19</f>
        <v>6425000</v>
      </c>
    </row>
    <row r="19" spans="1:68" ht="93.75" customHeight="1" x14ac:dyDescent="0.2">
      <c r="A19" s="104"/>
      <c r="B19" s="118"/>
      <c r="C19" s="183"/>
      <c r="D19" s="184"/>
      <c r="E19" s="121"/>
      <c r="F19" s="145" t="s">
        <v>129</v>
      </c>
      <c r="G19" s="185" t="s">
        <v>130</v>
      </c>
      <c r="H19" s="185" t="s">
        <v>102</v>
      </c>
      <c r="I19" s="186" t="s">
        <v>131</v>
      </c>
      <c r="J19" s="146" t="s">
        <v>132</v>
      </c>
      <c r="K19" s="146" t="s">
        <v>102</v>
      </c>
      <c r="L19" s="147" t="s">
        <v>133</v>
      </c>
      <c r="M19" s="127" t="s">
        <v>109</v>
      </c>
      <c r="N19" s="148">
        <v>1</v>
      </c>
      <c r="O19" s="128">
        <v>1</v>
      </c>
      <c r="P19" s="128"/>
      <c r="Q19" s="149" t="s">
        <v>125</v>
      </c>
      <c r="R19" s="127" t="s">
        <v>134</v>
      </c>
      <c r="S19" s="186" t="s">
        <v>135</v>
      </c>
      <c r="T19" s="129"/>
      <c r="U19" s="129"/>
      <c r="V19" s="129"/>
      <c r="W19" s="129"/>
      <c r="X19" s="129"/>
      <c r="Y19" s="129"/>
      <c r="Z19" s="129"/>
      <c r="AA19" s="129"/>
      <c r="AB19" s="129"/>
      <c r="AC19" s="129"/>
      <c r="AD19" s="129"/>
      <c r="AE19" s="129"/>
      <c r="AF19" s="129"/>
      <c r="AG19" s="129"/>
      <c r="AH19" s="129"/>
      <c r="AI19" s="129"/>
      <c r="AJ19" s="129"/>
      <c r="AK19" s="129"/>
      <c r="AL19" s="129"/>
      <c r="AM19" s="129"/>
      <c r="AN19" s="129"/>
      <c r="AO19" s="129"/>
      <c r="AP19" s="129"/>
      <c r="AQ19" s="129"/>
      <c r="AR19" s="129"/>
      <c r="AS19" s="129"/>
      <c r="AT19" s="129"/>
      <c r="AU19" s="129"/>
      <c r="AV19" s="187"/>
      <c r="AW19" s="187"/>
      <c r="AX19" s="188">
        <f>200000000</f>
        <v>200000000</v>
      </c>
      <c r="AY19" s="188">
        <v>6425000</v>
      </c>
      <c r="AZ19" s="188">
        <v>6425000</v>
      </c>
      <c r="BA19" s="187"/>
      <c r="BB19" s="187"/>
      <c r="BC19" s="187"/>
      <c r="BD19" s="187"/>
      <c r="BE19" s="187"/>
      <c r="BF19" s="187"/>
      <c r="BG19" s="131">
        <f>+T19+W19+Z19+AC19+AF19+AI19+AL19+AO19+AR19+AU19+AX19+BA19+BD19</f>
        <v>200000000</v>
      </c>
      <c r="BH19" s="131">
        <f>+U19+X19+AA19+AD19+AG19+AJ19+AM19+AP19+AS19+AV19+AY19+BB19+BE19</f>
        <v>6425000</v>
      </c>
      <c r="BI19" s="131">
        <f>+V19+Y19+AB19+AE19+AH19+AK19+AN19+AQ19+AT19+AW19+AZ19+BC19+BF19</f>
        <v>6425000</v>
      </c>
      <c r="BJ19" s="55"/>
      <c r="BK19" s="55"/>
      <c r="BL19" s="55"/>
      <c r="BM19" s="55"/>
      <c r="BN19" s="55"/>
      <c r="BO19" s="55"/>
      <c r="BP19" s="55"/>
    </row>
    <row r="20" spans="1:68" ht="15.75" x14ac:dyDescent="0.2">
      <c r="A20" s="104"/>
      <c r="B20" s="134"/>
      <c r="C20" s="135">
        <v>45</v>
      </c>
      <c r="D20" s="136" t="s">
        <v>102</v>
      </c>
      <c r="E20" s="175" t="s">
        <v>136</v>
      </c>
      <c r="F20" s="138"/>
      <c r="G20" s="139"/>
      <c r="H20" s="176"/>
      <c r="I20" s="177"/>
      <c r="J20" s="178"/>
      <c r="K20" s="178"/>
      <c r="L20" s="177"/>
      <c r="M20" s="179"/>
      <c r="N20" s="180"/>
      <c r="O20" s="139"/>
      <c r="P20" s="139"/>
      <c r="Q20" s="181"/>
      <c r="R20" s="181"/>
      <c r="S20" s="177"/>
      <c r="T20" s="182">
        <f>SUM(T21:T31)</f>
        <v>0</v>
      </c>
      <c r="U20" s="182"/>
      <c r="V20" s="182"/>
      <c r="W20" s="182">
        <f>SUM(W21:W31)</f>
        <v>0</v>
      </c>
      <c r="X20" s="182"/>
      <c r="Y20" s="182"/>
      <c r="Z20" s="182">
        <f>SUM(Z21:Z31)</f>
        <v>0</v>
      </c>
      <c r="AA20" s="182"/>
      <c r="AB20" s="182"/>
      <c r="AC20" s="182">
        <f>SUM(AC21:AC31)</f>
        <v>0</v>
      </c>
      <c r="AD20" s="182"/>
      <c r="AE20" s="182"/>
      <c r="AF20" s="182">
        <f>SUM(AF21:AF31)</f>
        <v>0</v>
      </c>
      <c r="AG20" s="182"/>
      <c r="AH20" s="182"/>
      <c r="AI20" s="182">
        <f>SUM(AI21:AI31)</f>
        <v>0</v>
      </c>
      <c r="AJ20" s="182"/>
      <c r="AK20" s="182"/>
      <c r="AL20" s="182">
        <f>SUM(AL21:AL31)</f>
        <v>0</v>
      </c>
      <c r="AM20" s="182"/>
      <c r="AN20" s="182"/>
      <c r="AO20" s="182">
        <f>SUM(AO21:AO31)</f>
        <v>0</v>
      </c>
      <c r="AP20" s="182"/>
      <c r="AQ20" s="182"/>
      <c r="AR20" s="182">
        <f>SUM(AR21:AR31)</f>
        <v>0</v>
      </c>
      <c r="AS20" s="182"/>
      <c r="AT20" s="182"/>
      <c r="AU20" s="182">
        <f>SUM(AU21:AU31)</f>
        <v>0</v>
      </c>
      <c r="AV20" s="182"/>
      <c r="AW20" s="182"/>
      <c r="AX20" s="182">
        <f>SUM(AX21:AX31)</f>
        <v>863529522.29999995</v>
      </c>
      <c r="AY20" s="182">
        <f>SUM(AY21:AY31)</f>
        <v>264343332</v>
      </c>
      <c r="AZ20" s="182">
        <f>SUM(AZ21:AZ31)</f>
        <v>183950000</v>
      </c>
      <c r="BA20" s="182">
        <f>SUM(BA21:BA31)</f>
        <v>0</v>
      </c>
      <c r="BB20" s="182"/>
      <c r="BC20" s="182"/>
      <c r="BD20" s="182">
        <f>SUM(BD21:BD31)</f>
        <v>0</v>
      </c>
      <c r="BE20" s="182"/>
      <c r="BF20" s="182"/>
      <c r="BG20" s="182">
        <f>SUM(BG21:BG31)</f>
        <v>863529522.29999995</v>
      </c>
      <c r="BH20" s="182">
        <f>SUM(BH21:BH31)</f>
        <v>264343332</v>
      </c>
      <c r="BI20" s="182">
        <f>SUM(BI21:BI31)</f>
        <v>183950000</v>
      </c>
    </row>
    <row r="21" spans="1:68" ht="138.75" customHeight="1" x14ac:dyDescent="0.2">
      <c r="A21" s="104"/>
      <c r="B21" s="118"/>
      <c r="C21" s="189"/>
      <c r="D21" s="190"/>
      <c r="E21" s="121"/>
      <c r="F21" s="122" t="s">
        <v>104</v>
      </c>
      <c r="G21" s="191" t="s">
        <v>137</v>
      </c>
      <c r="H21" s="185" t="s">
        <v>102</v>
      </c>
      <c r="I21" s="145" t="s">
        <v>138</v>
      </c>
      <c r="J21" s="124" t="s">
        <v>139</v>
      </c>
      <c r="K21" s="124" t="s">
        <v>102</v>
      </c>
      <c r="L21" s="145" t="s">
        <v>140</v>
      </c>
      <c r="M21" s="192" t="s">
        <v>109</v>
      </c>
      <c r="N21" s="193">
        <v>1</v>
      </c>
      <c r="O21" s="124">
        <v>1</v>
      </c>
      <c r="P21" s="124">
        <v>1</v>
      </c>
      <c r="Q21" s="127" t="s">
        <v>110</v>
      </c>
      <c r="R21" s="127" t="s">
        <v>141</v>
      </c>
      <c r="S21" s="186" t="s">
        <v>142</v>
      </c>
      <c r="T21" s="194"/>
      <c r="U21" s="194"/>
      <c r="V21" s="194"/>
      <c r="W21" s="194"/>
      <c r="X21" s="194"/>
      <c r="Y21" s="194"/>
      <c r="Z21" s="194"/>
      <c r="AA21" s="194"/>
      <c r="AB21" s="194"/>
      <c r="AC21" s="194"/>
      <c r="AD21" s="194"/>
      <c r="AE21" s="194"/>
      <c r="AF21" s="194"/>
      <c r="AG21" s="194"/>
      <c r="AH21" s="194"/>
      <c r="AI21" s="194"/>
      <c r="AJ21" s="194"/>
      <c r="AK21" s="194"/>
      <c r="AL21" s="194"/>
      <c r="AM21" s="194"/>
      <c r="AN21" s="194"/>
      <c r="AO21" s="194"/>
      <c r="AP21" s="194"/>
      <c r="AQ21" s="194"/>
      <c r="AR21" s="194"/>
      <c r="AS21" s="194"/>
      <c r="AT21" s="194"/>
      <c r="AU21" s="194"/>
      <c r="AV21" s="194"/>
      <c r="AW21" s="194"/>
      <c r="AX21" s="195">
        <v>153233333</v>
      </c>
      <c r="AY21" s="195">
        <v>153233333</v>
      </c>
      <c r="AZ21" s="195">
        <v>87733333</v>
      </c>
      <c r="BA21" s="194"/>
      <c r="BB21" s="194"/>
      <c r="BC21" s="194"/>
      <c r="BD21" s="194"/>
      <c r="BE21" s="194"/>
      <c r="BF21" s="194"/>
      <c r="BG21" s="131">
        <f t="shared" ref="BG21:BI31" si="1">+T21+W21+Z21+AC21+AF21+AI21+AL21+AO21+AR21+AU21+AX21+BA21+BD21</f>
        <v>153233333</v>
      </c>
      <c r="BH21" s="131">
        <f t="shared" si="1"/>
        <v>153233333</v>
      </c>
      <c r="BI21" s="131">
        <f t="shared" si="1"/>
        <v>87733333</v>
      </c>
      <c r="BJ21" s="55"/>
      <c r="BK21" s="55"/>
      <c r="BL21" s="55"/>
      <c r="BM21" s="55"/>
      <c r="BN21" s="55"/>
      <c r="BO21" s="55"/>
      <c r="BP21" s="55"/>
    </row>
    <row r="22" spans="1:68" s="206" customFormat="1" ht="151.5" customHeight="1" x14ac:dyDescent="0.2">
      <c r="A22" s="196"/>
      <c r="B22" s="197"/>
      <c r="C22" s="198"/>
      <c r="D22" s="199"/>
      <c r="E22" s="121"/>
      <c r="F22" s="122" t="s">
        <v>104</v>
      </c>
      <c r="G22" s="191" t="s">
        <v>137</v>
      </c>
      <c r="H22" s="185" t="s">
        <v>102</v>
      </c>
      <c r="I22" s="145" t="s">
        <v>143</v>
      </c>
      <c r="J22" s="124" t="s">
        <v>139</v>
      </c>
      <c r="K22" s="124" t="s">
        <v>102</v>
      </c>
      <c r="L22" s="145" t="s">
        <v>140</v>
      </c>
      <c r="M22" s="200" t="s">
        <v>109</v>
      </c>
      <c r="N22" s="201">
        <v>4</v>
      </c>
      <c r="O22" s="124">
        <v>4</v>
      </c>
      <c r="P22" s="717"/>
      <c r="Q22" s="127" t="s">
        <v>110</v>
      </c>
      <c r="R22" s="202" t="s">
        <v>144</v>
      </c>
      <c r="S22" s="186" t="s">
        <v>145</v>
      </c>
      <c r="T22" s="203"/>
      <c r="U22" s="203"/>
      <c r="V22" s="203"/>
      <c r="W22" s="203"/>
      <c r="X22" s="203"/>
      <c r="Y22" s="203"/>
      <c r="Z22" s="203"/>
      <c r="AA22" s="203"/>
      <c r="AB22" s="203"/>
      <c r="AC22" s="203"/>
      <c r="AD22" s="203"/>
      <c r="AE22" s="203"/>
      <c r="AF22" s="203"/>
      <c r="AG22" s="203"/>
      <c r="AH22" s="203"/>
      <c r="AI22" s="203"/>
      <c r="AJ22" s="203"/>
      <c r="AK22" s="203"/>
      <c r="AL22" s="203"/>
      <c r="AM22" s="203"/>
      <c r="AN22" s="203"/>
      <c r="AO22" s="203"/>
      <c r="AP22" s="203"/>
      <c r="AQ22" s="203"/>
      <c r="AR22" s="203"/>
      <c r="AS22" s="203"/>
      <c r="AT22" s="203"/>
      <c r="AU22" s="203"/>
      <c r="AV22" s="204"/>
      <c r="AW22" s="204"/>
      <c r="AX22" s="205">
        <f>85000000+120000000-20000000-30000000</f>
        <v>155000000</v>
      </c>
      <c r="AY22" s="205">
        <v>13916667</v>
      </c>
      <c r="AZ22" s="205">
        <v>13916667</v>
      </c>
      <c r="BA22" s="204"/>
      <c r="BB22" s="204"/>
      <c r="BC22" s="204"/>
      <c r="BD22" s="204"/>
      <c r="BE22" s="204"/>
      <c r="BF22" s="204"/>
      <c r="BG22" s="131">
        <f t="shared" si="1"/>
        <v>155000000</v>
      </c>
      <c r="BH22" s="131">
        <f t="shared" si="1"/>
        <v>13916667</v>
      </c>
      <c r="BI22" s="131">
        <f t="shared" si="1"/>
        <v>13916667</v>
      </c>
    </row>
    <row r="23" spans="1:68" ht="66" customHeight="1" x14ac:dyDescent="0.2">
      <c r="A23" s="104"/>
      <c r="B23" s="118"/>
      <c r="C23" s="207"/>
      <c r="D23" s="208"/>
      <c r="E23" s="121"/>
      <c r="F23" s="122" t="s">
        <v>104</v>
      </c>
      <c r="G23" s="191" t="s">
        <v>146</v>
      </c>
      <c r="H23" s="185" t="s">
        <v>102</v>
      </c>
      <c r="I23" s="186" t="s">
        <v>147</v>
      </c>
      <c r="J23" s="127" t="s">
        <v>148</v>
      </c>
      <c r="K23" s="127" t="s">
        <v>102</v>
      </c>
      <c r="L23" s="186" t="s">
        <v>149</v>
      </c>
      <c r="M23" s="209" t="s">
        <v>109</v>
      </c>
      <c r="N23" s="210">
        <v>1</v>
      </c>
      <c r="O23" s="124">
        <v>1</v>
      </c>
      <c r="P23" s="717"/>
      <c r="Q23" s="127" t="s">
        <v>110</v>
      </c>
      <c r="R23" s="127" t="s">
        <v>150</v>
      </c>
      <c r="S23" s="186" t="s">
        <v>151</v>
      </c>
      <c r="T23" s="129"/>
      <c r="U23" s="129"/>
      <c r="V23" s="129"/>
      <c r="W23" s="129"/>
      <c r="X23" s="129"/>
      <c r="Y23" s="129"/>
      <c r="Z23" s="129"/>
      <c r="AA23" s="129"/>
      <c r="AB23" s="129"/>
      <c r="AC23" s="129"/>
      <c r="AD23" s="129"/>
      <c r="AE23" s="129"/>
      <c r="AF23" s="129"/>
      <c r="AG23" s="129"/>
      <c r="AH23" s="129"/>
      <c r="AI23" s="129"/>
      <c r="AJ23" s="129"/>
      <c r="AK23" s="129"/>
      <c r="AL23" s="129"/>
      <c r="AM23" s="129"/>
      <c r="AN23" s="129"/>
      <c r="AO23" s="129"/>
      <c r="AP23" s="129"/>
      <c r="AQ23" s="129"/>
      <c r="AR23" s="129"/>
      <c r="AS23" s="129"/>
      <c r="AT23" s="129"/>
      <c r="AU23" s="129"/>
      <c r="AV23" s="187"/>
      <c r="AW23" s="187"/>
      <c r="AX23" s="188">
        <v>40000000</v>
      </c>
      <c r="AY23" s="188">
        <v>6906666</v>
      </c>
      <c r="AZ23" s="188">
        <v>5600000</v>
      </c>
      <c r="BA23" s="187"/>
      <c r="BB23" s="187"/>
      <c r="BC23" s="187"/>
      <c r="BD23" s="187"/>
      <c r="BE23" s="187"/>
      <c r="BF23" s="187"/>
      <c r="BG23" s="131">
        <f t="shared" si="1"/>
        <v>40000000</v>
      </c>
      <c r="BH23" s="131">
        <f t="shared" si="1"/>
        <v>6906666</v>
      </c>
      <c r="BI23" s="131">
        <f t="shared" si="1"/>
        <v>5600000</v>
      </c>
      <c r="BJ23" s="55"/>
      <c r="BK23" s="55"/>
      <c r="BL23" s="55"/>
      <c r="BM23" s="55"/>
      <c r="BN23" s="55"/>
      <c r="BO23" s="55"/>
      <c r="BP23" s="55"/>
    </row>
    <row r="24" spans="1:68" ht="58.5" customHeight="1" x14ac:dyDescent="0.2">
      <c r="A24" s="104"/>
      <c r="B24" s="118"/>
      <c r="C24" s="207"/>
      <c r="D24" s="208"/>
      <c r="E24" s="121"/>
      <c r="F24" s="122" t="s">
        <v>104</v>
      </c>
      <c r="G24" s="191" t="s">
        <v>152</v>
      </c>
      <c r="H24" s="185" t="s">
        <v>102</v>
      </c>
      <c r="I24" s="211" t="s">
        <v>153</v>
      </c>
      <c r="J24" s="212" t="s">
        <v>154</v>
      </c>
      <c r="K24" s="212" t="s">
        <v>102</v>
      </c>
      <c r="L24" s="211" t="s">
        <v>155</v>
      </c>
      <c r="M24" s="209" t="s">
        <v>109</v>
      </c>
      <c r="N24" s="213">
        <v>1</v>
      </c>
      <c r="O24" s="185">
        <v>1</v>
      </c>
      <c r="P24" s="717"/>
      <c r="Q24" s="127" t="s">
        <v>110</v>
      </c>
      <c r="R24" s="127" t="s">
        <v>156</v>
      </c>
      <c r="S24" s="186" t="s">
        <v>157</v>
      </c>
      <c r="T24" s="129"/>
      <c r="U24" s="129"/>
      <c r="V24" s="129"/>
      <c r="W24" s="129"/>
      <c r="X24" s="129"/>
      <c r="Y24" s="129"/>
      <c r="Z24" s="129"/>
      <c r="AA24" s="129"/>
      <c r="AB24" s="129"/>
      <c r="AC24" s="129"/>
      <c r="AD24" s="129"/>
      <c r="AE24" s="129"/>
      <c r="AF24" s="129"/>
      <c r="AG24" s="129"/>
      <c r="AH24" s="129"/>
      <c r="AI24" s="129"/>
      <c r="AJ24" s="129"/>
      <c r="AK24" s="129"/>
      <c r="AL24" s="129"/>
      <c r="AM24" s="129"/>
      <c r="AN24" s="129"/>
      <c r="AO24" s="129"/>
      <c r="AP24" s="129"/>
      <c r="AQ24" s="129"/>
      <c r="AR24" s="129"/>
      <c r="AS24" s="129"/>
      <c r="AT24" s="129"/>
      <c r="AU24" s="129"/>
      <c r="AV24" s="187"/>
      <c r="AW24" s="187"/>
      <c r="AX24" s="188">
        <f>300000000-50000000</f>
        <v>250000000</v>
      </c>
      <c r="AY24" s="188">
        <v>61786666</v>
      </c>
      <c r="AZ24" s="188">
        <v>48200000</v>
      </c>
      <c r="BA24" s="187"/>
      <c r="BB24" s="187"/>
      <c r="BC24" s="187"/>
      <c r="BD24" s="187"/>
      <c r="BE24" s="187"/>
      <c r="BF24" s="187"/>
      <c r="BG24" s="131">
        <f t="shared" si="1"/>
        <v>250000000</v>
      </c>
      <c r="BH24" s="131">
        <f t="shared" si="1"/>
        <v>61786666</v>
      </c>
      <c r="BI24" s="131">
        <f t="shared" si="1"/>
        <v>48200000</v>
      </c>
      <c r="BJ24" s="55"/>
      <c r="BK24" s="55"/>
      <c r="BL24" s="55"/>
      <c r="BM24" s="55"/>
      <c r="BN24" s="55"/>
      <c r="BO24" s="55"/>
      <c r="BP24" s="55"/>
    </row>
    <row r="25" spans="1:68" ht="80.25" customHeight="1" x14ac:dyDescent="0.2">
      <c r="A25" s="104"/>
      <c r="B25" s="118"/>
      <c r="C25" s="207"/>
      <c r="D25" s="208"/>
      <c r="E25" s="121"/>
      <c r="F25" s="145" t="s">
        <v>158</v>
      </c>
      <c r="G25" s="185" t="s">
        <v>159</v>
      </c>
      <c r="H25" s="185" t="s">
        <v>102</v>
      </c>
      <c r="I25" s="186" t="s">
        <v>160</v>
      </c>
      <c r="J25" s="127" t="s">
        <v>161</v>
      </c>
      <c r="K25" s="127" t="s">
        <v>102</v>
      </c>
      <c r="L25" s="186" t="s">
        <v>162</v>
      </c>
      <c r="M25" s="209" t="s">
        <v>109</v>
      </c>
      <c r="N25" s="210">
        <v>12</v>
      </c>
      <c r="O25" s="124">
        <v>12</v>
      </c>
      <c r="P25" s="717"/>
      <c r="Q25" s="887" t="s">
        <v>110</v>
      </c>
      <c r="R25" s="887" t="s">
        <v>163</v>
      </c>
      <c r="S25" s="890" t="s">
        <v>164</v>
      </c>
      <c r="T25" s="129"/>
      <c r="U25" s="129"/>
      <c r="V25" s="129"/>
      <c r="W25" s="129"/>
      <c r="X25" s="129"/>
      <c r="Y25" s="129"/>
      <c r="Z25" s="129"/>
      <c r="AA25" s="129"/>
      <c r="AB25" s="129"/>
      <c r="AC25" s="129"/>
      <c r="AD25" s="129"/>
      <c r="AE25" s="129"/>
      <c r="AF25" s="129"/>
      <c r="AG25" s="129"/>
      <c r="AH25" s="129"/>
      <c r="AI25" s="129"/>
      <c r="AJ25" s="129"/>
      <c r="AK25" s="129"/>
      <c r="AL25" s="129"/>
      <c r="AM25" s="129"/>
      <c r="AN25" s="129"/>
      <c r="AO25" s="129"/>
      <c r="AP25" s="129"/>
      <c r="AQ25" s="129"/>
      <c r="AR25" s="129"/>
      <c r="AS25" s="129"/>
      <c r="AT25" s="129"/>
      <c r="AU25" s="129"/>
      <c r="AV25" s="187"/>
      <c r="AW25" s="187"/>
      <c r="AX25" s="188">
        <f>45000000-20000000+45000000+15000000-1675000-15000000</f>
        <v>68325000</v>
      </c>
      <c r="AY25" s="188">
        <v>19500000</v>
      </c>
      <c r="AZ25" s="188">
        <v>19500000</v>
      </c>
      <c r="BA25" s="187"/>
      <c r="BB25" s="187"/>
      <c r="BC25" s="187"/>
      <c r="BD25" s="187"/>
      <c r="BE25" s="187"/>
      <c r="BF25" s="187"/>
      <c r="BG25" s="131">
        <f t="shared" si="1"/>
        <v>68325000</v>
      </c>
      <c r="BH25" s="131">
        <f t="shared" si="1"/>
        <v>19500000</v>
      </c>
      <c r="BI25" s="131">
        <f t="shared" si="1"/>
        <v>19500000</v>
      </c>
      <c r="BJ25" s="55"/>
      <c r="BK25" s="55"/>
      <c r="BL25" s="55"/>
      <c r="BM25" s="55"/>
      <c r="BN25" s="55"/>
      <c r="BO25" s="55"/>
      <c r="BP25" s="55"/>
    </row>
    <row r="26" spans="1:68" ht="80.25" customHeight="1" x14ac:dyDescent="0.2">
      <c r="A26" s="104"/>
      <c r="B26" s="118"/>
      <c r="C26" s="207"/>
      <c r="D26" s="208"/>
      <c r="E26" s="121"/>
      <c r="F26" s="145" t="s">
        <v>158</v>
      </c>
      <c r="G26" s="185" t="s">
        <v>165</v>
      </c>
      <c r="H26" s="185" t="s">
        <v>102</v>
      </c>
      <c r="I26" s="186" t="s">
        <v>166</v>
      </c>
      <c r="J26" s="127" t="s">
        <v>167</v>
      </c>
      <c r="K26" s="127" t="s">
        <v>102</v>
      </c>
      <c r="L26" s="186" t="s">
        <v>168</v>
      </c>
      <c r="M26" s="209" t="s">
        <v>109</v>
      </c>
      <c r="N26" s="210">
        <v>12</v>
      </c>
      <c r="O26" s="124">
        <v>12</v>
      </c>
      <c r="P26" s="717"/>
      <c r="Q26" s="888"/>
      <c r="R26" s="888"/>
      <c r="S26" s="891"/>
      <c r="T26" s="129"/>
      <c r="U26" s="129"/>
      <c r="V26" s="129"/>
      <c r="W26" s="129"/>
      <c r="X26" s="129"/>
      <c r="Y26" s="129"/>
      <c r="Z26" s="129"/>
      <c r="AA26" s="129"/>
      <c r="AB26" s="129"/>
      <c r="AC26" s="129"/>
      <c r="AD26" s="129"/>
      <c r="AE26" s="129"/>
      <c r="AF26" s="129"/>
      <c r="AG26" s="129"/>
      <c r="AH26" s="129"/>
      <c r="AI26" s="129"/>
      <c r="AJ26" s="129"/>
      <c r="AK26" s="129"/>
      <c r="AL26" s="129"/>
      <c r="AM26" s="129"/>
      <c r="AN26" s="129"/>
      <c r="AO26" s="129"/>
      <c r="AP26" s="129"/>
      <c r="AQ26" s="129"/>
      <c r="AR26" s="129"/>
      <c r="AS26" s="129"/>
      <c r="AT26" s="129"/>
      <c r="AU26" s="129"/>
      <c r="AV26" s="187"/>
      <c r="AW26" s="187"/>
      <c r="AX26" s="188">
        <v>15000000</v>
      </c>
      <c r="AY26" s="188"/>
      <c r="AZ26" s="188"/>
      <c r="BA26" s="187"/>
      <c r="BB26" s="187"/>
      <c r="BC26" s="187"/>
      <c r="BD26" s="187"/>
      <c r="BE26" s="187"/>
      <c r="BF26" s="187"/>
      <c r="BG26" s="131">
        <f t="shared" si="1"/>
        <v>15000000</v>
      </c>
      <c r="BH26" s="131">
        <f t="shared" si="1"/>
        <v>0</v>
      </c>
      <c r="BI26" s="131">
        <f t="shared" si="1"/>
        <v>0</v>
      </c>
      <c r="BJ26" s="55"/>
      <c r="BK26" s="55"/>
      <c r="BL26" s="55"/>
      <c r="BM26" s="55"/>
      <c r="BN26" s="55"/>
      <c r="BO26" s="55"/>
      <c r="BP26" s="55"/>
    </row>
    <row r="27" spans="1:68" ht="66" customHeight="1" x14ac:dyDescent="0.2">
      <c r="A27" s="104"/>
      <c r="B27" s="118"/>
      <c r="C27" s="207"/>
      <c r="D27" s="208"/>
      <c r="E27" s="121"/>
      <c r="F27" s="145" t="s">
        <v>158</v>
      </c>
      <c r="G27" s="185" t="s">
        <v>169</v>
      </c>
      <c r="H27" s="185" t="s">
        <v>102</v>
      </c>
      <c r="I27" s="186" t="s">
        <v>170</v>
      </c>
      <c r="J27" s="127" t="s">
        <v>171</v>
      </c>
      <c r="K27" s="127" t="s">
        <v>102</v>
      </c>
      <c r="L27" s="186" t="s">
        <v>168</v>
      </c>
      <c r="M27" s="209" t="s">
        <v>109</v>
      </c>
      <c r="N27" s="210">
        <v>12</v>
      </c>
      <c r="O27" s="124">
        <v>12</v>
      </c>
      <c r="P27" s="717"/>
      <c r="Q27" s="888"/>
      <c r="R27" s="888"/>
      <c r="S27" s="891"/>
      <c r="T27" s="129"/>
      <c r="U27" s="129"/>
      <c r="V27" s="129"/>
      <c r="W27" s="129"/>
      <c r="X27" s="129"/>
      <c r="Y27" s="129"/>
      <c r="Z27" s="129"/>
      <c r="AA27" s="129"/>
      <c r="AB27" s="129"/>
      <c r="AC27" s="129"/>
      <c r="AD27" s="129"/>
      <c r="AE27" s="129"/>
      <c r="AF27" s="129"/>
      <c r="AG27" s="129"/>
      <c r="AH27" s="129"/>
      <c r="AI27" s="129"/>
      <c r="AJ27" s="129"/>
      <c r="AK27" s="129"/>
      <c r="AL27" s="129"/>
      <c r="AM27" s="129"/>
      <c r="AN27" s="129"/>
      <c r="AO27" s="129"/>
      <c r="AP27" s="129"/>
      <c r="AQ27" s="129"/>
      <c r="AR27" s="129"/>
      <c r="AS27" s="129"/>
      <c r="AT27" s="129"/>
      <c r="AU27" s="129"/>
      <c r="AV27" s="187"/>
      <c r="AW27" s="187"/>
      <c r="AX27" s="188">
        <f>45000000-22000000</f>
        <v>23000000</v>
      </c>
      <c r="AY27" s="188"/>
      <c r="AZ27" s="188"/>
      <c r="BA27" s="187"/>
      <c r="BB27" s="187"/>
      <c r="BC27" s="187"/>
      <c r="BD27" s="187"/>
      <c r="BE27" s="187"/>
      <c r="BF27" s="187"/>
      <c r="BG27" s="131">
        <f t="shared" si="1"/>
        <v>23000000</v>
      </c>
      <c r="BH27" s="131">
        <f t="shared" si="1"/>
        <v>0</v>
      </c>
      <c r="BI27" s="131">
        <f t="shared" si="1"/>
        <v>0</v>
      </c>
      <c r="BJ27" s="55"/>
      <c r="BK27" s="55"/>
      <c r="BL27" s="55"/>
      <c r="BM27" s="55"/>
      <c r="BN27" s="55"/>
      <c r="BO27" s="55"/>
      <c r="BP27" s="55"/>
    </row>
    <row r="28" spans="1:68" ht="84.75" customHeight="1" x14ac:dyDescent="0.2">
      <c r="A28" s="104"/>
      <c r="B28" s="118"/>
      <c r="C28" s="207"/>
      <c r="D28" s="208"/>
      <c r="E28" s="121"/>
      <c r="F28" s="122" t="s">
        <v>158</v>
      </c>
      <c r="G28" s="215" t="s">
        <v>172</v>
      </c>
      <c r="H28" s="185" t="s">
        <v>102</v>
      </c>
      <c r="I28" s="186" t="s">
        <v>173</v>
      </c>
      <c r="J28" s="216" t="s">
        <v>174</v>
      </c>
      <c r="K28" s="146" t="s">
        <v>102</v>
      </c>
      <c r="L28" s="147" t="s">
        <v>168</v>
      </c>
      <c r="M28" s="209" t="s">
        <v>109</v>
      </c>
      <c r="N28" s="210">
        <v>12</v>
      </c>
      <c r="O28" s="124">
        <v>12</v>
      </c>
      <c r="P28" s="717"/>
      <c r="Q28" s="888"/>
      <c r="R28" s="888"/>
      <c r="S28" s="891"/>
      <c r="T28" s="129"/>
      <c r="U28" s="129"/>
      <c r="V28" s="129"/>
      <c r="W28" s="129"/>
      <c r="X28" s="129"/>
      <c r="Y28" s="129"/>
      <c r="Z28" s="129"/>
      <c r="AA28" s="129"/>
      <c r="AB28" s="129"/>
      <c r="AC28" s="129"/>
      <c r="AD28" s="129"/>
      <c r="AE28" s="129"/>
      <c r="AF28" s="129"/>
      <c r="AG28" s="129"/>
      <c r="AH28" s="129"/>
      <c r="AI28" s="129"/>
      <c r="AJ28" s="129"/>
      <c r="AK28" s="129"/>
      <c r="AL28" s="129"/>
      <c r="AM28" s="129"/>
      <c r="AN28" s="129"/>
      <c r="AO28" s="129"/>
      <c r="AP28" s="129"/>
      <c r="AQ28" s="129"/>
      <c r="AR28" s="129"/>
      <c r="AS28" s="129"/>
      <c r="AT28" s="129"/>
      <c r="AU28" s="129"/>
      <c r="AV28" s="187"/>
      <c r="AW28" s="187"/>
      <c r="AX28" s="188">
        <v>45000000</v>
      </c>
      <c r="AY28" s="188">
        <v>9000000</v>
      </c>
      <c r="AZ28" s="188">
        <v>9000000</v>
      </c>
      <c r="BA28" s="187"/>
      <c r="BB28" s="187"/>
      <c r="BC28" s="187"/>
      <c r="BD28" s="187"/>
      <c r="BE28" s="187"/>
      <c r="BF28" s="187"/>
      <c r="BG28" s="131">
        <f t="shared" si="1"/>
        <v>45000000</v>
      </c>
      <c r="BH28" s="131">
        <f t="shared" si="1"/>
        <v>9000000</v>
      </c>
      <c r="BI28" s="131">
        <f t="shared" si="1"/>
        <v>9000000</v>
      </c>
      <c r="BJ28" s="55"/>
      <c r="BK28" s="55"/>
      <c r="BL28" s="55"/>
      <c r="BM28" s="55"/>
      <c r="BN28" s="55"/>
      <c r="BO28" s="55"/>
      <c r="BP28" s="55"/>
    </row>
    <row r="29" spans="1:68" ht="81" customHeight="1" x14ac:dyDescent="0.2">
      <c r="A29" s="104"/>
      <c r="B29" s="118"/>
      <c r="C29" s="207"/>
      <c r="D29" s="208"/>
      <c r="E29" s="121"/>
      <c r="F29" s="122" t="s">
        <v>158</v>
      </c>
      <c r="G29" s="217" t="s">
        <v>175</v>
      </c>
      <c r="H29" s="185" t="s">
        <v>102</v>
      </c>
      <c r="I29" s="186" t="s">
        <v>176</v>
      </c>
      <c r="J29" s="127" t="s">
        <v>177</v>
      </c>
      <c r="K29" s="127" t="s">
        <v>102</v>
      </c>
      <c r="L29" s="186" t="s">
        <v>168</v>
      </c>
      <c r="M29" s="209" t="s">
        <v>109</v>
      </c>
      <c r="N29" s="210">
        <v>12</v>
      </c>
      <c r="O29" s="124">
        <v>12</v>
      </c>
      <c r="P29" s="717"/>
      <c r="Q29" s="888"/>
      <c r="R29" s="888"/>
      <c r="S29" s="891"/>
      <c r="T29" s="129"/>
      <c r="U29" s="129"/>
      <c r="V29" s="129"/>
      <c r="W29" s="129"/>
      <c r="X29" s="129"/>
      <c r="Y29" s="129"/>
      <c r="Z29" s="129"/>
      <c r="AA29" s="129"/>
      <c r="AB29" s="129"/>
      <c r="AC29" s="129"/>
      <c r="AD29" s="129"/>
      <c r="AE29" s="129"/>
      <c r="AF29" s="129"/>
      <c r="AG29" s="129"/>
      <c r="AH29" s="129"/>
      <c r="AI29" s="129"/>
      <c r="AJ29" s="129"/>
      <c r="AK29" s="129"/>
      <c r="AL29" s="129"/>
      <c r="AM29" s="129"/>
      <c r="AN29" s="129"/>
      <c r="AO29" s="129"/>
      <c r="AP29" s="129"/>
      <c r="AQ29" s="129"/>
      <c r="AR29" s="129"/>
      <c r="AS29" s="129"/>
      <c r="AT29" s="129"/>
      <c r="AU29" s="129"/>
      <c r="AV29" s="187"/>
      <c r="AW29" s="187"/>
      <c r="AX29" s="188">
        <f>45000000-22000000</f>
        <v>23000000</v>
      </c>
      <c r="AY29" s="188"/>
      <c r="AZ29" s="188"/>
      <c r="BA29" s="187"/>
      <c r="BB29" s="187"/>
      <c r="BC29" s="187"/>
      <c r="BD29" s="187"/>
      <c r="BE29" s="187"/>
      <c r="BF29" s="187"/>
      <c r="BG29" s="131">
        <f t="shared" si="1"/>
        <v>23000000</v>
      </c>
      <c r="BH29" s="131">
        <f t="shared" si="1"/>
        <v>0</v>
      </c>
      <c r="BI29" s="131">
        <f t="shared" si="1"/>
        <v>0</v>
      </c>
      <c r="BJ29" s="55"/>
      <c r="BK29" s="55"/>
      <c r="BL29" s="55"/>
      <c r="BM29" s="55"/>
      <c r="BN29" s="55"/>
      <c r="BO29" s="55"/>
      <c r="BP29" s="55"/>
    </row>
    <row r="30" spans="1:68" ht="65.25" customHeight="1" x14ac:dyDescent="0.2">
      <c r="A30" s="104"/>
      <c r="B30" s="118"/>
      <c r="C30" s="207"/>
      <c r="D30" s="208"/>
      <c r="E30" s="121"/>
      <c r="F30" s="145" t="s">
        <v>158</v>
      </c>
      <c r="G30" s="124" t="s">
        <v>178</v>
      </c>
      <c r="H30" s="124" t="s">
        <v>102</v>
      </c>
      <c r="I30" s="211" t="s">
        <v>179</v>
      </c>
      <c r="J30" s="127" t="s">
        <v>180</v>
      </c>
      <c r="K30" s="127" t="s">
        <v>102</v>
      </c>
      <c r="L30" s="186" t="s">
        <v>168</v>
      </c>
      <c r="M30" s="218" t="s">
        <v>109</v>
      </c>
      <c r="N30" s="210">
        <v>12</v>
      </c>
      <c r="O30" s="124">
        <v>12</v>
      </c>
      <c r="P30" s="717"/>
      <c r="Q30" s="889"/>
      <c r="R30" s="888"/>
      <c r="S30" s="891"/>
      <c r="T30" s="220"/>
      <c r="U30" s="220"/>
      <c r="V30" s="220"/>
      <c r="W30" s="220"/>
      <c r="X30" s="220"/>
      <c r="Y30" s="220"/>
      <c r="Z30" s="220"/>
      <c r="AA30" s="220"/>
      <c r="AB30" s="220"/>
      <c r="AC30" s="220"/>
      <c r="AD30" s="220"/>
      <c r="AE30" s="220"/>
      <c r="AF30" s="220"/>
      <c r="AG30" s="220"/>
      <c r="AH30" s="220"/>
      <c r="AI30" s="220"/>
      <c r="AJ30" s="220"/>
      <c r="AK30" s="220"/>
      <c r="AL30" s="220"/>
      <c r="AM30" s="220"/>
      <c r="AN30" s="220"/>
      <c r="AO30" s="220"/>
      <c r="AP30" s="220"/>
      <c r="AQ30" s="220"/>
      <c r="AR30" s="220"/>
      <c r="AS30" s="220"/>
      <c r="AT30" s="220"/>
      <c r="AU30" s="220"/>
      <c r="AV30" s="221"/>
      <c r="AW30" s="221"/>
      <c r="AX30" s="222">
        <f>17312255.29+267.01</f>
        <v>17312522.300000001</v>
      </c>
      <c r="AY30" s="222"/>
      <c r="AZ30" s="222"/>
      <c r="BA30" s="221"/>
      <c r="BB30" s="221"/>
      <c r="BC30" s="221"/>
      <c r="BD30" s="221"/>
      <c r="BE30" s="221"/>
      <c r="BF30" s="221"/>
      <c r="BG30" s="223">
        <f t="shared" si="1"/>
        <v>17312522.300000001</v>
      </c>
      <c r="BH30" s="223">
        <f t="shared" si="1"/>
        <v>0</v>
      </c>
      <c r="BI30" s="223">
        <f t="shared" si="1"/>
        <v>0</v>
      </c>
      <c r="BJ30" s="55"/>
      <c r="BK30" s="55"/>
      <c r="BL30" s="55"/>
      <c r="BM30" s="55"/>
      <c r="BN30" s="55"/>
      <c r="BO30" s="55"/>
      <c r="BP30" s="55"/>
    </row>
    <row r="31" spans="1:68" ht="71.25" customHeight="1" x14ac:dyDescent="0.2">
      <c r="A31" s="141"/>
      <c r="B31" s="224"/>
      <c r="C31" s="225"/>
      <c r="D31" s="226"/>
      <c r="E31" s="121"/>
      <c r="F31" s="122" t="s">
        <v>104</v>
      </c>
      <c r="G31" s="227" t="s">
        <v>105</v>
      </c>
      <c r="H31" s="124" t="s">
        <v>102</v>
      </c>
      <c r="I31" s="186" t="s">
        <v>106</v>
      </c>
      <c r="J31" s="127" t="s">
        <v>107</v>
      </c>
      <c r="K31" s="127" t="s">
        <v>102</v>
      </c>
      <c r="L31" s="186" t="s">
        <v>108</v>
      </c>
      <c r="M31" s="209" t="s">
        <v>109</v>
      </c>
      <c r="N31" s="210">
        <v>18</v>
      </c>
      <c r="O31" s="124">
        <v>18</v>
      </c>
      <c r="P31" s="717"/>
      <c r="Q31" s="127" t="s">
        <v>110</v>
      </c>
      <c r="R31" s="127" t="s">
        <v>181</v>
      </c>
      <c r="S31" s="186" t="s">
        <v>182</v>
      </c>
      <c r="T31" s="228"/>
      <c r="U31" s="228"/>
      <c r="V31" s="228"/>
      <c r="W31" s="228"/>
      <c r="X31" s="228"/>
      <c r="Y31" s="228"/>
      <c r="Z31" s="228"/>
      <c r="AA31" s="228"/>
      <c r="AB31" s="228"/>
      <c r="AC31" s="228"/>
      <c r="AD31" s="228"/>
      <c r="AE31" s="228"/>
      <c r="AF31" s="228"/>
      <c r="AG31" s="228"/>
      <c r="AH31" s="228"/>
      <c r="AI31" s="228"/>
      <c r="AJ31" s="228"/>
      <c r="AK31" s="228"/>
      <c r="AL31" s="228"/>
      <c r="AM31" s="228"/>
      <c r="AN31" s="228"/>
      <c r="AO31" s="228"/>
      <c r="AP31" s="228"/>
      <c r="AQ31" s="228"/>
      <c r="AR31" s="228"/>
      <c r="AS31" s="228"/>
      <c r="AT31" s="228"/>
      <c r="AU31" s="228"/>
      <c r="AV31" s="228"/>
      <c r="AW31" s="228"/>
      <c r="AX31" s="229">
        <v>73658667</v>
      </c>
      <c r="AY31" s="229"/>
      <c r="AZ31" s="229"/>
      <c r="BA31" s="228"/>
      <c r="BB31" s="228"/>
      <c r="BC31" s="228"/>
      <c r="BD31" s="228"/>
      <c r="BE31" s="228"/>
      <c r="BF31" s="228"/>
      <c r="BG31" s="131">
        <f t="shared" si="1"/>
        <v>73658667</v>
      </c>
      <c r="BH31" s="131">
        <f t="shared" si="1"/>
        <v>0</v>
      </c>
      <c r="BI31" s="131">
        <f t="shared" si="1"/>
        <v>0</v>
      </c>
      <c r="BJ31" s="55"/>
      <c r="BK31" s="55"/>
      <c r="BL31" s="55"/>
      <c r="BM31" s="55"/>
      <c r="BN31" s="55"/>
      <c r="BO31" s="55"/>
      <c r="BP31" s="55"/>
    </row>
    <row r="32" spans="1:68" ht="35.25" customHeight="1" x14ac:dyDescent="0.2">
      <c r="B32" s="230"/>
      <c r="C32" s="230"/>
      <c r="D32" s="231"/>
      <c r="E32" s="232"/>
      <c r="F32" s="233"/>
      <c r="G32" s="234"/>
      <c r="H32" s="235"/>
      <c r="I32" s="236"/>
      <c r="J32" s="237"/>
      <c r="K32" s="237"/>
      <c r="L32" s="236"/>
      <c r="M32" s="232"/>
      <c r="N32" s="235"/>
      <c r="O32" s="234"/>
      <c r="P32" s="234"/>
      <c r="Q32" s="232"/>
      <c r="R32" s="232"/>
      <c r="S32" s="236"/>
      <c r="T32" s="238"/>
      <c r="U32" s="238"/>
      <c r="V32" s="238"/>
      <c r="W32" s="238"/>
      <c r="X32" s="238"/>
      <c r="Y32" s="238"/>
      <c r="Z32" s="238"/>
      <c r="AA32" s="238"/>
      <c r="AB32" s="238"/>
      <c r="AC32" s="238"/>
      <c r="AD32" s="238"/>
      <c r="AE32" s="238"/>
      <c r="AF32" s="238"/>
      <c r="AG32" s="238"/>
      <c r="AH32" s="238"/>
      <c r="AI32" s="238"/>
      <c r="AJ32" s="238"/>
      <c r="AK32" s="238"/>
      <c r="AL32" s="238"/>
      <c r="AM32" s="238"/>
      <c r="AN32" s="238"/>
      <c r="AO32" s="238"/>
      <c r="AP32" s="238"/>
      <c r="AQ32" s="238"/>
      <c r="AR32" s="238"/>
      <c r="AS32" s="238"/>
      <c r="AT32" s="238"/>
      <c r="AU32" s="238"/>
      <c r="AV32" s="238"/>
      <c r="AW32" s="238"/>
      <c r="AX32" s="239"/>
      <c r="AY32" s="239"/>
      <c r="AZ32" s="239"/>
      <c r="BA32" s="238"/>
      <c r="BB32" s="238"/>
      <c r="BC32" s="238"/>
      <c r="BG32" s="240"/>
      <c r="BH32" s="240"/>
      <c r="BI32" s="240"/>
    </row>
    <row r="33" spans="1:68" ht="15.75" x14ac:dyDescent="0.2">
      <c r="A33" s="241" t="s">
        <v>183</v>
      </c>
      <c r="B33" s="242"/>
      <c r="C33" s="243"/>
      <c r="D33" s="244"/>
      <c r="E33" s="245"/>
      <c r="F33" s="246"/>
      <c r="G33" s="247"/>
      <c r="H33" s="248"/>
      <c r="I33" s="249"/>
      <c r="J33" s="250"/>
      <c r="K33" s="250"/>
      <c r="L33" s="249"/>
      <c r="M33" s="160"/>
      <c r="N33" s="248"/>
      <c r="O33" s="247"/>
      <c r="P33" s="247"/>
      <c r="Q33" s="245"/>
      <c r="R33" s="245"/>
      <c r="S33" s="249"/>
      <c r="T33" s="251">
        <f>T34</f>
        <v>0</v>
      </c>
      <c r="U33" s="251"/>
      <c r="V33" s="251"/>
      <c r="W33" s="251">
        <f>W34</f>
        <v>0</v>
      </c>
      <c r="X33" s="251"/>
      <c r="Y33" s="251"/>
      <c r="Z33" s="251">
        <f>Z34</f>
        <v>0</v>
      </c>
      <c r="AA33" s="251"/>
      <c r="AB33" s="251"/>
      <c r="AC33" s="251">
        <f>AC34</f>
        <v>0</v>
      </c>
      <c r="AD33" s="251"/>
      <c r="AE33" s="251"/>
      <c r="AF33" s="251">
        <f>AF34</f>
        <v>0</v>
      </c>
      <c r="AG33" s="251"/>
      <c r="AH33" s="251"/>
      <c r="AI33" s="251">
        <f>AI34</f>
        <v>0</v>
      </c>
      <c r="AJ33" s="251"/>
      <c r="AK33" s="251"/>
      <c r="AL33" s="251">
        <f>AL34</f>
        <v>0</v>
      </c>
      <c r="AM33" s="251"/>
      <c r="AN33" s="251"/>
      <c r="AO33" s="251">
        <f>AO34</f>
        <v>0</v>
      </c>
      <c r="AP33" s="251"/>
      <c r="AQ33" s="251"/>
      <c r="AR33" s="251">
        <f>AR34</f>
        <v>0</v>
      </c>
      <c r="AS33" s="251"/>
      <c r="AT33" s="251"/>
      <c r="AU33" s="251">
        <f>AU34</f>
        <v>0</v>
      </c>
      <c r="AV33" s="251"/>
      <c r="AW33" s="251"/>
      <c r="AX33" s="251">
        <f t="shared" ref="AX33:BA34" si="2">AX34</f>
        <v>2041134000</v>
      </c>
      <c r="AY33" s="251">
        <f t="shared" si="2"/>
        <v>785519199</v>
      </c>
      <c r="AZ33" s="251">
        <f t="shared" si="2"/>
        <v>412572565</v>
      </c>
      <c r="BA33" s="251">
        <f t="shared" si="2"/>
        <v>0</v>
      </c>
      <c r="BB33" s="251"/>
      <c r="BC33" s="251"/>
      <c r="BD33" s="251">
        <f>BD34</f>
        <v>250000000</v>
      </c>
      <c r="BE33" s="251"/>
      <c r="BF33" s="251"/>
      <c r="BG33" s="251">
        <f t="shared" ref="BG33:BI34" si="3">BG34</f>
        <v>2291134000</v>
      </c>
      <c r="BH33" s="251">
        <f t="shared" si="3"/>
        <v>785519199</v>
      </c>
      <c r="BI33" s="251">
        <f t="shared" si="3"/>
        <v>412572565</v>
      </c>
    </row>
    <row r="34" spans="1:68" ht="15.75" x14ac:dyDescent="0.2">
      <c r="A34" s="104"/>
      <c r="B34" s="162">
        <v>4</v>
      </c>
      <c r="C34" s="163" t="s">
        <v>128</v>
      </c>
      <c r="D34" s="164"/>
      <c r="E34" s="165"/>
      <c r="F34" s="166"/>
      <c r="G34" s="167"/>
      <c r="H34" s="168"/>
      <c r="I34" s="169"/>
      <c r="J34" s="170"/>
      <c r="K34" s="170"/>
      <c r="L34" s="169"/>
      <c r="M34" s="171"/>
      <c r="N34" s="172"/>
      <c r="O34" s="167"/>
      <c r="P34" s="167"/>
      <c r="Q34" s="165"/>
      <c r="R34" s="165"/>
      <c r="S34" s="169"/>
      <c r="T34" s="103">
        <f>T35</f>
        <v>0</v>
      </c>
      <c r="U34" s="103"/>
      <c r="V34" s="103"/>
      <c r="W34" s="103">
        <f>W35</f>
        <v>0</v>
      </c>
      <c r="X34" s="103"/>
      <c r="Y34" s="103"/>
      <c r="Z34" s="103">
        <f>Z35</f>
        <v>0</v>
      </c>
      <c r="AA34" s="103"/>
      <c r="AB34" s="103"/>
      <c r="AC34" s="103">
        <f>AC35</f>
        <v>0</v>
      </c>
      <c r="AD34" s="103"/>
      <c r="AE34" s="103"/>
      <c r="AF34" s="103">
        <f>AF35</f>
        <v>0</v>
      </c>
      <c r="AG34" s="103"/>
      <c r="AH34" s="103"/>
      <c r="AI34" s="103">
        <f>AI35</f>
        <v>0</v>
      </c>
      <c r="AJ34" s="103"/>
      <c r="AK34" s="103"/>
      <c r="AL34" s="103">
        <f>AL35</f>
        <v>0</v>
      </c>
      <c r="AM34" s="103"/>
      <c r="AN34" s="103"/>
      <c r="AO34" s="103">
        <f>AO35</f>
        <v>0</v>
      </c>
      <c r="AP34" s="103"/>
      <c r="AQ34" s="103"/>
      <c r="AR34" s="103">
        <f>AR35</f>
        <v>0</v>
      </c>
      <c r="AS34" s="103"/>
      <c r="AT34" s="103"/>
      <c r="AU34" s="103">
        <f>AU35</f>
        <v>0</v>
      </c>
      <c r="AV34" s="103"/>
      <c r="AW34" s="103"/>
      <c r="AX34" s="103">
        <f t="shared" si="2"/>
        <v>2041134000</v>
      </c>
      <c r="AY34" s="103">
        <f t="shared" si="2"/>
        <v>785519199</v>
      </c>
      <c r="AZ34" s="103">
        <f t="shared" si="2"/>
        <v>412572565</v>
      </c>
      <c r="BA34" s="103">
        <f t="shared" si="2"/>
        <v>0</v>
      </c>
      <c r="BB34" s="103"/>
      <c r="BC34" s="103"/>
      <c r="BD34" s="103">
        <f>BD35</f>
        <v>250000000</v>
      </c>
      <c r="BE34" s="103"/>
      <c r="BF34" s="103"/>
      <c r="BG34" s="103">
        <f t="shared" si="3"/>
        <v>2291134000</v>
      </c>
      <c r="BH34" s="103">
        <f t="shared" si="3"/>
        <v>785519199</v>
      </c>
      <c r="BI34" s="103">
        <f t="shared" si="3"/>
        <v>412572565</v>
      </c>
    </row>
    <row r="35" spans="1:68" ht="15.75" customHeight="1" x14ac:dyDescent="0.2">
      <c r="A35" s="104"/>
      <c r="B35" s="105"/>
      <c r="C35" s="252">
        <v>45</v>
      </c>
      <c r="D35" s="253" t="s">
        <v>102</v>
      </c>
      <c r="E35" s="175" t="s">
        <v>103</v>
      </c>
      <c r="F35" s="254"/>
      <c r="G35" s="254"/>
      <c r="H35" s="254"/>
      <c r="I35" s="254"/>
      <c r="J35" s="254"/>
      <c r="K35" s="254"/>
      <c r="L35" s="254"/>
      <c r="M35" s="254"/>
      <c r="N35" s="254"/>
      <c r="O35" s="254"/>
      <c r="P35" s="254"/>
      <c r="Q35" s="254"/>
      <c r="R35" s="181"/>
      <c r="S35" s="177"/>
      <c r="T35" s="117">
        <f>SUM(T36:T37)</f>
        <v>0</v>
      </c>
      <c r="U35" s="117"/>
      <c r="V35" s="117"/>
      <c r="W35" s="117">
        <f>SUM(W36:W37)</f>
        <v>0</v>
      </c>
      <c r="X35" s="117"/>
      <c r="Y35" s="117"/>
      <c r="Z35" s="117">
        <f>SUM(Z36:Z37)</f>
        <v>0</v>
      </c>
      <c r="AA35" s="117"/>
      <c r="AB35" s="117"/>
      <c r="AC35" s="117">
        <f>SUM(AC36:AC37)</f>
        <v>0</v>
      </c>
      <c r="AD35" s="117"/>
      <c r="AE35" s="117"/>
      <c r="AF35" s="117">
        <f>SUM(AF36:AF37)</f>
        <v>0</v>
      </c>
      <c r="AG35" s="117"/>
      <c r="AH35" s="117"/>
      <c r="AI35" s="117">
        <f>SUM(AI36:AI37)</f>
        <v>0</v>
      </c>
      <c r="AJ35" s="117"/>
      <c r="AK35" s="117"/>
      <c r="AL35" s="117">
        <f>SUM(AL36:AL37)</f>
        <v>0</v>
      </c>
      <c r="AM35" s="117"/>
      <c r="AN35" s="117"/>
      <c r="AO35" s="117">
        <f>SUM(AO36:AO37)</f>
        <v>0</v>
      </c>
      <c r="AP35" s="117"/>
      <c r="AQ35" s="117"/>
      <c r="AR35" s="117">
        <f>SUM(AR36:AR37)</f>
        <v>0</v>
      </c>
      <c r="AS35" s="117"/>
      <c r="AT35" s="117"/>
      <c r="AU35" s="117">
        <f>SUM(AU36:AU37)</f>
        <v>0</v>
      </c>
      <c r="AV35" s="117"/>
      <c r="AW35" s="117"/>
      <c r="AX35" s="117">
        <f>SUM(AX36:AX37)</f>
        <v>2041134000</v>
      </c>
      <c r="AY35" s="117">
        <f>SUM(AY36:AY37)</f>
        <v>785519199</v>
      </c>
      <c r="AZ35" s="117">
        <f>SUM(AZ36:AZ37)</f>
        <v>412572565</v>
      </c>
      <c r="BA35" s="117">
        <f>SUM(BA36:BA37)</f>
        <v>0</v>
      </c>
      <c r="BB35" s="117"/>
      <c r="BC35" s="117"/>
      <c r="BD35" s="117">
        <f>SUM(BD36:BD37)</f>
        <v>250000000</v>
      </c>
      <c r="BE35" s="117"/>
      <c r="BF35" s="117"/>
      <c r="BG35" s="117">
        <f>SUM(BG36:BG37)</f>
        <v>2291134000</v>
      </c>
      <c r="BH35" s="117">
        <f>SUM(BH36:BH37)</f>
        <v>785519199</v>
      </c>
      <c r="BI35" s="117">
        <f>SUM(BI36:BI37)</f>
        <v>412572565</v>
      </c>
    </row>
    <row r="36" spans="1:68" ht="69.75" customHeight="1" x14ac:dyDescent="0.2">
      <c r="A36" s="104"/>
      <c r="B36" s="255"/>
      <c r="C36" s="256"/>
      <c r="D36" s="120"/>
      <c r="E36" s="121"/>
      <c r="F36" s="145" t="s">
        <v>184</v>
      </c>
      <c r="G36" s="216" t="s">
        <v>185</v>
      </c>
      <c r="H36" s="124" t="s">
        <v>102</v>
      </c>
      <c r="I36" s="257" t="s">
        <v>186</v>
      </c>
      <c r="J36" s="216" t="s">
        <v>187</v>
      </c>
      <c r="K36" s="146" t="s">
        <v>102</v>
      </c>
      <c r="L36" s="147" t="s">
        <v>188</v>
      </c>
      <c r="M36" s="127" t="s">
        <v>109</v>
      </c>
      <c r="N36" s="124">
        <v>1</v>
      </c>
      <c r="O36" s="258">
        <v>1</v>
      </c>
      <c r="P36" s="258"/>
      <c r="Q36" s="127" t="s">
        <v>110</v>
      </c>
      <c r="R36" s="127" t="s">
        <v>189</v>
      </c>
      <c r="S36" s="186" t="s">
        <v>190</v>
      </c>
      <c r="T36" s="259"/>
      <c r="U36" s="260"/>
      <c r="V36" s="260"/>
      <c r="W36" s="260"/>
      <c r="X36" s="260"/>
      <c r="Y36" s="260"/>
      <c r="Z36" s="261"/>
      <c r="AA36" s="261"/>
      <c r="AB36" s="261"/>
      <c r="AC36" s="259"/>
      <c r="AD36" s="259"/>
      <c r="AE36" s="259"/>
      <c r="AF36" s="259"/>
      <c r="AG36" s="259"/>
      <c r="AH36" s="259"/>
      <c r="AI36" s="259"/>
      <c r="AJ36" s="259"/>
      <c r="AK36" s="259"/>
      <c r="AL36" s="259"/>
      <c r="AM36" s="259"/>
      <c r="AN36" s="259"/>
      <c r="AO36" s="259"/>
      <c r="AP36" s="259"/>
      <c r="AQ36" s="259"/>
      <c r="AR36" s="259"/>
      <c r="AS36" s="259"/>
      <c r="AT36" s="259"/>
      <c r="AU36" s="259"/>
      <c r="AV36" s="259"/>
      <c r="AW36" s="259"/>
      <c r="AX36" s="229">
        <v>1470270000</v>
      </c>
      <c r="AY36" s="229">
        <v>642052535</v>
      </c>
      <c r="AZ36" s="229">
        <v>281105901</v>
      </c>
      <c r="BA36" s="259"/>
      <c r="BB36" s="259"/>
      <c r="BC36" s="259"/>
      <c r="BD36" s="262">
        <v>250000000</v>
      </c>
      <c r="BE36" s="262"/>
      <c r="BF36" s="262"/>
      <c r="BG36" s="131">
        <f t="shared" ref="BG36:BI37" si="4">+T36+W36+Z36+AC36+AF36+AI36+AL36+AO36+AR36+AU36+AX36+BA36+BD36</f>
        <v>1720270000</v>
      </c>
      <c r="BH36" s="131">
        <f t="shared" si="4"/>
        <v>642052535</v>
      </c>
      <c r="BI36" s="131">
        <f t="shared" si="4"/>
        <v>281105901</v>
      </c>
      <c r="BJ36" s="55"/>
      <c r="BK36" s="55"/>
      <c r="BL36" s="55"/>
      <c r="BM36" s="55"/>
      <c r="BN36" s="55"/>
      <c r="BO36" s="55"/>
      <c r="BP36" s="55"/>
    </row>
    <row r="37" spans="1:68" ht="57.75" customHeight="1" x14ac:dyDescent="0.2">
      <c r="A37" s="141"/>
      <c r="B37" s="263"/>
      <c r="C37" s="263"/>
      <c r="D37" s="132"/>
      <c r="E37" s="121"/>
      <c r="F37" s="145" t="s">
        <v>184</v>
      </c>
      <c r="G37" s="216" t="s">
        <v>191</v>
      </c>
      <c r="H37" s="124" t="s">
        <v>102</v>
      </c>
      <c r="I37" s="264" t="s">
        <v>192</v>
      </c>
      <c r="J37" s="216" t="s">
        <v>193</v>
      </c>
      <c r="K37" s="146" t="s">
        <v>102</v>
      </c>
      <c r="L37" s="147" t="s">
        <v>194</v>
      </c>
      <c r="M37" s="127" t="s">
        <v>109</v>
      </c>
      <c r="N37" s="219">
        <v>1</v>
      </c>
      <c r="O37" s="265">
        <v>1</v>
      </c>
      <c r="P37" s="265"/>
      <c r="Q37" s="127" t="s">
        <v>110</v>
      </c>
      <c r="R37" s="127" t="s">
        <v>195</v>
      </c>
      <c r="S37" s="186" t="s">
        <v>196</v>
      </c>
      <c r="T37" s="129"/>
      <c r="U37" s="129"/>
      <c r="V37" s="129"/>
      <c r="W37" s="129"/>
      <c r="X37" s="129"/>
      <c r="Y37" s="129"/>
      <c r="Z37" s="129"/>
      <c r="AA37" s="129"/>
      <c r="AB37" s="129"/>
      <c r="AC37" s="129"/>
      <c r="AD37" s="129"/>
      <c r="AE37" s="129"/>
      <c r="AF37" s="129"/>
      <c r="AG37" s="129"/>
      <c r="AH37" s="129"/>
      <c r="AI37" s="129"/>
      <c r="AJ37" s="129"/>
      <c r="AK37" s="129"/>
      <c r="AL37" s="129"/>
      <c r="AM37" s="129"/>
      <c r="AN37" s="129"/>
      <c r="AO37" s="129"/>
      <c r="AP37" s="129"/>
      <c r="AQ37" s="129"/>
      <c r="AR37" s="129"/>
      <c r="AS37" s="129"/>
      <c r="AT37" s="129"/>
      <c r="AU37" s="129"/>
      <c r="AV37" s="187"/>
      <c r="AW37" s="187"/>
      <c r="AX37" s="266">
        <v>570864000</v>
      </c>
      <c r="AY37" s="266">
        <v>143466664</v>
      </c>
      <c r="AZ37" s="266">
        <v>131466664</v>
      </c>
      <c r="BA37" s="187"/>
      <c r="BB37" s="187"/>
      <c r="BC37" s="187"/>
      <c r="BD37" s="187"/>
      <c r="BE37" s="187"/>
      <c r="BF37" s="187"/>
      <c r="BG37" s="131">
        <f t="shared" si="4"/>
        <v>570864000</v>
      </c>
      <c r="BH37" s="131">
        <f t="shared" si="4"/>
        <v>143466664</v>
      </c>
      <c r="BI37" s="131">
        <f t="shared" si="4"/>
        <v>131466664</v>
      </c>
      <c r="BJ37" s="55"/>
      <c r="BK37" s="55"/>
      <c r="BL37" s="55"/>
      <c r="BM37" s="55"/>
      <c r="BN37" s="55"/>
      <c r="BO37" s="55"/>
      <c r="BP37" s="55"/>
    </row>
    <row r="38" spans="1:68" s="267" customFormat="1" ht="30" customHeight="1" x14ac:dyDescent="0.2">
      <c r="B38" s="268"/>
      <c r="C38" s="268"/>
      <c r="D38" s="269"/>
      <c r="F38" s="270"/>
      <c r="G38" s="271"/>
      <c r="H38" s="272"/>
      <c r="I38" s="273"/>
      <c r="J38" s="274"/>
      <c r="K38" s="274"/>
      <c r="L38" s="273"/>
      <c r="N38" s="275"/>
      <c r="O38" s="271"/>
      <c r="P38" s="271"/>
      <c r="Q38" s="276"/>
      <c r="R38" s="276"/>
      <c r="S38" s="273"/>
      <c r="BG38" s="277"/>
      <c r="BH38" s="277"/>
      <c r="BI38" s="277"/>
      <c r="BJ38" s="278"/>
      <c r="BK38" s="278"/>
      <c r="BL38" s="278"/>
      <c r="BM38" s="278"/>
      <c r="BN38" s="278"/>
      <c r="BO38" s="278"/>
      <c r="BP38" s="278"/>
    </row>
    <row r="39" spans="1:68" ht="15.75" x14ac:dyDescent="0.2">
      <c r="A39" s="76" t="s">
        <v>197</v>
      </c>
      <c r="B39" s="77"/>
      <c r="C39" s="78"/>
      <c r="D39" s="79"/>
      <c r="E39" s="80"/>
      <c r="F39" s="81"/>
      <c r="G39" s="82"/>
      <c r="H39" s="83"/>
      <c r="I39" s="84"/>
      <c r="J39" s="85"/>
      <c r="K39" s="85"/>
      <c r="L39" s="84"/>
      <c r="M39" s="160"/>
      <c r="N39" s="83"/>
      <c r="O39" s="82"/>
      <c r="P39" s="82"/>
      <c r="Q39" s="80"/>
      <c r="R39" s="80"/>
      <c r="S39" s="84"/>
      <c r="T39" s="251">
        <f t="shared" ref="T39:BI39" si="5">T40+T53+T58+T73</f>
        <v>7091007448.6499996</v>
      </c>
      <c r="U39" s="251">
        <f t="shared" si="5"/>
        <v>249180333</v>
      </c>
      <c r="V39" s="251">
        <f t="shared" si="5"/>
        <v>202885325</v>
      </c>
      <c r="W39" s="251">
        <f t="shared" si="5"/>
        <v>0</v>
      </c>
      <c r="X39" s="251">
        <f t="shared" si="5"/>
        <v>0</v>
      </c>
      <c r="Y39" s="251">
        <f t="shared" si="5"/>
        <v>0</v>
      </c>
      <c r="Z39" s="251">
        <f t="shared" si="5"/>
        <v>958872976.11000001</v>
      </c>
      <c r="AA39" s="251">
        <f t="shared" si="5"/>
        <v>172278666</v>
      </c>
      <c r="AB39" s="251">
        <f t="shared" si="5"/>
        <v>72443017</v>
      </c>
      <c r="AC39" s="251">
        <f t="shared" si="5"/>
        <v>0</v>
      </c>
      <c r="AD39" s="251">
        <f t="shared" si="5"/>
        <v>0</v>
      </c>
      <c r="AE39" s="251">
        <f t="shared" si="5"/>
        <v>0</v>
      </c>
      <c r="AF39" s="251">
        <f t="shared" si="5"/>
        <v>0</v>
      </c>
      <c r="AG39" s="251">
        <f t="shared" si="5"/>
        <v>0</v>
      </c>
      <c r="AH39" s="251">
        <f t="shared" si="5"/>
        <v>0</v>
      </c>
      <c r="AI39" s="251">
        <f t="shared" si="5"/>
        <v>0</v>
      </c>
      <c r="AJ39" s="251">
        <f t="shared" si="5"/>
        <v>0</v>
      </c>
      <c r="AK39" s="251">
        <f t="shared" si="5"/>
        <v>0</v>
      </c>
      <c r="AL39" s="251">
        <f t="shared" si="5"/>
        <v>0</v>
      </c>
      <c r="AM39" s="251">
        <f t="shared" si="5"/>
        <v>0</v>
      </c>
      <c r="AN39" s="251">
        <f t="shared" si="5"/>
        <v>0</v>
      </c>
      <c r="AO39" s="251">
        <f t="shared" si="5"/>
        <v>0</v>
      </c>
      <c r="AP39" s="251">
        <f t="shared" si="5"/>
        <v>0</v>
      </c>
      <c r="AQ39" s="251">
        <f t="shared" si="5"/>
        <v>0</v>
      </c>
      <c r="AR39" s="251">
        <f t="shared" si="5"/>
        <v>0</v>
      </c>
      <c r="AS39" s="251">
        <f t="shared" si="5"/>
        <v>0</v>
      </c>
      <c r="AT39" s="251">
        <f t="shared" si="5"/>
        <v>0</v>
      </c>
      <c r="AU39" s="251">
        <f t="shared" si="5"/>
        <v>2686652877.1199999</v>
      </c>
      <c r="AV39" s="251">
        <f t="shared" si="5"/>
        <v>0</v>
      </c>
      <c r="AW39" s="251">
        <f t="shared" si="5"/>
        <v>0</v>
      </c>
      <c r="AX39" s="251">
        <f t="shared" si="5"/>
        <v>580123597.74000001</v>
      </c>
      <c r="AY39" s="251">
        <f t="shared" si="5"/>
        <v>74190666</v>
      </c>
      <c r="AZ39" s="251">
        <f t="shared" si="5"/>
        <v>53457666</v>
      </c>
      <c r="BA39" s="251">
        <f t="shared" si="5"/>
        <v>60660648</v>
      </c>
      <c r="BB39" s="251">
        <f t="shared" si="5"/>
        <v>0</v>
      </c>
      <c r="BC39" s="251">
        <f t="shared" si="5"/>
        <v>0</v>
      </c>
      <c r="BD39" s="251">
        <f t="shared" si="5"/>
        <v>0</v>
      </c>
      <c r="BE39" s="251">
        <f t="shared" si="5"/>
        <v>0</v>
      </c>
      <c r="BF39" s="251">
        <f t="shared" si="5"/>
        <v>0</v>
      </c>
      <c r="BG39" s="251">
        <f t="shared" si="5"/>
        <v>11377317547.619999</v>
      </c>
      <c r="BH39" s="251">
        <f t="shared" si="5"/>
        <v>495649665</v>
      </c>
      <c r="BI39" s="251">
        <f t="shared" si="5"/>
        <v>328786008</v>
      </c>
    </row>
    <row r="40" spans="1:68" ht="15.75" x14ac:dyDescent="0.2">
      <c r="A40" s="104"/>
      <c r="B40" s="162">
        <v>1</v>
      </c>
      <c r="C40" s="163" t="s">
        <v>1</v>
      </c>
      <c r="D40" s="164"/>
      <c r="E40" s="165"/>
      <c r="F40" s="166"/>
      <c r="G40" s="167"/>
      <c r="H40" s="168"/>
      <c r="I40" s="169"/>
      <c r="J40" s="170"/>
      <c r="K40" s="170"/>
      <c r="L40" s="169"/>
      <c r="M40" s="171"/>
      <c r="N40" s="172"/>
      <c r="O40" s="167"/>
      <c r="P40" s="167"/>
      <c r="Q40" s="165"/>
      <c r="R40" s="165"/>
      <c r="S40" s="169"/>
      <c r="T40" s="103">
        <f t="shared" ref="T40:BI40" si="6">T41+T43+T45+T49+T51+T47</f>
        <v>5912411283.6499996</v>
      </c>
      <c r="U40" s="103">
        <f t="shared" si="6"/>
        <v>249180333</v>
      </c>
      <c r="V40" s="103">
        <f t="shared" si="6"/>
        <v>202885325</v>
      </c>
      <c r="W40" s="103">
        <f t="shared" si="6"/>
        <v>0</v>
      </c>
      <c r="X40" s="103">
        <f t="shared" si="6"/>
        <v>0</v>
      </c>
      <c r="Y40" s="103">
        <f t="shared" si="6"/>
        <v>0</v>
      </c>
      <c r="Z40" s="103">
        <f t="shared" si="6"/>
        <v>0</v>
      </c>
      <c r="AA40" s="103">
        <f t="shared" si="6"/>
        <v>0</v>
      </c>
      <c r="AB40" s="103">
        <f t="shared" si="6"/>
        <v>0</v>
      </c>
      <c r="AC40" s="103">
        <f t="shared" si="6"/>
        <v>0</v>
      </c>
      <c r="AD40" s="103">
        <f t="shared" si="6"/>
        <v>0</v>
      </c>
      <c r="AE40" s="103">
        <f t="shared" si="6"/>
        <v>0</v>
      </c>
      <c r="AF40" s="103">
        <f t="shared" si="6"/>
        <v>0</v>
      </c>
      <c r="AG40" s="103">
        <f t="shared" si="6"/>
        <v>0</v>
      </c>
      <c r="AH40" s="103">
        <f t="shared" si="6"/>
        <v>0</v>
      </c>
      <c r="AI40" s="103">
        <f t="shared" si="6"/>
        <v>0</v>
      </c>
      <c r="AJ40" s="103">
        <f t="shared" si="6"/>
        <v>0</v>
      </c>
      <c r="AK40" s="103">
        <f t="shared" si="6"/>
        <v>0</v>
      </c>
      <c r="AL40" s="103">
        <f t="shared" si="6"/>
        <v>0</v>
      </c>
      <c r="AM40" s="103">
        <f t="shared" si="6"/>
        <v>0</v>
      </c>
      <c r="AN40" s="103">
        <f t="shared" si="6"/>
        <v>0</v>
      </c>
      <c r="AO40" s="103">
        <f t="shared" si="6"/>
        <v>0</v>
      </c>
      <c r="AP40" s="103">
        <f t="shared" si="6"/>
        <v>0</v>
      </c>
      <c r="AQ40" s="103">
        <f t="shared" si="6"/>
        <v>0</v>
      </c>
      <c r="AR40" s="103">
        <f t="shared" si="6"/>
        <v>0</v>
      </c>
      <c r="AS40" s="103">
        <f t="shared" si="6"/>
        <v>0</v>
      </c>
      <c r="AT40" s="103">
        <f t="shared" si="6"/>
        <v>0</v>
      </c>
      <c r="AU40" s="103">
        <f t="shared" si="6"/>
        <v>0</v>
      </c>
      <c r="AV40" s="103">
        <f t="shared" si="6"/>
        <v>0</v>
      </c>
      <c r="AW40" s="103">
        <f t="shared" si="6"/>
        <v>0</v>
      </c>
      <c r="AX40" s="103">
        <f t="shared" si="6"/>
        <v>55000000</v>
      </c>
      <c r="AY40" s="103">
        <f t="shared" si="6"/>
        <v>0</v>
      </c>
      <c r="AZ40" s="103">
        <f t="shared" si="6"/>
        <v>0</v>
      </c>
      <c r="BA40" s="103">
        <f t="shared" si="6"/>
        <v>0</v>
      </c>
      <c r="BB40" s="103">
        <f t="shared" si="6"/>
        <v>0</v>
      </c>
      <c r="BC40" s="103">
        <f t="shared" si="6"/>
        <v>0</v>
      </c>
      <c r="BD40" s="103">
        <f t="shared" si="6"/>
        <v>0</v>
      </c>
      <c r="BE40" s="103">
        <f t="shared" si="6"/>
        <v>0</v>
      </c>
      <c r="BF40" s="103">
        <f t="shared" si="6"/>
        <v>0</v>
      </c>
      <c r="BG40" s="103">
        <f t="shared" si="6"/>
        <v>5967411283.6499996</v>
      </c>
      <c r="BH40" s="103">
        <f t="shared" si="6"/>
        <v>249180333</v>
      </c>
      <c r="BI40" s="103">
        <f t="shared" si="6"/>
        <v>202885325</v>
      </c>
    </row>
    <row r="41" spans="1:68" ht="15.75" x14ac:dyDescent="0.2">
      <c r="A41" s="104"/>
      <c r="B41" s="105"/>
      <c r="C41" s="279">
        <v>1</v>
      </c>
      <c r="D41" s="139">
        <v>1202</v>
      </c>
      <c r="E41" s="175" t="s">
        <v>198</v>
      </c>
      <c r="F41" s="138"/>
      <c r="G41" s="139"/>
      <c r="H41" s="176"/>
      <c r="I41" s="177"/>
      <c r="J41" s="178"/>
      <c r="K41" s="178"/>
      <c r="L41" s="177"/>
      <c r="M41" s="280"/>
      <c r="N41" s="281"/>
      <c r="O41" s="139"/>
      <c r="P41" s="139"/>
      <c r="Q41" s="181"/>
      <c r="R41" s="181"/>
      <c r="S41" s="177"/>
      <c r="T41" s="117">
        <f t="shared" ref="T41:BI41" si="7">T42</f>
        <v>0</v>
      </c>
      <c r="U41" s="117">
        <f t="shared" si="7"/>
        <v>0</v>
      </c>
      <c r="V41" s="117">
        <f t="shared" si="7"/>
        <v>0</v>
      </c>
      <c r="W41" s="117">
        <f t="shared" si="7"/>
        <v>0</v>
      </c>
      <c r="X41" s="117">
        <f t="shared" si="7"/>
        <v>0</v>
      </c>
      <c r="Y41" s="117">
        <f t="shared" si="7"/>
        <v>0</v>
      </c>
      <c r="Z41" s="117">
        <f t="shared" si="7"/>
        <v>0</v>
      </c>
      <c r="AA41" s="117">
        <f t="shared" si="7"/>
        <v>0</v>
      </c>
      <c r="AB41" s="117">
        <f t="shared" si="7"/>
        <v>0</v>
      </c>
      <c r="AC41" s="117">
        <f t="shared" si="7"/>
        <v>0</v>
      </c>
      <c r="AD41" s="117">
        <f t="shared" si="7"/>
        <v>0</v>
      </c>
      <c r="AE41" s="117">
        <f t="shared" si="7"/>
        <v>0</v>
      </c>
      <c r="AF41" s="117">
        <f t="shared" si="7"/>
        <v>0</v>
      </c>
      <c r="AG41" s="117">
        <f t="shared" si="7"/>
        <v>0</v>
      </c>
      <c r="AH41" s="117">
        <f t="shared" si="7"/>
        <v>0</v>
      </c>
      <c r="AI41" s="117">
        <f t="shared" si="7"/>
        <v>0</v>
      </c>
      <c r="AJ41" s="117">
        <f t="shared" si="7"/>
        <v>0</v>
      </c>
      <c r="AK41" s="117">
        <f t="shared" si="7"/>
        <v>0</v>
      </c>
      <c r="AL41" s="117">
        <f t="shared" si="7"/>
        <v>0</v>
      </c>
      <c r="AM41" s="117">
        <f t="shared" si="7"/>
        <v>0</v>
      </c>
      <c r="AN41" s="117">
        <f t="shared" si="7"/>
        <v>0</v>
      </c>
      <c r="AO41" s="117">
        <f t="shared" si="7"/>
        <v>0</v>
      </c>
      <c r="AP41" s="117">
        <f t="shared" si="7"/>
        <v>0</v>
      </c>
      <c r="AQ41" s="117">
        <f t="shared" si="7"/>
        <v>0</v>
      </c>
      <c r="AR41" s="117">
        <f t="shared" si="7"/>
        <v>0</v>
      </c>
      <c r="AS41" s="117">
        <f t="shared" si="7"/>
        <v>0</v>
      </c>
      <c r="AT41" s="117">
        <f t="shared" si="7"/>
        <v>0</v>
      </c>
      <c r="AU41" s="117">
        <f t="shared" si="7"/>
        <v>0</v>
      </c>
      <c r="AV41" s="117">
        <f t="shared" si="7"/>
        <v>0</v>
      </c>
      <c r="AW41" s="117">
        <f t="shared" si="7"/>
        <v>0</v>
      </c>
      <c r="AX41" s="117">
        <f t="shared" si="7"/>
        <v>3000000</v>
      </c>
      <c r="AY41" s="117">
        <f t="shared" si="7"/>
        <v>0</v>
      </c>
      <c r="AZ41" s="117">
        <f t="shared" si="7"/>
        <v>0</v>
      </c>
      <c r="BA41" s="117">
        <f t="shared" si="7"/>
        <v>0</v>
      </c>
      <c r="BB41" s="117">
        <f t="shared" si="7"/>
        <v>0</v>
      </c>
      <c r="BC41" s="117">
        <f t="shared" si="7"/>
        <v>0</v>
      </c>
      <c r="BD41" s="117">
        <f t="shared" si="7"/>
        <v>0</v>
      </c>
      <c r="BE41" s="117">
        <f t="shared" si="7"/>
        <v>0</v>
      </c>
      <c r="BF41" s="117">
        <f t="shared" si="7"/>
        <v>0</v>
      </c>
      <c r="BG41" s="117">
        <f t="shared" si="7"/>
        <v>3000000</v>
      </c>
      <c r="BH41" s="117">
        <f t="shared" si="7"/>
        <v>0</v>
      </c>
      <c r="BI41" s="117">
        <f t="shared" si="7"/>
        <v>0</v>
      </c>
    </row>
    <row r="42" spans="1:68" ht="171" customHeight="1" x14ac:dyDescent="0.2">
      <c r="A42" s="104"/>
      <c r="B42" s="118"/>
      <c r="C42" s="282"/>
      <c r="D42" s="283"/>
      <c r="E42" s="212"/>
      <c r="F42" s="284" t="s">
        <v>199</v>
      </c>
      <c r="G42" s="128" t="s">
        <v>200</v>
      </c>
      <c r="H42" s="124" t="s">
        <v>102</v>
      </c>
      <c r="I42" s="285" t="s">
        <v>201</v>
      </c>
      <c r="J42" s="128" t="s">
        <v>202</v>
      </c>
      <c r="K42" s="128" t="s">
        <v>102</v>
      </c>
      <c r="L42" s="286" t="s">
        <v>203</v>
      </c>
      <c r="M42" s="287" t="s">
        <v>204</v>
      </c>
      <c r="N42" s="148">
        <v>12</v>
      </c>
      <c r="O42" s="128">
        <v>1</v>
      </c>
      <c r="P42" s="128"/>
      <c r="Q42" s="149" t="s">
        <v>205</v>
      </c>
      <c r="R42" s="127" t="s">
        <v>206</v>
      </c>
      <c r="S42" s="186" t="s">
        <v>207</v>
      </c>
      <c r="T42" s="288"/>
      <c r="U42" s="288"/>
      <c r="V42" s="288"/>
      <c r="W42" s="129"/>
      <c r="X42" s="129"/>
      <c r="Y42" s="129"/>
      <c r="Z42" s="129"/>
      <c r="AA42" s="129"/>
      <c r="AB42" s="129"/>
      <c r="AC42" s="129"/>
      <c r="AD42" s="129"/>
      <c r="AE42" s="129"/>
      <c r="AF42" s="129"/>
      <c r="AG42" s="129"/>
      <c r="AH42" s="129"/>
      <c r="AI42" s="129"/>
      <c r="AJ42" s="129"/>
      <c r="AK42" s="129"/>
      <c r="AL42" s="129"/>
      <c r="AM42" s="129"/>
      <c r="AN42" s="129"/>
      <c r="AO42" s="129"/>
      <c r="AP42" s="129"/>
      <c r="AQ42" s="129"/>
      <c r="AR42" s="129"/>
      <c r="AS42" s="129"/>
      <c r="AT42" s="129"/>
      <c r="AU42" s="129"/>
      <c r="AV42" s="129"/>
      <c r="AW42" s="129"/>
      <c r="AX42" s="229">
        <v>3000000</v>
      </c>
      <c r="AY42" s="229"/>
      <c r="AZ42" s="229"/>
      <c r="BA42" s="129"/>
      <c r="BB42" s="129"/>
      <c r="BC42" s="129"/>
      <c r="BD42" s="289"/>
      <c r="BE42" s="289"/>
      <c r="BF42" s="289"/>
      <c r="BG42" s="131">
        <f>+T42+W42+Z42+AC42+AF42+AI42+AL42+AO42+AR42+AU42+AX42+BA42+BD42</f>
        <v>3000000</v>
      </c>
      <c r="BH42" s="131">
        <f>+U42+X42+AA42+AD42+AG42+AJ42+AM42+AP42+AS42+AV42+AY42+BB42+BE42</f>
        <v>0</v>
      </c>
      <c r="BI42" s="131">
        <f>+V42+Y42+AB42+AE42+AH42+AK42+AN42+AQ42+AT42+AW42+AZ42+BC42+BF42</f>
        <v>0</v>
      </c>
      <c r="BJ42" s="55"/>
      <c r="BK42" s="55"/>
      <c r="BL42" s="55"/>
      <c r="BM42" s="55"/>
      <c r="BN42" s="55"/>
      <c r="BO42" s="55"/>
      <c r="BP42" s="55"/>
    </row>
    <row r="43" spans="1:68" ht="15.75" x14ac:dyDescent="0.2">
      <c r="A43" s="104"/>
      <c r="B43" s="134"/>
      <c r="C43" s="279">
        <v>13</v>
      </c>
      <c r="D43" s="139">
        <v>1906</v>
      </c>
      <c r="E43" s="175" t="s">
        <v>208</v>
      </c>
      <c r="F43" s="138"/>
      <c r="G43" s="139"/>
      <c r="H43" s="176"/>
      <c r="I43" s="177"/>
      <c r="J43" s="178"/>
      <c r="K43" s="178"/>
      <c r="L43" s="177"/>
      <c r="M43" s="280"/>
      <c r="N43" s="281"/>
      <c r="O43" s="139"/>
      <c r="P43" s="139"/>
      <c r="Q43" s="181"/>
      <c r="R43" s="181"/>
      <c r="S43" s="177"/>
      <c r="T43" s="117">
        <f t="shared" ref="T43:BI43" si="8">T44</f>
        <v>0</v>
      </c>
      <c r="U43" s="117">
        <f t="shared" si="8"/>
        <v>0</v>
      </c>
      <c r="V43" s="117">
        <f t="shared" si="8"/>
        <v>0</v>
      </c>
      <c r="W43" s="117">
        <f t="shared" si="8"/>
        <v>0</v>
      </c>
      <c r="X43" s="117">
        <f t="shared" si="8"/>
        <v>0</v>
      </c>
      <c r="Y43" s="117">
        <f t="shared" si="8"/>
        <v>0</v>
      </c>
      <c r="Z43" s="117">
        <f t="shared" si="8"/>
        <v>0</v>
      </c>
      <c r="AA43" s="117">
        <f t="shared" si="8"/>
        <v>0</v>
      </c>
      <c r="AB43" s="117">
        <f t="shared" si="8"/>
        <v>0</v>
      </c>
      <c r="AC43" s="117">
        <f t="shared" si="8"/>
        <v>0</v>
      </c>
      <c r="AD43" s="117">
        <f t="shared" si="8"/>
        <v>0</v>
      </c>
      <c r="AE43" s="117">
        <f t="shared" si="8"/>
        <v>0</v>
      </c>
      <c r="AF43" s="117">
        <f t="shared" si="8"/>
        <v>0</v>
      </c>
      <c r="AG43" s="117">
        <f t="shared" si="8"/>
        <v>0</v>
      </c>
      <c r="AH43" s="117">
        <f t="shared" si="8"/>
        <v>0</v>
      </c>
      <c r="AI43" s="117">
        <f t="shared" si="8"/>
        <v>0</v>
      </c>
      <c r="AJ43" s="117">
        <f t="shared" si="8"/>
        <v>0</v>
      </c>
      <c r="AK43" s="117">
        <f t="shared" si="8"/>
        <v>0</v>
      </c>
      <c r="AL43" s="117">
        <f t="shared" si="8"/>
        <v>0</v>
      </c>
      <c r="AM43" s="117">
        <f t="shared" si="8"/>
        <v>0</v>
      </c>
      <c r="AN43" s="117">
        <f t="shared" si="8"/>
        <v>0</v>
      </c>
      <c r="AO43" s="117">
        <f t="shared" si="8"/>
        <v>0</v>
      </c>
      <c r="AP43" s="117">
        <f t="shared" si="8"/>
        <v>0</v>
      </c>
      <c r="AQ43" s="117">
        <f t="shared" si="8"/>
        <v>0</v>
      </c>
      <c r="AR43" s="117">
        <f t="shared" si="8"/>
        <v>0</v>
      </c>
      <c r="AS43" s="117">
        <f t="shared" si="8"/>
        <v>0</v>
      </c>
      <c r="AT43" s="117">
        <f t="shared" si="8"/>
        <v>0</v>
      </c>
      <c r="AU43" s="117">
        <f t="shared" si="8"/>
        <v>0</v>
      </c>
      <c r="AV43" s="117">
        <f t="shared" si="8"/>
        <v>0</v>
      </c>
      <c r="AW43" s="117">
        <f t="shared" si="8"/>
        <v>0</v>
      </c>
      <c r="AX43" s="117">
        <f t="shared" si="8"/>
        <v>2000000</v>
      </c>
      <c r="AY43" s="117">
        <f t="shared" si="8"/>
        <v>0</v>
      </c>
      <c r="AZ43" s="117">
        <f t="shared" si="8"/>
        <v>0</v>
      </c>
      <c r="BA43" s="117">
        <f t="shared" si="8"/>
        <v>0</v>
      </c>
      <c r="BB43" s="117">
        <f t="shared" si="8"/>
        <v>0</v>
      </c>
      <c r="BC43" s="117">
        <f t="shared" si="8"/>
        <v>0</v>
      </c>
      <c r="BD43" s="117">
        <f t="shared" si="8"/>
        <v>0</v>
      </c>
      <c r="BE43" s="117">
        <f t="shared" si="8"/>
        <v>0</v>
      </c>
      <c r="BF43" s="117">
        <f t="shared" si="8"/>
        <v>0</v>
      </c>
      <c r="BG43" s="117">
        <f t="shared" si="8"/>
        <v>2000000</v>
      </c>
      <c r="BH43" s="117">
        <f t="shared" si="8"/>
        <v>0</v>
      </c>
      <c r="BI43" s="117">
        <f t="shared" si="8"/>
        <v>0</v>
      </c>
    </row>
    <row r="44" spans="1:68" ht="73.5" customHeight="1" x14ac:dyDescent="0.2">
      <c r="A44" s="104"/>
      <c r="B44" s="118"/>
      <c r="C44" s="282"/>
      <c r="D44" s="283"/>
      <c r="E44" s="212"/>
      <c r="F44" s="122" t="s">
        <v>209</v>
      </c>
      <c r="G44" s="123" t="s">
        <v>210</v>
      </c>
      <c r="H44" s="124" t="s">
        <v>102</v>
      </c>
      <c r="I44" s="285" t="s">
        <v>211</v>
      </c>
      <c r="J44" s="290" t="s">
        <v>212</v>
      </c>
      <c r="K44" s="291" t="s">
        <v>102</v>
      </c>
      <c r="L44" s="292" t="s">
        <v>213</v>
      </c>
      <c r="M44" s="287" t="s">
        <v>204</v>
      </c>
      <c r="N44" s="148">
        <v>5</v>
      </c>
      <c r="O44" s="128">
        <v>2</v>
      </c>
      <c r="P44" s="128"/>
      <c r="Q44" s="149" t="s">
        <v>214</v>
      </c>
      <c r="R44" s="127" t="s">
        <v>215</v>
      </c>
      <c r="S44" s="125" t="s">
        <v>216</v>
      </c>
      <c r="T44" s="288"/>
      <c r="U44" s="288"/>
      <c r="V44" s="288"/>
      <c r="W44" s="129"/>
      <c r="X44" s="129"/>
      <c r="Y44" s="129"/>
      <c r="Z44" s="129"/>
      <c r="AA44" s="129"/>
      <c r="AB44" s="129"/>
      <c r="AC44" s="129"/>
      <c r="AD44" s="129"/>
      <c r="AE44" s="129"/>
      <c r="AF44" s="129"/>
      <c r="AG44" s="129"/>
      <c r="AH44" s="129"/>
      <c r="AI44" s="129"/>
      <c r="AJ44" s="129"/>
      <c r="AK44" s="129"/>
      <c r="AL44" s="129"/>
      <c r="AM44" s="129"/>
      <c r="AN44" s="129"/>
      <c r="AO44" s="129"/>
      <c r="AP44" s="129"/>
      <c r="AQ44" s="129"/>
      <c r="AR44" s="129"/>
      <c r="AS44" s="129"/>
      <c r="AT44" s="129"/>
      <c r="AU44" s="129"/>
      <c r="AV44" s="129"/>
      <c r="AW44" s="129"/>
      <c r="AX44" s="229">
        <v>2000000</v>
      </c>
      <c r="AY44" s="229"/>
      <c r="AZ44" s="229"/>
      <c r="BA44" s="129"/>
      <c r="BB44" s="129"/>
      <c r="BC44" s="129"/>
      <c r="BD44" s="289"/>
      <c r="BE44" s="289"/>
      <c r="BF44" s="289"/>
      <c r="BG44" s="131">
        <f>+T44+W44+Z44+AC44+AF44+AI44+AL44+AO44+AR44+AU44+AX44+BA44+BD44</f>
        <v>2000000</v>
      </c>
      <c r="BH44" s="131">
        <f>+U44+X44+AA44+AD44+AG44+AJ44+AM44+AP44+AS44+AV44+AY44+BB44+BE44</f>
        <v>0</v>
      </c>
      <c r="BI44" s="131">
        <f>+V44+Y44+AB44+AE44+AH44+AK44+AN44+AQ44+AT44+AW44+AZ44+BC44+BF44</f>
        <v>0</v>
      </c>
      <c r="BJ44" s="55"/>
      <c r="BK44" s="55"/>
      <c r="BL44" s="55"/>
      <c r="BM44" s="55"/>
      <c r="BN44" s="55"/>
      <c r="BO44" s="55"/>
      <c r="BP44" s="55"/>
    </row>
    <row r="45" spans="1:68" ht="15.75" x14ac:dyDescent="0.2">
      <c r="A45" s="104"/>
      <c r="B45" s="134"/>
      <c r="C45" s="279">
        <v>15</v>
      </c>
      <c r="D45" s="139">
        <v>2201</v>
      </c>
      <c r="E45" s="175" t="s">
        <v>217</v>
      </c>
      <c r="F45" s="138"/>
      <c r="G45" s="139"/>
      <c r="H45" s="176"/>
      <c r="I45" s="177" t="s">
        <v>218</v>
      </c>
      <c r="J45" s="178"/>
      <c r="K45" s="178"/>
      <c r="L45" s="177"/>
      <c r="M45" s="280"/>
      <c r="N45" s="281"/>
      <c r="O45" s="139"/>
      <c r="P45" s="139"/>
      <c r="Q45" s="181"/>
      <c r="R45" s="181"/>
      <c r="S45" s="177"/>
      <c r="T45" s="117">
        <f t="shared" ref="T45:BI45" si="9">T46</f>
        <v>2575091000</v>
      </c>
      <c r="U45" s="117">
        <f t="shared" si="9"/>
        <v>159888333</v>
      </c>
      <c r="V45" s="117">
        <f t="shared" si="9"/>
        <v>126110325</v>
      </c>
      <c r="W45" s="117">
        <f t="shared" si="9"/>
        <v>0</v>
      </c>
      <c r="X45" s="117">
        <f t="shared" si="9"/>
        <v>0</v>
      </c>
      <c r="Y45" s="117">
        <f t="shared" si="9"/>
        <v>0</v>
      </c>
      <c r="Z45" s="117">
        <f t="shared" si="9"/>
        <v>0</v>
      </c>
      <c r="AA45" s="117">
        <f t="shared" si="9"/>
        <v>0</v>
      </c>
      <c r="AB45" s="117">
        <f t="shared" si="9"/>
        <v>0</v>
      </c>
      <c r="AC45" s="117">
        <f t="shared" si="9"/>
        <v>0</v>
      </c>
      <c r="AD45" s="117">
        <f t="shared" si="9"/>
        <v>0</v>
      </c>
      <c r="AE45" s="117">
        <f t="shared" si="9"/>
        <v>0</v>
      </c>
      <c r="AF45" s="117">
        <f t="shared" si="9"/>
        <v>0</v>
      </c>
      <c r="AG45" s="117">
        <f t="shared" si="9"/>
        <v>0</v>
      </c>
      <c r="AH45" s="117">
        <f t="shared" si="9"/>
        <v>0</v>
      </c>
      <c r="AI45" s="117">
        <f t="shared" si="9"/>
        <v>0</v>
      </c>
      <c r="AJ45" s="117">
        <f t="shared" si="9"/>
        <v>0</v>
      </c>
      <c r="AK45" s="117">
        <f t="shared" si="9"/>
        <v>0</v>
      </c>
      <c r="AL45" s="117">
        <f t="shared" si="9"/>
        <v>0</v>
      </c>
      <c r="AM45" s="117">
        <f t="shared" si="9"/>
        <v>0</v>
      </c>
      <c r="AN45" s="117">
        <f t="shared" si="9"/>
        <v>0</v>
      </c>
      <c r="AO45" s="117">
        <f t="shared" si="9"/>
        <v>0</v>
      </c>
      <c r="AP45" s="117">
        <f t="shared" si="9"/>
        <v>0</v>
      </c>
      <c r="AQ45" s="117">
        <f t="shared" si="9"/>
        <v>0</v>
      </c>
      <c r="AR45" s="117">
        <f t="shared" si="9"/>
        <v>0</v>
      </c>
      <c r="AS45" s="117">
        <f t="shared" si="9"/>
        <v>0</v>
      </c>
      <c r="AT45" s="117">
        <f t="shared" si="9"/>
        <v>0</v>
      </c>
      <c r="AU45" s="117">
        <f t="shared" si="9"/>
        <v>0</v>
      </c>
      <c r="AV45" s="117">
        <f t="shared" si="9"/>
        <v>0</v>
      </c>
      <c r="AW45" s="117">
        <f t="shared" si="9"/>
        <v>0</v>
      </c>
      <c r="AX45" s="117">
        <f t="shared" si="9"/>
        <v>0</v>
      </c>
      <c r="AY45" s="117">
        <f t="shared" si="9"/>
        <v>0</v>
      </c>
      <c r="AZ45" s="117">
        <f t="shared" si="9"/>
        <v>0</v>
      </c>
      <c r="BA45" s="117">
        <f t="shared" si="9"/>
        <v>0</v>
      </c>
      <c r="BB45" s="117">
        <f t="shared" si="9"/>
        <v>0</v>
      </c>
      <c r="BC45" s="117">
        <f t="shared" si="9"/>
        <v>0</v>
      </c>
      <c r="BD45" s="117">
        <f t="shared" si="9"/>
        <v>0</v>
      </c>
      <c r="BE45" s="117">
        <f t="shared" si="9"/>
        <v>0</v>
      </c>
      <c r="BF45" s="117">
        <f t="shared" si="9"/>
        <v>0</v>
      </c>
      <c r="BG45" s="117">
        <f t="shared" si="9"/>
        <v>2575091000</v>
      </c>
      <c r="BH45" s="117">
        <f t="shared" si="9"/>
        <v>159888333</v>
      </c>
      <c r="BI45" s="117">
        <f t="shared" si="9"/>
        <v>126110325</v>
      </c>
    </row>
    <row r="46" spans="1:68" ht="101.25" customHeight="1" x14ac:dyDescent="0.2">
      <c r="A46" s="104"/>
      <c r="B46" s="118"/>
      <c r="C46" s="282"/>
      <c r="D46" s="283"/>
      <c r="E46" s="212"/>
      <c r="F46" s="122" t="s">
        <v>219</v>
      </c>
      <c r="G46" s="123" t="s">
        <v>220</v>
      </c>
      <c r="H46" s="124" t="s">
        <v>102</v>
      </c>
      <c r="I46" s="186" t="s">
        <v>221</v>
      </c>
      <c r="J46" s="212" t="s">
        <v>222</v>
      </c>
      <c r="K46" s="212" t="s">
        <v>102</v>
      </c>
      <c r="L46" s="211" t="s">
        <v>223</v>
      </c>
      <c r="M46" s="287" t="s">
        <v>204</v>
      </c>
      <c r="N46" s="293">
        <v>54</v>
      </c>
      <c r="O46" s="185">
        <v>9</v>
      </c>
      <c r="P46" s="185"/>
      <c r="Q46" s="212" t="s">
        <v>224</v>
      </c>
      <c r="R46" s="127" t="s">
        <v>225</v>
      </c>
      <c r="S46" s="186" t="s">
        <v>226</v>
      </c>
      <c r="T46" s="288">
        <v>2575091000</v>
      </c>
      <c r="U46" s="288">
        <v>159888333</v>
      </c>
      <c r="V46" s="288">
        <v>126110325</v>
      </c>
      <c r="W46" s="129"/>
      <c r="X46" s="129"/>
      <c r="Y46" s="129"/>
      <c r="Z46" s="129"/>
      <c r="AA46" s="129"/>
      <c r="AB46" s="129"/>
      <c r="AC46" s="129"/>
      <c r="AD46" s="129"/>
      <c r="AE46" s="129"/>
      <c r="AF46" s="129"/>
      <c r="AG46" s="129"/>
      <c r="AH46" s="129"/>
      <c r="AI46" s="129"/>
      <c r="AJ46" s="129"/>
      <c r="AK46" s="129"/>
      <c r="AL46" s="129"/>
      <c r="AM46" s="129"/>
      <c r="AN46" s="129"/>
      <c r="AO46" s="129"/>
      <c r="AP46" s="129"/>
      <c r="AQ46" s="129"/>
      <c r="AR46" s="129"/>
      <c r="AS46" s="129"/>
      <c r="AT46" s="129"/>
      <c r="AU46" s="129"/>
      <c r="AV46" s="129"/>
      <c r="AW46" s="129"/>
      <c r="AX46" s="229"/>
      <c r="AY46" s="229"/>
      <c r="AZ46" s="229"/>
      <c r="BA46" s="129"/>
      <c r="BB46" s="129"/>
      <c r="BC46" s="129"/>
      <c r="BD46" s="289"/>
      <c r="BE46" s="289"/>
      <c r="BF46" s="289"/>
      <c r="BG46" s="131">
        <f>+T46+W46+Z46+AC46+AF46+AI46+AL46+AO46+AR46+AU46+AX46+BA46+BD46</f>
        <v>2575091000</v>
      </c>
      <c r="BH46" s="131">
        <f>+U46+X46+AA46+AD46+AG46+AJ46+AM46+AP46+AS46+AV46+AY46+BB46+BE46</f>
        <v>159888333</v>
      </c>
      <c r="BI46" s="131">
        <f>+V46+Y46+AB46+AE46+AH46+AK46+AN46+AQ46+AT46+AW46+AZ46+BC46+BF46</f>
        <v>126110325</v>
      </c>
      <c r="BJ46" s="55"/>
      <c r="BK46" s="55"/>
      <c r="BL46" s="55"/>
      <c r="BM46" s="55"/>
      <c r="BN46" s="55"/>
      <c r="BO46" s="55"/>
      <c r="BP46" s="55"/>
    </row>
    <row r="47" spans="1:68" ht="15.75" x14ac:dyDescent="0.2">
      <c r="A47" s="104"/>
      <c r="B47" s="134"/>
      <c r="C47" s="294">
        <v>25</v>
      </c>
      <c r="D47" s="139">
        <v>3301</v>
      </c>
      <c r="E47" s="175" t="s">
        <v>227</v>
      </c>
      <c r="F47" s="138"/>
      <c r="G47" s="139"/>
      <c r="H47" s="176"/>
      <c r="I47" s="177"/>
      <c r="J47" s="178"/>
      <c r="K47" s="178"/>
      <c r="L47" s="177"/>
      <c r="M47" s="179"/>
      <c r="N47" s="180"/>
      <c r="O47" s="139"/>
      <c r="P47" s="139"/>
      <c r="Q47" s="181"/>
      <c r="R47" s="181"/>
      <c r="S47" s="177"/>
      <c r="T47" s="117">
        <f t="shared" ref="T47:BI47" si="10">T48</f>
        <v>0</v>
      </c>
      <c r="U47" s="117">
        <f t="shared" si="10"/>
        <v>0</v>
      </c>
      <c r="V47" s="117">
        <f t="shared" si="10"/>
        <v>0</v>
      </c>
      <c r="W47" s="117">
        <f t="shared" si="10"/>
        <v>0</v>
      </c>
      <c r="X47" s="117">
        <f t="shared" si="10"/>
        <v>0</v>
      </c>
      <c r="Y47" s="117">
        <f t="shared" si="10"/>
        <v>0</v>
      </c>
      <c r="Z47" s="117">
        <f t="shared" si="10"/>
        <v>0</v>
      </c>
      <c r="AA47" s="117">
        <f t="shared" si="10"/>
        <v>0</v>
      </c>
      <c r="AB47" s="117">
        <f t="shared" si="10"/>
        <v>0</v>
      </c>
      <c r="AC47" s="117">
        <f t="shared" si="10"/>
        <v>0</v>
      </c>
      <c r="AD47" s="117">
        <f t="shared" si="10"/>
        <v>0</v>
      </c>
      <c r="AE47" s="117">
        <f t="shared" si="10"/>
        <v>0</v>
      </c>
      <c r="AF47" s="117">
        <f t="shared" si="10"/>
        <v>0</v>
      </c>
      <c r="AG47" s="117">
        <f t="shared" si="10"/>
        <v>0</v>
      </c>
      <c r="AH47" s="117">
        <f t="shared" si="10"/>
        <v>0</v>
      </c>
      <c r="AI47" s="117">
        <f t="shared" si="10"/>
        <v>0</v>
      </c>
      <c r="AJ47" s="117">
        <f t="shared" si="10"/>
        <v>0</v>
      </c>
      <c r="AK47" s="117">
        <f t="shared" si="10"/>
        <v>0</v>
      </c>
      <c r="AL47" s="117">
        <f t="shared" si="10"/>
        <v>0</v>
      </c>
      <c r="AM47" s="117">
        <f t="shared" si="10"/>
        <v>0</v>
      </c>
      <c r="AN47" s="117">
        <f t="shared" si="10"/>
        <v>0</v>
      </c>
      <c r="AO47" s="117">
        <f t="shared" si="10"/>
        <v>0</v>
      </c>
      <c r="AP47" s="117">
        <f t="shared" si="10"/>
        <v>0</v>
      </c>
      <c r="AQ47" s="117">
        <f t="shared" si="10"/>
        <v>0</v>
      </c>
      <c r="AR47" s="117">
        <f t="shared" si="10"/>
        <v>0</v>
      </c>
      <c r="AS47" s="117">
        <f t="shared" si="10"/>
        <v>0</v>
      </c>
      <c r="AT47" s="117">
        <f t="shared" si="10"/>
        <v>0</v>
      </c>
      <c r="AU47" s="117">
        <f t="shared" si="10"/>
        <v>0</v>
      </c>
      <c r="AV47" s="117">
        <f t="shared" si="10"/>
        <v>0</v>
      </c>
      <c r="AW47" s="117">
        <f t="shared" si="10"/>
        <v>0</v>
      </c>
      <c r="AX47" s="117">
        <f t="shared" si="10"/>
        <v>50000000</v>
      </c>
      <c r="AY47" s="117">
        <f t="shared" si="10"/>
        <v>0</v>
      </c>
      <c r="AZ47" s="117">
        <f t="shared" si="10"/>
        <v>0</v>
      </c>
      <c r="BA47" s="117">
        <f t="shared" si="10"/>
        <v>0</v>
      </c>
      <c r="BB47" s="117">
        <f t="shared" si="10"/>
        <v>0</v>
      </c>
      <c r="BC47" s="117">
        <f t="shared" si="10"/>
        <v>0</v>
      </c>
      <c r="BD47" s="117">
        <f t="shared" si="10"/>
        <v>0</v>
      </c>
      <c r="BE47" s="117">
        <f t="shared" si="10"/>
        <v>0</v>
      </c>
      <c r="BF47" s="117">
        <f t="shared" si="10"/>
        <v>0</v>
      </c>
      <c r="BG47" s="117">
        <f t="shared" si="10"/>
        <v>50000000</v>
      </c>
      <c r="BH47" s="117">
        <f t="shared" si="10"/>
        <v>0</v>
      </c>
      <c r="BI47" s="117">
        <f t="shared" si="10"/>
        <v>0</v>
      </c>
    </row>
    <row r="48" spans="1:68" ht="96" customHeight="1" x14ac:dyDescent="0.2">
      <c r="A48" s="104"/>
      <c r="B48" s="118"/>
      <c r="C48" s="295"/>
      <c r="D48" s="144"/>
      <c r="E48" s="296"/>
      <c r="F48" s="122" t="s">
        <v>228</v>
      </c>
      <c r="G48" s="227" t="s">
        <v>229</v>
      </c>
      <c r="H48" s="124" t="s">
        <v>230</v>
      </c>
      <c r="I48" s="186" t="s">
        <v>231</v>
      </c>
      <c r="J48" s="297" t="s">
        <v>232</v>
      </c>
      <c r="K48" s="297" t="s">
        <v>233</v>
      </c>
      <c r="L48" s="298" t="s">
        <v>234</v>
      </c>
      <c r="M48" s="127" t="s">
        <v>204</v>
      </c>
      <c r="N48" s="148">
        <v>10</v>
      </c>
      <c r="O48" s="297">
        <v>1</v>
      </c>
      <c r="P48" s="299"/>
      <c r="Q48" s="212" t="s">
        <v>235</v>
      </c>
      <c r="R48" s="127" t="s">
        <v>225</v>
      </c>
      <c r="S48" s="186" t="s">
        <v>226</v>
      </c>
      <c r="T48" s="129"/>
      <c r="U48" s="129"/>
      <c r="V48" s="129"/>
      <c r="W48" s="129"/>
      <c r="X48" s="129"/>
      <c r="Y48" s="129"/>
      <c r="Z48" s="129"/>
      <c r="AA48" s="129"/>
      <c r="AB48" s="129"/>
      <c r="AC48" s="129"/>
      <c r="AD48" s="129"/>
      <c r="AE48" s="129"/>
      <c r="AF48" s="129"/>
      <c r="AG48" s="129"/>
      <c r="AH48" s="129"/>
      <c r="AI48" s="129"/>
      <c r="AJ48" s="129"/>
      <c r="AK48" s="129"/>
      <c r="AL48" s="129"/>
      <c r="AM48" s="129"/>
      <c r="AN48" s="129"/>
      <c r="AO48" s="129"/>
      <c r="AP48" s="129"/>
      <c r="AQ48" s="129"/>
      <c r="AR48" s="129"/>
      <c r="AS48" s="129"/>
      <c r="AT48" s="129"/>
      <c r="AU48" s="129"/>
      <c r="AV48" s="129"/>
      <c r="AW48" s="129"/>
      <c r="AX48" s="300">
        <f>20000000+30000000</f>
        <v>50000000</v>
      </c>
      <c r="AY48" s="301"/>
      <c r="AZ48" s="301"/>
      <c r="BA48" s="187"/>
      <c r="BB48" s="187"/>
      <c r="BC48" s="187"/>
      <c r="BD48" s="187"/>
      <c r="BE48" s="187"/>
      <c r="BF48" s="187"/>
      <c r="BG48" s="131">
        <f>+T48+W48+Z48+AC48+AF48+AI48+AL48+AO48+AR48+AU48+AX48+BA48+BD48</f>
        <v>50000000</v>
      </c>
      <c r="BH48" s="131">
        <f>+U48+X48+AA48+AD48+AG48+AJ48+AM48+AP48+AS48+AV48+AY48+BB48+BE48</f>
        <v>0</v>
      </c>
      <c r="BI48" s="131">
        <f>+V48+Y48+AB48+AE48+AH48+AK48+AN48+AQ48+AT48+AW48+AZ48+BC48+BF48</f>
        <v>0</v>
      </c>
      <c r="BJ48" s="55"/>
      <c r="BK48" s="55"/>
      <c r="BL48" s="55"/>
      <c r="BM48" s="55"/>
      <c r="BN48" s="55"/>
      <c r="BO48" s="55"/>
      <c r="BP48" s="55"/>
    </row>
    <row r="49" spans="1:68" ht="15.75" x14ac:dyDescent="0.2">
      <c r="A49" s="104"/>
      <c r="B49" s="134"/>
      <c r="C49" s="294">
        <v>39</v>
      </c>
      <c r="D49" s="139">
        <v>4301</v>
      </c>
      <c r="E49" s="175" t="s">
        <v>236</v>
      </c>
      <c r="F49" s="138"/>
      <c r="G49" s="139"/>
      <c r="H49" s="176"/>
      <c r="I49" s="177"/>
      <c r="J49" s="178"/>
      <c r="K49" s="178"/>
      <c r="L49" s="177"/>
      <c r="M49" s="280"/>
      <c r="N49" s="281"/>
      <c r="O49" s="139"/>
      <c r="P49" s="139"/>
      <c r="Q49" s="181"/>
      <c r="R49" s="302"/>
      <c r="S49" s="303"/>
      <c r="T49" s="117">
        <f t="shared" ref="T49:BI49" si="11">T50</f>
        <v>1668660142</v>
      </c>
      <c r="U49" s="117">
        <f t="shared" si="11"/>
        <v>89292000</v>
      </c>
      <c r="V49" s="117">
        <f t="shared" si="11"/>
        <v>76775000</v>
      </c>
      <c r="W49" s="117">
        <f t="shared" si="11"/>
        <v>0</v>
      </c>
      <c r="X49" s="117">
        <f t="shared" si="11"/>
        <v>0</v>
      </c>
      <c r="Y49" s="117">
        <f t="shared" si="11"/>
        <v>0</v>
      </c>
      <c r="Z49" s="117">
        <f t="shared" si="11"/>
        <v>0</v>
      </c>
      <c r="AA49" s="117">
        <f t="shared" si="11"/>
        <v>0</v>
      </c>
      <c r="AB49" s="117">
        <f t="shared" si="11"/>
        <v>0</v>
      </c>
      <c r="AC49" s="117">
        <f t="shared" si="11"/>
        <v>0</v>
      </c>
      <c r="AD49" s="117">
        <f t="shared" si="11"/>
        <v>0</v>
      </c>
      <c r="AE49" s="117">
        <f t="shared" si="11"/>
        <v>0</v>
      </c>
      <c r="AF49" s="117">
        <f t="shared" si="11"/>
        <v>0</v>
      </c>
      <c r="AG49" s="117">
        <f t="shared" si="11"/>
        <v>0</v>
      </c>
      <c r="AH49" s="117">
        <f t="shared" si="11"/>
        <v>0</v>
      </c>
      <c r="AI49" s="117">
        <f t="shared" si="11"/>
        <v>0</v>
      </c>
      <c r="AJ49" s="117">
        <f t="shared" si="11"/>
        <v>0</v>
      </c>
      <c r="AK49" s="117">
        <f t="shared" si="11"/>
        <v>0</v>
      </c>
      <c r="AL49" s="117">
        <f t="shared" si="11"/>
        <v>0</v>
      </c>
      <c r="AM49" s="117">
        <f t="shared" si="11"/>
        <v>0</v>
      </c>
      <c r="AN49" s="117">
        <f t="shared" si="11"/>
        <v>0</v>
      </c>
      <c r="AO49" s="117">
        <f t="shared" si="11"/>
        <v>0</v>
      </c>
      <c r="AP49" s="117">
        <f t="shared" si="11"/>
        <v>0</v>
      </c>
      <c r="AQ49" s="117">
        <f t="shared" si="11"/>
        <v>0</v>
      </c>
      <c r="AR49" s="117">
        <f t="shared" si="11"/>
        <v>0</v>
      </c>
      <c r="AS49" s="117">
        <f t="shared" si="11"/>
        <v>0</v>
      </c>
      <c r="AT49" s="117">
        <f t="shared" si="11"/>
        <v>0</v>
      </c>
      <c r="AU49" s="117">
        <f t="shared" si="11"/>
        <v>0</v>
      </c>
      <c r="AV49" s="117">
        <f t="shared" si="11"/>
        <v>0</v>
      </c>
      <c r="AW49" s="117">
        <f t="shared" si="11"/>
        <v>0</v>
      </c>
      <c r="AX49" s="117">
        <f t="shared" si="11"/>
        <v>0</v>
      </c>
      <c r="AY49" s="117">
        <f t="shared" si="11"/>
        <v>0</v>
      </c>
      <c r="AZ49" s="117">
        <f t="shared" si="11"/>
        <v>0</v>
      </c>
      <c r="BA49" s="117">
        <f t="shared" si="11"/>
        <v>0</v>
      </c>
      <c r="BB49" s="117">
        <f t="shared" si="11"/>
        <v>0</v>
      </c>
      <c r="BC49" s="117">
        <f t="shared" si="11"/>
        <v>0</v>
      </c>
      <c r="BD49" s="117">
        <f t="shared" si="11"/>
        <v>0</v>
      </c>
      <c r="BE49" s="117">
        <f t="shared" si="11"/>
        <v>0</v>
      </c>
      <c r="BF49" s="117">
        <f t="shared" si="11"/>
        <v>0</v>
      </c>
      <c r="BG49" s="117">
        <f t="shared" si="11"/>
        <v>1668660142</v>
      </c>
      <c r="BH49" s="117">
        <f t="shared" si="11"/>
        <v>89292000</v>
      </c>
      <c r="BI49" s="117">
        <f t="shared" si="11"/>
        <v>76775000</v>
      </c>
      <c r="BJ49" s="55"/>
      <c r="BK49" s="55"/>
      <c r="BL49" s="55"/>
      <c r="BM49" s="55"/>
      <c r="BN49" s="55"/>
      <c r="BO49" s="55"/>
      <c r="BP49" s="55"/>
    </row>
    <row r="50" spans="1:68" ht="105" x14ac:dyDescent="0.2">
      <c r="A50" s="104"/>
      <c r="B50" s="118"/>
      <c r="C50" s="282"/>
      <c r="D50" s="283"/>
      <c r="E50" s="127"/>
      <c r="F50" s="284" t="s">
        <v>237</v>
      </c>
      <c r="G50" s="304" t="s">
        <v>238</v>
      </c>
      <c r="H50" s="124" t="s">
        <v>102</v>
      </c>
      <c r="I50" s="305" t="s">
        <v>239</v>
      </c>
      <c r="J50" s="297" t="s">
        <v>240</v>
      </c>
      <c r="K50" s="297" t="s">
        <v>102</v>
      </c>
      <c r="L50" s="298" t="s">
        <v>241</v>
      </c>
      <c r="M50" s="287" t="s">
        <v>204</v>
      </c>
      <c r="N50" s="148">
        <v>12</v>
      </c>
      <c r="O50" s="297">
        <v>3</v>
      </c>
      <c r="P50" s="297"/>
      <c r="Q50" s="149" t="s">
        <v>242</v>
      </c>
      <c r="R50" s="127" t="s">
        <v>225</v>
      </c>
      <c r="S50" s="186" t="s">
        <v>226</v>
      </c>
      <c r="T50" s="306">
        <v>1668660142</v>
      </c>
      <c r="U50" s="306">
        <v>89292000</v>
      </c>
      <c r="V50" s="306">
        <v>76775000</v>
      </c>
      <c r="W50" s="129"/>
      <c r="X50" s="129"/>
      <c r="Y50" s="129"/>
      <c r="Z50" s="129"/>
      <c r="AA50" s="129"/>
      <c r="AB50" s="129"/>
      <c r="AC50" s="129"/>
      <c r="AD50" s="129"/>
      <c r="AE50" s="129"/>
      <c r="AF50" s="129"/>
      <c r="AG50" s="129"/>
      <c r="AH50" s="129"/>
      <c r="AI50" s="129"/>
      <c r="AJ50" s="129"/>
      <c r="AK50" s="129"/>
      <c r="AL50" s="129"/>
      <c r="AM50" s="129"/>
      <c r="AN50" s="129"/>
      <c r="AO50" s="129"/>
      <c r="AP50" s="129"/>
      <c r="AQ50" s="129"/>
      <c r="AR50" s="129"/>
      <c r="AS50" s="129"/>
      <c r="AT50" s="129"/>
      <c r="AU50" s="129"/>
      <c r="AV50" s="129"/>
      <c r="AW50" s="129"/>
      <c r="AX50" s="229"/>
      <c r="AY50" s="229"/>
      <c r="AZ50" s="229"/>
      <c r="BA50" s="129"/>
      <c r="BB50" s="129"/>
      <c r="BC50" s="129"/>
      <c r="BD50" s="129"/>
      <c r="BE50" s="129"/>
      <c r="BF50" s="129"/>
      <c r="BG50" s="131">
        <f>+T50+W50+Z50+AC50+AF50+AI50+AL50+AO50+AR50+AU50+AX50+BA50+BD50</f>
        <v>1668660142</v>
      </c>
      <c r="BH50" s="131">
        <f>+U50+X50+AA50+AD50+AG50+AJ50+AM50+AP50+AS50+AV50+AY50+BB50+BE50</f>
        <v>89292000</v>
      </c>
      <c r="BI50" s="131">
        <f>+V50+Y50+AB50+AE50+AH50+AK50+AN50+AQ50+AT50+AW50+AZ50+BC50+BF50</f>
        <v>76775000</v>
      </c>
      <c r="BJ50" s="55"/>
      <c r="BK50" s="55"/>
      <c r="BL50" s="55"/>
      <c r="BM50" s="55"/>
      <c r="BN50" s="55"/>
      <c r="BO50" s="55"/>
      <c r="BP50" s="55"/>
    </row>
    <row r="51" spans="1:68" ht="15.75" x14ac:dyDescent="0.2">
      <c r="A51" s="104"/>
      <c r="B51" s="134"/>
      <c r="C51" s="294">
        <v>40</v>
      </c>
      <c r="D51" s="139">
        <v>4302</v>
      </c>
      <c r="E51" s="175" t="s">
        <v>243</v>
      </c>
      <c r="F51" s="139"/>
      <c r="G51" s="139"/>
      <c r="H51" s="176"/>
      <c r="I51" s="177"/>
      <c r="J51" s="178"/>
      <c r="K51" s="178"/>
      <c r="L51" s="177"/>
      <c r="M51" s="280"/>
      <c r="N51" s="281"/>
      <c r="O51" s="139"/>
      <c r="P51" s="139"/>
      <c r="Q51" s="181"/>
      <c r="R51" s="181"/>
      <c r="S51" s="177"/>
      <c r="T51" s="117">
        <f t="shared" ref="T51:BI51" si="12">T52</f>
        <v>1668660141.6500001</v>
      </c>
      <c r="U51" s="117">
        <f t="shared" si="12"/>
        <v>0</v>
      </c>
      <c r="V51" s="117">
        <f t="shared" si="12"/>
        <v>0</v>
      </c>
      <c r="W51" s="117">
        <f t="shared" si="12"/>
        <v>0</v>
      </c>
      <c r="X51" s="117">
        <f t="shared" si="12"/>
        <v>0</v>
      </c>
      <c r="Y51" s="117">
        <f t="shared" si="12"/>
        <v>0</v>
      </c>
      <c r="Z51" s="117">
        <f t="shared" si="12"/>
        <v>0</v>
      </c>
      <c r="AA51" s="117">
        <f t="shared" si="12"/>
        <v>0</v>
      </c>
      <c r="AB51" s="117">
        <f t="shared" si="12"/>
        <v>0</v>
      </c>
      <c r="AC51" s="117">
        <f t="shared" si="12"/>
        <v>0</v>
      </c>
      <c r="AD51" s="117">
        <f t="shared" si="12"/>
        <v>0</v>
      </c>
      <c r="AE51" s="117">
        <f t="shared" si="12"/>
        <v>0</v>
      </c>
      <c r="AF51" s="117">
        <f t="shared" si="12"/>
        <v>0</v>
      </c>
      <c r="AG51" s="117">
        <f t="shared" si="12"/>
        <v>0</v>
      </c>
      <c r="AH51" s="117">
        <f t="shared" si="12"/>
        <v>0</v>
      </c>
      <c r="AI51" s="117">
        <f t="shared" si="12"/>
        <v>0</v>
      </c>
      <c r="AJ51" s="117">
        <f t="shared" si="12"/>
        <v>0</v>
      </c>
      <c r="AK51" s="117">
        <f t="shared" si="12"/>
        <v>0</v>
      </c>
      <c r="AL51" s="117">
        <f t="shared" si="12"/>
        <v>0</v>
      </c>
      <c r="AM51" s="117">
        <f t="shared" si="12"/>
        <v>0</v>
      </c>
      <c r="AN51" s="117">
        <f t="shared" si="12"/>
        <v>0</v>
      </c>
      <c r="AO51" s="117">
        <f t="shared" si="12"/>
        <v>0</v>
      </c>
      <c r="AP51" s="117">
        <f t="shared" si="12"/>
        <v>0</v>
      </c>
      <c r="AQ51" s="117">
        <f t="shared" si="12"/>
        <v>0</v>
      </c>
      <c r="AR51" s="117">
        <f t="shared" si="12"/>
        <v>0</v>
      </c>
      <c r="AS51" s="117">
        <f t="shared" si="12"/>
        <v>0</v>
      </c>
      <c r="AT51" s="117">
        <f t="shared" si="12"/>
        <v>0</v>
      </c>
      <c r="AU51" s="117">
        <f t="shared" si="12"/>
        <v>0</v>
      </c>
      <c r="AV51" s="117">
        <f t="shared" si="12"/>
        <v>0</v>
      </c>
      <c r="AW51" s="117">
        <f t="shared" si="12"/>
        <v>0</v>
      </c>
      <c r="AX51" s="117">
        <f t="shared" si="12"/>
        <v>0</v>
      </c>
      <c r="AY51" s="117">
        <f t="shared" si="12"/>
        <v>0</v>
      </c>
      <c r="AZ51" s="117">
        <f t="shared" si="12"/>
        <v>0</v>
      </c>
      <c r="BA51" s="117">
        <f t="shared" si="12"/>
        <v>0</v>
      </c>
      <c r="BB51" s="117">
        <f t="shared" si="12"/>
        <v>0</v>
      </c>
      <c r="BC51" s="117">
        <f t="shared" si="12"/>
        <v>0</v>
      </c>
      <c r="BD51" s="117">
        <f t="shared" si="12"/>
        <v>0</v>
      </c>
      <c r="BE51" s="117">
        <f t="shared" si="12"/>
        <v>0</v>
      </c>
      <c r="BF51" s="117">
        <f t="shared" si="12"/>
        <v>0</v>
      </c>
      <c r="BG51" s="117">
        <f t="shared" si="12"/>
        <v>1668660141.6500001</v>
      </c>
      <c r="BH51" s="117">
        <f t="shared" si="12"/>
        <v>0</v>
      </c>
      <c r="BI51" s="117">
        <f t="shared" si="12"/>
        <v>0</v>
      </c>
      <c r="BJ51" s="55"/>
      <c r="BK51" s="55"/>
      <c r="BL51" s="55"/>
      <c r="BM51" s="55"/>
      <c r="BN51" s="55"/>
      <c r="BO51" s="55"/>
      <c r="BP51" s="55"/>
    </row>
    <row r="52" spans="1:68" ht="105" x14ac:dyDescent="0.2">
      <c r="A52" s="104"/>
      <c r="B52" s="118"/>
      <c r="C52" s="282"/>
      <c r="D52" s="283"/>
      <c r="E52" s="127"/>
      <c r="F52" s="284" t="s">
        <v>237</v>
      </c>
      <c r="G52" s="291" t="s">
        <v>244</v>
      </c>
      <c r="H52" s="124">
        <v>4302020</v>
      </c>
      <c r="I52" s="305" t="s">
        <v>245</v>
      </c>
      <c r="J52" s="291" t="s">
        <v>246</v>
      </c>
      <c r="K52" s="291">
        <v>430202000</v>
      </c>
      <c r="L52" s="292" t="s">
        <v>245</v>
      </c>
      <c r="M52" s="287" t="s">
        <v>204</v>
      </c>
      <c r="N52" s="148">
        <v>1</v>
      </c>
      <c r="O52" s="297">
        <v>0.25</v>
      </c>
      <c r="P52" s="297"/>
      <c r="Q52" s="149" t="s">
        <v>242</v>
      </c>
      <c r="R52" s="127" t="s">
        <v>225</v>
      </c>
      <c r="S52" s="186" t="s">
        <v>226</v>
      </c>
      <c r="T52" s="306">
        <v>1668660141.6500001</v>
      </c>
      <c r="U52" s="306"/>
      <c r="V52" s="306"/>
      <c r="W52" s="129"/>
      <c r="X52" s="129"/>
      <c r="Y52" s="129"/>
      <c r="Z52" s="129"/>
      <c r="AA52" s="129"/>
      <c r="AB52" s="129"/>
      <c r="AC52" s="129"/>
      <c r="AD52" s="129"/>
      <c r="AE52" s="129"/>
      <c r="AF52" s="129"/>
      <c r="AG52" s="129"/>
      <c r="AH52" s="129"/>
      <c r="AI52" s="129"/>
      <c r="AJ52" s="129"/>
      <c r="AK52" s="129"/>
      <c r="AL52" s="129"/>
      <c r="AM52" s="129"/>
      <c r="AN52" s="129"/>
      <c r="AO52" s="129"/>
      <c r="AP52" s="129"/>
      <c r="AQ52" s="129"/>
      <c r="AR52" s="129"/>
      <c r="AS52" s="129"/>
      <c r="AT52" s="129"/>
      <c r="AU52" s="129"/>
      <c r="AV52" s="129"/>
      <c r="AW52" s="129"/>
      <c r="AX52" s="229"/>
      <c r="AY52" s="229"/>
      <c r="AZ52" s="229"/>
      <c r="BA52" s="129"/>
      <c r="BB52" s="129"/>
      <c r="BC52" s="129"/>
      <c r="BD52" s="129"/>
      <c r="BE52" s="129"/>
      <c r="BF52" s="129"/>
      <c r="BG52" s="131">
        <f>+T52+W52+Z52+AC52+AF52+AI52+AL52+AO52+AR52+AU52+AX52+BA52+BD52</f>
        <v>1668660141.6500001</v>
      </c>
      <c r="BH52" s="131">
        <f>+U52+X52+AA52+AD52+AG52+AJ52+AM52+AP52+AS52+AV52+AY52+BB52+BE52</f>
        <v>0</v>
      </c>
      <c r="BI52" s="131">
        <f>+V52+Y52+AB52+AE52+AH52+AK52+AN52+AQ52+AT52+AW52+AZ52+BC52+BF52</f>
        <v>0</v>
      </c>
      <c r="BJ52" s="55"/>
      <c r="BK52" s="55"/>
      <c r="BL52" s="55"/>
      <c r="BM52" s="55"/>
      <c r="BN52" s="55"/>
      <c r="BO52" s="55"/>
      <c r="BP52" s="55"/>
    </row>
    <row r="53" spans="1:68" ht="15.75" x14ac:dyDescent="0.2">
      <c r="A53" s="104"/>
      <c r="B53" s="307">
        <v>2</v>
      </c>
      <c r="C53" s="163" t="s">
        <v>2</v>
      </c>
      <c r="D53" s="164"/>
      <c r="E53" s="165"/>
      <c r="F53" s="166"/>
      <c r="G53" s="167"/>
      <c r="H53" s="168"/>
      <c r="I53" s="169"/>
      <c r="J53" s="170"/>
      <c r="K53" s="170"/>
      <c r="L53" s="169"/>
      <c r="M53" s="171"/>
      <c r="N53" s="172"/>
      <c r="O53" s="167"/>
      <c r="P53" s="167"/>
      <c r="Q53" s="165"/>
      <c r="R53" s="165"/>
      <c r="S53" s="169"/>
      <c r="T53" s="103">
        <f t="shared" ref="T53:BI53" si="13">T54+T56</f>
        <v>0</v>
      </c>
      <c r="U53" s="103">
        <f t="shared" si="13"/>
        <v>0</v>
      </c>
      <c r="V53" s="103">
        <f t="shared" si="13"/>
        <v>0</v>
      </c>
      <c r="W53" s="103">
        <f t="shared" si="13"/>
        <v>0</v>
      </c>
      <c r="X53" s="103">
        <f t="shared" si="13"/>
        <v>0</v>
      </c>
      <c r="Y53" s="103">
        <f t="shared" si="13"/>
        <v>0</v>
      </c>
      <c r="Z53" s="103">
        <f t="shared" si="13"/>
        <v>0</v>
      </c>
      <c r="AA53" s="103">
        <f t="shared" si="13"/>
        <v>0</v>
      </c>
      <c r="AB53" s="103">
        <f t="shared" si="13"/>
        <v>0</v>
      </c>
      <c r="AC53" s="103">
        <f t="shared" si="13"/>
        <v>0</v>
      </c>
      <c r="AD53" s="103">
        <f t="shared" si="13"/>
        <v>0</v>
      </c>
      <c r="AE53" s="103">
        <f t="shared" si="13"/>
        <v>0</v>
      </c>
      <c r="AF53" s="103">
        <f t="shared" si="13"/>
        <v>0</v>
      </c>
      <c r="AG53" s="103">
        <f t="shared" si="13"/>
        <v>0</v>
      </c>
      <c r="AH53" s="103">
        <f t="shared" si="13"/>
        <v>0</v>
      </c>
      <c r="AI53" s="103">
        <f t="shared" si="13"/>
        <v>0</v>
      </c>
      <c r="AJ53" s="103">
        <f t="shared" si="13"/>
        <v>0</v>
      </c>
      <c r="AK53" s="103">
        <f t="shared" si="13"/>
        <v>0</v>
      </c>
      <c r="AL53" s="103">
        <f t="shared" si="13"/>
        <v>0</v>
      </c>
      <c r="AM53" s="103">
        <f t="shared" si="13"/>
        <v>0</v>
      </c>
      <c r="AN53" s="103">
        <f t="shared" si="13"/>
        <v>0</v>
      </c>
      <c r="AO53" s="103">
        <f t="shared" si="13"/>
        <v>0</v>
      </c>
      <c r="AP53" s="103">
        <f t="shared" si="13"/>
        <v>0</v>
      </c>
      <c r="AQ53" s="103">
        <f t="shared" si="13"/>
        <v>0</v>
      </c>
      <c r="AR53" s="103">
        <f t="shared" si="13"/>
        <v>0</v>
      </c>
      <c r="AS53" s="103">
        <f t="shared" si="13"/>
        <v>0</v>
      </c>
      <c r="AT53" s="103">
        <f t="shared" si="13"/>
        <v>0</v>
      </c>
      <c r="AU53" s="103">
        <f t="shared" si="13"/>
        <v>0</v>
      </c>
      <c r="AV53" s="103">
        <f t="shared" si="13"/>
        <v>0</v>
      </c>
      <c r="AW53" s="103">
        <f t="shared" si="13"/>
        <v>0</v>
      </c>
      <c r="AX53" s="103">
        <f t="shared" si="13"/>
        <v>3000000</v>
      </c>
      <c r="AY53" s="103">
        <f t="shared" si="13"/>
        <v>0</v>
      </c>
      <c r="AZ53" s="103">
        <f t="shared" si="13"/>
        <v>0</v>
      </c>
      <c r="BA53" s="103">
        <f t="shared" si="13"/>
        <v>0</v>
      </c>
      <c r="BB53" s="103">
        <f t="shared" si="13"/>
        <v>0</v>
      </c>
      <c r="BC53" s="103">
        <f t="shared" si="13"/>
        <v>0</v>
      </c>
      <c r="BD53" s="103">
        <f t="shared" si="13"/>
        <v>0</v>
      </c>
      <c r="BE53" s="103">
        <f t="shared" si="13"/>
        <v>0</v>
      </c>
      <c r="BF53" s="103">
        <f t="shared" si="13"/>
        <v>0</v>
      </c>
      <c r="BG53" s="103">
        <f t="shared" si="13"/>
        <v>3000000</v>
      </c>
      <c r="BH53" s="103">
        <f t="shared" si="13"/>
        <v>0</v>
      </c>
      <c r="BI53" s="103">
        <f t="shared" si="13"/>
        <v>0</v>
      </c>
      <c r="BJ53" s="55"/>
      <c r="BK53" s="55"/>
      <c r="BL53" s="55"/>
      <c r="BM53" s="55"/>
      <c r="BN53" s="55"/>
      <c r="BO53" s="55"/>
      <c r="BP53" s="55"/>
    </row>
    <row r="54" spans="1:68" ht="15.75" x14ac:dyDescent="0.2">
      <c r="A54" s="104"/>
      <c r="B54" s="105"/>
      <c r="C54" s="294">
        <v>10</v>
      </c>
      <c r="D54" s="139">
        <v>1709</v>
      </c>
      <c r="E54" s="175" t="s">
        <v>247</v>
      </c>
      <c r="F54" s="138"/>
      <c r="G54" s="139"/>
      <c r="H54" s="176"/>
      <c r="I54" s="177"/>
      <c r="J54" s="178"/>
      <c r="K54" s="178"/>
      <c r="L54" s="177"/>
      <c r="M54" s="179"/>
      <c r="N54" s="180"/>
      <c r="O54" s="139"/>
      <c r="P54" s="139"/>
      <c r="Q54" s="181"/>
      <c r="R54" s="181"/>
      <c r="S54" s="177"/>
      <c r="T54" s="117">
        <f t="shared" ref="T54:BI54" si="14">SUM(T55:T55)</f>
        <v>0</v>
      </c>
      <c r="U54" s="117">
        <f t="shared" si="14"/>
        <v>0</v>
      </c>
      <c r="V54" s="117">
        <f t="shared" si="14"/>
        <v>0</v>
      </c>
      <c r="W54" s="117">
        <f t="shared" si="14"/>
        <v>0</v>
      </c>
      <c r="X54" s="117">
        <f t="shared" si="14"/>
        <v>0</v>
      </c>
      <c r="Y54" s="117">
        <f t="shared" si="14"/>
        <v>0</v>
      </c>
      <c r="Z54" s="117">
        <f t="shared" si="14"/>
        <v>0</v>
      </c>
      <c r="AA54" s="117">
        <f t="shared" si="14"/>
        <v>0</v>
      </c>
      <c r="AB54" s="117">
        <f t="shared" si="14"/>
        <v>0</v>
      </c>
      <c r="AC54" s="117">
        <f t="shared" si="14"/>
        <v>0</v>
      </c>
      <c r="AD54" s="117">
        <f t="shared" si="14"/>
        <v>0</v>
      </c>
      <c r="AE54" s="117">
        <f t="shared" si="14"/>
        <v>0</v>
      </c>
      <c r="AF54" s="117">
        <f t="shared" si="14"/>
        <v>0</v>
      </c>
      <c r="AG54" s="117">
        <f t="shared" si="14"/>
        <v>0</v>
      </c>
      <c r="AH54" s="117">
        <f t="shared" si="14"/>
        <v>0</v>
      </c>
      <c r="AI54" s="117">
        <f t="shared" si="14"/>
        <v>0</v>
      </c>
      <c r="AJ54" s="117">
        <f t="shared" si="14"/>
        <v>0</v>
      </c>
      <c r="AK54" s="117">
        <f t="shared" si="14"/>
        <v>0</v>
      </c>
      <c r="AL54" s="117">
        <f t="shared" si="14"/>
        <v>0</v>
      </c>
      <c r="AM54" s="117">
        <f t="shared" si="14"/>
        <v>0</v>
      </c>
      <c r="AN54" s="117">
        <f t="shared" si="14"/>
        <v>0</v>
      </c>
      <c r="AO54" s="117">
        <f t="shared" si="14"/>
        <v>0</v>
      </c>
      <c r="AP54" s="117">
        <f t="shared" si="14"/>
        <v>0</v>
      </c>
      <c r="AQ54" s="117">
        <f t="shared" si="14"/>
        <v>0</v>
      </c>
      <c r="AR54" s="117">
        <f t="shared" si="14"/>
        <v>0</v>
      </c>
      <c r="AS54" s="117">
        <f t="shared" si="14"/>
        <v>0</v>
      </c>
      <c r="AT54" s="117">
        <f t="shared" si="14"/>
        <v>0</v>
      </c>
      <c r="AU54" s="117">
        <f t="shared" si="14"/>
        <v>0</v>
      </c>
      <c r="AV54" s="117">
        <f t="shared" si="14"/>
        <v>0</v>
      </c>
      <c r="AW54" s="117">
        <f t="shared" si="14"/>
        <v>0</v>
      </c>
      <c r="AX54" s="117">
        <f t="shared" si="14"/>
        <v>2000000</v>
      </c>
      <c r="AY54" s="117">
        <f t="shared" si="14"/>
        <v>0</v>
      </c>
      <c r="AZ54" s="117">
        <f t="shared" si="14"/>
        <v>0</v>
      </c>
      <c r="BA54" s="117">
        <f t="shared" si="14"/>
        <v>0</v>
      </c>
      <c r="BB54" s="117">
        <f t="shared" si="14"/>
        <v>0</v>
      </c>
      <c r="BC54" s="117">
        <f t="shared" si="14"/>
        <v>0</v>
      </c>
      <c r="BD54" s="117">
        <f t="shared" si="14"/>
        <v>0</v>
      </c>
      <c r="BE54" s="117">
        <f t="shared" si="14"/>
        <v>0</v>
      </c>
      <c r="BF54" s="117">
        <f t="shared" si="14"/>
        <v>0</v>
      </c>
      <c r="BG54" s="117">
        <f t="shared" si="14"/>
        <v>2000000</v>
      </c>
      <c r="BH54" s="117">
        <f t="shared" si="14"/>
        <v>0</v>
      </c>
      <c r="BI54" s="117">
        <f t="shared" si="14"/>
        <v>0</v>
      </c>
      <c r="BJ54" s="55"/>
      <c r="BK54" s="55"/>
      <c r="BL54" s="55"/>
      <c r="BM54" s="55"/>
      <c r="BN54" s="55"/>
      <c r="BO54" s="55"/>
      <c r="BP54" s="55"/>
    </row>
    <row r="55" spans="1:68" ht="66" customHeight="1" x14ac:dyDescent="0.2">
      <c r="A55" s="104"/>
      <c r="B55" s="118"/>
      <c r="C55" s="282"/>
      <c r="D55" s="283"/>
      <c r="E55" s="212"/>
      <c r="F55" s="305" t="s">
        <v>248</v>
      </c>
      <c r="G55" s="297" t="s">
        <v>249</v>
      </c>
      <c r="H55" s="308">
        <v>1709078</v>
      </c>
      <c r="I55" s="305" t="s">
        <v>250</v>
      </c>
      <c r="J55" s="297" t="s">
        <v>251</v>
      </c>
      <c r="K55" s="297">
        <v>170907800</v>
      </c>
      <c r="L55" s="298" t="s">
        <v>250</v>
      </c>
      <c r="M55" s="287" t="s">
        <v>109</v>
      </c>
      <c r="N55" s="148">
        <v>1</v>
      </c>
      <c r="O55" s="297">
        <v>1</v>
      </c>
      <c r="P55" s="297"/>
      <c r="Q55" s="149" t="s">
        <v>252</v>
      </c>
      <c r="R55" s="212" t="s">
        <v>253</v>
      </c>
      <c r="S55" s="309" t="s">
        <v>254</v>
      </c>
      <c r="T55" s="129"/>
      <c r="U55" s="129"/>
      <c r="V55" s="129"/>
      <c r="W55" s="129"/>
      <c r="X55" s="129"/>
      <c r="Y55" s="129"/>
      <c r="Z55" s="310"/>
      <c r="AA55" s="310"/>
      <c r="AB55" s="310"/>
      <c r="AC55" s="129"/>
      <c r="AD55" s="129"/>
      <c r="AE55" s="129"/>
      <c r="AF55" s="129"/>
      <c r="AG55" s="129"/>
      <c r="AH55" s="129"/>
      <c r="AI55" s="129"/>
      <c r="AJ55" s="129"/>
      <c r="AK55" s="129"/>
      <c r="AL55" s="129"/>
      <c r="AM55" s="129"/>
      <c r="AN55" s="129"/>
      <c r="AO55" s="129"/>
      <c r="AP55" s="129"/>
      <c r="AQ55" s="129"/>
      <c r="AR55" s="129"/>
      <c r="AS55" s="129"/>
      <c r="AT55" s="129"/>
      <c r="AU55" s="129"/>
      <c r="AV55" s="129"/>
      <c r="AW55" s="129"/>
      <c r="AX55" s="311">
        <f>1000000+1000000</f>
        <v>2000000</v>
      </c>
      <c r="AY55" s="311"/>
      <c r="AZ55" s="311"/>
      <c r="BA55" s="129"/>
      <c r="BB55" s="129"/>
      <c r="BC55" s="129"/>
      <c r="BD55" s="129"/>
      <c r="BE55" s="129"/>
      <c r="BF55" s="129"/>
      <c r="BG55" s="131">
        <f>+T55+W55+Z55+AC55+AF55+AI55+AL55+AO55+AR55+AU55+AX55+BA55+BD55</f>
        <v>2000000</v>
      </c>
      <c r="BH55" s="131">
        <f>+U55+X55+AA55+AD55+AG55+AJ55+AM55+AP55+AS55+AV55+AY55+BB55+BE55</f>
        <v>0</v>
      </c>
      <c r="BI55" s="131">
        <f>+V55+Y55+AB55+AE55+AH55+AK55+AN55+AQ55+AT55+AW55+AZ55+BC55+BF55</f>
        <v>0</v>
      </c>
      <c r="BJ55" s="55"/>
      <c r="BK55" s="55"/>
      <c r="BL55" s="55"/>
      <c r="BM55" s="55"/>
      <c r="BN55" s="55"/>
      <c r="BO55" s="55"/>
      <c r="BP55" s="55"/>
    </row>
    <row r="56" spans="1:68" ht="15.75" x14ac:dyDescent="0.2">
      <c r="A56" s="104"/>
      <c r="B56" s="134"/>
      <c r="C56" s="294">
        <v>27</v>
      </c>
      <c r="D56" s="139">
        <v>3502</v>
      </c>
      <c r="E56" s="175" t="s">
        <v>255</v>
      </c>
      <c r="F56" s="138"/>
      <c r="G56" s="139"/>
      <c r="H56" s="176"/>
      <c r="I56" s="177"/>
      <c r="J56" s="178"/>
      <c r="K56" s="178"/>
      <c r="L56" s="177"/>
      <c r="M56" s="179"/>
      <c r="N56" s="180"/>
      <c r="O56" s="139"/>
      <c r="P56" s="139"/>
      <c r="Q56" s="181"/>
      <c r="R56" s="181"/>
      <c r="S56" s="177"/>
      <c r="T56" s="117">
        <f t="shared" ref="T56:BI56" si="15">T57</f>
        <v>0</v>
      </c>
      <c r="U56" s="117">
        <f t="shared" si="15"/>
        <v>0</v>
      </c>
      <c r="V56" s="117">
        <f t="shared" si="15"/>
        <v>0</v>
      </c>
      <c r="W56" s="117">
        <f t="shared" si="15"/>
        <v>0</v>
      </c>
      <c r="X56" s="117">
        <f t="shared" si="15"/>
        <v>0</v>
      </c>
      <c r="Y56" s="117">
        <f t="shared" si="15"/>
        <v>0</v>
      </c>
      <c r="Z56" s="117">
        <f t="shared" si="15"/>
        <v>0</v>
      </c>
      <c r="AA56" s="117">
        <f t="shared" si="15"/>
        <v>0</v>
      </c>
      <c r="AB56" s="117">
        <f t="shared" si="15"/>
        <v>0</v>
      </c>
      <c r="AC56" s="117">
        <f t="shared" si="15"/>
        <v>0</v>
      </c>
      <c r="AD56" s="117">
        <f t="shared" si="15"/>
        <v>0</v>
      </c>
      <c r="AE56" s="117">
        <f t="shared" si="15"/>
        <v>0</v>
      </c>
      <c r="AF56" s="117">
        <f t="shared" si="15"/>
        <v>0</v>
      </c>
      <c r="AG56" s="117">
        <f t="shared" si="15"/>
        <v>0</v>
      </c>
      <c r="AH56" s="117">
        <f t="shared" si="15"/>
        <v>0</v>
      </c>
      <c r="AI56" s="117">
        <f t="shared" si="15"/>
        <v>0</v>
      </c>
      <c r="AJ56" s="117">
        <f t="shared" si="15"/>
        <v>0</v>
      </c>
      <c r="AK56" s="117">
        <f t="shared" si="15"/>
        <v>0</v>
      </c>
      <c r="AL56" s="117">
        <f t="shared" si="15"/>
        <v>0</v>
      </c>
      <c r="AM56" s="117">
        <f t="shared" si="15"/>
        <v>0</v>
      </c>
      <c r="AN56" s="117">
        <f t="shared" si="15"/>
        <v>0</v>
      </c>
      <c r="AO56" s="117">
        <f t="shared" si="15"/>
        <v>0</v>
      </c>
      <c r="AP56" s="117">
        <f t="shared" si="15"/>
        <v>0</v>
      </c>
      <c r="AQ56" s="117">
        <f t="shared" si="15"/>
        <v>0</v>
      </c>
      <c r="AR56" s="117">
        <f t="shared" si="15"/>
        <v>0</v>
      </c>
      <c r="AS56" s="117">
        <f t="shared" si="15"/>
        <v>0</v>
      </c>
      <c r="AT56" s="117">
        <f t="shared" si="15"/>
        <v>0</v>
      </c>
      <c r="AU56" s="117">
        <f t="shared" si="15"/>
        <v>0</v>
      </c>
      <c r="AV56" s="117">
        <f t="shared" si="15"/>
        <v>0</v>
      </c>
      <c r="AW56" s="117">
        <f t="shared" si="15"/>
        <v>0</v>
      </c>
      <c r="AX56" s="117">
        <f t="shared" si="15"/>
        <v>1000000</v>
      </c>
      <c r="AY56" s="117">
        <f t="shared" si="15"/>
        <v>0</v>
      </c>
      <c r="AZ56" s="117">
        <f t="shared" si="15"/>
        <v>0</v>
      </c>
      <c r="BA56" s="117">
        <f t="shared" si="15"/>
        <v>0</v>
      </c>
      <c r="BB56" s="117">
        <f t="shared" si="15"/>
        <v>0</v>
      </c>
      <c r="BC56" s="117">
        <f t="shared" si="15"/>
        <v>0</v>
      </c>
      <c r="BD56" s="117">
        <f t="shared" si="15"/>
        <v>0</v>
      </c>
      <c r="BE56" s="117">
        <f t="shared" si="15"/>
        <v>0</v>
      </c>
      <c r="BF56" s="117">
        <f t="shared" si="15"/>
        <v>0</v>
      </c>
      <c r="BG56" s="117">
        <f t="shared" si="15"/>
        <v>1000000</v>
      </c>
      <c r="BH56" s="117">
        <f t="shared" si="15"/>
        <v>0</v>
      </c>
      <c r="BI56" s="117">
        <f t="shared" si="15"/>
        <v>0</v>
      </c>
      <c r="BJ56" s="55"/>
      <c r="BK56" s="55"/>
      <c r="BL56" s="55"/>
      <c r="BM56" s="55"/>
      <c r="BN56" s="55"/>
      <c r="BO56" s="55"/>
      <c r="BP56" s="55"/>
    </row>
    <row r="57" spans="1:68" ht="60" x14ac:dyDescent="0.2">
      <c r="A57" s="104"/>
      <c r="B57" s="142"/>
      <c r="C57" s="282"/>
      <c r="D57" s="283"/>
      <c r="E57" s="212"/>
      <c r="F57" s="122" t="s">
        <v>256</v>
      </c>
      <c r="G57" s="297" t="s">
        <v>257</v>
      </c>
      <c r="H57" s="308">
        <v>3502084</v>
      </c>
      <c r="I57" s="305" t="s">
        <v>258</v>
      </c>
      <c r="J57" s="297" t="s">
        <v>259</v>
      </c>
      <c r="K57" s="297">
        <v>350208400</v>
      </c>
      <c r="L57" s="298" t="s">
        <v>258</v>
      </c>
      <c r="M57" s="287" t="s">
        <v>204</v>
      </c>
      <c r="N57" s="148">
        <v>1</v>
      </c>
      <c r="O57" s="297">
        <v>0.5</v>
      </c>
      <c r="P57" s="297"/>
      <c r="Q57" s="149" t="s">
        <v>252</v>
      </c>
      <c r="R57" s="127" t="s">
        <v>253</v>
      </c>
      <c r="S57" s="125" t="s">
        <v>260</v>
      </c>
      <c r="T57" s="129"/>
      <c r="U57" s="129"/>
      <c r="V57" s="129"/>
      <c r="W57" s="129"/>
      <c r="X57" s="129"/>
      <c r="Y57" s="129"/>
      <c r="Z57" s="310"/>
      <c r="AA57" s="310"/>
      <c r="AB57" s="310"/>
      <c r="AC57" s="129"/>
      <c r="AD57" s="129"/>
      <c r="AE57" s="129"/>
      <c r="AF57" s="129"/>
      <c r="AG57" s="129"/>
      <c r="AH57" s="129"/>
      <c r="AI57" s="129"/>
      <c r="AJ57" s="129"/>
      <c r="AK57" s="129"/>
      <c r="AL57" s="129"/>
      <c r="AM57" s="129"/>
      <c r="AN57" s="129"/>
      <c r="AO57" s="129"/>
      <c r="AP57" s="129"/>
      <c r="AQ57" s="129"/>
      <c r="AR57" s="129"/>
      <c r="AS57" s="129"/>
      <c r="AT57" s="129"/>
      <c r="AU57" s="129"/>
      <c r="AV57" s="129"/>
      <c r="AW57" s="129"/>
      <c r="AX57" s="311">
        <v>1000000</v>
      </c>
      <c r="AY57" s="311"/>
      <c r="AZ57" s="311"/>
      <c r="BA57" s="129"/>
      <c r="BB57" s="129"/>
      <c r="BC57" s="129"/>
      <c r="BD57" s="129"/>
      <c r="BE57" s="129"/>
      <c r="BF57" s="129"/>
      <c r="BG57" s="131">
        <f>+T57+W57+Z57+AC57+AF57+AI57+AL57+AO57+AR57+AU57+AX57+BA57+BD57</f>
        <v>1000000</v>
      </c>
      <c r="BH57" s="131">
        <f>+U57+X57+AA57+AD57+AG57+AJ57+AM57+AP57+AS57+AV57+AY57+BB57+BE57</f>
        <v>0</v>
      </c>
      <c r="BI57" s="131">
        <f>+V57+Y57+AB57+AE57+AH57+AK57+AN57+AQ57+AT57+AW57+AZ57+BC57+BF57</f>
        <v>0</v>
      </c>
      <c r="BJ57" s="55"/>
      <c r="BK57" s="55"/>
      <c r="BL57" s="55"/>
      <c r="BM57" s="55"/>
      <c r="BN57" s="55"/>
      <c r="BO57" s="55"/>
      <c r="BP57" s="55"/>
    </row>
    <row r="58" spans="1:68" ht="15.75" x14ac:dyDescent="0.2">
      <c r="A58" s="104"/>
      <c r="B58" s="307">
        <v>3</v>
      </c>
      <c r="C58" s="163" t="s">
        <v>3</v>
      </c>
      <c r="D58" s="164"/>
      <c r="E58" s="165"/>
      <c r="F58" s="166"/>
      <c r="G58" s="167"/>
      <c r="H58" s="168"/>
      <c r="I58" s="169"/>
      <c r="J58" s="170"/>
      <c r="K58" s="170"/>
      <c r="L58" s="169"/>
      <c r="M58" s="171"/>
      <c r="N58" s="172"/>
      <c r="O58" s="167"/>
      <c r="P58" s="167"/>
      <c r="Q58" s="165"/>
      <c r="R58" s="165"/>
      <c r="S58" s="169"/>
      <c r="T58" s="103">
        <f t="shared" ref="T58:BI58" si="16">T59+T61+T63+T65+T67</f>
        <v>1178596165</v>
      </c>
      <c r="U58" s="103">
        <f t="shared" si="16"/>
        <v>0</v>
      </c>
      <c r="V58" s="103">
        <f t="shared" si="16"/>
        <v>0</v>
      </c>
      <c r="W58" s="103">
        <f t="shared" si="16"/>
        <v>0</v>
      </c>
      <c r="X58" s="103">
        <f t="shared" si="16"/>
        <v>0</v>
      </c>
      <c r="Y58" s="103">
        <f t="shared" si="16"/>
        <v>0</v>
      </c>
      <c r="Z58" s="103">
        <f t="shared" si="16"/>
        <v>958872976.11000001</v>
      </c>
      <c r="AA58" s="103">
        <f t="shared" si="16"/>
        <v>172278666</v>
      </c>
      <c r="AB58" s="103">
        <f t="shared" si="16"/>
        <v>72443017</v>
      </c>
      <c r="AC58" s="103">
        <f t="shared" si="16"/>
        <v>0</v>
      </c>
      <c r="AD58" s="103">
        <f t="shared" si="16"/>
        <v>0</v>
      </c>
      <c r="AE58" s="103">
        <f t="shared" si="16"/>
        <v>0</v>
      </c>
      <c r="AF58" s="103">
        <f t="shared" si="16"/>
        <v>0</v>
      </c>
      <c r="AG58" s="103">
        <f t="shared" si="16"/>
        <v>0</v>
      </c>
      <c r="AH58" s="103">
        <f t="shared" si="16"/>
        <v>0</v>
      </c>
      <c r="AI58" s="103">
        <f t="shared" si="16"/>
        <v>0</v>
      </c>
      <c r="AJ58" s="103">
        <f t="shared" si="16"/>
        <v>0</v>
      </c>
      <c r="AK58" s="103">
        <f t="shared" si="16"/>
        <v>0</v>
      </c>
      <c r="AL58" s="103">
        <f t="shared" si="16"/>
        <v>0</v>
      </c>
      <c r="AM58" s="103">
        <f t="shared" si="16"/>
        <v>0</v>
      </c>
      <c r="AN58" s="103">
        <f t="shared" si="16"/>
        <v>0</v>
      </c>
      <c r="AO58" s="103">
        <f t="shared" si="16"/>
        <v>0</v>
      </c>
      <c r="AP58" s="103">
        <f t="shared" si="16"/>
        <v>0</v>
      </c>
      <c r="AQ58" s="103">
        <f t="shared" si="16"/>
        <v>0</v>
      </c>
      <c r="AR58" s="103">
        <f t="shared" si="16"/>
        <v>0</v>
      </c>
      <c r="AS58" s="103">
        <f t="shared" si="16"/>
        <v>0</v>
      </c>
      <c r="AT58" s="103">
        <f t="shared" si="16"/>
        <v>0</v>
      </c>
      <c r="AU58" s="103">
        <f t="shared" si="16"/>
        <v>2686652877.1199999</v>
      </c>
      <c r="AV58" s="103">
        <f t="shared" si="16"/>
        <v>0</v>
      </c>
      <c r="AW58" s="103">
        <f t="shared" si="16"/>
        <v>0</v>
      </c>
      <c r="AX58" s="103">
        <f t="shared" si="16"/>
        <v>486082004</v>
      </c>
      <c r="AY58" s="103">
        <f t="shared" si="16"/>
        <v>74190666</v>
      </c>
      <c r="AZ58" s="103">
        <f t="shared" si="16"/>
        <v>53457666</v>
      </c>
      <c r="BA58" s="103">
        <f t="shared" si="16"/>
        <v>0</v>
      </c>
      <c r="BB58" s="103">
        <f t="shared" si="16"/>
        <v>0</v>
      </c>
      <c r="BC58" s="103">
        <f t="shared" si="16"/>
        <v>0</v>
      </c>
      <c r="BD58" s="103">
        <f t="shared" si="16"/>
        <v>0</v>
      </c>
      <c r="BE58" s="103">
        <f t="shared" si="16"/>
        <v>0</v>
      </c>
      <c r="BF58" s="103">
        <f t="shared" si="16"/>
        <v>0</v>
      </c>
      <c r="BG58" s="103">
        <f t="shared" si="16"/>
        <v>5310204022.2299995</v>
      </c>
      <c r="BH58" s="103">
        <f t="shared" si="16"/>
        <v>246469332</v>
      </c>
      <c r="BI58" s="103">
        <f t="shared" si="16"/>
        <v>125900683</v>
      </c>
      <c r="BJ58" s="55"/>
      <c r="BK58" s="55"/>
      <c r="BL58" s="55"/>
      <c r="BM58" s="55"/>
      <c r="BN58" s="55"/>
      <c r="BO58" s="55"/>
      <c r="BP58" s="55"/>
    </row>
    <row r="59" spans="1:68" ht="15.75" x14ac:dyDescent="0.2">
      <c r="A59" s="104"/>
      <c r="B59" s="105"/>
      <c r="C59" s="279">
        <v>18</v>
      </c>
      <c r="D59" s="139">
        <v>2402</v>
      </c>
      <c r="E59" s="175" t="s">
        <v>261</v>
      </c>
      <c r="F59" s="138"/>
      <c r="G59" s="139"/>
      <c r="H59" s="176"/>
      <c r="I59" s="177"/>
      <c r="J59" s="178"/>
      <c r="K59" s="178"/>
      <c r="L59" s="177"/>
      <c r="M59" s="179"/>
      <c r="N59" s="180"/>
      <c r="O59" s="139"/>
      <c r="P59" s="139"/>
      <c r="Q59" s="181"/>
      <c r="R59" s="181"/>
      <c r="S59" s="177"/>
      <c r="T59" s="117">
        <f t="shared" ref="T59:BI59" si="17">SUM(T60:T60)</f>
        <v>0</v>
      </c>
      <c r="U59" s="117">
        <f t="shared" si="17"/>
        <v>0</v>
      </c>
      <c r="V59" s="117">
        <f t="shared" si="17"/>
        <v>0</v>
      </c>
      <c r="W59" s="117">
        <f t="shared" si="17"/>
        <v>0</v>
      </c>
      <c r="X59" s="117">
        <f t="shared" si="17"/>
        <v>0</v>
      </c>
      <c r="Y59" s="117">
        <f t="shared" si="17"/>
        <v>0</v>
      </c>
      <c r="Z59" s="117">
        <f t="shared" si="17"/>
        <v>479436488.05000001</v>
      </c>
      <c r="AA59" s="117">
        <f t="shared" si="17"/>
        <v>172278666</v>
      </c>
      <c r="AB59" s="117">
        <f t="shared" si="17"/>
        <v>72443017</v>
      </c>
      <c r="AC59" s="117">
        <f t="shared" si="17"/>
        <v>0</v>
      </c>
      <c r="AD59" s="117">
        <f t="shared" si="17"/>
        <v>0</v>
      </c>
      <c r="AE59" s="117">
        <f t="shared" si="17"/>
        <v>0</v>
      </c>
      <c r="AF59" s="117">
        <f t="shared" si="17"/>
        <v>0</v>
      </c>
      <c r="AG59" s="117">
        <f t="shared" si="17"/>
        <v>0</v>
      </c>
      <c r="AH59" s="117">
        <f t="shared" si="17"/>
        <v>0</v>
      </c>
      <c r="AI59" s="117">
        <f t="shared" si="17"/>
        <v>0</v>
      </c>
      <c r="AJ59" s="117">
        <f t="shared" si="17"/>
        <v>0</v>
      </c>
      <c r="AK59" s="117">
        <f t="shared" si="17"/>
        <v>0</v>
      </c>
      <c r="AL59" s="117">
        <f t="shared" si="17"/>
        <v>0</v>
      </c>
      <c r="AM59" s="117">
        <f t="shared" si="17"/>
        <v>0</v>
      </c>
      <c r="AN59" s="117">
        <f t="shared" si="17"/>
        <v>0</v>
      </c>
      <c r="AO59" s="117">
        <f t="shared" si="17"/>
        <v>0</v>
      </c>
      <c r="AP59" s="117">
        <f t="shared" si="17"/>
        <v>0</v>
      </c>
      <c r="AQ59" s="117">
        <f t="shared" si="17"/>
        <v>0</v>
      </c>
      <c r="AR59" s="117">
        <f t="shared" si="17"/>
        <v>0</v>
      </c>
      <c r="AS59" s="117">
        <f t="shared" si="17"/>
        <v>0</v>
      </c>
      <c r="AT59" s="117">
        <f t="shared" si="17"/>
        <v>0</v>
      </c>
      <c r="AU59" s="117">
        <f t="shared" si="17"/>
        <v>0</v>
      </c>
      <c r="AV59" s="117">
        <f t="shared" si="17"/>
        <v>0</v>
      </c>
      <c r="AW59" s="117">
        <f t="shared" si="17"/>
        <v>0</v>
      </c>
      <c r="AX59" s="117">
        <f t="shared" si="17"/>
        <v>284721336</v>
      </c>
      <c r="AY59" s="117">
        <f t="shared" si="17"/>
        <v>74190666</v>
      </c>
      <c r="AZ59" s="117">
        <f t="shared" si="17"/>
        <v>53457666</v>
      </c>
      <c r="BA59" s="117">
        <f t="shared" si="17"/>
        <v>0</v>
      </c>
      <c r="BB59" s="117">
        <f t="shared" si="17"/>
        <v>0</v>
      </c>
      <c r="BC59" s="117">
        <f t="shared" si="17"/>
        <v>0</v>
      </c>
      <c r="BD59" s="117">
        <f t="shared" si="17"/>
        <v>0</v>
      </c>
      <c r="BE59" s="117">
        <f t="shared" si="17"/>
        <v>0</v>
      </c>
      <c r="BF59" s="117">
        <f t="shared" si="17"/>
        <v>0</v>
      </c>
      <c r="BG59" s="117">
        <f t="shared" si="17"/>
        <v>764157824.04999995</v>
      </c>
      <c r="BH59" s="117">
        <f t="shared" si="17"/>
        <v>246469332</v>
      </c>
      <c r="BI59" s="117">
        <f t="shared" si="17"/>
        <v>125900683</v>
      </c>
      <c r="BJ59" s="55"/>
      <c r="BK59" s="55"/>
      <c r="BL59" s="55"/>
      <c r="BM59" s="55"/>
      <c r="BN59" s="55"/>
      <c r="BO59" s="55"/>
      <c r="BP59" s="55"/>
    </row>
    <row r="60" spans="1:68" ht="91.5" customHeight="1" x14ac:dyDescent="0.2">
      <c r="A60" s="104"/>
      <c r="B60" s="118"/>
      <c r="C60" s="282"/>
      <c r="D60" s="283"/>
      <c r="E60" s="212"/>
      <c r="F60" s="312" t="s">
        <v>262</v>
      </c>
      <c r="G60" s="297" t="s">
        <v>263</v>
      </c>
      <c r="H60" s="313" t="s">
        <v>102</v>
      </c>
      <c r="I60" s="305" t="s">
        <v>264</v>
      </c>
      <c r="J60" s="297" t="s">
        <v>265</v>
      </c>
      <c r="K60" s="297" t="s">
        <v>102</v>
      </c>
      <c r="L60" s="298" t="s">
        <v>266</v>
      </c>
      <c r="M60" s="287" t="s">
        <v>109</v>
      </c>
      <c r="N60" s="148">
        <v>130</v>
      </c>
      <c r="O60" s="297">
        <v>130</v>
      </c>
      <c r="P60" s="297">
        <v>14.6</v>
      </c>
      <c r="Q60" s="149" t="s">
        <v>267</v>
      </c>
      <c r="R60" s="212" t="s">
        <v>268</v>
      </c>
      <c r="S60" s="211" t="s">
        <v>269</v>
      </c>
      <c r="T60" s="129"/>
      <c r="U60" s="129"/>
      <c r="V60" s="129"/>
      <c r="W60" s="129"/>
      <c r="X60" s="129"/>
      <c r="Y60" s="129"/>
      <c r="Z60" s="288">
        <v>479436488.05000001</v>
      </c>
      <c r="AA60" s="288">
        <v>172278666</v>
      </c>
      <c r="AB60" s="288">
        <v>72443017</v>
      </c>
      <c r="AC60" s="129"/>
      <c r="AD60" s="129"/>
      <c r="AE60" s="129"/>
      <c r="AF60" s="129"/>
      <c r="AG60" s="129"/>
      <c r="AH60" s="129"/>
      <c r="AI60" s="129"/>
      <c r="AJ60" s="129"/>
      <c r="AK60" s="129"/>
      <c r="AL60" s="129"/>
      <c r="AM60" s="129"/>
      <c r="AN60" s="129"/>
      <c r="AO60" s="129"/>
      <c r="AP60" s="129"/>
      <c r="AQ60" s="129"/>
      <c r="AR60" s="129"/>
      <c r="AS60" s="129"/>
      <c r="AT60" s="129"/>
      <c r="AU60" s="129"/>
      <c r="AV60" s="129"/>
      <c r="AW60" s="129"/>
      <c r="AX60" s="311">
        <f>197360668-27000000-27000000+197360668-56000000</f>
        <v>284721336</v>
      </c>
      <c r="AY60" s="311">
        <v>74190666</v>
      </c>
      <c r="AZ60" s="311">
        <v>53457666</v>
      </c>
      <c r="BA60" s="129"/>
      <c r="BB60" s="129"/>
      <c r="BC60" s="129"/>
      <c r="BD60" s="129"/>
      <c r="BE60" s="129"/>
      <c r="BF60" s="129"/>
      <c r="BG60" s="131">
        <f>+T60+W60+Z60+AC60+AF60+AI60+AL60+AO60+AR60+AU60+AX60+BA60+BD60</f>
        <v>764157824.04999995</v>
      </c>
      <c r="BH60" s="131">
        <f>+U60+X60+AA60+AD60+AG60+AJ60+AM60+AP60+AS60+AV60+AY60+BB60+BE60</f>
        <v>246469332</v>
      </c>
      <c r="BI60" s="131">
        <f>+V60+Y60+AB60+AE60+AH60+AK60+AN60+AQ60+AT60+AW60+AZ60+BC60+BF60</f>
        <v>125900683</v>
      </c>
      <c r="BJ60" s="314"/>
      <c r="BK60" s="315"/>
      <c r="BL60" s="55"/>
      <c r="BM60" s="55"/>
      <c r="BN60" s="55"/>
      <c r="BO60" s="55"/>
      <c r="BP60" s="55"/>
    </row>
    <row r="61" spans="1:68" ht="15.75" x14ac:dyDescent="0.2">
      <c r="A61" s="104"/>
      <c r="B61" s="134"/>
      <c r="C61" s="279">
        <v>21</v>
      </c>
      <c r="D61" s="139" t="s">
        <v>270</v>
      </c>
      <c r="E61" s="175" t="s">
        <v>271</v>
      </c>
      <c r="F61" s="138"/>
      <c r="G61" s="139"/>
      <c r="H61" s="176"/>
      <c r="I61" s="177"/>
      <c r="J61" s="178"/>
      <c r="K61" s="178"/>
      <c r="L61" s="177"/>
      <c r="M61" s="179"/>
      <c r="N61" s="180"/>
      <c r="O61" s="139"/>
      <c r="P61" s="139"/>
      <c r="Q61" s="181"/>
      <c r="R61" s="181"/>
      <c r="S61" s="177"/>
      <c r="T61" s="117">
        <f t="shared" ref="T61:BI61" si="18">T62</f>
        <v>0</v>
      </c>
      <c r="U61" s="117">
        <f t="shared" si="18"/>
        <v>0</v>
      </c>
      <c r="V61" s="117">
        <f t="shared" si="18"/>
        <v>0</v>
      </c>
      <c r="W61" s="117">
        <f t="shared" si="18"/>
        <v>0</v>
      </c>
      <c r="X61" s="117">
        <f t="shared" si="18"/>
        <v>0</v>
      </c>
      <c r="Y61" s="117">
        <f t="shared" si="18"/>
        <v>0</v>
      </c>
      <c r="Z61" s="117">
        <f t="shared" si="18"/>
        <v>0</v>
      </c>
      <c r="AA61" s="117">
        <f t="shared" si="18"/>
        <v>0</v>
      </c>
      <c r="AB61" s="117">
        <f t="shared" si="18"/>
        <v>0</v>
      </c>
      <c r="AC61" s="117">
        <f t="shared" si="18"/>
        <v>0</v>
      </c>
      <c r="AD61" s="117">
        <f t="shared" si="18"/>
        <v>0</v>
      </c>
      <c r="AE61" s="117">
        <f t="shared" si="18"/>
        <v>0</v>
      </c>
      <c r="AF61" s="117">
        <f t="shared" si="18"/>
        <v>0</v>
      </c>
      <c r="AG61" s="117">
        <f t="shared" si="18"/>
        <v>0</v>
      </c>
      <c r="AH61" s="117">
        <f t="shared" si="18"/>
        <v>0</v>
      </c>
      <c r="AI61" s="117">
        <f t="shared" si="18"/>
        <v>0</v>
      </c>
      <c r="AJ61" s="117">
        <f t="shared" si="18"/>
        <v>0</v>
      </c>
      <c r="AK61" s="117">
        <f t="shared" si="18"/>
        <v>0</v>
      </c>
      <c r="AL61" s="117">
        <f t="shared" si="18"/>
        <v>0</v>
      </c>
      <c r="AM61" s="117">
        <f t="shared" si="18"/>
        <v>0</v>
      </c>
      <c r="AN61" s="117">
        <f t="shared" si="18"/>
        <v>0</v>
      </c>
      <c r="AO61" s="117">
        <f t="shared" si="18"/>
        <v>0</v>
      </c>
      <c r="AP61" s="117">
        <f t="shared" si="18"/>
        <v>0</v>
      </c>
      <c r="AQ61" s="117">
        <f t="shared" si="18"/>
        <v>0</v>
      </c>
      <c r="AR61" s="117">
        <f t="shared" si="18"/>
        <v>0</v>
      </c>
      <c r="AS61" s="117">
        <f t="shared" si="18"/>
        <v>0</v>
      </c>
      <c r="AT61" s="117">
        <f t="shared" si="18"/>
        <v>0</v>
      </c>
      <c r="AU61" s="117">
        <f t="shared" si="18"/>
        <v>0</v>
      </c>
      <c r="AV61" s="117">
        <f t="shared" si="18"/>
        <v>0</v>
      </c>
      <c r="AW61" s="117">
        <f t="shared" si="18"/>
        <v>0</v>
      </c>
      <c r="AX61" s="117">
        <f t="shared" si="18"/>
        <v>1000000</v>
      </c>
      <c r="AY61" s="117">
        <f t="shared" si="18"/>
        <v>0</v>
      </c>
      <c r="AZ61" s="117">
        <f t="shared" si="18"/>
        <v>0</v>
      </c>
      <c r="BA61" s="117">
        <f t="shared" si="18"/>
        <v>0</v>
      </c>
      <c r="BB61" s="117">
        <f t="shared" si="18"/>
        <v>0</v>
      </c>
      <c r="BC61" s="117">
        <f t="shared" si="18"/>
        <v>0</v>
      </c>
      <c r="BD61" s="117">
        <f t="shared" si="18"/>
        <v>0</v>
      </c>
      <c r="BE61" s="117">
        <f t="shared" si="18"/>
        <v>0</v>
      </c>
      <c r="BF61" s="117">
        <f t="shared" si="18"/>
        <v>0</v>
      </c>
      <c r="BG61" s="117">
        <f t="shared" si="18"/>
        <v>1000000</v>
      </c>
      <c r="BH61" s="117">
        <f t="shared" si="18"/>
        <v>0</v>
      </c>
      <c r="BI61" s="117">
        <f t="shared" si="18"/>
        <v>0</v>
      </c>
      <c r="BJ61" s="55"/>
      <c r="BK61" s="55"/>
      <c r="BL61" s="55"/>
      <c r="BM61" s="55"/>
      <c r="BN61" s="55"/>
      <c r="BO61" s="55"/>
      <c r="BP61" s="55"/>
    </row>
    <row r="62" spans="1:68" ht="63.75" customHeight="1" x14ac:dyDescent="0.2">
      <c r="A62" s="104"/>
      <c r="B62" s="118"/>
      <c r="C62" s="282"/>
      <c r="D62" s="283"/>
      <c r="E62" s="212"/>
      <c r="F62" s="145" t="s">
        <v>272</v>
      </c>
      <c r="G62" s="124" t="s">
        <v>273</v>
      </c>
      <c r="H62" s="308">
        <v>3202033</v>
      </c>
      <c r="I62" s="186" t="s">
        <v>274</v>
      </c>
      <c r="J62" s="287" t="s">
        <v>275</v>
      </c>
      <c r="K62" s="297">
        <v>320203300</v>
      </c>
      <c r="L62" s="316" t="s">
        <v>274</v>
      </c>
      <c r="M62" s="317" t="s">
        <v>204</v>
      </c>
      <c r="N62" s="293">
        <v>1</v>
      </c>
      <c r="O62" s="318">
        <v>0.1</v>
      </c>
      <c r="P62" s="318"/>
      <c r="Q62" s="149" t="s">
        <v>252</v>
      </c>
      <c r="R62" s="127" t="s">
        <v>253</v>
      </c>
      <c r="S62" s="125" t="s">
        <v>254</v>
      </c>
      <c r="T62" s="129"/>
      <c r="U62" s="129"/>
      <c r="V62" s="129"/>
      <c r="W62" s="129"/>
      <c r="X62" s="129"/>
      <c r="Y62" s="129"/>
      <c r="Z62" s="310"/>
      <c r="AA62" s="310"/>
      <c r="AB62" s="310"/>
      <c r="AC62" s="129"/>
      <c r="AD62" s="129"/>
      <c r="AE62" s="129"/>
      <c r="AF62" s="129"/>
      <c r="AG62" s="129"/>
      <c r="AH62" s="129"/>
      <c r="AI62" s="129"/>
      <c r="AJ62" s="129"/>
      <c r="AK62" s="129"/>
      <c r="AL62" s="129"/>
      <c r="AM62" s="129"/>
      <c r="AN62" s="129"/>
      <c r="AO62" s="129"/>
      <c r="AP62" s="129"/>
      <c r="AQ62" s="129"/>
      <c r="AR62" s="129"/>
      <c r="AS62" s="129"/>
      <c r="AT62" s="129"/>
      <c r="AU62" s="129"/>
      <c r="AV62" s="129"/>
      <c r="AW62" s="129"/>
      <c r="AX62" s="311">
        <v>1000000</v>
      </c>
      <c r="AY62" s="311"/>
      <c r="AZ62" s="311"/>
      <c r="BA62" s="129"/>
      <c r="BB62" s="129"/>
      <c r="BC62" s="129"/>
      <c r="BD62" s="129"/>
      <c r="BE62" s="129"/>
      <c r="BF62" s="129"/>
      <c r="BG62" s="131">
        <f>+T62+W62+Z62+AC62+AF62+AI62+AL62+AO62+AR62+AU62+AX62+BA62+BD62</f>
        <v>1000000</v>
      </c>
      <c r="BH62" s="131">
        <f>+U62+X62+AA62+AD62+AG62+AJ62+AM62+AP62+AS62+AV62+AY62+BB62+BE62</f>
        <v>0</v>
      </c>
      <c r="BI62" s="131">
        <f>+V62+Y62+AB62+AE62+AH62+AK62+AN62+AQ62+AT62+AW62+AZ62+BC62+BF62</f>
        <v>0</v>
      </c>
      <c r="BJ62" s="55"/>
      <c r="BK62" s="55"/>
      <c r="BL62" s="55"/>
      <c r="BM62" s="55"/>
      <c r="BN62" s="55"/>
      <c r="BO62" s="55"/>
      <c r="BP62" s="55"/>
    </row>
    <row r="63" spans="1:68" ht="15.75" x14ac:dyDescent="0.2">
      <c r="A63" s="104"/>
      <c r="B63" s="134"/>
      <c r="C63" s="279">
        <v>23</v>
      </c>
      <c r="D63" s="139">
        <v>3205</v>
      </c>
      <c r="E63" s="175" t="s">
        <v>276</v>
      </c>
      <c r="F63" s="138"/>
      <c r="G63" s="139"/>
      <c r="H63" s="176"/>
      <c r="I63" s="177"/>
      <c r="J63" s="178"/>
      <c r="K63" s="178"/>
      <c r="L63" s="177"/>
      <c r="M63" s="179"/>
      <c r="N63" s="180"/>
      <c r="O63" s="139"/>
      <c r="P63" s="139"/>
      <c r="Q63" s="181"/>
      <c r="R63" s="181"/>
      <c r="S63" s="177"/>
      <c r="T63" s="117">
        <f t="shared" ref="T63:BI63" si="19">SUM(T64:T64)</f>
        <v>0</v>
      </c>
      <c r="U63" s="117">
        <f t="shared" si="19"/>
        <v>0</v>
      </c>
      <c r="V63" s="117">
        <f t="shared" si="19"/>
        <v>0</v>
      </c>
      <c r="W63" s="117">
        <f t="shared" si="19"/>
        <v>0</v>
      </c>
      <c r="X63" s="117">
        <f t="shared" si="19"/>
        <v>0</v>
      </c>
      <c r="Y63" s="117">
        <f t="shared" si="19"/>
        <v>0</v>
      </c>
      <c r="Z63" s="117">
        <f t="shared" si="19"/>
        <v>479436488.06</v>
      </c>
      <c r="AA63" s="117">
        <f t="shared" si="19"/>
        <v>0</v>
      </c>
      <c r="AB63" s="117">
        <f t="shared" si="19"/>
        <v>0</v>
      </c>
      <c r="AC63" s="117">
        <f t="shared" si="19"/>
        <v>0</v>
      </c>
      <c r="AD63" s="117">
        <f t="shared" si="19"/>
        <v>0</v>
      </c>
      <c r="AE63" s="117">
        <f t="shared" si="19"/>
        <v>0</v>
      </c>
      <c r="AF63" s="117">
        <f t="shared" si="19"/>
        <v>0</v>
      </c>
      <c r="AG63" s="117">
        <f t="shared" si="19"/>
        <v>0</v>
      </c>
      <c r="AH63" s="117">
        <f t="shared" si="19"/>
        <v>0</v>
      </c>
      <c r="AI63" s="117">
        <f t="shared" si="19"/>
        <v>0</v>
      </c>
      <c r="AJ63" s="117">
        <f t="shared" si="19"/>
        <v>0</v>
      </c>
      <c r="AK63" s="117">
        <f t="shared" si="19"/>
        <v>0</v>
      </c>
      <c r="AL63" s="117">
        <f t="shared" si="19"/>
        <v>0</v>
      </c>
      <c r="AM63" s="117">
        <f t="shared" si="19"/>
        <v>0</v>
      </c>
      <c r="AN63" s="117">
        <f t="shared" si="19"/>
        <v>0</v>
      </c>
      <c r="AO63" s="117">
        <f t="shared" si="19"/>
        <v>0</v>
      </c>
      <c r="AP63" s="117">
        <f t="shared" si="19"/>
        <v>0</v>
      </c>
      <c r="AQ63" s="117">
        <f t="shared" si="19"/>
        <v>0</v>
      </c>
      <c r="AR63" s="117">
        <f t="shared" si="19"/>
        <v>0</v>
      </c>
      <c r="AS63" s="117">
        <f t="shared" si="19"/>
        <v>0</v>
      </c>
      <c r="AT63" s="117">
        <f t="shared" si="19"/>
        <v>0</v>
      </c>
      <c r="AU63" s="117">
        <f t="shared" si="19"/>
        <v>0</v>
      </c>
      <c r="AV63" s="117">
        <f t="shared" si="19"/>
        <v>0</v>
      </c>
      <c r="AW63" s="117">
        <f t="shared" si="19"/>
        <v>0</v>
      </c>
      <c r="AX63" s="117">
        <f t="shared" si="19"/>
        <v>170360668</v>
      </c>
      <c r="AY63" s="117">
        <f t="shared" si="19"/>
        <v>0</v>
      </c>
      <c r="AZ63" s="117">
        <f t="shared" si="19"/>
        <v>0</v>
      </c>
      <c r="BA63" s="117">
        <f t="shared" si="19"/>
        <v>0</v>
      </c>
      <c r="BB63" s="117">
        <f t="shared" si="19"/>
        <v>0</v>
      </c>
      <c r="BC63" s="117">
        <f t="shared" si="19"/>
        <v>0</v>
      </c>
      <c r="BD63" s="117">
        <f t="shared" si="19"/>
        <v>0</v>
      </c>
      <c r="BE63" s="117">
        <f t="shared" si="19"/>
        <v>0</v>
      </c>
      <c r="BF63" s="117">
        <f t="shared" si="19"/>
        <v>0</v>
      </c>
      <c r="BG63" s="117">
        <f t="shared" si="19"/>
        <v>649797156.05999994</v>
      </c>
      <c r="BH63" s="117">
        <f t="shared" si="19"/>
        <v>0</v>
      </c>
      <c r="BI63" s="117">
        <f t="shared" si="19"/>
        <v>0</v>
      </c>
      <c r="BJ63" s="55"/>
      <c r="BK63" s="55"/>
      <c r="BL63" s="55"/>
      <c r="BM63" s="55"/>
      <c r="BN63" s="55"/>
      <c r="BO63" s="55"/>
      <c r="BP63" s="55"/>
    </row>
    <row r="64" spans="1:68" ht="74.25" customHeight="1" x14ac:dyDescent="0.2">
      <c r="A64" s="104"/>
      <c r="B64" s="118"/>
      <c r="C64" s="282"/>
      <c r="D64" s="283"/>
      <c r="E64" s="212"/>
      <c r="F64" s="145" t="s">
        <v>272</v>
      </c>
      <c r="G64" s="156" t="s">
        <v>277</v>
      </c>
      <c r="H64" s="308">
        <v>3205021</v>
      </c>
      <c r="I64" s="186" t="s">
        <v>278</v>
      </c>
      <c r="J64" s="156" t="s">
        <v>277</v>
      </c>
      <c r="K64" s="308">
        <v>320502100</v>
      </c>
      <c r="L64" s="151" t="s">
        <v>279</v>
      </c>
      <c r="M64" s="146" t="s">
        <v>204</v>
      </c>
      <c r="N64" s="146">
        <v>8</v>
      </c>
      <c r="O64" s="146">
        <v>1</v>
      </c>
      <c r="P64" s="319"/>
      <c r="Q64" s="149" t="s">
        <v>267</v>
      </c>
      <c r="R64" s="212" t="s">
        <v>268</v>
      </c>
      <c r="S64" s="211" t="s">
        <v>269</v>
      </c>
      <c r="T64" s="129"/>
      <c r="U64" s="129"/>
      <c r="V64" s="129"/>
      <c r="W64" s="129"/>
      <c r="X64" s="129"/>
      <c r="Y64" s="129"/>
      <c r="Z64" s="310">
        <v>479436488.06</v>
      </c>
      <c r="AA64" s="310"/>
      <c r="AB64" s="310"/>
      <c r="AC64" s="129"/>
      <c r="AD64" s="129"/>
      <c r="AE64" s="129"/>
      <c r="AF64" s="129"/>
      <c r="AG64" s="129"/>
      <c r="AH64" s="129"/>
      <c r="AI64" s="129"/>
      <c r="AJ64" s="129"/>
      <c r="AK64" s="129"/>
      <c r="AL64" s="129"/>
      <c r="AM64" s="129"/>
      <c r="AN64" s="129"/>
      <c r="AO64" s="129"/>
      <c r="AP64" s="129"/>
      <c r="AQ64" s="129"/>
      <c r="AR64" s="129"/>
      <c r="AS64" s="129"/>
      <c r="AT64" s="129"/>
      <c r="AU64" s="129"/>
      <c r="AV64" s="129"/>
      <c r="AW64" s="129"/>
      <c r="AX64" s="311">
        <f>197360668-27000000</f>
        <v>170360668</v>
      </c>
      <c r="AY64" s="311"/>
      <c r="AZ64" s="311"/>
      <c r="BA64" s="129"/>
      <c r="BB64" s="129"/>
      <c r="BC64" s="129"/>
      <c r="BD64" s="129"/>
      <c r="BE64" s="129"/>
      <c r="BF64" s="129"/>
      <c r="BG64" s="131">
        <f>+T64+W64+Z64+AC64+AF64+AI64+AL64+AO64+AR64+AU64+AX64+BA64+BD64</f>
        <v>649797156.05999994</v>
      </c>
      <c r="BH64" s="131">
        <f>+U64+X64+AA64+AD64+AG64+AJ64+AM64+AP64+AS64+AV64+AY64+BB64+BE64</f>
        <v>0</v>
      </c>
      <c r="BI64" s="131">
        <f>+V64+Y64+AB64+AE64+AH64+AK64+AN64+AQ64+AT64+AW64+AZ64+BC64+BF64</f>
        <v>0</v>
      </c>
      <c r="BJ64" s="55"/>
      <c r="BK64" s="55"/>
      <c r="BL64" s="55"/>
      <c r="BM64" s="55"/>
      <c r="BN64" s="55"/>
      <c r="BO64" s="55"/>
      <c r="BP64" s="55"/>
    </row>
    <row r="65" spans="1:68" ht="15.75" x14ac:dyDescent="0.2">
      <c r="A65" s="104"/>
      <c r="B65" s="134"/>
      <c r="C65" s="279">
        <v>33</v>
      </c>
      <c r="D65" s="139">
        <v>4001</v>
      </c>
      <c r="E65" s="175" t="s">
        <v>280</v>
      </c>
      <c r="F65" s="138"/>
      <c r="G65" s="139"/>
      <c r="H65" s="176"/>
      <c r="I65" s="177"/>
      <c r="J65" s="178"/>
      <c r="K65" s="178"/>
      <c r="L65" s="177"/>
      <c r="M65" s="280"/>
      <c r="N65" s="281"/>
      <c r="O65" s="139"/>
      <c r="P65" s="139"/>
      <c r="Q65" s="181"/>
      <c r="R65" s="181"/>
      <c r="S65" s="177"/>
      <c r="T65" s="117">
        <f t="shared" ref="T65:BI65" si="20">T66</f>
        <v>702546165</v>
      </c>
      <c r="U65" s="117">
        <f t="shared" si="20"/>
        <v>0</v>
      </c>
      <c r="V65" s="117">
        <f t="shared" si="20"/>
        <v>0</v>
      </c>
      <c r="W65" s="117">
        <f t="shared" si="20"/>
        <v>0</v>
      </c>
      <c r="X65" s="117">
        <f t="shared" si="20"/>
        <v>0</v>
      </c>
      <c r="Y65" s="117">
        <f t="shared" si="20"/>
        <v>0</v>
      </c>
      <c r="Z65" s="117">
        <f t="shared" si="20"/>
        <v>0</v>
      </c>
      <c r="AA65" s="117">
        <f t="shared" si="20"/>
        <v>0</v>
      </c>
      <c r="AB65" s="117">
        <f t="shared" si="20"/>
        <v>0</v>
      </c>
      <c r="AC65" s="117">
        <f t="shared" si="20"/>
        <v>0</v>
      </c>
      <c r="AD65" s="117">
        <f t="shared" si="20"/>
        <v>0</v>
      </c>
      <c r="AE65" s="117">
        <f t="shared" si="20"/>
        <v>0</v>
      </c>
      <c r="AF65" s="117">
        <f t="shared" si="20"/>
        <v>0</v>
      </c>
      <c r="AG65" s="117">
        <f t="shared" si="20"/>
        <v>0</v>
      </c>
      <c r="AH65" s="117">
        <f t="shared" si="20"/>
        <v>0</v>
      </c>
      <c r="AI65" s="117">
        <f t="shared" si="20"/>
        <v>0</v>
      </c>
      <c r="AJ65" s="117">
        <f t="shared" si="20"/>
        <v>0</v>
      </c>
      <c r="AK65" s="117">
        <f t="shared" si="20"/>
        <v>0</v>
      </c>
      <c r="AL65" s="117">
        <f t="shared" si="20"/>
        <v>0</v>
      </c>
      <c r="AM65" s="117">
        <f t="shared" si="20"/>
        <v>0</v>
      </c>
      <c r="AN65" s="117">
        <f t="shared" si="20"/>
        <v>0</v>
      </c>
      <c r="AO65" s="117">
        <f t="shared" si="20"/>
        <v>0</v>
      </c>
      <c r="AP65" s="117">
        <f t="shared" si="20"/>
        <v>0</v>
      </c>
      <c r="AQ65" s="117">
        <f t="shared" si="20"/>
        <v>0</v>
      </c>
      <c r="AR65" s="117">
        <f t="shared" si="20"/>
        <v>0</v>
      </c>
      <c r="AS65" s="117">
        <f t="shared" si="20"/>
        <v>0</v>
      </c>
      <c r="AT65" s="117">
        <f t="shared" si="20"/>
        <v>0</v>
      </c>
      <c r="AU65" s="117">
        <f t="shared" si="20"/>
        <v>0</v>
      </c>
      <c r="AV65" s="117">
        <f t="shared" si="20"/>
        <v>0</v>
      </c>
      <c r="AW65" s="117">
        <f t="shared" si="20"/>
        <v>0</v>
      </c>
      <c r="AX65" s="117">
        <f t="shared" si="20"/>
        <v>0</v>
      </c>
      <c r="AY65" s="117">
        <f t="shared" si="20"/>
        <v>0</v>
      </c>
      <c r="AZ65" s="117">
        <f t="shared" si="20"/>
        <v>0</v>
      </c>
      <c r="BA65" s="117">
        <f t="shared" si="20"/>
        <v>0</v>
      </c>
      <c r="BB65" s="117">
        <f t="shared" si="20"/>
        <v>0</v>
      </c>
      <c r="BC65" s="117">
        <f t="shared" si="20"/>
        <v>0</v>
      </c>
      <c r="BD65" s="117">
        <f t="shared" si="20"/>
        <v>0</v>
      </c>
      <c r="BE65" s="117">
        <f t="shared" si="20"/>
        <v>0</v>
      </c>
      <c r="BF65" s="117">
        <f t="shared" si="20"/>
        <v>0</v>
      </c>
      <c r="BG65" s="117">
        <f t="shared" si="20"/>
        <v>702546165</v>
      </c>
      <c r="BH65" s="117">
        <f t="shared" si="20"/>
        <v>0</v>
      </c>
      <c r="BI65" s="117">
        <f t="shared" si="20"/>
        <v>0</v>
      </c>
      <c r="BJ65" s="55"/>
      <c r="BK65" s="55"/>
      <c r="BL65" s="55"/>
      <c r="BM65" s="55"/>
      <c r="BN65" s="55"/>
      <c r="BO65" s="55"/>
      <c r="BP65" s="55"/>
    </row>
    <row r="66" spans="1:68" ht="62.25" customHeight="1" x14ac:dyDescent="0.2">
      <c r="A66" s="104"/>
      <c r="B66" s="118"/>
      <c r="C66" s="64"/>
      <c r="D66" s="65"/>
      <c r="E66" s="127"/>
      <c r="F66" s="145" t="s">
        <v>281</v>
      </c>
      <c r="G66" s="146" t="s">
        <v>282</v>
      </c>
      <c r="H66" s="313">
        <v>4001015</v>
      </c>
      <c r="I66" s="186" t="s">
        <v>283</v>
      </c>
      <c r="J66" s="146" t="s">
        <v>284</v>
      </c>
      <c r="K66" s="146">
        <v>400101500</v>
      </c>
      <c r="L66" s="320" t="s">
        <v>285</v>
      </c>
      <c r="M66" s="287" t="s">
        <v>204</v>
      </c>
      <c r="N66" s="148">
        <v>300</v>
      </c>
      <c r="O66" s="148">
        <v>10</v>
      </c>
      <c r="P66" s="148"/>
      <c r="Q66" s="149" t="s">
        <v>286</v>
      </c>
      <c r="R66" s="127" t="s">
        <v>225</v>
      </c>
      <c r="S66" s="186" t="s">
        <v>226</v>
      </c>
      <c r="T66" s="129">
        <v>702546165</v>
      </c>
      <c r="U66" s="129"/>
      <c r="V66" s="129"/>
      <c r="W66" s="129"/>
      <c r="X66" s="129"/>
      <c r="Y66" s="129"/>
      <c r="Z66" s="310"/>
      <c r="AA66" s="310"/>
      <c r="AB66" s="310"/>
      <c r="AC66" s="129"/>
      <c r="AD66" s="129"/>
      <c r="AE66" s="129"/>
      <c r="AF66" s="129"/>
      <c r="AG66" s="129"/>
      <c r="AH66" s="129"/>
      <c r="AI66" s="129"/>
      <c r="AJ66" s="129"/>
      <c r="AK66" s="129"/>
      <c r="AL66" s="129"/>
      <c r="AM66" s="129"/>
      <c r="AN66" s="129"/>
      <c r="AO66" s="129"/>
      <c r="AP66" s="129"/>
      <c r="AQ66" s="129"/>
      <c r="AR66" s="129"/>
      <c r="AS66" s="129"/>
      <c r="AT66" s="129"/>
      <c r="AU66" s="129"/>
      <c r="AV66" s="129"/>
      <c r="AW66" s="129"/>
      <c r="AX66" s="321"/>
      <c r="AY66" s="321"/>
      <c r="AZ66" s="321"/>
      <c r="BA66" s="129"/>
      <c r="BB66" s="129"/>
      <c r="BC66" s="129"/>
      <c r="BD66" s="129"/>
      <c r="BE66" s="129"/>
      <c r="BF66" s="129"/>
      <c r="BG66" s="131">
        <f>+T66+W66+Z66+AC66+AF66+AI66+AL66+AO66+AR66+AU66+AX66+BA66+BD66</f>
        <v>702546165</v>
      </c>
      <c r="BH66" s="131">
        <f>+U66+X66+AA66+AD66+AG66+AJ66+AM66+AP66+AS66+AV66+AY66+BB66+BE66</f>
        <v>0</v>
      </c>
      <c r="BI66" s="131">
        <f>+V66+Y66+AB66+AE66+AH66+AK66+AN66+AQ66+AT66+AW66+AZ66+BC66+BF66</f>
        <v>0</v>
      </c>
      <c r="BJ66" s="55"/>
      <c r="BK66" s="55"/>
      <c r="BL66" s="55"/>
      <c r="BM66" s="55"/>
      <c r="BN66" s="55"/>
      <c r="BO66" s="55"/>
      <c r="BP66" s="55"/>
    </row>
    <row r="67" spans="1:68" ht="15.75" x14ac:dyDescent="0.2">
      <c r="A67" s="104"/>
      <c r="B67" s="134"/>
      <c r="C67" s="252">
        <v>34</v>
      </c>
      <c r="D67" s="253">
        <v>4003</v>
      </c>
      <c r="E67" s="175" t="s">
        <v>287</v>
      </c>
      <c r="F67" s="138"/>
      <c r="G67" s="139"/>
      <c r="H67" s="176"/>
      <c r="I67" s="177"/>
      <c r="J67" s="178"/>
      <c r="K67" s="178"/>
      <c r="L67" s="177"/>
      <c r="M67" s="280"/>
      <c r="N67" s="281"/>
      <c r="O67" s="139"/>
      <c r="P67" s="139"/>
      <c r="Q67" s="181"/>
      <c r="R67" s="181"/>
      <c r="S67" s="177"/>
      <c r="T67" s="117">
        <f t="shared" ref="T67:BI67" si="21">SUM(T68:T72)</f>
        <v>476050000</v>
      </c>
      <c r="U67" s="117">
        <f t="shared" si="21"/>
        <v>0</v>
      </c>
      <c r="V67" s="117">
        <f t="shared" si="21"/>
        <v>0</v>
      </c>
      <c r="W67" s="117">
        <f t="shared" si="21"/>
        <v>0</v>
      </c>
      <c r="X67" s="117">
        <f t="shared" si="21"/>
        <v>0</v>
      </c>
      <c r="Y67" s="117">
        <f t="shared" si="21"/>
        <v>0</v>
      </c>
      <c r="Z67" s="117">
        <f t="shared" si="21"/>
        <v>0</v>
      </c>
      <c r="AA67" s="117">
        <f t="shared" si="21"/>
        <v>0</v>
      </c>
      <c r="AB67" s="117">
        <f t="shared" si="21"/>
        <v>0</v>
      </c>
      <c r="AC67" s="117">
        <f t="shared" si="21"/>
        <v>0</v>
      </c>
      <c r="AD67" s="117">
        <f t="shared" si="21"/>
        <v>0</v>
      </c>
      <c r="AE67" s="117">
        <f t="shared" si="21"/>
        <v>0</v>
      </c>
      <c r="AF67" s="117">
        <f t="shared" si="21"/>
        <v>0</v>
      </c>
      <c r="AG67" s="117">
        <f t="shared" si="21"/>
        <v>0</v>
      </c>
      <c r="AH67" s="117">
        <f t="shared" si="21"/>
        <v>0</v>
      </c>
      <c r="AI67" s="117">
        <f t="shared" si="21"/>
        <v>0</v>
      </c>
      <c r="AJ67" s="117">
        <f t="shared" si="21"/>
        <v>0</v>
      </c>
      <c r="AK67" s="117">
        <f t="shared" si="21"/>
        <v>0</v>
      </c>
      <c r="AL67" s="117">
        <f t="shared" si="21"/>
        <v>0</v>
      </c>
      <c r="AM67" s="117">
        <f t="shared" si="21"/>
        <v>0</v>
      </c>
      <c r="AN67" s="117">
        <f t="shared" si="21"/>
        <v>0</v>
      </c>
      <c r="AO67" s="117">
        <f t="shared" si="21"/>
        <v>0</v>
      </c>
      <c r="AP67" s="117">
        <f t="shared" si="21"/>
        <v>0</v>
      </c>
      <c r="AQ67" s="117">
        <f t="shared" si="21"/>
        <v>0</v>
      </c>
      <c r="AR67" s="117">
        <f t="shared" si="21"/>
        <v>0</v>
      </c>
      <c r="AS67" s="117">
        <f t="shared" si="21"/>
        <v>0</v>
      </c>
      <c r="AT67" s="117">
        <f t="shared" si="21"/>
        <v>0</v>
      </c>
      <c r="AU67" s="117">
        <f t="shared" si="21"/>
        <v>2686652877.1199999</v>
      </c>
      <c r="AV67" s="117">
        <f t="shared" si="21"/>
        <v>0</v>
      </c>
      <c r="AW67" s="117">
        <f t="shared" si="21"/>
        <v>0</v>
      </c>
      <c r="AX67" s="117">
        <f t="shared" si="21"/>
        <v>30000000</v>
      </c>
      <c r="AY67" s="117">
        <f t="shared" si="21"/>
        <v>0</v>
      </c>
      <c r="AZ67" s="117">
        <f t="shared" si="21"/>
        <v>0</v>
      </c>
      <c r="BA67" s="117">
        <f t="shared" si="21"/>
        <v>0</v>
      </c>
      <c r="BB67" s="117">
        <f t="shared" si="21"/>
        <v>0</v>
      </c>
      <c r="BC67" s="117">
        <f t="shared" si="21"/>
        <v>0</v>
      </c>
      <c r="BD67" s="117">
        <f t="shared" si="21"/>
        <v>0</v>
      </c>
      <c r="BE67" s="117">
        <f t="shared" si="21"/>
        <v>0</v>
      </c>
      <c r="BF67" s="117">
        <f t="shared" si="21"/>
        <v>0</v>
      </c>
      <c r="BG67" s="117">
        <f t="shared" si="21"/>
        <v>3192702877.1199999</v>
      </c>
      <c r="BH67" s="117">
        <f t="shared" si="21"/>
        <v>0</v>
      </c>
      <c r="BI67" s="117">
        <f t="shared" si="21"/>
        <v>0</v>
      </c>
      <c r="BJ67" s="55"/>
      <c r="BK67" s="55"/>
      <c r="BL67" s="55"/>
      <c r="BM67" s="55"/>
      <c r="BN67" s="55"/>
      <c r="BO67" s="55"/>
      <c r="BP67" s="55"/>
    </row>
    <row r="68" spans="1:68" ht="58.5" customHeight="1" x14ac:dyDescent="0.2">
      <c r="A68" s="104"/>
      <c r="B68" s="255"/>
      <c r="C68" s="256"/>
      <c r="D68" s="120"/>
      <c r="E68" s="724"/>
      <c r="F68" s="305" t="s">
        <v>288</v>
      </c>
      <c r="G68" s="287" t="s">
        <v>289</v>
      </c>
      <c r="H68" s="313" t="s">
        <v>102</v>
      </c>
      <c r="I68" s="186" t="s">
        <v>290</v>
      </c>
      <c r="J68" s="287" t="s">
        <v>291</v>
      </c>
      <c r="K68" s="297" t="s">
        <v>292</v>
      </c>
      <c r="L68" s="316" t="s">
        <v>293</v>
      </c>
      <c r="M68" s="287" t="s">
        <v>109</v>
      </c>
      <c r="N68" s="148">
        <v>1</v>
      </c>
      <c r="O68" s="148">
        <v>1</v>
      </c>
      <c r="P68" s="863"/>
      <c r="Q68" s="892" t="s">
        <v>294</v>
      </c>
      <c r="R68" s="887" t="s">
        <v>295</v>
      </c>
      <c r="S68" s="890" t="s">
        <v>296</v>
      </c>
      <c r="T68" s="129"/>
      <c r="U68" s="129"/>
      <c r="V68" s="129"/>
      <c r="W68" s="129"/>
      <c r="X68" s="129"/>
      <c r="Y68" s="129"/>
      <c r="Z68" s="310"/>
      <c r="AA68" s="310"/>
      <c r="AB68" s="310"/>
      <c r="AC68" s="129"/>
      <c r="AD68" s="129"/>
      <c r="AE68" s="129"/>
      <c r="AF68" s="129"/>
      <c r="AG68" s="129"/>
      <c r="AH68" s="129"/>
      <c r="AI68" s="129"/>
      <c r="AJ68" s="129"/>
      <c r="AK68" s="129"/>
      <c r="AL68" s="129"/>
      <c r="AM68" s="129"/>
      <c r="AN68" s="129"/>
      <c r="AO68" s="129"/>
      <c r="AP68" s="129"/>
      <c r="AQ68" s="129"/>
      <c r="AR68" s="129"/>
      <c r="AS68" s="129"/>
      <c r="AT68" s="129"/>
      <c r="AU68" s="129"/>
      <c r="AV68" s="129"/>
      <c r="AW68" s="129"/>
      <c r="AX68" s="321">
        <v>30000000</v>
      </c>
      <c r="AY68" s="321"/>
      <c r="AZ68" s="321"/>
      <c r="BA68" s="129"/>
      <c r="BB68" s="129"/>
      <c r="BC68" s="129"/>
      <c r="BD68" s="129"/>
      <c r="BE68" s="129"/>
      <c r="BF68" s="129"/>
      <c r="BG68" s="131">
        <f t="shared" ref="BG68:BI72" si="22">+T68+W68+Z68+AC68+AF68+AI68+AL68+AO68+AR68+AU68+AX68+BA68+BD68</f>
        <v>30000000</v>
      </c>
      <c r="BH68" s="131">
        <f t="shared" si="22"/>
        <v>0</v>
      </c>
      <c r="BI68" s="131">
        <f t="shared" si="22"/>
        <v>0</v>
      </c>
      <c r="BJ68" s="55"/>
      <c r="BK68" s="55"/>
      <c r="BL68" s="55"/>
      <c r="BM68" s="55"/>
      <c r="BN68" s="55"/>
      <c r="BO68" s="55"/>
      <c r="BP68" s="55"/>
    </row>
    <row r="69" spans="1:68" ht="39.75" customHeight="1" x14ac:dyDescent="0.2">
      <c r="A69" s="104"/>
      <c r="B69" s="255"/>
      <c r="C69" s="255"/>
      <c r="D69" s="323"/>
      <c r="E69" s="726"/>
      <c r="F69" s="305" t="s">
        <v>297</v>
      </c>
      <c r="G69" s="324" t="s">
        <v>298</v>
      </c>
      <c r="H69" s="308">
        <v>4003018</v>
      </c>
      <c r="I69" s="325" t="s">
        <v>299</v>
      </c>
      <c r="J69" s="324" t="s">
        <v>300</v>
      </c>
      <c r="K69" s="297">
        <v>400301802</v>
      </c>
      <c r="L69" s="326" t="s">
        <v>301</v>
      </c>
      <c r="M69" s="287" t="s">
        <v>204</v>
      </c>
      <c r="N69" s="148">
        <v>2</v>
      </c>
      <c r="O69" s="297">
        <v>1</v>
      </c>
      <c r="P69" s="308"/>
      <c r="Q69" s="895"/>
      <c r="R69" s="888"/>
      <c r="S69" s="891"/>
      <c r="T69" s="129"/>
      <c r="U69" s="129"/>
      <c r="V69" s="129"/>
      <c r="W69" s="129"/>
      <c r="X69" s="129"/>
      <c r="Y69" s="129"/>
      <c r="Z69" s="310"/>
      <c r="AA69" s="310"/>
      <c r="AB69" s="310"/>
      <c r="AC69" s="129"/>
      <c r="AD69" s="129"/>
      <c r="AE69" s="129"/>
      <c r="AF69" s="129"/>
      <c r="AG69" s="129"/>
      <c r="AH69" s="129"/>
      <c r="AI69" s="129"/>
      <c r="AJ69" s="129"/>
      <c r="AK69" s="129"/>
      <c r="AL69" s="129"/>
      <c r="AM69" s="129"/>
      <c r="AN69" s="129"/>
      <c r="AO69" s="129"/>
      <c r="AP69" s="129"/>
      <c r="AQ69" s="129"/>
      <c r="AR69" s="129"/>
      <c r="AS69" s="129"/>
      <c r="AT69" s="129"/>
      <c r="AU69" s="129">
        <v>588117000</v>
      </c>
      <c r="AV69" s="129"/>
      <c r="AW69" s="129"/>
      <c r="AX69" s="321"/>
      <c r="AY69" s="321"/>
      <c r="AZ69" s="321"/>
      <c r="BA69" s="129"/>
      <c r="BB69" s="129"/>
      <c r="BC69" s="129"/>
      <c r="BD69" s="129"/>
      <c r="BE69" s="129"/>
      <c r="BF69" s="129"/>
      <c r="BG69" s="131">
        <f t="shared" si="22"/>
        <v>588117000</v>
      </c>
      <c r="BH69" s="131">
        <f t="shared" si="22"/>
        <v>0</v>
      </c>
      <c r="BI69" s="131">
        <f t="shared" si="22"/>
        <v>0</v>
      </c>
      <c r="BJ69" s="55"/>
      <c r="BK69" s="55"/>
      <c r="BL69" s="55"/>
      <c r="BM69" s="55"/>
      <c r="BN69" s="55"/>
      <c r="BO69" s="55"/>
      <c r="BP69" s="55"/>
    </row>
    <row r="70" spans="1:68" ht="60" customHeight="1" x14ac:dyDescent="0.2">
      <c r="A70" s="104"/>
      <c r="B70" s="255"/>
      <c r="C70" s="255"/>
      <c r="D70" s="323"/>
      <c r="E70" s="726"/>
      <c r="F70" s="305" t="s">
        <v>288</v>
      </c>
      <c r="G70" s="146" t="s">
        <v>302</v>
      </c>
      <c r="H70" s="308">
        <v>4003025</v>
      </c>
      <c r="I70" s="325" t="s">
        <v>303</v>
      </c>
      <c r="J70" s="146" t="s">
        <v>304</v>
      </c>
      <c r="K70" s="291">
        <v>400302500</v>
      </c>
      <c r="L70" s="292" t="s">
        <v>305</v>
      </c>
      <c r="M70" s="291" t="s">
        <v>204</v>
      </c>
      <c r="N70" s="291">
        <v>12</v>
      </c>
      <c r="O70" s="291">
        <v>1</v>
      </c>
      <c r="P70" s="291"/>
      <c r="Q70" s="895"/>
      <c r="R70" s="888"/>
      <c r="S70" s="891"/>
      <c r="T70" s="129">
        <v>476050000</v>
      </c>
      <c r="U70" s="129"/>
      <c r="V70" s="129"/>
      <c r="W70" s="129"/>
      <c r="X70" s="129"/>
      <c r="Y70" s="129"/>
      <c r="Z70" s="310"/>
      <c r="AA70" s="310"/>
      <c r="AB70" s="310"/>
      <c r="AC70" s="129"/>
      <c r="AD70" s="129"/>
      <c r="AE70" s="129"/>
      <c r="AF70" s="129"/>
      <c r="AG70" s="129"/>
      <c r="AH70" s="129"/>
      <c r="AI70" s="129"/>
      <c r="AJ70" s="129"/>
      <c r="AK70" s="129"/>
      <c r="AL70" s="129"/>
      <c r="AM70" s="129"/>
      <c r="AN70" s="129"/>
      <c r="AO70" s="129"/>
      <c r="AP70" s="129"/>
      <c r="AQ70" s="129"/>
      <c r="AR70" s="129"/>
      <c r="AS70" s="129"/>
      <c r="AT70" s="129"/>
      <c r="AU70" s="129">
        <v>1288535877.1199999</v>
      </c>
      <c r="AV70" s="129"/>
      <c r="AW70" s="129"/>
      <c r="AX70" s="321"/>
      <c r="AY70" s="321"/>
      <c r="AZ70" s="321"/>
      <c r="BA70" s="129"/>
      <c r="BB70" s="129"/>
      <c r="BC70" s="129"/>
      <c r="BD70" s="129"/>
      <c r="BE70" s="129"/>
      <c r="BF70" s="129"/>
      <c r="BG70" s="131">
        <f t="shared" si="22"/>
        <v>1764585877.1199999</v>
      </c>
      <c r="BH70" s="131">
        <f t="shared" si="22"/>
        <v>0</v>
      </c>
      <c r="BI70" s="131">
        <f t="shared" si="22"/>
        <v>0</v>
      </c>
      <c r="BJ70" s="55"/>
      <c r="BK70" s="55"/>
      <c r="BL70" s="55"/>
      <c r="BM70" s="55"/>
      <c r="BN70" s="55"/>
      <c r="BO70" s="55"/>
      <c r="BP70" s="55"/>
    </row>
    <row r="71" spans="1:68" ht="49.5" customHeight="1" x14ac:dyDescent="0.2">
      <c r="A71" s="104"/>
      <c r="B71" s="255"/>
      <c r="C71" s="255"/>
      <c r="D71" s="323"/>
      <c r="E71" s="726"/>
      <c r="F71" s="305" t="s">
        <v>288</v>
      </c>
      <c r="G71" s="324" t="s">
        <v>306</v>
      </c>
      <c r="H71" s="308">
        <v>4003028</v>
      </c>
      <c r="I71" s="325" t="s">
        <v>307</v>
      </c>
      <c r="J71" s="324" t="s">
        <v>308</v>
      </c>
      <c r="K71" s="297">
        <v>400302801</v>
      </c>
      <c r="L71" s="326" t="s">
        <v>309</v>
      </c>
      <c r="M71" s="287" t="s">
        <v>109</v>
      </c>
      <c r="N71" s="148">
        <v>4</v>
      </c>
      <c r="O71" s="297">
        <v>4</v>
      </c>
      <c r="P71" s="308"/>
      <c r="Q71" s="895"/>
      <c r="R71" s="888"/>
      <c r="S71" s="891"/>
      <c r="T71" s="129"/>
      <c r="U71" s="129"/>
      <c r="V71" s="129"/>
      <c r="W71" s="129"/>
      <c r="X71" s="129"/>
      <c r="Y71" s="129"/>
      <c r="Z71" s="310"/>
      <c r="AA71" s="310"/>
      <c r="AB71" s="310"/>
      <c r="AC71" s="129"/>
      <c r="AD71" s="129"/>
      <c r="AE71" s="129"/>
      <c r="AF71" s="129"/>
      <c r="AG71" s="129"/>
      <c r="AH71" s="129"/>
      <c r="AI71" s="129"/>
      <c r="AJ71" s="129"/>
      <c r="AK71" s="129"/>
      <c r="AL71" s="129"/>
      <c r="AM71" s="129"/>
      <c r="AN71" s="129"/>
      <c r="AO71" s="129"/>
      <c r="AP71" s="129"/>
      <c r="AQ71" s="129"/>
      <c r="AR71" s="129"/>
      <c r="AS71" s="129"/>
      <c r="AT71" s="129"/>
      <c r="AU71" s="129">
        <v>125000000</v>
      </c>
      <c r="AV71" s="129"/>
      <c r="AW71" s="129"/>
      <c r="AX71" s="321"/>
      <c r="AY71" s="321"/>
      <c r="AZ71" s="321"/>
      <c r="BA71" s="129"/>
      <c r="BB71" s="129"/>
      <c r="BC71" s="129"/>
      <c r="BD71" s="129"/>
      <c r="BE71" s="129"/>
      <c r="BF71" s="129"/>
      <c r="BG71" s="131">
        <f t="shared" si="22"/>
        <v>125000000</v>
      </c>
      <c r="BH71" s="131">
        <f t="shared" si="22"/>
        <v>0</v>
      </c>
      <c r="BI71" s="131">
        <f t="shared" si="22"/>
        <v>0</v>
      </c>
      <c r="BJ71" s="55"/>
      <c r="BK71" s="55"/>
      <c r="BL71" s="55"/>
      <c r="BM71" s="55"/>
      <c r="BN71" s="55"/>
      <c r="BO71" s="55"/>
      <c r="BP71" s="55"/>
    </row>
    <row r="72" spans="1:68" ht="39.75" customHeight="1" x14ac:dyDescent="0.2">
      <c r="A72" s="104"/>
      <c r="B72" s="263"/>
      <c r="C72" s="263"/>
      <c r="D72" s="132"/>
      <c r="E72" s="725"/>
      <c r="F72" s="305" t="s">
        <v>288</v>
      </c>
      <c r="G72" s="324" t="s">
        <v>310</v>
      </c>
      <c r="H72" s="308">
        <v>4003042</v>
      </c>
      <c r="I72" s="325" t="s">
        <v>311</v>
      </c>
      <c r="J72" s="324" t="s">
        <v>312</v>
      </c>
      <c r="K72" s="297">
        <v>400304200</v>
      </c>
      <c r="L72" s="326" t="s">
        <v>313</v>
      </c>
      <c r="M72" s="287" t="s">
        <v>204</v>
      </c>
      <c r="N72" s="148">
        <v>8</v>
      </c>
      <c r="O72" s="297">
        <v>1</v>
      </c>
      <c r="P72" s="308"/>
      <c r="Q72" s="893"/>
      <c r="R72" s="889"/>
      <c r="S72" s="894"/>
      <c r="T72" s="129"/>
      <c r="U72" s="129"/>
      <c r="V72" s="129"/>
      <c r="W72" s="129"/>
      <c r="X72" s="129"/>
      <c r="Y72" s="129"/>
      <c r="Z72" s="310"/>
      <c r="AA72" s="310"/>
      <c r="AB72" s="310"/>
      <c r="AC72" s="129"/>
      <c r="AD72" s="129"/>
      <c r="AE72" s="129"/>
      <c r="AF72" s="129"/>
      <c r="AG72" s="129"/>
      <c r="AH72" s="129"/>
      <c r="AI72" s="129"/>
      <c r="AJ72" s="129"/>
      <c r="AK72" s="129"/>
      <c r="AL72" s="129"/>
      <c r="AM72" s="129"/>
      <c r="AN72" s="129"/>
      <c r="AO72" s="129"/>
      <c r="AP72" s="129"/>
      <c r="AQ72" s="129"/>
      <c r="AR72" s="129"/>
      <c r="AS72" s="129"/>
      <c r="AT72" s="129"/>
      <c r="AU72" s="129">
        <v>685000000</v>
      </c>
      <c r="AV72" s="129"/>
      <c r="AW72" s="129"/>
      <c r="AX72" s="321"/>
      <c r="AY72" s="321"/>
      <c r="AZ72" s="321"/>
      <c r="BA72" s="129"/>
      <c r="BB72" s="129"/>
      <c r="BC72" s="129"/>
      <c r="BD72" s="129"/>
      <c r="BE72" s="129"/>
      <c r="BF72" s="129"/>
      <c r="BG72" s="131">
        <f t="shared" si="22"/>
        <v>685000000</v>
      </c>
      <c r="BH72" s="131">
        <f t="shared" si="22"/>
        <v>0</v>
      </c>
      <c r="BI72" s="131">
        <f t="shared" si="22"/>
        <v>0</v>
      </c>
      <c r="BJ72" s="55"/>
      <c r="BK72" s="55"/>
      <c r="BL72" s="55"/>
      <c r="BM72" s="55"/>
      <c r="BN72" s="55"/>
      <c r="BO72" s="55"/>
      <c r="BP72" s="55"/>
    </row>
    <row r="73" spans="1:68" ht="15.75" x14ac:dyDescent="0.2">
      <c r="A73" s="104"/>
      <c r="B73" s="307">
        <v>4</v>
      </c>
      <c r="C73" s="327" t="s">
        <v>128</v>
      </c>
      <c r="D73" s="328"/>
      <c r="E73" s="165"/>
      <c r="F73" s="166"/>
      <c r="G73" s="167"/>
      <c r="H73" s="168"/>
      <c r="I73" s="169"/>
      <c r="J73" s="170"/>
      <c r="K73" s="170"/>
      <c r="L73" s="169"/>
      <c r="M73" s="171"/>
      <c r="N73" s="172"/>
      <c r="O73" s="167"/>
      <c r="P73" s="167"/>
      <c r="Q73" s="165"/>
      <c r="R73" s="165"/>
      <c r="S73" s="169"/>
      <c r="T73" s="103">
        <f t="shared" ref="T73:BI73" si="23">T74+T76</f>
        <v>0</v>
      </c>
      <c r="U73" s="103">
        <f t="shared" si="23"/>
        <v>0</v>
      </c>
      <c r="V73" s="103">
        <f t="shared" si="23"/>
        <v>0</v>
      </c>
      <c r="W73" s="103">
        <f t="shared" si="23"/>
        <v>0</v>
      </c>
      <c r="X73" s="103">
        <f t="shared" si="23"/>
        <v>0</v>
      </c>
      <c r="Y73" s="103">
        <f t="shared" si="23"/>
        <v>0</v>
      </c>
      <c r="Z73" s="103">
        <f t="shared" si="23"/>
        <v>0</v>
      </c>
      <c r="AA73" s="103">
        <f t="shared" si="23"/>
        <v>0</v>
      </c>
      <c r="AB73" s="103">
        <f t="shared" si="23"/>
        <v>0</v>
      </c>
      <c r="AC73" s="103">
        <f t="shared" si="23"/>
        <v>0</v>
      </c>
      <c r="AD73" s="103">
        <f t="shared" si="23"/>
        <v>0</v>
      </c>
      <c r="AE73" s="103">
        <f t="shared" si="23"/>
        <v>0</v>
      </c>
      <c r="AF73" s="103">
        <f t="shared" si="23"/>
        <v>0</v>
      </c>
      <c r="AG73" s="103">
        <f t="shared" si="23"/>
        <v>0</v>
      </c>
      <c r="AH73" s="103">
        <f t="shared" si="23"/>
        <v>0</v>
      </c>
      <c r="AI73" s="103">
        <f t="shared" si="23"/>
        <v>0</v>
      </c>
      <c r="AJ73" s="103">
        <f t="shared" si="23"/>
        <v>0</v>
      </c>
      <c r="AK73" s="103">
        <f t="shared" si="23"/>
        <v>0</v>
      </c>
      <c r="AL73" s="103">
        <f t="shared" si="23"/>
        <v>0</v>
      </c>
      <c r="AM73" s="103">
        <f t="shared" si="23"/>
        <v>0</v>
      </c>
      <c r="AN73" s="103">
        <f t="shared" si="23"/>
        <v>0</v>
      </c>
      <c r="AO73" s="103">
        <f t="shared" si="23"/>
        <v>0</v>
      </c>
      <c r="AP73" s="103">
        <f t="shared" si="23"/>
        <v>0</v>
      </c>
      <c r="AQ73" s="103">
        <f t="shared" si="23"/>
        <v>0</v>
      </c>
      <c r="AR73" s="103">
        <f t="shared" si="23"/>
        <v>0</v>
      </c>
      <c r="AS73" s="103">
        <f t="shared" si="23"/>
        <v>0</v>
      </c>
      <c r="AT73" s="103">
        <f t="shared" si="23"/>
        <v>0</v>
      </c>
      <c r="AU73" s="103">
        <f t="shared" si="23"/>
        <v>0</v>
      </c>
      <c r="AV73" s="103">
        <f t="shared" si="23"/>
        <v>0</v>
      </c>
      <c r="AW73" s="103">
        <f t="shared" si="23"/>
        <v>0</v>
      </c>
      <c r="AX73" s="103">
        <f t="shared" si="23"/>
        <v>36041593.740000002</v>
      </c>
      <c r="AY73" s="103">
        <f t="shared" si="23"/>
        <v>0</v>
      </c>
      <c r="AZ73" s="103">
        <f t="shared" si="23"/>
        <v>0</v>
      </c>
      <c r="BA73" s="103">
        <f t="shared" si="23"/>
        <v>60660648</v>
      </c>
      <c r="BB73" s="103">
        <f t="shared" si="23"/>
        <v>0</v>
      </c>
      <c r="BC73" s="103">
        <f t="shared" si="23"/>
        <v>0</v>
      </c>
      <c r="BD73" s="103">
        <f t="shared" si="23"/>
        <v>0</v>
      </c>
      <c r="BE73" s="103">
        <f t="shared" si="23"/>
        <v>0</v>
      </c>
      <c r="BF73" s="103">
        <f t="shared" si="23"/>
        <v>0</v>
      </c>
      <c r="BG73" s="103">
        <f t="shared" si="23"/>
        <v>96702241.739999995</v>
      </c>
      <c r="BH73" s="103">
        <f t="shared" si="23"/>
        <v>0</v>
      </c>
      <c r="BI73" s="103">
        <f t="shared" si="23"/>
        <v>0</v>
      </c>
      <c r="BJ73" s="55"/>
      <c r="BK73" s="55"/>
      <c r="BL73" s="55"/>
      <c r="BM73" s="55"/>
      <c r="BN73" s="55"/>
      <c r="BO73" s="55"/>
      <c r="BP73" s="55"/>
    </row>
    <row r="74" spans="1:68" ht="15.75" x14ac:dyDescent="0.2">
      <c r="A74" s="104"/>
      <c r="B74" s="105"/>
      <c r="C74" s="279">
        <v>45</v>
      </c>
      <c r="D74" s="139" t="s">
        <v>102</v>
      </c>
      <c r="E74" s="175" t="s">
        <v>103</v>
      </c>
      <c r="F74" s="138"/>
      <c r="G74" s="139"/>
      <c r="H74" s="176"/>
      <c r="I74" s="177"/>
      <c r="J74" s="178"/>
      <c r="K74" s="178"/>
      <c r="L74" s="177"/>
      <c r="M74" s="280"/>
      <c r="N74" s="281"/>
      <c r="O74" s="139"/>
      <c r="P74" s="139"/>
      <c r="Q74" s="181"/>
      <c r="R74" s="302"/>
      <c r="S74" s="303"/>
      <c r="T74" s="117">
        <f t="shared" ref="T74:BI74" si="24">T75</f>
        <v>0</v>
      </c>
      <c r="U74" s="117">
        <f t="shared" si="24"/>
        <v>0</v>
      </c>
      <c r="V74" s="117">
        <f t="shared" si="24"/>
        <v>0</v>
      </c>
      <c r="W74" s="117">
        <f t="shared" si="24"/>
        <v>0</v>
      </c>
      <c r="X74" s="117">
        <f t="shared" si="24"/>
        <v>0</v>
      </c>
      <c r="Y74" s="117">
        <f t="shared" si="24"/>
        <v>0</v>
      </c>
      <c r="Z74" s="117">
        <f t="shared" si="24"/>
        <v>0</v>
      </c>
      <c r="AA74" s="117">
        <f t="shared" si="24"/>
        <v>0</v>
      </c>
      <c r="AB74" s="117">
        <f t="shared" si="24"/>
        <v>0</v>
      </c>
      <c r="AC74" s="117">
        <f t="shared" si="24"/>
        <v>0</v>
      </c>
      <c r="AD74" s="117">
        <f t="shared" si="24"/>
        <v>0</v>
      </c>
      <c r="AE74" s="117">
        <f t="shared" si="24"/>
        <v>0</v>
      </c>
      <c r="AF74" s="117">
        <f t="shared" si="24"/>
        <v>0</v>
      </c>
      <c r="AG74" s="117">
        <f t="shared" si="24"/>
        <v>0</v>
      </c>
      <c r="AH74" s="117">
        <f t="shared" si="24"/>
        <v>0</v>
      </c>
      <c r="AI74" s="117">
        <f t="shared" si="24"/>
        <v>0</v>
      </c>
      <c r="AJ74" s="117">
        <f t="shared" si="24"/>
        <v>0</v>
      </c>
      <c r="AK74" s="117">
        <f t="shared" si="24"/>
        <v>0</v>
      </c>
      <c r="AL74" s="117">
        <f t="shared" si="24"/>
        <v>0</v>
      </c>
      <c r="AM74" s="117">
        <f t="shared" si="24"/>
        <v>0</v>
      </c>
      <c r="AN74" s="117">
        <f t="shared" si="24"/>
        <v>0</v>
      </c>
      <c r="AO74" s="117">
        <f t="shared" si="24"/>
        <v>0</v>
      </c>
      <c r="AP74" s="117">
        <f t="shared" si="24"/>
        <v>0</v>
      </c>
      <c r="AQ74" s="117">
        <f t="shared" si="24"/>
        <v>0</v>
      </c>
      <c r="AR74" s="117">
        <f t="shared" si="24"/>
        <v>0</v>
      </c>
      <c r="AS74" s="117">
        <f t="shared" si="24"/>
        <v>0</v>
      </c>
      <c r="AT74" s="117">
        <f t="shared" si="24"/>
        <v>0</v>
      </c>
      <c r="AU74" s="117">
        <f t="shared" si="24"/>
        <v>0</v>
      </c>
      <c r="AV74" s="117">
        <f t="shared" si="24"/>
        <v>0</v>
      </c>
      <c r="AW74" s="117">
        <f t="shared" si="24"/>
        <v>0</v>
      </c>
      <c r="AX74" s="117">
        <f t="shared" si="24"/>
        <v>12013864.58</v>
      </c>
      <c r="AY74" s="117">
        <f t="shared" si="24"/>
        <v>0</v>
      </c>
      <c r="AZ74" s="117">
        <f t="shared" si="24"/>
        <v>0</v>
      </c>
      <c r="BA74" s="117">
        <f t="shared" si="24"/>
        <v>60660648</v>
      </c>
      <c r="BB74" s="117">
        <f t="shared" si="24"/>
        <v>0</v>
      </c>
      <c r="BC74" s="117">
        <f t="shared" si="24"/>
        <v>0</v>
      </c>
      <c r="BD74" s="117">
        <f t="shared" si="24"/>
        <v>0</v>
      </c>
      <c r="BE74" s="117">
        <f t="shared" si="24"/>
        <v>0</v>
      </c>
      <c r="BF74" s="117">
        <f t="shared" si="24"/>
        <v>0</v>
      </c>
      <c r="BG74" s="117">
        <f t="shared" si="24"/>
        <v>72674512.579999998</v>
      </c>
      <c r="BH74" s="117">
        <f t="shared" si="24"/>
        <v>0</v>
      </c>
      <c r="BI74" s="117">
        <f t="shared" si="24"/>
        <v>0</v>
      </c>
      <c r="BJ74" s="55"/>
      <c r="BK74" s="55"/>
      <c r="BL74" s="55"/>
      <c r="BM74" s="55"/>
      <c r="BN74" s="55"/>
      <c r="BO74" s="55"/>
      <c r="BP74" s="55"/>
    </row>
    <row r="75" spans="1:68" ht="91.5" customHeight="1" x14ac:dyDescent="0.2">
      <c r="A75" s="104"/>
      <c r="B75" s="118"/>
      <c r="C75" s="282"/>
      <c r="D75" s="283"/>
      <c r="E75" s="127"/>
      <c r="F75" s="122" t="s">
        <v>314</v>
      </c>
      <c r="G75" s="126" t="s">
        <v>315</v>
      </c>
      <c r="H75" s="124" t="s">
        <v>102</v>
      </c>
      <c r="I75" s="125" t="s">
        <v>316</v>
      </c>
      <c r="J75" s="126" t="s">
        <v>317</v>
      </c>
      <c r="K75" s="297" t="s">
        <v>102</v>
      </c>
      <c r="L75" s="125" t="s">
        <v>318</v>
      </c>
      <c r="M75" s="287" t="s">
        <v>109</v>
      </c>
      <c r="N75" s="148">
        <v>4</v>
      </c>
      <c r="O75" s="123">
        <v>4</v>
      </c>
      <c r="P75" s="123"/>
      <c r="Q75" s="127" t="s">
        <v>110</v>
      </c>
      <c r="R75" s="127" t="s">
        <v>225</v>
      </c>
      <c r="S75" s="186" t="s">
        <v>226</v>
      </c>
      <c r="T75" s="306"/>
      <c r="U75" s="306"/>
      <c r="V75" s="306"/>
      <c r="W75" s="129"/>
      <c r="X75" s="129"/>
      <c r="Y75" s="129"/>
      <c r="Z75" s="129"/>
      <c r="AA75" s="129"/>
      <c r="AB75" s="129"/>
      <c r="AC75" s="129"/>
      <c r="AD75" s="129"/>
      <c r="AE75" s="129"/>
      <c r="AF75" s="129"/>
      <c r="AG75" s="129"/>
      <c r="AH75" s="129"/>
      <c r="AI75" s="129"/>
      <c r="AJ75" s="129"/>
      <c r="AK75" s="129"/>
      <c r="AL75" s="129"/>
      <c r="AM75" s="129"/>
      <c r="AN75" s="129"/>
      <c r="AO75" s="129"/>
      <c r="AP75" s="129"/>
      <c r="AQ75" s="129"/>
      <c r="AR75" s="129"/>
      <c r="AS75" s="129"/>
      <c r="AT75" s="129"/>
      <c r="AU75" s="129"/>
      <c r="AV75" s="129"/>
      <c r="AW75" s="129"/>
      <c r="AX75" s="229">
        <v>12013864.58</v>
      </c>
      <c r="AY75" s="229"/>
      <c r="AZ75" s="229"/>
      <c r="BA75" s="329">
        <v>60660648</v>
      </c>
      <c r="BB75" s="329"/>
      <c r="BC75" s="329"/>
      <c r="BD75" s="129"/>
      <c r="BE75" s="129"/>
      <c r="BF75" s="129"/>
      <c r="BG75" s="131">
        <f>+T75+W75+Z75+AC75+AF75+AI75+AL75+AO75+AR75+AU75+AX75+BA75+BD75</f>
        <v>72674512.579999998</v>
      </c>
      <c r="BH75" s="131">
        <f>+U75+X75+AA75+AD75+AG75+AJ75+AM75+AP75+AS75+AV75+AY75+BB75+BE75</f>
        <v>0</v>
      </c>
      <c r="BI75" s="131">
        <f>+V75+Y75+AB75+AE75+AH75+AK75+AN75+AQ75+AT75+AW75+AZ75+BC75+BF75</f>
        <v>0</v>
      </c>
      <c r="BJ75" s="55"/>
      <c r="BK75" s="55"/>
      <c r="BL75" s="55"/>
      <c r="BM75" s="55"/>
      <c r="BN75" s="55"/>
      <c r="BO75" s="55"/>
      <c r="BP75" s="55"/>
    </row>
    <row r="76" spans="1:68" ht="15.75" x14ac:dyDescent="0.2">
      <c r="A76" s="104"/>
      <c r="B76" s="134"/>
      <c r="C76" s="279">
        <v>42</v>
      </c>
      <c r="D76" s="139">
        <v>4502</v>
      </c>
      <c r="E76" s="175" t="s">
        <v>119</v>
      </c>
      <c r="F76" s="138"/>
      <c r="G76" s="139"/>
      <c r="H76" s="176"/>
      <c r="I76" s="177"/>
      <c r="J76" s="178"/>
      <c r="K76" s="178"/>
      <c r="L76" s="177"/>
      <c r="M76" s="280"/>
      <c r="N76" s="281"/>
      <c r="O76" s="139"/>
      <c r="P76" s="139"/>
      <c r="Q76" s="181"/>
      <c r="R76" s="302"/>
      <c r="S76" s="303"/>
      <c r="T76" s="117">
        <f t="shared" ref="T76:BI76" si="25">T77</f>
        <v>0</v>
      </c>
      <c r="U76" s="117">
        <f t="shared" si="25"/>
        <v>0</v>
      </c>
      <c r="V76" s="117">
        <f t="shared" si="25"/>
        <v>0</v>
      </c>
      <c r="W76" s="117">
        <f t="shared" si="25"/>
        <v>0</v>
      </c>
      <c r="X76" s="117">
        <f t="shared" si="25"/>
        <v>0</v>
      </c>
      <c r="Y76" s="117">
        <f t="shared" si="25"/>
        <v>0</v>
      </c>
      <c r="Z76" s="117">
        <f t="shared" si="25"/>
        <v>0</v>
      </c>
      <c r="AA76" s="117">
        <f t="shared" si="25"/>
        <v>0</v>
      </c>
      <c r="AB76" s="117">
        <f t="shared" si="25"/>
        <v>0</v>
      </c>
      <c r="AC76" s="117">
        <f t="shared" si="25"/>
        <v>0</v>
      </c>
      <c r="AD76" s="117">
        <f t="shared" si="25"/>
        <v>0</v>
      </c>
      <c r="AE76" s="117">
        <f t="shared" si="25"/>
        <v>0</v>
      </c>
      <c r="AF76" s="117">
        <f t="shared" si="25"/>
        <v>0</v>
      </c>
      <c r="AG76" s="117">
        <f t="shared" si="25"/>
        <v>0</v>
      </c>
      <c r="AH76" s="117">
        <f t="shared" si="25"/>
        <v>0</v>
      </c>
      <c r="AI76" s="117">
        <f t="shared" si="25"/>
        <v>0</v>
      </c>
      <c r="AJ76" s="117">
        <f t="shared" si="25"/>
        <v>0</v>
      </c>
      <c r="AK76" s="117">
        <f t="shared" si="25"/>
        <v>0</v>
      </c>
      <c r="AL76" s="117">
        <f t="shared" si="25"/>
        <v>0</v>
      </c>
      <c r="AM76" s="117">
        <f t="shared" si="25"/>
        <v>0</v>
      </c>
      <c r="AN76" s="117">
        <f t="shared" si="25"/>
        <v>0</v>
      </c>
      <c r="AO76" s="117">
        <f t="shared" si="25"/>
        <v>0</v>
      </c>
      <c r="AP76" s="117">
        <f t="shared" si="25"/>
        <v>0</v>
      </c>
      <c r="AQ76" s="117">
        <f t="shared" si="25"/>
        <v>0</v>
      </c>
      <c r="AR76" s="117">
        <f t="shared" si="25"/>
        <v>0</v>
      </c>
      <c r="AS76" s="117">
        <f t="shared" si="25"/>
        <v>0</v>
      </c>
      <c r="AT76" s="117">
        <f t="shared" si="25"/>
        <v>0</v>
      </c>
      <c r="AU76" s="117">
        <f t="shared" si="25"/>
        <v>0</v>
      </c>
      <c r="AV76" s="117">
        <f t="shared" si="25"/>
        <v>0</v>
      </c>
      <c r="AW76" s="117">
        <f t="shared" si="25"/>
        <v>0</v>
      </c>
      <c r="AX76" s="117">
        <f t="shared" si="25"/>
        <v>24027729.16</v>
      </c>
      <c r="AY76" s="117">
        <f t="shared" si="25"/>
        <v>0</v>
      </c>
      <c r="AZ76" s="117">
        <f t="shared" si="25"/>
        <v>0</v>
      </c>
      <c r="BA76" s="117">
        <f t="shared" si="25"/>
        <v>0</v>
      </c>
      <c r="BB76" s="117">
        <f t="shared" si="25"/>
        <v>0</v>
      </c>
      <c r="BC76" s="117">
        <f t="shared" si="25"/>
        <v>0</v>
      </c>
      <c r="BD76" s="117">
        <f t="shared" si="25"/>
        <v>0</v>
      </c>
      <c r="BE76" s="117">
        <f t="shared" si="25"/>
        <v>0</v>
      </c>
      <c r="BF76" s="117">
        <f t="shared" si="25"/>
        <v>0</v>
      </c>
      <c r="BG76" s="117">
        <f t="shared" si="25"/>
        <v>24027729.16</v>
      </c>
      <c r="BH76" s="117">
        <f t="shared" si="25"/>
        <v>0</v>
      </c>
      <c r="BI76" s="117">
        <f t="shared" si="25"/>
        <v>0</v>
      </c>
    </row>
    <row r="77" spans="1:68" ht="47.25" customHeight="1" x14ac:dyDescent="0.2">
      <c r="A77" s="141"/>
      <c r="B77" s="142"/>
      <c r="C77" s="64"/>
      <c r="D77" s="65"/>
      <c r="E77" s="127"/>
      <c r="F77" s="145" t="s">
        <v>129</v>
      </c>
      <c r="G77" s="297" t="s">
        <v>319</v>
      </c>
      <c r="H77" s="308">
        <v>4502003</v>
      </c>
      <c r="I77" s="305" t="s">
        <v>320</v>
      </c>
      <c r="J77" s="297" t="s">
        <v>321</v>
      </c>
      <c r="K77" s="297">
        <v>450200300</v>
      </c>
      <c r="L77" s="298" t="s">
        <v>320</v>
      </c>
      <c r="M77" s="287" t="s">
        <v>204</v>
      </c>
      <c r="N77" s="148">
        <v>8</v>
      </c>
      <c r="O77" s="297">
        <v>2</v>
      </c>
      <c r="P77" s="297"/>
      <c r="Q77" s="149" t="s">
        <v>322</v>
      </c>
      <c r="R77" s="127" t="s">
        <v>225</v>
      </c>
      <c r="S77" s="186" t="s">
        <v>226</v>
      </c>
      <c r="T77" s="306"/>
      <c r="U77" s="306"/>
      <c r="V77" s="306"/>
      <c r="W77" s="129"/>
      <c r="X77" s="129"/>
      <c r="Y77" s="129"/>
      <c r="Z77" s="129"/>
      <c r="AA77" s="129"/>
      <c r="AB77" s="129"/>
      <c r="AC77" s="129"/>
      <c r="AD77" s="129"/>
      <c r="AE77" s="129"/>
      <c r="AF77" s="129"/>
      <c r="AG77" s="129"/>
      <c r="AH77" s="129"/>
      <c r="AI77" s="129"/>
      <c r="AJ77" s="129"/>
      <c r="AK77" s="129"/>
      <c r="AL77" s="129"/>
      <c r="AM77" s="129"/>
      <c r="AN77" s="129"/>
      <c r="AO77" s="129"/>
      <c r="AP77" s="129"/>
      <c r="AQ77" s="129"/>
      <c r="AR77" s="129"/>
      <c r="AS77" s="129"/>
      <c r="AT77" s="129"/>
      <c r="AU77" s="129"/>
      <c r="AV77" s="129"/>
      <c r="AW77" s="129"/>
      <c r="AX77" s="229">
        <v>24027729.16</v>
      </c>
      <c r="AY77" s="229"/>
      <c r="AZ77" s="229"/>
      <c r="BA77" s="228"/>
      <c r="BB77" s="228"/>
      <c r="BC77" s="228"/>
      <c r="BD77" s="129"/>
      <c r="BE77" s="129"/>
      <c r="BF77" s="129"/>
      <c r="BG77" s="131">
        <f>+T77+W77+Z77+AC77+AF77+AI77+AL77+AO77+AR77+AU77+AX77+BA77+BD77</f>
        <v>24027729.16</v>
      </c>
      <c r="BH77" s="131">
        <f>+U77+X77+AA77+AD77+AG77+AJ77+AM77+AP77+AS77+AV77+AY77+BB77+BE77</f>
        <v>0</v>
      </c>
      <c r="BI77" s="131">
        <f>+V77+Y77+AB77+AE77+AH77+AK77+AN77+AQ77+AT77+AW77+AZ77+BC77+BF77</f>
        <v>0</v>
      </c>
      <c r="BJ77" s="55"/>
      <c r="BK77" s="55"/>
      <c r="BL77" s="55"/>
      <c r="BM77" s="55"/>
      <c r="BN77" s="55"/>
      <c r="BO77" s="55"/>
      <c r="BP77" s="55"/>
    </row>
    <row r="78" spans="1:68" s="267" customFormat="1" x14ac:dyDescent="0.2">
      <c r="B78" s="268"/>
      <c r="C78" s="268"/>
      <c r="D78" s="269"/>
      <c r="F78" s="270"/>
      <c r="G78" s="271"/>
      <c r="H78" s="272"/>
      <c r="I78" s="273"/>
      <c r="J78" s="330"/>
      <c r="K78" s="331"/>
      <c r="L78" s="273"/>
      <c r="N78" s="275"/>
      <c r="O78" s="271"/>
      <c r="P78" s="271"/>
      <c r="Q78" s="276"/>
      <c r="R78" s="276"/>
      <c r="S78" s="273"/>
      <c r="BG78" s="332"/>
      <c r="BH78" s="332"/>
      <c r="BI78" s="332"/>
      <c r="BJ78" s="278"/>
      <c r="BK78" s="278"/>
      <c r="BL78" s="278"/>
      <c r="BM78" s="278"/>
      <c r="BN78" s="278"/>
      <c r="BO78" s="278"/>
      <c r="BP78" s="278"/>
    </row>
    <row r="79" spans="1:68" s="267" customFormat="1" x14ac:dyDescent="0.2">
      <c r="B79" s="268"/>
      <c r="C79" s="268"/>
      <c r="D79" s="269"/>
      <c r="F79" s="270"/>
      <c r="G79" s="271"/>
      <c r="H79" s="272"/>
      <c r="I79" s="273"/>
      <c r="J79" s="333"/>
      <c r="K79" s="334"/>
      <c r="L79" s="273"/>
      <c r="N79" s="275"/>
      <c r="O79" s="271"/>
      <c r="P79" s="271"/>
      <c r="Q79" s="276"/>
      <c r="R79" s="276"/>
      <c r="S79" s="273"/>
      <c r="BG79" s="335"/>
      <c r="BH79" s="335"/>
      <c r="BI79" s="335"/>
      <c r="BJ79" s="278"/>
      <c r="BK79" s="278"/>
      <c r="BL79" s="278"/>
      <c r="BM79" s="278"/>
      <c r="BN79" s="278"/>
      <c r="BO79" s="278"/>
      <c r="BP79" s="278"/>
    </row>
    <row r="80" spans="1:68" ht="15.75" x14ac:dyDescent="0.2">
      <c r="A80" s="76" t="s">
        <v>323</v>
      </c>
      <c r="B80" s="77"/>
      <c r="C80" s="78"/>
      <c r="D80" s="79"/>
      <c r="E80" s="80"/>
      <c r="F80" s="246"/>
      <c r="G80" s="247"/>
      <c r="H80" s="83"/>
      <c r="I80" s="84"/>
      <c r="J80" s="85"/>
      <c r="K80" s="85"/>
      <c r="L80" s="84"/>
      <c r="M80" s="160"/>
      <c r="N80" s="83"/>
      <c r="O80" s="82"/>
      <c r="P80" s="82"/>
      <c r="Q80" s="80"/>
      <c r="R80" s="80"/>
      <c r="S80" s="84"/>
      <c r="T80" s="336">
        <f t="shared" ref="T80:BI80" si="26">+T81+T102+T110</f>
        <v>0</v>
      </c>
      <c r="U80" s="336">
        <f t="shared" si="26"/>
        <v>0</v>
      </c>
      <c r="V80" s="336">
        <f t="shared" si="26"/>
        <v>0</v>
      </c>
      <c r="W80" s="336">
        <f t="shared" si="26"/>
        <v>5428613946.8600006</v>
      </c>
      <c r="X80" s="336">
        <f t="shared" si="26"/>
        <v>118600000</v>
      </c>
      <c r="Y80" s="336">
        <f t="shared" si="26"/>
        <v>3100000</v>
      </c>
      <c r="Z80" s="336">
        <f t="shared" si="26"/>
        <v>0</v>
      </c>
      <c r="AA80" s="336">
        <f t="shared" si="26"/>
        <v>0</v>
      </c>
      <c r="AB80" s="336">
        <f t="shared" si="26"/>
        <v>0</v>
      </c>
      <c r="AC80" s="336">
        <f t="shared" si="26"/>
        <v>0</v>
      </c>
      <c r="AD80" s="336">
        <f t="shared" si="26"/>
        <v>0</v>
      </c>
      <c r="AE80" s="336">
        <f t="shared" si="26"/>
        <v>0</v>
      </c>
      <c r="AF80" s="336">
        <f t="shared" si="26"/>
        <v>0</v>
      </c>
      <c r="AG80" s="336">
        <f t="shared" si="26"/>
        <v>0</v>
      </c>
      <c r="AH80" s="336">
        <f t="shared" si="26"/>
        <v>0</v>
      </c>
      <c r="AI80" s="336">
        <f t="shared" si="26"/>
        <v>0</v>
      </c>
      <c r="AJ80" s="336">
        <f t="shared" si="26"/>
        <v>0</v>
      </c>
      <c r="AK80" s="336">
        <f t="shared" si="26"/>
        <v>0</v>
      </c>
      <c r="AL80" s="336">
        <f t="shared" si="26"/>
        <v>0</v>
      </c>
      <c r="AM80" s="336">
        <f t="shared" si="26"/>
        <v>0</v>
      </c>
      <c r="AN80" s="336">
        <f t="shared" si="26"/>
        <v>0</v>
      </c>
      <c r="AO80" s="336">
        <f t="shared" si="26"/>
        <v>0</v>
      </c>
      <c r="AP80" s="336">
        <f t="shared" si="26"/>
        <v>0</v>
      </c>
      <c r="AQ80" s="336">
        <f t="shared" si="26"/>
        <v>0</v>
      </c>
      <c r="AR80" s="336">
        <f t="shared" si="26"/>
        <v>0</v>
      </c>
      <c r="AS80" s="336">
        <f t="shared" si="26"/>
        <v>0</v>
      </c>
      <c r="AT80" s="336">
        <f t="shared" si="26"/>
        <v>0</v>
      </c>
      <c r="AU80" s="336">
        <f t="shared" si="26"/>
        <v>0</v>
      </c>
      <c r="AV80" s="336">
        <f t="shared" si="26"/>
        <v>0</v>
      </c>
      <c r="AW80" s="336">
        <f t="shared" si="26"/>
        <v>0</v>
      </c>
      <c r="AX80" s="336">
        <f t="shared" si="26"/>
        <v>1417116407.3</v>
      </c>
      <c r="AY80" s="336">
        <f t="shared" si="26"/>
        <v>203948460</v>
      </c>
      <c r="AZ80" s="336">
        <f t="shared" si="26"/>
        <v>176971568</v>
      </c>
      <c r="BA80" s="336">
        <f t="shared" si="26"/>
        <v>0</v>
      </c>
      <c r="BB80" s="336">
        <f t="shared" si="26"/>
        <v>0</v>
      </c>
      <c r="BC80" s="336">
        <f t="shared" si="26"/>
        <v>0</v>
      </c>
      <c r="BD80" s="336">
        <f t="shared" si="26"/>
        <v>0</v>
      </c>
      <c r="BE80" s="336">
        <f t="shared" si="26"/>
        <v>0</v>
      </c>
      <c r="BF80" s="336">
        <f t="shared" si="26"/>
        <v>0</v>
      </c>
      <c r="BG80" s="336">
        <f t="shared" si="26"/>
        <v>6845730354.1600008</v>
      </c>
      <c r="BH80" s="336">
        <f t="shared" si="26"/>
        <v>322548460</v>
      </c>
      <c r="BI80" s="336">
        <f t="shared" si="26"/>
        <v>180071568</v>
      </c>
    </row>
    <row r="81" spans="1:68" ht="15.75" x14ac:dyDescent="0.2">
      <c r="A81" s="104"/>
      <c r="B81" s="162">
        <v>1</v>
      </c>
      <c r="C81" s="163" t="s">
        <v>1</v>
      </c>
      <c r="D81" s="164"/>
      <c r="E81" s="165"/>
      <c r="F81" s="166"/>
      <c r="G81" s="167"/>
      <c r="H81" s="168"/>
      <c r="I81" s="169"/>
      <c r="J81" s="170"/>
      <c r="K81" s="170"/>
      <c r="L81" s="169"/>
      <c r="M81" s="337"/>
      <c r="N81" s="168"/>
      <c r="O81" s="167"/>
      <c r="P81" s="167"/>
      <c r="Q81" s="165"/>
      <c r="R81" s="165"/>
      <c r="S81" s="169"/>
      <c r="T81" s="338">
        <f t="shared" ref="T81:BI81" si="27">+T82+T84+T86+T88+T90+T96+T98</f>
        <v>0</v>
      </c>
      <c r="U81" s="338">
        <f t="shared" si="27"/>
        <v>0</v>
      </c>
      <c r="V81" s="338">
        <f t="shared" si="27"/>
        <v>0</v>
      </c>
      <c r="W81" s="338">
        <f t="shared" si="27"/>
        <v>5428613946.8600006</v>
      </c>
      <c r="X81" s="338">
        <f t="shared" si="27"/>
        <v>118600000</v>
      </c>
      <c r="Y81" s="338">
        <f t="shared" si="27"/>
        <v>3100000</v>
      </c>
      <c r="Z81" s="338">
        <f t="shared" si="27"/>
        <v>0</v>
      </c>
      <c r="AA81" s="338">
        <f t="shared" si="27"/>
        <v>0</v>
      </c>
      <c r="AB81" s="338">
        <f t="shared" si="27"/>
        <v>0</v>
      </c>
      <c r="AC81" s="338">
        <f t="shared" si="27"/>
        <v>0</v>
      </c>
      <c r="AD81" s="338">
        <f t="shared" si="27"/>
        <v>0</v>
      </c>
      <c r="AE81" s="338">
        <f t="shared" si="27"/>
        <v>0</v>
      </c>
      <c r="AF81" s="338">
        <f t="shared" si="27"/>
        <v>0</v>
      </c>
      <c r="AG81" s="338">
        <f t="shared" si="27"/>
        <v>0</v>
      </c>
      <c r="AH81" s="338">
        <f t="shared" si="27"/>
        <v>0</v>
      </c>
      <c r="AI81" s="338">
        <f t="shared" si="27"/>
        <v>0</v>
      </c>
      <c r="AJ81" s="338">
        <f t="shared" si="27"/>
        <v>0</v>
      </c>
      <c r="AK81" s="338">
        <f t="shared" si="27"/>
        <v>0</v>
      </c>
      <c r="AL81" s="338">
        <f t="shared" si="27"/>
        <v>0</v>
      </c>
      <c r="AM81" s="338">
        <f t="shared" si="27"/>
        <v>0</v>
      </c>
      <c r="AN81" s="338">
        <f t="shared" si="27"/>
        <v>0</v>
      </c>
      <c r="AO81" s="338">
        <f t="shared" si="27"/>
        <v>0</v>
      </c>
      <c r="AP81" s="338">
        <f t="shared" si="27"/>
        <v>0</v>
      </c>
      <c r="AQ81" s="338">
        <f t="shared" si="27"/>
        <v>0</v>
      </c>
      <c r="AR81" s="338">
        <f t="shared" si="27"/>
        <v>0</v>
      </c>
      <c r="AS81" s="338">
        <f t="shared" si="27"/>
        <v>0</v>
      </c>
      <c r="AT81" s="338">
        <f t="shared" si="27"/>
        <v>0</v>
      </c>
      <c r="AU81" s="338">
        <f t="shared" si="27"/>
        <v>0</v>
      </c>
      <c r="AV81" s="338">
        <f t="shared" si="27"/>
        <v>0</v>
      </c>
      <c r="AW81" s="338">
        <f t="shared" si="27"/>
        <v>0</v>
      </c>
      <c r="AX81" s="338">
        <f t="shared" si="27"/>
        <v>893387495</v>
      </c>
      <c r="AY81" s="338">
        <f t="shared" si="27"/>
        <v>71290724</v>
      </c>
      <c r="AZ81" s="338">
        <f t="shared" si="27"/>
        <v>66140724</v>
      </c>
      <c r="BA81" s="338">
        <f t="shared" si="27"/>
        <v>0</v>
      </c>
      <c r="BB81" s="338">
        <f t="shared" si="27"/>
        <v>0</v>
      </c>
      <c r="BC81" s="338">
        <f t="shared" si="27"/>
        <v>0</v>
      </c>
      <c r="BD81" s="338">
        <f t="shared" si="27"/>
        <v>0</v>
      </c>
      <c r="BE81" s="338">
        <f t="shared" si="27"/>
        <v>0</v>
      </c>
      <c r="BF81" s="338">
        <f t="shared" si="27"/>
        <v>0</v>
      </c>
      <c r="BG81" s="338">
        <f t="shared" si="27"/>
        <v>6322001441.8600006</v>
      </c>
      <c r="BH81" s="338">
        <f t="shared" si="27"/>
        <v>189890724</v>
      </c>
      <c r="BI81" s="338">
        <f t="shared" si="27"/>
        <v>69240724</v>
      </c>
    </row>
    <row r="82" spans="1:68" ht="15.75" x14ac:dyDescent="0.2">
      <c r="A82" s="104"/>
      <c r="B82" s="105"/>
      <c r="C82" s="252">
        <v>1</v>
      </c>
      <c r="D82" s="253">
        <v>1202</v>
      </c>
      <c r="E82" s="175" t="s">
        <v>198</v>
      </c>
      <c r="F82" s="138"/>
      <c r="G82" s="139"/>
      <c r="H82" s="176"/>
      <c r="I82" s="177"/>
      <c r="J82" s="178"/>
      <c r="K82" s="178"/>
      <c r="L82" s="177"/>
      <c r="M82" s="339"/>
      <c r="N82" s="176"/>
      <c r="O82" s="139"/>
      <c r="P82" s="139"/>
      <c r="Q82" s="181"/>
      <c r="R82" s="181"/>
      <c r="S82" s="177"/>
      <c r="T82" s="340">
        <f t="shared" ref="T82:BI82" si="28">T83</f>
        <v>0</v>
      </c>
      <c r="U82" s="340">
        <f t="shared" si="28"/>
        <v>0</v>
      </c>
      <c r="V82" s="340">
        <f t="shared" si="28"/>
        <v>0</v>
      </c>
      <c r="W82" s="340">
        <f t="shared" si="28"/>
        <v>0</v>
      </c>
      <c r="X82" s="340">
        <f t="shared" si="28"/>
        <v>0</v>
      </c>
      <c r="Y82" s="340">
        <f t="shared" si="28"/>
        <v>0</v>
      </c>
      <c r="Z82" s="340">
        <f t="shared" si="28"/>
        <v>0</v>
      </c>
      <c r="AA82" s="340">
        <f t="shared" si="28"/>
        <v>0</v>
      </c>
      <c r="AB82" s="340">
        <f t="shared" si="28"/>
        <v>0</v>
      </c>
      <c r="AC82" s="340">
        <f t="shared" si="28"/>
        <v>0</v>
      </c>
      <c r="AD82" s="340">
        <f t="shared" si="28"/>
        <v>0</v>
      </c>
      <c r="AE82" s="340">
        <f t="shared" si="28"/>
        <v>0</v>
      </c>
      <c r="AF82" s="340">
        <f t="shared" si="28"/>
        <v>0</v>
      </c>
      <c r="AG82" s="340">
        <f t="shared" si="28"/>
        <v>0</v>
      </c>
      <c r="AH82" s="340">
        <f t="shared" si="28"/>
        <v>0</v>
      </c>
      <c r="AI82" s="340">
        <f t="shared" si="28"/>
        <v>0</v>
      </c>
      <c r="AJ82" s="340">
        <f t="shared" si="28"/>
        <v>0</v>
      </c>
      <c r="AK82" s="340">
        <f t="shared" si="28"/>
        <v>0</v>
      </c>
      <c r="AL82" s="340">
        <f t="shared" si="28"/>
        <v>0</v>
      </c>
      <c r="AM82" s="340">
        <f t="shared" si="28"/>
        <v>0</v>
      </c>
      <c r="AN82" s="340">
        <f t="shared" si="28"/>
        <v>0</v>
      </c>
      <c r="AO82" s="340">
        <f t="shared" si="28"/>
        <v>0</v>
      </c>
      <c r="AP82" s="340">
        <f t="shared" si="28"/>
        <v>0</v>
      </c>
      <c r="AQ82" s="340">
        <f t="shared" si="28"/>
        <v>0</v>
      </c>
      <c r="AR82" s="340">
        <f t="shared" si="28"/>
        <v>0</v>
      </c>
      <c r="AS82" s="340">
        <f t="shared" si="28"/>
        <v>0</v>
      </c>
      <c r="AT82" s="340">
        <f t="shared" si="28"/>
        <v>0</v>
      </c>
      <c r="AU82" s="340">
        <f t="shared" si="28"/>
        <v>0</v>
      </c>
      <c r="AV82" s="340">
        <f t="shared" si="28"/>
        <v>0</v>
      </c>
      <c r="AW82" s="340">
        <f t="shared" si="28"/>
        <v>0</v>
      </c>
      <c r="AX82" s="340">
        <f t="shared" si="28"/>
        <v>112128400</v>
      </c>
      <c r="AY82" s="340">
        <f t="shared" si="28"/>
        <v>14200000</v>
      </c>
      <c r="AZ82" s="340">
        <f t="shared" si="28"/>
        <v>11200000</v>
      </c>
      <c r="BA82" s="340">
        <f t="shared" si="28"/>
        <v>0</v>
      </c>
      <c r="BB82" s="340">
        <f t="shared" si="28"/>
        <v>0</v>
      </c>
      <c r="BC82" s="340">
        <f t="shared" si="28"/>
        <v>0</v>
      </c>
      <c r="BD82" s="340">
        <f t="shared" si="28"/>
        <v>0</v>
      </c>
      <c r="BE82" s="340">
        <f t="shared" si="28"/>
        <v>0</v>
      </c>
      <c r="BF82" s="340">
        <f t="shared" si="28"/>
        <v>0</v>
      </c>
      <c r="BG82" s="340">
        <f t="shared" si="28"/>
        <v>112128400</v>
      </c>
      <c r="BH82" s="340">
        <f t="shared" si="28"/>
        <v>14200000</v>
      </c>
      <c r="BI82" s="341">
        <f t="shared" si="28"/>
        <v>11200000</v>
      </c>
    </row>
    <row r="83" spans="1:68" ht="201" customHeight="1" x14ac:dyDescent="0.2">
      <c r="A83" s="104"/>
      <c r="B83" s="255"/>
      <c r="C83" s="295"/>
      <c r="D83" s="144"/>
      <c r="E83" s="121"/>
      <c r="F83" s="145" t="s">
        <v>199</v>
      </c>
      <c r="G83" s="342" t="s">
        <v>324</v>
      </c>
      <c r="H83" s="123">
        <v>1202004</v>
      </c>
      <c r="I83" s="125" t="s">
        <v>325</v>
      </c>
      <c r="J83" s="342" t="s">
        <v>326</v>
      </c>
      <c r="K83" s="297">
        <v>120200400</v>
      </c>
      <c r="L83" s="343" t="s">
        <v>327</v>
      </c>
      <c r="M83" s="127" t="s">
        <v>109</v>
      </c>
      <c r="N83" s="124">
        <v>12</v>
      </c>
      <c r="O83" s="123">
        <v>12</v>
      </c>
      <c r="P83" s="344"/>
      <c r="Q83" s="149" t="s">
        <v>328</v>
      </c>
      <c r="R83" s="212" t="s">
        <v>329</v>
      </c>
      <c r="S83" s="211" t="s">
        <v>330</v>
      </c>
      <c r="T83" s="345"/>
      <c r="U83" s="129"/>
      <c r="V83" s="129"/>
      <c r="W83" s="195"/>
      <c r="X83" s="195"/>
      <c r="Y83" s="195"/>
      <c r="Z83" s="129"/>
      <c r="AA83" s="129"/>
      <c r="AB83" s="129"/>
      <c r="AC83" s="129"/>
      <c r="AD83" s="129"/>
      <c r="AE83" s="129"/>
      <c r="AF83" s="129"/>
      <c r="AG83" s="129"/>
      <c r="AH83" s="129"/>
      <c r="AI83" s="129"/>
      <c r="AJ83" s="129"/>
      <c r="AK83" s="129"/>
      <c r="AL83" s="129"/>
      <c r="AM83" s="129"/>
      <c r="AN83" s="129"/>
      <c r="AO83" s="129"/>
      <c r="AP83" s="129"/>
      <c r="AQ83" s="129"/>
      <c r="AR83" s="129"/>
      <c r="AS83" s="129"/>
      <c r="AT83" s="129"/>
      <c r="AU83" s="129"/>
      <c r="AV83" s="187"/>
      <c r="AW83" s="187"/>
      <c r="AX83" s="188">
        <v>112128400</v>
      </c>
      <c r="AY83" s="188">
        <v>14200000</v>
      </c>
      <c r="AZ83" s="188">
        <v>11200000</v>
      </c>
      <c r="BA83" s="187"/>
      <c r="BB83" s="187"/>
      <c r="BC83" s="187"/>
      <c r="BD83" s="187"/>
      <c r="BE83" s="187"/>
      <c r="BF83" s="187"/>
      <c r="BG83" s="131">
        <f>+T83+W83+Z83+AC83+AF83+AI83+AL83+AO83+AR83+AU83+AX83+BA83+BD83</f>
        <v>112128400</v>
      </c>
      <c r="BH83" s="131">
        <f>+U83+X83+AA83+AD83+AG83+AJ83+AM83+AP83+AS83+AV83+AY83+BB83+BE83</f>
        <v>14200000</v>
      </c>
      <c r="BI83" s="131">
        <f>+V83+Y83+AB83+AE83+AH83+AK83+AN83+AQ83+AT83+AW83+AZ83+BC83+BF83</f>
        <v>11200000</v>
      </c>
      <c r="BJ83" s="55"/>
      <c r="BK83" s="55"/>
      <c r="BL83" s="55"/>
      <c r="BM83" s="55"/>
      <c r="BN83" s="55"/>
      <c r="BO83" s="55"/>
      <c r="BP83" s="55"/>
    </row>
    <row r="84" spans="1:68" ht="20.25" customHeight="1" x14ac:dyDescent="0.2">
      <c r="A84" s="104"/>
      <c r="B84" s="134"/>
      <c r="C84" s="346">
        <v>2</v>
      </c>
      <c r="D84" s="347">
        <v>1203</v>
      </c>
      <c r="E84" s="175" t="s">
        <v>331</v>
      </c>
      <c r="F84" s="138"/>
      <c r="G84" s="139"/>
      <c r="H84" s="176"/>
      <c r="I84" s="177"/>
      <c r="J84" s="178"/>
      <c r="K84" s="178"/>
      <c r="L84" s="177"/>
      <c r="M84" s="339"/>
      <c r="N84" s="176"/>
      <c r="O84" s="139"/>
      <c r="P84" s="139"/>
      <c r="Q84" s="181"/>
      <c r="R84" s="181"/>
      <c r="S84" s="177"/>
      <c r="T84" s="348">
        <f t="shared" ref="T84:BI84" si="29">T85</f>
        <v>0</v>
      </c>
      <c r="U84" s="348">
        <f t="shared" si="29"/>
        <v>0</v>
      </c>
      <c r="V84" s="348">
        <f t="shared" si="29"/>
        <v>0</v>
      </c>
      <c r="W84" s="348">
        <f t="shared" si="29"/>
        <v>0</v>
      </c>
      <c r="X84" s="348">
        <f t="shared" si="29"/>
        <v>0</v>
      </c>
      <c r="Y84" s="348">
        <f t="shared" si="29"/>
        <v>0</v>
      </c>
      <c r="Z84" s="348">
        <f t="shared" si="29"/>
        <v>0</v>
      </c>
      <c r="AA84" s="348">
        <f t="shared" si="29"/>
        <v>0</v>
      </c>
      <c r="AB84" s="348">
        <f t="shared" si="29"/>
        <v>0</v>
      </c>
      <c r="AC84" s="348">
        <f t="shared" si="29"/>
        <v>0</v>
      </c>
      <c r="AD84" s="348">
        <f t="shared" si="29"/>
        <v>0</v>
      </c>
      <c r="AE84" s="348">
        <f t="shared" si="29"/>
        <v>0</v>
      </c>
      <c r="AF84" s="348">
        <f t="shared" si="29"/>
        <v>0</v>
      </c>
      <c r="AG84" s="348">
        <f t="shared" si="29"/>
        <v>0</v>
      </c>
      <c r="AH84" s="348">
        <f t="shared" si="29"/>
        <v>0</v>
      </c>
      <c r="AI84" s="348">
        <f t="shared" si="29"/>
        <v>0</v>
      </c>
      <c r="AJ84" s="348">
        <f t="shared" si="29"/>
        <v>0</v>
      </c>
      <c r="AK84" s="348">
        <f t="shared" si="29"/>
        <v>0</v>
      </c>
      <c r="AL84" s="348">
        <f t="shared" si="29"/>
        <v>0</v>
      </c>
      <c r="AM84" s="348">
        <f t="shared" si="29"/>
        <v>0</v>
      </c>
      <c r="AN84" s="348">
        <f t="shared" si="29"/>
        <v>0</v>
      </c>
      <c r="AO84" s="348">
        <f t="shared" si="29"/>
        <v>0</v>
      </c>
      <c r="AP84" s="348">
        <f t="shared" si="29"/>
        <v>0</v>
      </c>
      <c r="AQ84" s="348">
        <f t="shared" si="29"/>
        <v>0</v>
      </c>
      <c r="AR84" s="348">
        <f t="shared" si="29"/>
        <v>0</v>
      </c>
      <c r="AS84" s="348">
        <f t="shared" si="29"/>
        <v>0</v>
      </c>
      <c r="AT84" s="348">
        <f t="shared" si="29"/>
        <v>0</v>
      </c>
      <c r="AU84" s="348">
        <f t="shared" si="29"/>
        <v>0</v>
      </c>
      <c r="AV84" s="348">
        <f t="shared" si="29"/>
        <v>0</v>
      </c>
      <c r="AW84" s="348">
        <f t="shared" si="29"/>
        <v>0</v>
      </c>
      <c r="AX84" s="348">
        <f t="shared" si="29"/>
        <v>15000000</v>
      </c>
      <c r="AY84" s="348">
        <f t="shared" si="29"/>
        <v>620000</v>
      </c>
      <c r="AZ84" s="348">
        <f t="shared" si="29"/>
        <v>620000</v>
      </c>
      <c r="BA84" s="348">
        <f t="shared" si="29"/>
        <v>0</v>
      </c>
      <c r="BB84" s="348">
        <f t="shared" si="29"/>
        <v>0</v>
      </c>
      <c r="BC84" s="348">
        <f t="shared" si="29"/>
        <v>0</v>
      </c>
      <c r="BD84" s="348">
        <f t="shared" si="29"/>
        <v>0</v>
      </c>
      <c r="BE84" s="348">
        <f t="shared" si="29"/>
        <v>0</v>
      </c>
      <c r="BF84" s="348">
        <f t="shared" si="29"/>
        <v>0</v>
      </c>
      <c r="BG84" s="348">
        <f t="shared" si="29"/>
        <v>15000000</v>
      </c>
      <c r="BH84" s="348">
        <f t="shared" si="29"/>
        <v>620000</v>
      </c>
      <c r="BI84" s="348">
        <f t="shared" si="29"/>
        <v>620000</v>
      </c>
    </row>
    <row r="85" spans="1:68" ht="186" customHeight="1" x14ac:dyDescent="0.2">
      <c r="A85" s="104"/>
      <c r="B85" s="255"/>
      <c r="C85" s="295"/>
      <c r="D85" s="144"/>
      <c r="E85" s="121"/>
      <c r="F85" s="145" t="s">
        <v>199</v>
      </c>
      <c r="G85" s="124" t="s">
        <v>332</v>
      </c>
      <c r="H85" s="123">
        <v>1203002</v>
      </c>
      <c r="I85" s="125" t="s">
        <v>333</v>
      </c>
      <c r="J85" s="342" t="s">
        <v>334</v>
      </c>
      <c r="K85" s="297">
        <v>120300200</v>
      </c>
      <c r="L85" s="343" t="s">
        <v>335</v>
      </c>
      <c r="M85" s="349" t="s">
        <v>204</v>
      </c>
      <c r="N85" s="124">
        <v>150</v>
      </c>
      <c r="O85" s="123">
        <v>10</v>
      </c>
      <c r="P85" s="344"/>
      <c r="Q85" s="149" t="s">
        <v>328</v>
      </c>
      <c r="R85" s="212" t="s">
        <v>336</v>
      </c>
      <c r="S85" s="211" t="s">
        <v>337</v>
      </c>
      <c r="T85" s="129"/>
      <c r="U85" s="261"/>
      <c r="V85" s="261"/>
      <c r="W85" s="350"/>
      <c r="X85" s="350"/>
      <c r="Y85" s="350"/>
      <c r="Z85" s="129"/>
      <c r="AA85" s="129"/>
      <c r="AB85" s="129"/>
      <c r="AC85" s="129"/>
      <c r="AD85" s="129"/>
      <c r="AE85" s="129"/>
      <c r="AF85" s="129"/>
      <c r="AG85" s="129"/>
      <c r="AH85" s="129"/>
      <c r="AI85" s="129"/>
      <c r="AJ85" s="129"/>
      <c r="AK85" s="129"/>
      <c r="AL85" s="129"/>
      <c r="AM85" s="129"/>
      <c r="AN85" s="129"/>
      <c r="AO85" s="129"/>
      <c r="AP85" s="129"/>
      <c r="AQ85" s="129"/>
      <c r="AR85" s="129"/>
      <c r="AS85" s="129"/>
      <c r="AT85" s="129"/>
      <c r="AU85" s="129"/>
      <c r="AV85" s="187"/>
      <c r="AW85" s="187"/>
      <c r="AX85" s="188">
        <f>15000000</f>
        <v>15000000</v>
      </c>
      <c r="AY85" s="188">
        <v>620000</v>
      </c>
      <c r="AZ85" s="188">
        <v>620000</v>
      </c>
      <c r="BA85" s="187"/>
      <c r="BB85" s="187"/>
      <c r="BC85" s="187"/>
      <c r="BD85" s="351"/>
      <c r="BE85" s="351"/>
      <c r="BF85" s="351"/>
      <c r="BG85" s="131">
        <f>+T85+W85+Z85+AC85+AF85+AI85+AL85+AO85+AR85+AU85+AX85+BA85+BD85</f>
        <v>15000000</v>
      </c>
      <c r="BH85" s="131">
        <f>+U85+X85+AA85+AD85+AG85+AJ85+AM85+AP85+AS85+AV85+AY85+BB85+BE85</f>
        <v>620000</v>
      </c>
      <c r="BI85" s="131">
        <f>+V85+Y85+AB85+AE85+AH85+AK85+AN85+AQ85+AT85+AW85+AZ85+BC85+BF85</f>
        <v>620000</v>
      </c>
      <c r="BJ85" s="55"/>
      <c r="BK85" s="55"/>
      <c r="BL85" s="55"/>
      <c r="BM85" s="55"/>
      <c r="BN85" s="55"/>
      <c r="BO85" s="55"/>
      <c r="BP85" s="55"/>
    </row>
    <row r="86" spans="1:68" ht="21" customHeight="1" x14ac:dyDescent="0.2">
      <c r="A86" s="104"/>
      <c r="B86" s="134"/>
      <c r="C86" s="346">
        <v>3</v>
      </c>
      <c r="D86" s="347">
        <v>1206</v>
      </c>
      <c r="E86" s="175" t="s">
        <v>338</v>
      </c>
      <c r="F86" s="138"/>
      <c r="G86" s="139"/>
      <c r="H86" s="176"/>
      <c r="I86" s="177"/>
      <c r="J86" s="178"/>
      <c r="K86" s="178"/>
      <c r="L86" s="177"/>
      <c r="M86" s="339"/>
      <c r="N86" s="176"/>
      <c r="O86" s="139"/>
      <c r="P86" s="139"/>
      <c r="Q86" s="178"/>
      <c r="R86" s="181"/>
      <c r="S86" s="177"/>
      <c r="T86" s="348">
        <f t="shared" ref="T86:BI86" si="30">T87</f>
        <v>0</v>
      </c>
      <c r="U86" s="348">
        <f t="shared" si="30"/>
        <v>0</v>
      </c>
      <c r="V86" s="348">
        <f t="shared" si="30"/>
        <v>0</v>
      </c>
      <c r="W86" s="348">
        <f t="shared" si="30"/>
        <v>0</v>
      </c>
      <c r="X86" s="348">
        <f t="shared" si="30"/>
        <v>0</v>
      </c>
      <c r="Y86" s="348">
        <f t="shared" si="30"/>
        <v>0</v>
      </c>
      <c r="Z86" s="348">
        <f t="shared" si="30"/>
        <v>0</v>
      </c>
      <c r="AA86" s="348">
        <f t="shared" si="30"/>
        <v>0</v>
      </c>
      <c r="AB86" s="348">
        <f t="shared" si="30"/>
        <v>0</v>
      </c>
      <c r="AC86" s="348">
        <f t="shared" si="30"/>
        <v>0</v>
      </c>
      <c r="AD86" s="348">
        <f t="shared" si="30"/>
        <v>0</v>
      </c>
      <c r="AE86" s="348">
        <f t="shared" si="30"/>
        <v>0</v>
      </c>
      <c r="AF86" s="348">
        <f t="shared" si="30"/>
        <v>0</v>
      </c>
      <c r="AG86" s="348">
        <f t="shared" si="30"/>
        <v>0</v>
      </c>
      <c r="AH86" s="348">
        <f t="shared" si="30"/>
        <v>0</v>
      </c>
      <c r="AI86" s="348">
        <f t="shared" si="30"/>
        <v>0</v>
      </c>
      <c r="AJ86" s="348">
        <f t="shared" si="30"/>
        <v>0</v>
      </c>
      <c r="AK86" s="348">
        <f t="shared" si="30"/>
        <v>0</v>
      </c>
      <c r="AL86" s="348">
        <f t="shared" si="30"/>
        <v>0</v>
      </c>
      <c r="AM86" s="348">
        <f t="shared" si="30"/>
        <v>0</v>
      </c>
      <c r="AN86" s="348">
        <f t="shared" si="30"/>
        <v>0</v>
      </c>
      <c r="AO86" s="348">
        <f t="shared" si="30"/>
        <v>0</v>
      </c>
      <c r="AP86" s="348">
        <f t="shared" si="30"/>
        <v>0</v>
      </c>
      <c r="AQ86" s="348">
        <f t="shared" si="30"/>
        <v>0</v>
      </c>
      <c r="AR86" s="348">
        <f t="shared" si="30"/>
        <v>0</v>
      </c>
      <c r="AS86" s="348">
        <f t="shared" si="30"/>
        <v>0</v>
      </c>
      <c r="AT86" s="348">
        <f t="shared" si="30"/>
        <v>0</v>
      </c>
      <c r="AU86" s="348">
        <f t="shared" si="30"/>
        <v>0</v>
      </c>
      <c r="AV86" s="348">
        <f t="shared" si="30"/>
        <v>0</v>
      </c>
      <c r="AW86" s="348">
        <f t="shared" si="30"/>
        <v>0</v>
      </c>
      <c r="AX86" s="348">
        <f t="shared" si="30"/>
        <v>15000000</v>
      </c>
      <c r="AY86" s="348">
        <f t="shared" si="30"/>
        <v>620000</v>
      </c>
      <c r="AZ86" s="348">
        <f t="shared" si="30"/>
        <v>620000</v>
      </c>
      <c r="BA86" s="348">
        <f t="shared" si="30"/>
        <v>0</v>
      </c>
      <c r="BB86" s="348">
        <f t="shared" si="30"/>
        <v>0</v>
      </c>
      <c r="BC86" s="348">
        <f t="shared" si="30"/>
        <v>0</v>
      </c>
      <c r="BD86" s="348">
        <f t="shared" si="30"/>
        <v>0</v>
      </c>
      <c r="BE86" s="348">
        <f t="shared" si="30"/>
        <v>0</v>
      </c>
      <c r="BF86" s="348">
        <f t="shared" si="30"/>
        <v>0</v>
      </c>
      <c r="BG86" s="348">
        <f t="shared" si="30"/>
        <v>15000000</v>
      </c>
      <c r="BH86" s="348">
        <f t="shared" si="30"/>
        <v>620000</v>
      </c>
      <c r="BI86" s="348">
        <f t="shared" si="30"/>
        <v>620000</v>
      </c>
    </row>
    <row r="87" spans="1:68" ht="201.75" customHeight="1" x14ac:dyDescent="0.2">
      <c r="A87" s="104"/>
      <c r="B87" s="255"/>
      <c r="C87" s="295"/>
      <c r="D87" s="144"/>
      <c r="E87" s="121"/>
      <c r="F87" s="145" t="s">
        <v>199</v>
      </c>
      <c r="G87" s="149" t="s">
        <v>339</v>
      </c>
      <c r="H87" s="123">
        <v>1206005</v>
      </c>
      <c r="I87" s="125" t="s">
        <v>340</v>
      </c>
      <c r="J87" s="149" t="s">
        <v>341</v>
      </c>
      <c r="K87" s="297">
        <v>120600500</v>
      </c>
      <c r="L87" s="352" t="s">
        <v>342</v>
      </c>
      <c r="M87" s="353" t="s">
        <v>204</v>
      </c>
      <c r="N87" s="185">
        <v>100</v>
      </c>
      <c r="O87" s="123">
        <v>15</v>
      </c>
      <c r="P87" s="344"/>
      <c r="Q87" s="149" t="s">
        <v>328</v>
      </c>
      <c r="R87" s="127" t="s">
        <v>336</v>
      </c>
      <c r="S87" s="186" t="s">
        <v>337</v>
      </c>
      <c r="T87" s="129"/>
      <c r="U87" s="220"/>
      <c r="V87" s="220"/>
      <c r="W87" s="354"/>
      <c r="X87" s="354"/>
      <c r="Y87" s="354"/>
      <c r="Z87" s="129"/>
      <c r="AA87" s="129"/>
      <c r="AB87" s="129"/>
      <c r="AC87" s="129"/>
      <c r="AD87" s="129"/>
      <c r="AE87" s="129"/>
      <c r="AF87" s="129"/>
      <c r="AG87" s="129"/>
      <c r="AH87" s="129"/>
      <c r="AI87" s="129"/>
      <c r="AJ87" s="129"/>
      <c r="AK87" s="129"/>
      <c r="AL87" s="129"/>
      <c r="AM87" s="129"/>
      <c r="AN87" s="129"/>
      <c r="AO87" s="129"/>
      <c r="AP87" s="129"/>
      <c r="AQ87" s="129"/>
      <c r="AR87" s="129"/>
      <c r="AS87" s="129"/>
      <c r="AT87" s="129"/>
      <c r="AU87" s="129"/>
      <c r="AV87" s="129"/>
      <c r="AW87" s="129"/>
      <c r="AX87" s="229">
        <f>15000000</f>
        <v>15000000</v>
      </c>
      <c r="AY87" s="229">
        <v>620000</v>
      </c>
      <c r="AZ87" s="229">
        <v>620000</v>
      </c>
      <c r="BA87" s="129"/>
      <c r="BB87" s="129"/>
      <c r="BC87" s="129"/>
      <c r="BD87" s="129"/>
      <c r="BE87" s="129"/>
      <c r="BF87" s="129"/>
      <c r="BG87" s="131">
        <f>+T87+W87+Z87+AC87+AF87+AI87+AL87+AO87+AR87+AU87+AX87+BA87+BD87</f>
        <v>15000000</v>
      </c>
      <c r="BH87" s="131">
        <f>+U87+X87+AA87+AD87+AG87+AJ87+AM87+AP87+AS87+AV87+AY87+BB87+BE87</f>
        <v>620000</v>
      </c>
      <c r="BI87" s="131">
        <f>+V87+Y87+AB87+AE87+AH87+AK87+AN87+AQ87+AT87+AW87+AZ87+BC87+BF87</f>
        <v>620000</v>
      </c>
      <c r="BJ87" s="55"/>
      <c r="BK87" s="55"/>
      <c r="BL87" s="55"/>
      <c r="BM87" s="55"/>
      <c r="BN87" s="55"/>
      <c r="BO87" s="55"/>
      <c r="BP87" s="55"/>
    </row>
    <row r="88" spans="1:68" ht="18.75" customHeight="1" x14ac:dyDescent="0.2">
      <c r="A88" s="104"/>
      <c r="B88" s="134"/>
      <c r="C88" s="346">
        <v>15</v>
      </c>
      <c r="D88" s="347">
        <v>2201</v>
      </c>
      <c r="E88" s="175" t="s">
        <v>217</v>
      </c>
      <c r="F88" s="138"/>
      <c r="G88" s="139"/>
      <c r="H88" s="176"/>
      <c r="I88" s="177"/>
      <c r="J88" s="178"/>
      <c r="K88" s="178"/>
      <c r="L88" s="177"/>
      <c r="M88" s="339"/>
      <c r="N88" s="176"/>
      <c r="O88" s="139"/>
      <c r="P88" s="139"/>
      <c r="Q88" s="181"/>
      <c r="R88" s="181"/>
      <c r="S88" s="177"/>
      <c r="T88" s="348">
        <f t="shared" ref="T88:BI88" si="31">T89</f>
        <v>0</v>
      </c>
      <c r="U88" s="348">
        <f t="shared" si="31"/>
        <v>0</v>
      </c>
      <c r="V88" s="348">
        <f t="shared" si="31"/>
        <v>0</v>
      </c>
      <c r="W88" s="348">
        <f t="shared" si="31"/>
        <v>0</v>
      </c>
      <c r="X88" s="348">
        <f t="shared" si="31"/>
        <v>0</v>
      </c>
      <c r="Y88" s="348">
        <f t="shared" si="31"/>
        <v>0</v>
      </c>
      <c r="Z88" s="348">
        <f t="shared" si="31"/>
        <v>0</v>
      </c>
      <c r="AA88" s="348">
        <f t="shared" si="31"/>
        <v>0</v>
      </c>
      <c r="AB88" s="348">
        <f t="shared" si="31"/>
        <v>0</v>
      </c>
      <c r="AC88" s="348">
        <f t="shared" si="31"/>
        <v>0</v>
      </c>
      <c r="AD88" s="348">
        <f t="shared" si="31"/>
        <v>0</v>
      </c>
      <c r="AE88" s="348">
        <f t="shared" si="31"/>
        <v>0</v>
      </c>
      <c r="AF88" s="348">
        <f t="shared" si="31"/>
        <v>0</v>
      </c>
      <c r="AG88" s="348">
        <f t="shared" si="31"/>
        <v>0</v>
      </c>
      <c r="AH88" s="348">
        <f t="shared" si="31"/>
        <v>0</v>
      </c>
      <c r="AI88" s="348">
        <f t="shared" si="31"/>
        <v>0</v>
      </c>
      <c r="AJ88" s="348">
        <f t="shared" si="31"/>
        <v>0</v>
      </c>
      <c r="AK88" s="348">
        <f t="shared" si="31"/>
        <v>0</v>
      </c>
      <c r="AL88" s="348">
        <f t="shared" si="31"/>
        <v>0</v>
      </c>
      <c r="AM88" s="348">
        <f t="shared" si="31"/>
        <v>0</v>
      </c>
      <c r="AN88" s="348">
        <f t="shared" si="31"/>
        <v>0</v>
      </c>
      <c r="AO88" s="348">
        <f t="shared" si="31"/>
        <v>0</v>
      </c>
      <c r="AP88" s="348">
        <f t="shared" si="31"/>
        <v>0</v>
      </c>
      <c r="AQ88" s="348">
        <f t="shared" si="31"/>
        <v>0</v>
      </c>
      <c r="AR88" s="348">
        <f t="shared" si="31"/>
        <v>0</v>
      </c>
      <c r="AS88" s="348">
        <f t="shared" si="31"/>
        <v>0</v>
      </c>
      <c r="AT88" s="348">
        <f t="shared" si="31"/>
        <v>0</v>
      </c>
      <c r="AU88" s="348">
        <f t="shared" si="31"/>
        <v>0</v>
      </c>
      <c r="AV88" s="348">
        <f t="shared" si="31"/>
        <v>0</v>
      </c>
      <c r="AW88" s="348">
        <f t="shared" si="31"/>
        <v>0</v>
      </c>
      <c r="AX88" s="348">
        <f t="shared" si="31"/>
        <v>21866667</v>
      </c>
      <c r="AY88" s="348">
        <f t="shared" si="31"/>
        <v>0</v>
      </c>
      <c r="AZ88" s="348">
        <f t="shared" si="31"/>
        <v>0</v>
      </c>
      <c r="BA88" s="348">
        <f t="shared" si="31"/>
        <v>0</v>
      </c>
      <c r="BB88" s="348">
        <f t="shared" si="31"/>
        <v>0</v>
      </c>
      <c r="BC88" s="348">
        <f t="shared" si="31"/>
        <v>0</v>
      </c>
      <c r="BD88" s="348">
        <f t="shared" si="31"/>
        <v>0</v>
      </c>
      <c r="BE88" s="348">
        <f t="shared" si="31"/>
        <v>0</v>
      </c>
      <c r="BF88" s="348">
        <f t="shared" si="31"/>
        <v>0</v>
      </c>
      <c r="BG88" s="348">
        <f t="shared" si="31"/>
        <v>21866667</v>
      </c>
      <c r="BH88" s="348">
        <f t="shared" si="31"/>
        <v>0</v>
      </c>
      <c r="BI88" s="348">
        <f t="shared" si="31"/>
        <v>0</v>
      </c>
    </row>
    <row r="89" spans="1:68" ht="140.25" customHeight="1" x14ac:dyDescent="0.2">
      <c r="A89" s="104"/>
      <c r="B89" s="255"/>
      <c r="C89" s="295"/>
      <c r="D89" s="144"/>
      <c r="E89" s="355"/>
      <c r="F89" s="356" t="s">
        <v>343</v>
      </c>
      <c r="G89" s="127" t="s">
        <v>344</v>
      </c>
      <c r="H89" s="313">
        <v>2201068</v>
      </c>
      <c r="I89" s="186" t="s">
        <v>345</v>
      </c>
      <c r="J89" s="127" t="s">
        <v>346</v>
      </c>
      <c r="K89" s="297">
        <v>220106800</v>
      </c>
      <c r="L89" s="186" t="s">
        <v>347</v>
      </c>
      <c r="M89" s="127" t="s">
        <v>348</v>
      </c>
      <c r="N89" s="124">
        <v>266</v>
      </c>
      <c r="O89" s="124">
        <v>40</v>
      </c>
      <c r="P89" s="124"/>
      <c r="Q89" s="127" t="s">
        <v>224</v>
      </c>
      <c r="R89" s="127" t="s">
        <v>349</v>
      </c>
      <c r="S89" s="186" t="s">
        <v>350</v>
      </c>
      <c r="T89" s="129"/>
      <c r="U89" s="129"/>
      <c r="V89" s="129"/>
      <c r="W89" s="129"/>
      <c r="X89" s="129"/>
      <c r="Y89" s="129"/>
      <c r="Z89" s="129"/>
      <c r="AA89" s="129"/>
      <c r="AB89" s="129"/>
      <c r="AC89" s="129"/>
      <c r="AD89" s="129"/>
      <c r="AE89" s="129"/>
      <c r="AF89" s="129"/>
      <c r="AG89" s="129"/>
      <c r="AH89" s="129"/>
      <c r="AI89" s="129"/>
      <c r="AJ89" s="129"/>
      <c r="AK89" s="129"/>
      <c r="AL89" s="129"/>
      <c r="AM89" s="129"/>
      <c r="AN89" s="129"/>
      <c r="AO89" s="129"/>
      <c r="AP89" s="187"/>
      <c r="AQ89" s="187"/>
      <c r="AR89" s="187"/>
      <c r="AS89" s="187"/>
      <c r="AT89" s="187"/>
      <c r="AU89" s="187"/>
      <c r="AV89" s="187"/>
      <c r="AW89" s="187"/>
      <c r="AX89" s="188">
        <v>21866667</v>
      </c>
      <c r="AY89" s="188"/>
      <c r="AZ89" s="188"/>
      <c r="BA89" s="187"/>
      <c r="BB89" s="187"/>
      <c r="BC89" s="187"/>
      <c r="BD89" s="187"/>
      <c r="BE89" s="187"/>
      <c r="BF89" s="187"/>
      <c r="BG89" s="131">
        <f>+T89+W89+Z89+AC89+AF89+AI89+AL89+AO89+AR89+AU89+AX89+BA89+BD89</f>
        <v>21866667</v>
      </c>
      <c r="BH89" s="131">
        <f>+U89+X89+AA89+AD89+AG89+AJ89+AM89+AP89+AS89+AV89+AY89+BB89+BE89</f>
        <v>0</v>
      </c>
      <c r="BI89" s="131">
        <f>+V89+Y89+AB89+AE89+AH89+AK89+AN89+AQ89+AT89+AW89+AZ89+BC89+BF89</f>
        <v>0</v>
      </c>
      <c r="BJ89" s="55"/>
      <c r="BK89" s="55"/>
      <c r="BL89" s="55"/>
      <c r="BM89" s="55"/>
      <c r="BN89" s="55"/>
      <c r="BO89" s="55"/>
      <c r="BP89" s="55"/>
    </row>
    <row r="90" spans="1:68" ht="15.75" x14ac:dyDescent="0.2">
      <c r="A90" s="104"/>
      <c r="B90" s="134"/>
      <c r="C90" s="346">
        <v>35</v>
      </c>
      <c r="D90" s="347">
        <v>4101</v>
      </c>
      <c r="E90" s="175" t="s">
        <v>351</v>
      </c>
      <c r="F90" s="138"/>
      <c r="G90" s="139"/>
      <c r="H90" s="176"/>
      <c r="I90" s="177"/>
      <c r="J90" s="178"/>
      <c r="K90" s="178"/>
      <c r="L90" s="177"/>
      <c r="M90" s="177"/>
      <c r="N90" s="177"/>
      <c r="O90" s="177"/>
      <c r="P90" s="177"/>
      <c r="Q90" s="181"/>
      <c r="R90" s="181"/>
      <c r="S90" s="177"/>
      <c r="T90" s="357">
        <f t="shared" ref="T90:BI90" si="32">SUM(T91:T95)</f>
        <v>0</v>
      </c>
      <c r="U90" s="357">
        <f t="shared" si="32"/>
        <v>0</v>
      </c>
      <c r="V90" s="357">
        <f t="shared" si="32"/>
        <v>0</v>
      </c>
      <c r="W90" s="357">
        <f t="shared" si="32"/>
        <v>0</v>
      </c>
      <c r="X90" s="357">
        <f t="shared" si="32"/>
        <v>0</v>
      </c>
      <c r="Y90" s="357">
        <f t="shared" si="32"/>
        <v>0</v>
      </c>
      <c r="Z90" s="357">
        <f t="shared" si="32"/>
        <v>0</v>
      </c>
      <c r="AA90" s="357">
        <f t="shared" si="32"/>
        <v>0</v>
      </c>
      <c r="AB90" s="357">
        <f t="shared" si="32"/>
        <v>0</v>
      </c>
      <c r="AC90" s="357">
        <f t="shared" si="32"/>
        <v>0</v>
      </c>
      <c r="AD90" s="357">
        <f t="shared" si="32"/>
        <v>0</v>
      </c>
      <c r="AE90" s="357">
        <f t="shared" si="32"/>
        <v>0</v>
      </c>
      <c r="AF90" s="357">
        <f t="shared" si="32"/>
        <v>0</v>
      </c>
      <c r="AG90" s="357">
        <f t="shared" si="32"/>
        <v>0</v>
      </c>
      <c r="AH90" s="357">
        <f t="shared" si="32"/>
        <v>0</v>
      </c>
      <c r="AI90" s="357">
        <f t="shared" si="32"/>
        <v>0</v>
      </c>
      <c r="AJ90" s="357">
        <f t="shared" si="32"/>
        <v>0</v>
      </c>
      <c r="AK90" s="357">
        <f t="shared" si="32"/>
        <v>0</v>
      </c>
      <c r="AL90" s="357">
        <f t="shared" si="32"/>
        <v>0</v>
      </c>
      <c r="AM90" s="357">
        <f t="shared" si="32"/>
        <v>0</v>
      </c>
      <c r="AN90" s="357">
        <f t="shared" si="32"/>
        <v>0</v>
      </c>
      <c r="AO90" s="357">
        <f t="shared" si="32"/>
        <v>0</v>
      </c>
      <c r="AP90" s="357">
        <f t="shared" si="32"/>
        <v>0</v>
      </c>
      <c r="AQ90" s="357">
        <f t="shared" si="32"/>
        <v>0</v>
      </c>
      <c r="AR90" s="357">
        <f t="shared" si="32"/>
        <v>0</v>
      </c>
      <c r="AS90" s="357">
        <f t="shared" si="32"/>
        <v>0</v>
      </c>
      <c r="AT90" s="357">
        <f t="shared" si="32"/>
        <v>0</v>
      </c>
      <c r="AU90" s="357">
        <f t="shared" si="32"/>
        <v>0</v>
      </c>
      <c r="AV90" s="357">
        <f t="shared" si="32"/>
        <v>0</v>
      </c>
      <c r="AW90" s="357">
        <f t="shared" si="32"/>
        <v>0</v>
      </c>
      <c r="AX90" s="357">
        <f t="shared" si="32"/>
        <v>522730761</v>
      </c>
      <c r="AY90" s="357">
        <f t="shared" si="32"/>
        <v>36458390</v>
      </c>
      <c r="AZ90" s="357">
        <f t="shared" si="32"/>
        <v>35383390</v>
      </c>
      <c r="BA90" s="357">
        <f t="shared" si="32"/>
        <v>0</v>
      </c>
      <c r="BB90" s="357">
        <f t="shared" si="32"/>
        <v>0</v>
      </c>
      <c r="BC90" s="357">
        <f t="shared" si="32"/>
        <v>0</v>
      </c>
      <c r="BD90" s="357">
        <f t="shared" si="32"/>
        <v>0</v>
      </c>
      <c r="BE90" s="357">
        <f t="shared" si="32"/>
        <v>0</v>
      </c>
      <c r="BF90" s="357">
        <f t="shared" si="32"/>
        <v>0</v>
      </c>
      <c r="BG90" s="357">
        <f t="shared" si="32"/>
        <v>522730761</v>
      </c>
      <c r="BH90" s="357">
        <f t="shared" si="32"/>
        <v>36458390</v>
      </c>
      <c r="BI90" s="357">
        <f t="shared" si="32"/>
        <v>35383390</v>
      </c>
    </row>
    <row r="91" spans="1:68" ht="45" x14ac:dyDescent="0.2">
      <c r="A91" s="104"/>
      <c r="B91" s="255"/>
      <c r="C91" s="358"/>
      <c r="D91" s="190"/>
      <c r="E91" s="724"/>
      <c r="F91" s="145" t="s">
        <v>352</v>
      </c>
      <c r="G91" s="146" t="s">
        <v>353</v>
      </c>
      <c r="H91" s="308">
        <v>4101023</v>
      </c>
      <c r="I91" s="186" t="s">
        <v>354</v>
      </c>
      <c r="J91" s="146" t="s">
        <v>355</v>
      </c>
      <c r="K91" s="297">
        <v>410102300</v>
      </c>
      <c r="L91" s="320" t="s">
        <v>356</v>
      </c>
      <c r="M91" s="349" t="s">
        <v>204</v>
      </c>
      <c r="N91" s="124">
        <v>2500</v>
      </c>
      <c r="O91" s="308">
        <v>200</v>
      </c>
      <c r="P91" s="308"/>
      <c r="Q91" s="892" t="s">
        <v>357</v>
      </c>
      <c r="R91" s="887" t="s">
        <v>358</v>
      </c>
      <c r="S91" s="890" t="s">
        <v>359</v>
      </c>
      <c r="T91" s="129"/>
      <c r="U91" s="129"/>
      <c r="V91" s="129"/>
      <c r="W91" s="129"/>
      <c r="X91" s="129"/>
      <c r="Y91" s="129"/>
      <c r="Z91" s="129"/>
      <c r="AA91" s="129"/>
      <c r="AB91" s="129"/>
      <c r="AC91" s="129"/>
      <c r="AD91" s="129"/>
      <c r="AE91" s="129"/>
      <c r="AF91" s="129"/>
      <c r="AG91" s="129"/>
      <c r="AH91" s="129"/>
      <c r="AI91" s="129"/>
      <c r="AJ91" s="129"/>
      <c r="AK91" s="129"/>
      <c r="AL91" s="129"/>
      <c r="AM91" s="129"/>
      <c r="AN91" s="129"/>
      <c r="AO91" s="129"/>
      <c r="AP91" s="129"/>
      <c r="AQ91" s="129"/>
      <c r="AR91" s="129"/>
      <c r="AS91" s="129"/>
      <c r="AT91" s="129"/>
      <c r="AU91" s="129"/>
      <c r="AV91" s="187"/>
      <c r="AW91" s="187"/>
      <c r="AX91" s="188">
        <v>310730761</v>
      </c>
      <c r="AY91" s="188">
        <v>12970000</v>
      </c>
      <c r="AZ91" s="188">
        <v>11895000</v>
      </c>
      <c r="BA91" s="187"/>
      <c r="BB91" s="187"/>
      <c r="BC91" s="187"/>
      <c r="BD91" s="187"/>
      <c r="BE91" s="187"/>
      <c r="BF91" s="187"/>
      <c r="BG91" s="131">
        <f t="shared" ref="BG91:BI95" si="33">+T91+W91+Z91+AC91+AF91+AI91+AL91+AO91+AR91+AU91+AX91+BA91+BD91</f>
        <v>310730761</v>
      </c>
      <c r="BH91" s="131">
        <f t="shared" si="33"/>
        <v>12970000</v>
      </c>
      <c r="BI91" s="131">
        <f t="shared" si="33"/>
        <v>11895000</v>
      </c>
      <c r="BJ91" s="55"/>
      <c r="BK91" s="55"/>
      <c r="BL91" s="55"/>
      <c r="BM91" s="55"/>
      <c r="BN91" s="55"/>
      <c r="BO91" s="55"/>
      <c r="BP91" s="55"/>
    </row>
    <row r="92" spans="1:68" ht="45" x14ac:dyDescent="0.2">
      <c r="A92" s="104"/>
      <c r="B92" s="255"/>
      <c r="C92" s="359"/>
      <c r="D92" s="208"/>
      <c r="E92" s="726"/>
      <c r="F92" s="312" t="s">
        <v>352</v>
      </c>
      <c r="G92" s="127" t="s">
        <v>360</v>
      </c>
      <c r="H92" s="308">
        <v>4101025</v>
      </c>
      <c r="I92" s="186" t="s">
        <v>361</v>
      </c>
      <c r="J92" s="127" t="s">
        <v>362</v>
      </c>
      <c r="K92" s="297">
        <v>410102511</v>
      </c>
      <c r="L92" s="186" t="s">
        <v>363</v>
      </c>
      <c r="M92" s="349" t="s">
        <v>204</v>
      </c>
      <c r="N92" s="124">
        <v>500</v>
      </c>
      <c r="O92" s="308">
        <v>250</v>
      </c>
      <c r="P92" s="308"/>
      <c r="Q92" s="895"/>
      <c r="R92" s="888"/>
      <c r="S92" s="891"/>
      <c r="T92" s="129"/>
      <c r="U92" s="129"/>
      <c r="V92" s="129"/>
      <c r="W92" s="129"/>
      <c r="X92" s="129"/>
      <c r="Y92" s="129"/>
      <c r="Z92" s="129"/>
      <c r="AA92" s="129"/>
      <c r="AB92" s="129"/>
      <c r="AC92" s="129"/>
      <c r="AD92" s="129"/>
      <c r="AE92" s="129"/>
      <c r="AF92" s="129"/>
      <c r="AG92" s="129"/>
      <c r="AH92" s="129"/>
      <c r="AI92" s="129"/>
      <c r="AJ92" s="129"/>
      <c r="AK92" s="129"/>
      <c r="AL92" s="129"/>
      <c r="AM92" s="129"/>
      <c r="AN92" s="129"/>
      <c r="AO92" s="129"/>
      <c r="AP92" s="129"/>
      <c r="AQ92" s="129"/>
      <c r="AR92" s="129"/>
      <c r="AS92" s="129"/>
      <c r="AT92" s="129"/>
      <c r="AU92" s="129"/>
      <c r="AV92" s="187"/>
      <c r="AW92" s="187"/>
      <c r="AX92" s="188">
        <v>50000000</v>
      </c>
      <c r="AY92" s="188">
        <v>4000000</v>
      </c>
      <c r="AZ92" s="188">
        <v>4000000</v>
      </c>
      <c r="BA92" s="187"/>
      <c r="BB92" s="187"/>
      <c r="BC92" s="187"/>
      <c r="BD92" s="187"/>
      <c r="BE92" s="187"/>
      <c r="BF92" s="187"/>
      <c r="BG92" s="131">
        <f t="shared" si="33"/>
        <v>50000000</v>
      </c>
      <c r="BH92" s="131">
        <f t="shared" si="33"/>
        <v>4000000</v>
      </c>
      <c r="BI92" s="131">
        <f t="shared" si="33"/>
        <v>4000000</v>
      </c>
      <c r="BJ92" s="55"/>
      <c r="BK92" s="55"/>
      <c r="BL92" s="55"/>
      <c r="BM92" s="55"/>
      <c r="BN92" s="55"/>
      <c r="BO92" s="55"/>
      <c r="BP92" s="55"/>
    </row>
    <row r="93" spans="1:68" ht="47.25" customHeight="1" x14ac:dyDescent="0.2">
      <c r="A93" s="104"/>
      <c r="B93" s="255"/>
      <c r="C93" s="359"/>
      <c r="D93" s="208"/>
      <c r="E93" s="726"/>
      <c r="F93" s="312" t="s">
        <v>352</v>
      </c>
      <c r="G93" s="127" t="s">
        <v>364</v>
      </c>
      <c r="H93" s="308">
        <v>4101038</v>
      </c>
      <c r="I93" s="186" t="s">
        <v>365</v>
      </c>
      <c r="J93" s="127" t="s">
        <v>366</v>
      </c>
      <c r="K93" s="297">
        <v>410103800</v>
      </c>
      <c r="L93" s="186" t="s">
        <v>367</v>
      </c>
      <c r="M93" s="349" t="s">
        <v>204</v>
      </c>
      <c r="N93" s="124">
        <v>48</v>
      </c>
      <c r="O93" s="308">
        <v>12</v>
      </c>
      <c r="P93" s="308"/>
      <c r="Q93" s="895"/>
      <c r="R93" s="888"/>
      <c r="S93" s="891"/>
      <c r="T93" s="129"/>
      <c r="U93" s="129"/>
      <c r="V93" s="129"/>
      <c r="W93" s="129"/>
      <c r="X93" s="129"/>
      <c r="Y93" s="129"/>
      <c r="Z93" s="129"/>
      <c r="AA93" s="129"/>
      <c r="AB93" s="129"/>
      <c r="AC93" s="129"/>
      <c r="AD93" s="129"/>
      <c r="AE93" s="129"/>
      <c r="AF93" s="129"/>
      <c r="AG93" s="129"/>
      <c r="AH93" s="129"/>
      <c r="AI93" s="129"/>
      <c r="AJ93" s="129"/>
      <c r="AK93" s="129"/>
      <c r="AL93" s="129"/>
      <c r="AM93" s="129"/>
      <c r="AN93" s="129"/>
      <c r="AO93" s="129"/>
      <c r="AP93" s="129"/>
      <c r="AQ93" s="129"/>
      <c r="AR93" s="129"/>
      <c r="AS93" s="129"/>
      <c r="AT93" s="129"/>
      <c r="AU93" s="129"/>
      <c r="AV93" s="187"/>
      <c r="AW93" s="187"/>
      <c r="AX93" s="188">
        <v>42000000</v>
      </c>
      <c r="AY93" s="188">
        <v>4663390</v>
      </c>
      <c r="AZ93" s="188">
        <v>4663390</v>
      </c>
      <c r="BA93" s="187"/>
      <c r="BB93" s="187"/>
      <c r="BC93" s="187"/>
      <c r="BD93" s="187"/>
      <c r="BE93" s="187"/>
      <c r="BF93" s="187"/>
      <c r="BG93" s="131">
        <f t="shared" si="33"/>
        <v>42000000</v>
      </c>
      <c r="BH93" s="131">
        <f t="shared" si="33"/>
        <v>4663390</v>
      </c>
      <c r="BI93" s="131">
        <f t="shared" si="33"/>
        <v>4663390</v>
      </c>
      <c r="BJ93" s="55"/>
      <c r="BK93" s="55"/>
      <c r="BL93" s="55"/>
      <c r="BM93" s="55"/>
      <c r="BN93" s="55"/>
      <c r="BO93" s="55"/>
      <c r="BP93" s="55"/>
    </row>
    <row r="94" spans="1:68" ht="46.5" customHeight="1" x14ac:dyDescent="0.2">
      <c r="A94" s="104"/>
      <c r="B94" s="255"/>
      <c r="C94" s="359"/>
      <c r="D94" s="208"/>
      <c r="E94" s="726"/>
      <c r="F94" s="312" t="s">
        <v>368</v>
      </c>
      <c r="G94" s="127" t="s">
        <v>369</v>
      </c>
      <c r="H94" s="308">
        <v>4101073</v>
      </c>
      <c r="I94" s="186" t="s">
        <v>370</v>
      </c>
      <c r="J94" s="127" t="s">
        <v>371</v>
      </c>
      <c r="K94" s="297">
        <v>410107300</v>
      </c>
      <c r="L94" s="186" t="s">
        <v>372</v>
      </c>
      <c r="M94" s="290" t="s">
        <v>204</v>
      </c>
      <c r="N94" s="146">
        <v>200</v>
      </c>
      <c r="O94" s="146">
        <v>20</v>
      </c>
      <c r="P94" s="146"/>
      <c r="Q94" s="895"/>
      <c r="R94" s="888"/>
      <c r="S94" s="891"/>
      <c r="T94" s="129"/>
      <c r="U94" s="129"/>
      <c r="V94" s="129"/>
      <c r="W94" s="129"/>
      <c r="X94" s="129"/>
      <c r="Y94" s="129"/>
      <c r="Z94" s="129"/>
      <c r="AA94" s="129"/>
      <c r="AB94" s="129"/>
      <c r="AC94" s="129"/>
      <c r="AD94" s="129"/>
      <c r="AE94" s="129"/>
      <c r="AF94" s="129"/>
      <c r="AG94" s="129"/>
      <c r="AH94" s="129"/>
      <c r="AI94" s="129"/>
      <c r="AJ94" s="129"/>
      <c r="AK94" s="129"/>
      <c r="AL94" s="129"/>
      <c r="AM94" s="129"/>
      <c r="AN94" s="129"/>
      <c r="AO94" s="129"/>
      <c r="AP94" s="129"/>
      <c r="AQ94" s="129"/>
      <c r="AR94" s="129"/>
      <c r="AS94" s="129"/>
      <c r="AT94" s="129"/>
      <c r="AU94" s="129"/>
      <c r="AV94" s="187"/>
      <c r="AW94" s="187"/>
      <c r="AX94" s="188">
        <v>65000000</v>
      </c>
      <c r="AY94" s="188">
        <v>9400000</v>
      </c>
      <c r="AZ94" s="188">
        <v>9400000</v>
      </c>
      <c r="BA94" s="187"/>
      <c r="BB94" s="187"/>
      <c r="BC94" s="187"/>
      <c r="BD94" s="187"/>
      <c r="BE94" s="187"/>
      <c r="BF94" s="187"/>
      <c r="BG94" s="131">
        <f t="shared" si="33"/>
        <v>65000000</v>
      </c>
      <c r="BH94" s="131">
        <f t="shared" si="33"/>
        <v>9400000</v>
      </c>
      <c r="BI94" s="131">
        <f t="shared" si="33"/>
        <v>9400000</v>
      </c>
      <c r="BJ94" s="55"/>
      <c r="BK94" s="55"/>
      <c r="BL94" s="55"/>
      <c r="BM94" s="55"/>
      <c r="BN94" s="55"/>
      <c r="BO94" s="55"/>
      <c r="BP94" s="55"/>
    </row>
    <row r="95" spans="1:68" ht="60" x14ac:dyDescent="0.2">
      <c r="A95" s="104"/>
      <c r="B95" s="255"/>
      <c r="C95" s="360"/>
      <c r="D95" s="361"/>
      <c r="E95" s="725"/>
      <c r="F95" s="312" t="s">
        <v>373</v>
      </c>
      <c r="G95" s="127" t="s">
        <v>374</v>
      </c>
      <c r="H95" s="308">
        <v>4101011</v>
      </c>
      <c r="I95" s="186" t="s">
        <v>375</v>
      </c>
      <c r="J95" s="127" t="s">
        <v>376</v>
      </c>
      <c r="K95" s="297">
        <v>410101100</v>
      </c>
      <c r="L95" s="186" t="s">
        <v>377</v>
      </c>
      <c r="M95" s="349" t="s">
        <v>204</v>
      </c>
      <c r="N95" s="124">
        <v>10</v>
      </c>
      <c r="O95" s="308">
        <v>2</v>
      </c>
      <c r="P95" s="308"/>
      <c r="Q95" s="893"/>
      <c r="R95" s="889"/>
      <c r="S95" s="894"/>
      <c r="T95" s="129"/>
      <c r="U95" s="129"/>
      <c r="V95" s="129"/>
      <c r="W95" s="129"/>
      <c r="X95" s="129"/>
      <c r="Y95" s="129"/>
      <c r="Z95" s="129"/>
      <c r="AA95" s="129"/>
      <c r="AB95" s="129"/>
      <c r="AC95" s="129"/>
      <c r="AD95" s="129"/>
      <c r="AE95" s="129"/>
      <c r="AF95" s="129"/>
      <c r="AG95" s="129"/>
      <c r="AH95" s="129"/>
      <c r="AI95" s="129"/>
      <c r="AJ95" s="129"/>
      <c r="AK95" s="129"/>
      <c r="AL95" s="129"/>
      <c r="AM95" s="129"/>
      <c r="AN95" s="129"/>
      <c r="AO95" s="129"/>
      <c r="AP95" s="129"/>
      <c r="AQ95" s="129"/>
      <c r="AR95" s="129"/>
      <c r="AS95" s="129"/>
      <c r="AT95" s="129"/>
      <c r="AU95" s="129"/>
      <c r="AV95" s="187"/>
      <c r="AW95" s="187"/>
      <c r="AX95" s="188">
        <v>55000000</v>
      </c>
      <c r="AY95" s="188">
        <v>5425000</v>
      </c>
      <c r="AZ95" s="188">
        <v>5425000</v>
      </c>
      <c r="BA95" s="187"/>
      <c r="BB95" s="187"/>
      <c r="BC95" s="187"/>
      <c r="BD95" s="187"/>
      <c r="BE95" s="187"/>
      <c r="BF95" s="187"/>
      <c r="BG95" s="131">
        <f t="shared" si="33"/>
        <v>55000000</v>
      </c>
      <c r="BH95" s="131">
        <f t="shared" si="33"/>
        <v>5425000</v>
      </c>
      <c r="BI95" s="131">
        <f t="shared" si="33"/>
        <v>5425000</v>
      </c>
      <c r="BJ95" s="55"/>
      <c r="BK95" s="55"/>
      <c r="BL95" s="55"/>
      <c r="BM95" s="55"/>
      <c r="BN95" s="55"/>
      <c r="BO95" s="55"/>
      <c r="BP95" s="55"/>
    </row>
    <row r="96" spans="1:68" ht="17.25" customHeight="1" x14ac:dyDescent="0.2">
      <c r="A96" s="104"/>
      <c r="B96" s="118"/>
      <c r="C96" s="362">
        <v>37</v>
      </c>
      <c r="D96" s="363">
        <v>4103</v>
      </c>
      <c r="E96" s="175" t="s">
        <v>378</v>
      </c>
      <c r="F96" s="138"/>
      <c r="G96" s="139"/>
      <c r="H96" s="176"/>
      <c r="I96" s="177"/>
      <c r="J96" s="178"/>
      <c r="K96" s="178"/>
      <c r="L96" s="177"/>
      <c r="M96" s="339"/>
      <c r="N96" s="176"/>
      <c r="O96" s="139"/>
      <c r="P96" s="139"/>
      <c r="Q96" s="181"/>
      <c r="R96" s="181"/>
      <c r="S96" s="177"/>
      <c r="T96" s="364">
        <f t="shared" ref="T96:BI96" si="34">+T97</f>
        <v>0</v>
      </c>
      <c r="U96" s="364">
        <f t="shared" si="34"/>
        <v>0</v>
      </c>
      <c r="V96" s="364">
        <f t="shared" si="34"/>
        <v>0</v>
      </c>
      <c r="W96" s="364">
        <f t="shared" si="34"/>
        <v>0</v>
      </c>
      <c r="X96" s="364">
        <f t="shared" si="34"/>
        <v>0</v>
      </c>
      <c r="Y96" s="364">
        <f t="shared" si="34"/>
        <v>0</v>
      </c>
      <c r="Z96" s="364">
        <f t="shared" si="34"/>
        <v>0</v>
      </c>
      <c r="AA96" s="364">
        <f t="shared" si="34"/>
        <v>0</v>
      </c>
      <c r="AB96" s="364">
        <f t="shared" si="34"/>
        <v>0</v>
      </c>
      <c r="AC96" s="364">
        <f t="shared" si="34"/>
        <v>0</v>
      </c>
      <c r="AD96" s="364">
        <f t="shared" si="34"/>
        <v>0</v>
      </c>
      <c r="AE96" s="364">
        <f t="shared" si="34"/>
        <v>0</v>
      </c>
      <c r="AF96" s="364">
        <f t="shared" si="34"/>
        <v>0</v>
      </c>
      <c r="AG96" s="364">
        <f t="shared" si="34"/>
        <v>0</v>
      </c>
      <c r="AH96" s="364">
        <f t="shared" si="34"/>
        <v>0</v>
      </c>
      <c r="AI96" s="364">
        <f t="shared" si="34"/>
        <v>0</v>
      </c>
      <c r="AJ96" s="364">
        <f t="shared" si="34"/>
        <v>0</v>
      </c>
      <c r="AK96" s="364">
        <f t="shared" si="34"/>
        <v>0</v>
      </c>
      <c r="AL96" s="364">
        <f t="shared" si="34"/>
        <v>0</v>
      </c>
      <c r="AM96" s="364">
        <f t="shared" si="34"/>
        <v>0</v>
      </c>
      <c r="AN96" s="364">
        <f t="shared" si="34"/>
        <v>0</v>
      </c>
      <c r="AO96" s="364">
        <f t="shared" si="34"/>
        <v>0</v>
      </c>
      <c r="AP96" s="364">
        <f t="shared" si="34"/>
        <v>0</v>
      </c>
      <c r="AQ96" s="364">
        <f t="shared" si="34"/>
        <v>0</v>
      </c>
      <c r="AR96" s="364">
        <f t="shared" si="34"/>
        <v>0</v>
      </c>
      <c r="AS96" s="364">
        <f t="shared" si="34"/>
        <v>0</v>
      </c>
      <c r="AT96" s="364">
        <f t="shared" si="34"/>
        <v>0</v>
      </c>
      <c r="AU96" s="364">
        <f t="shared" si="34"/>
        <v>0</v>
      </c>
      <c r="AV96" s="364">
        <f t="shared" si="34"/>
        <v>0</v>
      </c>
      <c r="AW96" s="364">
        <f t="shared" si="34"/>
        <v>0</v>
      </c>
      <c r="AX96" s="364">
        <f t="shared" si="34"/>
        <v>15738667</v>
      </c>
      <c r="AY96" s="364">
        <f t="shared" si="34"/>
        <v>0</v>
      </c>
      <c r="AZ96" s="364">
        <f t="shared" si="34"/>
        <v>0</v>
      </c>
      <c r="BA96" s="364">
        <f t="shared" si="34"/>
        <v>0</v>
      </c>
      <c r="BB96" s="364">
        <f t="shared" si="34"/>
        <v>0</v>
      </c>
      <c r="BC96" s="364">
        <f t="shared" si="34"/>
        <v>0</v>
      </c>
      <c r="BD96" s="364">
        <f t="shared" si="34"/>
        <v>0</v>
      </c>
      <c r="BE96" s="364">
        <f t="shared" si="34"/>
        <v>0</v>
      </c>
      <c r="BF96" s="364">
        <f t="shared" si="34"/>
        <v>0</v>
      </c>
      <c r="BG96" s="364">
        <f t="shared" si="34"/>
        <v>15738667</v>
      </c>
      <c r="BH96" s="364">
        <f t="shared" si="34"/>
        <v>0</v>
      </c>
      <c r="BI96" s="364">
        <f t="shared" si="34"/>
        <v>0</v>
      </c>
      <c r="BJ96" s="55"/>
      <c r="BK96" s="55"/>
      <c r="BL96" s="55"/>
      <c r="BM96" s="55"/>
      <c r="BN96" s="55"/>
      <c r="BO96" s="55"/>
      <c r="BP96" s="55"/>
    </row>
    <row r="97" spans="1:68" ht="77.25" customHeight="1" x14ac:dyDescent="0.2">
      <c r="A97" s="104"/>
      <c r="B97" s="118"/>
      <c r="C97" s="365"/>
      <c r="D97" s="184"/>
      <c r="E97" s="322"/>
      <c r="F97" s="312" t="s">
        <v>379</v>
      </c>
      <c r="G97" s="227" t="s">
        <v>380</v>
      </c>
      <c r="H97" s="124" t="s">
        <v>102</v>
      </c>
      <c r="I97" s="186" t="s">
        <v>381</v>
      </c>
      <c r="J97" s="287" t="s">
        <v>382</v>
      </c>
      <c r="K97" s="297" t="s">
        <v>102</v>
      </c>
      <c r="L97" s="316" t="s">
        <v>383</v>
      </c>
      <c r="M97" s="127" t="s">
        <v>204</v>
      </c>
      <c r="N97" s="124">
        <v>125</v>
      </c>
      <c r="O97" s="124">
        <v>50</v>
      </c>
      <c r="P97" s="148"/>
      <c r="Q97" s="149" t="s">
        <v>328</v>
      </c>
      <c r="R97" s="212" t="s">
        <v>384</v>
      </c>
      <c r="S97" s="211" t="s">
        <v>385</v>
      </c>
      <c r="T97" s="129"/>
      <c r="U97" s="129"/>
      <c r="V97" s="129"/>
      <c r="W97" s="129"/>
      <c r="X97" s="129"/>
      <c r="Y97" s="129"/>
      <c r="Z97" s="129"/>
      <c r="AA97" s="129"/>
      <c r="AB97" s="129"/>
      <c r="AC97" s="129"/>
      <c r="AD97" s="129"/>
      <c r="AE97" s="129"/>
      <c r="AF97" s="129"/>
      <c r="AG97" s="129"/>
      <c r="AH97" s="129"/>
      <c r="AI97" s="129"/>
      <c r="AJ97" s="129"/>
      <c r="AK97" s="129"/>
      <c r="AL97" s="129"/>
      <c r="AM97" s="129"/>
      <c r="AN97" s="129"/>
      <c r="AO97" s="129"/>
      <c r="AP97" s="129"/>
      <c r="AQ97" s="129"/>
      <c r="AR97" s="129"/>
      <c r="AS97" s="129"/>
      <c r="AT97" s="129"/>
      <c r="AU97" s="129"/>
      <c r="AV97" s="187"/>
      <c r="AW97" s="187"/>
      <c r="AX97" s="188">
        <v>15738667</v>
      </c>
      <c r="AY97" s="188"/>
      <c r="AZ97" s="188"/>
      <c r="BA97" s="187"/>
      <c r="BB97" s="187"/>
      <c r="BC97" s="187"/>
      <c r="BD97" s="187"/>
      <c r="BE97" s="187"/>
      <c r="BF97" s="187"/>
      <c r="BG97" s="131">
        <f>+T97+W97+Z97+AC97+AF97+AI97+AL97+AO97+AR97+AU97+AX97+BA97+BD97</f>
        <v>15738667</v>
      </c>
      <c r="BH97" s="131">
        <f>+U97+X97+AA97+AD97+AG97+AJ97+AM97+AP97+AS97+AV97+AY97+BB97+BE97</f>
        <v>0</v>
      </c>
      <c r="BI97" s="131">
        <f>+V97+Y97+AB97+AE97+AH97+AK97+AN97+AQ97+AT97+AW97+AZ97+BC97+BF97</f>
        <v>0</v>
      </c>
      <c r="BJ97" s="55"/>
      <c r="BK97" s="55"/>
      <c r="BL97" s="55"/>
      <c r="BM97" s="55"/>
      <c r="BN97" s="55"/>
      <c r="BO97" s="55"/>
      <c r="BP97" s="55"/>
    </row>
    <row r="98" spans="1:68" ht="15.75" x14ac:dyDescent="0.2">
      <c r="A98" s="104"/>
      <c r="B98" s="118"/>
      <c r="C98" s="252">
        <v>41</v>
      </c>
      <c r="D98" s="253">
        <v>4501</v>
      </c>
      <c r="E98" s="175" t="s">
        <v>386</v>
      </c>
      <c r="F98" s="138"/>
      <c r="G98" s="139"/>
      <c r="H98" s="176"/>
      <c r="I98" s="177"/>
      <c r="J98" s="178"/>
      <c r="K98" s="178"/>
      <c r="L98" s="177"/>
      <c r="M98" s="339"/>
      <c r="N98" s="176"/>
      <c r="O98" s="139"/>
      <c r="P98" s="139"/>
      <c r="Q98" s="181"/>
      <c r="R98" s="181"/>
      <c r="S98" s="177"/>
      <c r="T98" s="364">
        <f t="shared" ref="T98:BI98" si="35">SUM(T99:T101)</f>
        <v>0</v>
      </c>
      <c r="U98" s="364">
        <f t="shared" si="35"/>
        <v>0</v>
      </c>
      <c r="V98" s="364">
        <f t="shared" si="35"/>
        <v>0</v>
      </c>
      <c r="W98" s="364">
        <f t="shared" si="35"/>
        <v>5428613946.8600006</v>
      </c>
      <c r="X98" s="364">
        <f t="shared" si="35"/>
        <v>118600000</v>
      </c>
      <c r="Y98" s="364">
        <f t="shared" si="35"/>
        <v>3100000</v>
      </c>
      <c r="Z98" s="364">
        <f t="shared" si="35"/>
        <v>0</v>
      </c>
      <c r="AA98" s="364">
        <f t="shared" si="35"/>
        <v>0</v>
      </c>
      <c r="AB98" s="364">
        <f t="shared" si="35"/>
        <v>0</v>
      </c>
      <c r="AC98" s="364">
        <f t="shared" si="35"/>
        <v>0</v>
      </c>
      <c r="AD98" s="364">
        <f t="shared" si="35"/>
        <v>0</v>
      </c>
      <c r="AE98" s="364">
        <f t="shared" si="35"/>
        <v>0</v>
      </c>
      <c r="AF98" s="364">
        <f t="shared" si="35"/>
        <v>0</v>
      </c>
      <c r="AG98" s="364">
        <f t="shared" si="35"/>
        <v>0</v>
      </c>
      <c r="AH98" s="364">
        <f t="shared" si="35"/>
        <v>0</v>
      </c>
      <c r="AI98" s="364">
        <f t="shared" si="35"/>
        <v>0</v>
      </c>
      <c r="AJ98" s="364">
        <f t="shared" si="35"/>
        <v>0</v>
      </c>
      <c r="AK98" s="364">
        <f t="shared" si="35"/>
        <v>0</v>
      </c>
      <c r="AL98" s="364">
        <f t="shared" si="35"/>
        <v>0</v>
      </c>
      <c r="AM98" s="364">
        <f t="shared" si="35"/>
        <v>0</v>
      </c>
      <c r="AN98" s="364">
        <f t="shared" si="35"/>
        <v>0</v>
      </c>
      <c r="AO98" s="364">
        <f t="shared" si="35"/>
        <v>0</v>
      </c>
      <c r="AP98" s="364">
        <f t="shared" si="35"/>
        <v>0</v>
      </c>
      <c r="AQ98" s="364">
        <f t="shared" si="35"/>
        <v>0</v>
      </c>
      <c r="AR98" s="364">
        <f t="shared" si="35"/>
        <v>0</v>
      </c>
      <c r="AS98" s="364">
        <f t="shared" si="35"/>
        <v>0</v>
      </c>
      <c r="AT98" s="364">
        <f t="shared" si="35"/>
        <v>0</v>
      </c>
      <c r="AU98" s="364">
        <f t="shared" si="35"/>
        <v>0</v>
      </c>
      <c r="AV98" s="364">
        <f t="shared" si="35"/>
        <v>0</v>
      </c>
      <c r="AW98" s="364">
        <f t="shared" si="35"/>
        <v>0</v>
      </c>
      <c r="AX98" s="364">
        <f t="shared" si="35"/>
        <v>190923000</v>
      </c>
      <c r="AY98" s="364">
        <f t="shared" si="35"/>
        <v>19392334</v>
      </c>
      <c r="AZ98" s="364">
        <f t="shared" si="35"/>
        <v>18317334</v>
      </c>
      <c r="BA98" s="364">
        <f t="shared" si="35"/>
        <v>0</v>
      </c>
      <c r="BB98" s="364">
        <f t="shared" si="35"/>
        <v>0</v>
      </c>
      <c r="BC98" s="364">
        <f t="shared" si="35"/>
        <v>0</v>
      </c>
      <c r="BD98" s="364">
        <f t="shared" si="35"/>
        <v>0</v>
      </c>
      <c r="BE98" s="364">
        <f t="shared" si="35"/>
        <v>0</v>
      </c>
      <c r="BF98" s="364">
        <f t="shared" si="35"/>
        <v>0</v>
      </c>
      <c r="BG98" s="364">
        <f t="shared" si="35"/>
        <v>5619536946.8600006</v>
      </c>
      <c r="BH98" s="364">
        <f t="shared" si="35"/>
        <v>137992334</v>
      </c>
      <c r="BI98" s="364">
        <f t="shared" si="35"/>
        <v>21417334</v>
      </c>
      <c r="BJ98" s="55"/>
      <c r="BK98" s="55"/>
      <c r="BL98" s="55"/>
      <c r="BM98" s="55"/>
      <c r="BN98" s="55"/>
      <c r="BO98" s="55"/>
      <c r="BP98" s="55"/>
    </row>
    <row r="99" spans="1:68" ht="120" x14ac:dyDescent="0.2">
      <c r="A99" s="104"/>
      <c r="B99" s="255"/>
      <c r="C99" s="256"/>
      <c r="D99" s="120"/>
      <c r="E99" s="366"/>
      <c r="F99" s="145" t="s">
        <v>199</v>
      </c>
      <c r="G99" s="124" t="s">
        <v>387</v>
      </c>
      <c r="H99" s="124" t="s">
        <v>102</v>
      </c>
      <c r="I99" s="186" t="s">
        <v>388</v>
      </c>
      <c r="J99" s="287" t="s">
        <v>389</v>
      </c>
      <c r="K99" s="287" t="s">
        <v>102</v>
      </c>
      <c r="L99" s="316" t="s">
        <v>390</v>
      </c>
      <c r="M99" s="349" t="s">
        <v>109</v>
      </c>
      <c r="N99" s="124">
        <v>5</v>
      </c>
      <c r="O99" s="124">
        <v>5</v>
      </c>
      <c r="P99" s="148"/>
      <c r="Q99" s="149" t="s">
        <v>328</v>
      </c>
      <c r="R99" s="127" t="s">
        <v>336</v>
      </c>
      <c r="S99" s="186" t="s">
        <v>337</v>
      </c>
      <c r="T99" s="129"/>
      <c r="U99" s="220"/>
      <c r="V99" s="220"/>
      <c r="W99" s="354">
        <v>5428613946.8600006</v>
      </c>
      <c r="X99" s="354">
        <v>118600000</v>
      </c>
      <c r="Y99" s="354">
        <v>3100000</v>
      </c>
      <c r="Z99" s="129"/>
      <c r="AA99" s="129"/>
      <c r="AB99" s="129"/>
      <c r="AC99" s="129"/>
      <c r="AD99" s="129"/>
      <c r="AE99" s="129"/>
      <c r="AF99" s="129"/>
      <c r="AG99" s="129"/>
      <c r="AH99" s="129"/>
      <c r="AI99" s="129"/>
      <c r="AJ99" s="129"/>
      <c r="AK99" s="129"/>
      <c r="AL99" s="129"/>
      <c r="AM99" s="129"/>
      <c r="AN99" s="129"/>
      <c r="AO99" s="129"/>
      <c r="AP99" s="129"/>
      <c r="AQ99" s="129"/>
      <c r="AR99" s="129"/>
      <c r="AS99" s="129"/>
      <c r="AT99" s="129"/>
      <c r="AU99" s="129"/>
      <c r="AV99" s="187"/>
      <c r="AW99" s="187"/>
      <c r="AX99" s="188"/>
      <c r="AY99" s="188"/>
      <c r="AZ99" s="188"/>
      <c r="BA99" s="187"/>
      <c r="BB99" s="187"/>
      <c r="BC99" s="187"/>
      <c r="BD99" s="187"/>
      <c r="BE99" s="187"/>
      <c r="BF99" s="187"/>
      <c r="BG99" s="131">
        <f t="shared" ref="BG99:BI101" si="36">+T99+W99+Z99+AC99+AF99+AI99+AL99+AO99+AR99+AU99+AX99+BA99+BD99</f>
        <v>5428613946.8600006</v>
      </c>
      <c r="BH99" s="131">
        <f t="shared" si="36"/>
        <v>118600000</v>
      </c>
      <c r="BI99" s="131">
        <f t="shared" si="36"/>
        <v>3100000</v>
      </c>
      <c r="BJ99" s="55"/>
      <c r="BK99" s="55"/>
      <c r="BL99" s="55"/>
      <c r="BM99" s="55"/>
      <c r="BN99" s="55"/>
      <c r="BO99" s="55"/>
      <c r="BP99" s="55"/>
    </row>
    <row r="100" spans="1:68" ht="119.25" customHeight="1" x14ac:dyDescent="0.2">
      <c r="A100" s="104"/>
      <c r="B100" s="255"/>
      <c r="C100" s="359"/>
      <c r="D100" s="208"/>
      <c r="E100" s="322"/>
      <c r="F100" s="312" t="s">
        <v>391</v>
      </c>
      <c r="G100" s="291" t="s">
        <v>392</v>
      </c>
      <c r="H100" s="124">
        <v>4501024</v>
      </c>
      <c r="I100" s="186" t="s">
        <v>393</v>
      </c>
      <c r="J100" s="291" t="s">
        <v>394</v>
      </c>
      <c r="K100" s="146">
        <v>450102400</v>
      </c>
      <c r="L100" s="320" t="s">
        <v>395</v>
      </c>
      <c r="M100" s="127" t="s">
        <v>109</v>
      </c>
      <c r="N100" s="124">
        <v>10</v>
      </c>
      <c r="O100" s="124">
        <v>10</v>
      </c>
      <c r="P100" s="148"/>
      <c r="Q100" s="149" t="s">
        <v>328</v>
      </c>
      <c r="R100" s="127" t="s">
        <v>384</v>
      </c>
      <c r="S100" s="211" t="s">
        <v>385</v>
      </c>
      <c r="T100" s="129"/>
      <c r="U100" s="129"/>
      <c r="V100" s="129"/>
      <c r="W100" s="129"/>
      <c r="X100" s="129"/>
      <c r="Y100" s="129"/>
      <c r="Z100" s="129"/>
      <c r="AA100" s="129"/>
      <c r="AB100" s="129"/>
      <c r="AC100" s="129"/>
      <c r="AD100" s="129"/>
      <c r="AE100" s="129"/>
      <c r="AF100" s="129"/>
      <c r="AG100" s="129"/>
      <c r="AH100" s="129"/>
      <c r="AI100" s="129"/>
      <c r="AJ100" s="129"/>
      <c r="AK100" s="129"/>
      <c r="AL100" s="129"/>
      <c r="AM100" s="129"/>
      <c r="AN100" s="129"/>
      <c r="AO100" s="129"/>
      <c r="AP100" s="129"/>
      <c r="AQ100" s="129"/>
      <c r="AR100" s="129"/>
      <c r="AS100" s="129"/>
      <c r="AT100" s="129"/>
      <c r="AU100" s="129"/>
      <c r="AV100" s="187"/>
      <c r="AW100" s="187"/>
      <c r="AX100" s="188">
        <v>94000000</v>
      </c>
      <c r="AY100" s="188">
        <v>19392334</v>
      </c>
      <c r="AZ100" s="188">
        <v>18317334</v>
      </c>
      <c r="BA100" s="187"/>
      <c r="BB100" s="187"/>
      <c r="BC100" s="187"/>
      <c r="BD100" s="187"/>
      <c r="BE100" s="187"/>
      <c r="BF100" s="187"/>
      <c r="BG100" s="131">
        <f t="shared" si="36"/>
        <v>94000000</v>
      </c>
      <c r="BH100" s="131">
        <f t="shared" si="36"/>
        <v>19392334</v>
      </c>
      <c r="BI100" s="131">
        <f t="shared" si="36"/>
        <v>18317334</v>
      </c>
      <c r="BJ100" s="55"/>
      <c r="BK100" s="55"/>
      <c r="BL100" s="55"/>
      <c r="BM100" s="55"/>
      <c r="BN100" s="55"/>
      <c r="BO100" s="55"/>
      <c r="BP100" s="55"/>
    </row>
    <row r="101" spans="1:68" ht="120" x14ac:dyDescent="0.2">
      <c r="A101" s="104"/>
      <c r="B101" s="359"/>
      <c r="C101" s="360"/>
      <c r="D101" s="361"/>
      <c r="E101" s="121"/>
      <c r="F101" s="145" t="s">
        <v>199</v>
      </c>
      <c r="G101" s="367" t="s">
        <v>396</v>
      </c>
      <c r="H101" s="124">
        <v>4501001</v>
      </c>
      <c r="I101" s="368" t="s">
        <v>397</v>
      </c>
      <c r="J101" s="367" t="s">
        <v>398</v>
      </c>
      <c r="K101" s="124">
        <v>450100100</v>
      </c>
      <c r="L101" s="369" t="s">
        <v>399</v>
      </c>
      <c r="M101" s="349" t="s">
        <v>109</v>
      </c>
      <c r="N101" s="124">
        <v>12</v>
      </c>
      <c r="O101" s="124">
        <v>12</v>
      </c>
      <c r="P101" s="148"/>
      <c r="Q101" s="149" t="s">
        <v>125</v>
      </c>
      <c r="R101" s="370" t="s">
        <v>400</v>
      </c>
      <c r="S101" s="186" t="s">
        <v>401</v>
      </c>
      <c r="T101" s="129"/>
      <c r="U101" s="129"/>
      <c r="V101" s="129"/>
      <c r="W101" s="129"/>
      <c r="X101" s="129"/>
      <c r="Y101" s="129"/>
      <c r="Z101" s="129"/>
      <c r="AA101" s="129"/>
      <c r="AB101" s="129"/>
      <c r="AC101" s="129"/>
      <c r="AD101" s="129"/>
      <c r="AE101" s="129"/>
      <c r="AF101" s="129"/>
      <c r="AG101" s="129"/>
      <c r="AH101" s="129"/>
      <c r="AI101" s="129"/>
      <c r="AJ101" s="129"/>
      <c r="AK101" s="129"/>
      <c r="AL101" s="129"/>
      <c r="AM101" s="129"/>
      <c r="AN101" s="129"/>
      <c r="AO101" s="129"/>
      <c r="AP101" s="129"/>
      <c r="AQ101" s="129"/>
      <c r="AR101" s="129"/>
      <c r="AS101" s="129"/>
      <c r="AT101" s="129"/>
      <c r="AU101" s="129"/>
      <c r="AV101" s="187"/>
      <c r="AW101" s="187"/>
      <c r="AX101" s="188">
        <v>96923000</v>
      </c>
      <c r="AY101" s="188"/>
      <c r="AZ101" s="188"/>
      <c r="BA101" s="187"/>
      <c r="BB101" s="187"/>
      <c r="BC101" s="187"/>
      <c r="BD101" s="187"/>
      <c r="BE101" s="187"/>
      <c r="BF101" s="187"/>
      <c r="BG101" s="131">
        <f t="shared" si="36"/>
        <v>96923000</v>
      </c>
      <c r="BH101" s="131">
        <f t="shared" si="36"/>
        <v>0</v>
      </c>
      <c r="BI101" s="131">
        <f t="shared" si="36"/>
        <v>0</v>
      </c>
      <c r="BJ101" s="55"/>
      <c r="BK101" s="55"/>
      <c r="BL101" s="55"/>
      <c r="BM101" s="55"/>
      <c r="BN101" s="55"/>
      <c r="BO101" s="55"/>
      <c r="BP101" s="55"/>
    </row>
    <row r="102" spans="1:68" ht="15.75" x14ac:dyDescent="0.2">
      <c r="A102" s="104"/>
      <c r="B102" s="371">
        <v>3</v>
      </c>
      <c r="C102" s="327" t="s">
        <v>3</v>
      </c>
      <c r="D102" s="328"/>
      <c r="E102" s="165"/>
      <c r="F102" s="166"/>
      <c r="G102" s="167"/>
      <c r="H102" s="168"/>
      <c r="I102" s="169"/>
      <c r="J102" s="170"/>
      <c r="K102" s="170"/>
      <c r="L102" s="169"/>
      <c r="M102" s="337"/>
      <c r="N102" s="168"/>
      <c r="O102" s="167"/>
      <c r="P102" s="167"/>
      <c r="Q102" s="165"/>
      <c r="R102" s="165"/>
      <c r="S102" s="169"/>
      <c r="T102" s="338">
        <f t="shared" ref="T102:BI102" si="37">+T103+T106</f>
        <v>0</v>
      </c>
      <c r="U102" s="338">
        <f t="shared" si="37"/>
        <v>0</v>
      </c>
      <c r="V102" s="338">
        <f t="shared" si="37"/>
        <v>0</v>
      </c>
      <c r="W102" s="338">
        <f t="shared" si="37"/>
        <v>0</v>
      </c>
      <c r="X102" s="338">
        <f t="shared" si="37"/>
        <v>0</v>
      </c>
      <c r="Y102" s="338">
        <f t="shared" si="37"/>
        <v>0</v>
      </c>
      <c r="Z102" s="338">
        <f t="shared" si="37"/>
        <v>0</v>
      </c>
      <c r="AA102" s="338">
        <f t="shared" si="37"/>
        <v>0</v>
      </c>
      <c r="AB102" s="338">
        <f t="shared" si="37"/>
        <v>0</v>
      </c>
      <c r="AC102" s="338">
        <f t="shared" si="37"/>
        <v>0</v>
      </c>
      <c r="AD102" s="338">
        <f t="shared" si="37"/>
        <v>0</v>
      </c>
      <c r="AE102" s="338">
        <f t="shared" si="37"/>
        <v>0</v>
      </c>
      <c r="AF102" s="338">
        <f t="shared" si="37"/>
        <v>0</v>
      </c>
      <c r="AG102" s="338">
        <f t="shared" si="37"/>
        <v>0</v>
      </c>
      <c r="AH102" s="338">
        <f t="shared" si="37"/>
        <v>0</v>
      </c>
      <c r="AI102" s="338">
        <f t="shared" si="37"/>
        <v>0</v>
      </c>
      <c r="AJ102" s="338">
        <f t="shared" si="37"/>
        <v>0</v>
      </c>
      <c r="AK102" s="338">
        <f t="shared" si="37"/>
        <v>0</v>
      </c>
      <c r="AL102" s="338">
        <f t="shared" si="37"/>
        <v>0</v>
      </c>
      <c r="AM102" s="338">
        <f t="shared" si="37"/>
        <v>0</v>
      </c>
      <c r="AN102" s="338">
        <f t="shared" si="37"/>
        <v>0</v>
      </c>
      <c r="AO102" s="338">
        <f t="shared" si="37"/>
        <v>0</v>
      </c>
      <c r="AP102" s="338">
        <f t="shared" si="37"/>
        <v>0</v>
      </c>
      <c r="AQ102" s="338">
        <f t="shared" si="37"/>
        <v>0</v>
      </c>
      <c r="AR102" s="338">
        <f t="shared" si="37"/>
        <v>0</v>
      </c>
      <c r="AS102" s="338">
        <f t="shared" si="37"/>
        <v>0</v>
      </c>
      <c r="AT102" s="338">
        <f t="shared" si="37"/>
        <v>0</v>
      </c>
      <c r="AU102" s="338">
        <f t="shared" si="37"/>
        <v>0</v>
      </c>
      <c r="AV102" s="338">
        <f t="shared" si="37"/>
        <v>0</v>
      </c>
      <c r="AW102" s="338">
        <f t="shared" si="37"/>
        <v>0</v>
      </c>
      <c r="AX102" s="338">
        <f t="shared" si="37"/>
        <v>145932276.30000001</v>
      </c>
      <c r="AY102" s="338">
        <f t="shared" si="37"/>
        <v>93487069</v>
      </c>
      <c r="AZ102" s="338">
        <f t="shared" si="37"/>
        <v>82460177</v>
      </c>
      <c r="BA102" s="338">
        <f t="shared" si="37"/>
        <v>0</v>
      </c>
      <c r="BB102" s="338">
        <f t="shared" si="37"/>
        <v>0</v>
      </c>
      <c r="BC102" s="338">
        <f t="shared" si="37"/>
        <v>0</v>
      </c>
      <c r="BD102" s="338">
        <f t="shared" si="37"/>
        <v>0</v>
      </c>
      <c r="BE102" s="338">
        <f t="shared" si="37"/>
        <v>0</v>
      </c>
      <c r="BF102" s="338">
        <f t="shared" si="37"/>
        <v>0</v>
      </c>
      <c r="BG102" s="338">
        <f t="shared" si="37"/>
        <v>145932276.30000001</v>
      </c>
      <c r="BH102" s="338">
        <f t="shared" si="37"/>
        <v>93487069</v>
      </c>
      <c r="BI102" s="338">
        <f t="shared" si="37"/>
        <v>82460177</v>
      </c>
      <c r="BJ102" s="55"/>
      <c r="BK102" s="55"/>
      <c r="BL102" s="55"/>
      <c r="BM102" s="55"/>
      <c r="BN102" s="55"/>
      <c r="BO102" s="55"/>
      <c r="BP102" s="55"/>
    </row>
    <row r="103" spans="1:68" ht="15.75" x14ac:dyDescent="0.2">
      <c r="A103" s="104"/>
      <c r="B103" s="134"/>
      <c r="C103" s="252">
        <v>23</v>
      </c>
      <c r="D103" s="253">
        <v>3205</v>
      </c>
      <c r="E103" s="175" t="s">
        <v>276</v>
      </c>
      <c r="F103" s="138"/>
      <c r="G103" s="139"/>
      <c r="H103" s="176"/>
      <c r="I103" s="177"/>
      <c r="J103" s="178"/>
      <c r="K103" s="178"/>
      <c r="L103" s="177"/>
      <c r="M103" s="339"/>
      <c r="N103" s="176"/>
      <c r="O103" s="139"/>
      <c r="P103" s="139"/>
      <c r="Q103" s="181"/>
      <c r="R103" s="181"/>
      <c r="S103" s="177"/>
      <c r="T103" s="364">
        <f t="shared" ref="T103:BI103" si="38">SUM(T104:T105)</f>
        <v>0</v>
      </c>
      <c r="U103" s="364">
        <f t="shared" si="38"/>
        <v>0</v>
      </c>
      <c r="V103" s="364">
        <f t="shared" si="38"/>
        <v>0</v>
      </c>
      <c r="W103" s="364">
        <f t="shared" si="38"/>
        <v>0</v>
      </c>
      <c r="X103" s="364">
        <f t="shared" si="38"/>
        <v>0</v>
      </c>
      <c r="Y103" s="364">
        <f t="shared" si="38"/>
        <v>0</v>
      </c>
      <c r="Z103" s="364">
        <f t="shared" si="38"/>
        <v>0</v>
      </c>
      <c r="AA103" s="364">
        <f t="shared" si="38"/>
        <v>0</v>
      </c>
      <c r="AB103" s="364">
        <f t="shared" si="38"/>
        <v>0</v>
      </c>
      <c r="AC103" s="364">
        <f t="shared" si="38"/>
        <v>0</v>
      </c>
      <c r="AD103" s="364">
        <f t="shared" si="38"/>
        <v>0</v>
      </c>
      <c r="AE103" s="364">
        <f t="shared" si="38"/>
        <v>0</v>
      </c>
      <c r="AF103" s="364">
        <f t="shared" si="38"/>
        <v>0</v>
      </c>
      <c r="AG103" s="364">
        <f t="shared" si="38"/>
        <v>0</v>
      </c>
      <c r="AH103" s="364">
        <f t="shared" si="38"/>
        <v>0</v>
      </c>
      <c r="AI103" s="364">
        <f t="shared" si="38"/>
        <v>0</v>
      </c>
      <c r="AJ103" s="364">
        <f t="shared" si="38"/>
        <v>0</v>
      </c>
      <c r="AK103" s="364">
        <f t="shared" si="38"/>
        <v>0</v>
      </c>
      <c r="AL103" s="364">
        <f t="shared" si="38"/>
        <v>0</v>
      </c>
      <c r="AM103" s="364">
        <f t="shared" si="38"/>
        <v>0</v>
      </c>
      <c r="AN103" s="364">
        <f t="shared" si="38"/>
        <v>0</v>
      </c>
      <c r="AO103" s="364">
        <f t="shared" si="38"/>
        <v>0</v>
      </c>
      <c r="AP103" s="364">
        <f t="shared" si="38"/>
        <v>0</v>
      </c>
      <c r="AQ103" s="364">
        <f t="shared" si="38"/>
        <v>0</v>
      </c>
      <c r="AR103" s="364">
        <f t="shared" si="38"/>
        <v>0</v>
      </c>
      <c r="AS103" s="364">
        <f t="shared" si="38"/>
        <v>0</v>
      </c>
      <c r="AT103" s="364">
        <f t="shared" si="38"/>
        <v>0</v>
      </c>
      <c r="AU103" s="364">
        <f t="shared" si="38"/>
        <v>0</v>
      </c>
      <c r="AV103" s="364">
        <f t="shared" si="38"/>
        <v>0</v>
      </c>
      <c r="AW103" s="364">
        <f t="shared" si="38"/>
        <v>0</v>
      </c>
      <c r="AX103" s="364">
        <f t="shared" si="38"/>
        <v>17702666.300000001</v>
      </c>
      <c r="AY103" s="364">
        <f t="shared" si="38"/>
        <v>0</v>
      </c>
      <c r="AZ103" s="364">
        <f t="shared" si="38"/>
        <v>0</v>
      </c>
      <c r="BA103" s="364">
        <f t="shared" si="38"/>
        <v>0</v>
      </c>
      <c r="BB103" s="364">
        <f t="shared" si="38"/>
        <v>0</v>
      </c>
      <c r="BC103" s="364">
        <f t="shared" si="38"/>
        <v>0</v>
      </c>
      <c r="BD103" s="364">
        <f t="shared" si="38"/>
        <v>0</v>
      </c>
      <c r="BE103" s="364">
        <f t="shared" si="38"/>
        <v>0</v>
      </c>
      <c r="BF103" s="364">
        <f t="shared" si="38"/>
        <v>0</v>
      </c>
      <c r="BG103" s="364">
        <f t="shared" si="38"/>
        <v>17702666.300000001</v>
      </c>
      <c r="BH103" s="364">
        <f t="shared" si="38"/>
        <v>0</v>
      </c>
      <c r="BI103" s="364">
        <f t="shared" si="38"/>
        <v>0</v>
      </c>
      <c r="BJ103" s="55"/>
      <c r="BK103" s="55"/>
      <c r="BL103" s="55"/>
      <c r="BM103" s="55"/>
      <c r="BN103" s="55"/>
      <c r="BO103" s="55"/>
      <c r="BP103" s="55"/>
    </row>
    <row r="104" spans="1:68" ht="45" x14ac:dyDescent="0.2">
      <c r="A104" s="104"/>
      <c r="B104" s="255"/>
      <c r="C104" s="256"/>
      <c r="D104" s="120"/>
      <c r="E104" s="724"/>
      <c r="F104" s="356" t="s">
        <v>402</v>
      </c>
      <c r="G104" s="127" t="s">
        <v>403</v>
      </c>
      <c r="H104" s="124">
        <v>3205002</v>
      </c>
      <c r="I104" s="186" t="s">
        <v>404</v>
      </c>
      <c r="J104" s="127" t="s">
        <v>405</v>
      </c>
      <c r="K104" s="124">
        <v>320500200</v>
      </c>
      <c r="L104" s="186" t="s">
        <v>406</v>
      </c>
      <c r="M104" s="146" t="s">
        <v>204</v>
      </c>
      <c r="N104" s="146">
        <v>10</v>
      </c>
      <c r="O104" s="146">
        <v>1</v>
      </c>
      <c r="P104" s="146"/>
      <c r="Q104" s="892" t="s">
        <v>407</v>
      </c>
      <c r="R104" s="887" t="s">
        <v>349</v>
      </c>
      <c r="S104" s="890" t="s">
        <v>350</v>
      </c>
      <c r="T104" s="129"/>
      <c r="U104" s="129"/>
      <c r="V104" s="129"/>
      <c r="W104" s="129"/>
      <c r="X104" s="129"/>
      <c r="Y104" s="129"/>
      <c r="Z104" s="129"/>
      <c r="AA104" s="129"/>
      <c r="AB104" s="129"/>
      <c r="AC104" s="129"/>
      <c r="AD104" s="129"/>
      <c r="AE104" s="129"/>
      <c r="AF104" s="129"/>
      <c r="AG104" s="129"/>
      <c r="AH104" s="129"/>
      <c r="AI104" s="129"/>
      <c r="AJ104" s="129"/>
      <c r="AK104" s="129"/>
      <c r="AL104" s="129"/>
      <c r="AM104" s="129"/>
      <c r="AN104" s="129"/>
      <c r="AO104" s="129"/>
      <c r="AP104" s="187"/>
      <c r="AQ104" s="187"/>
      <c r="AR104" s="187"/>
      <c r="AS104" s="187"/>
      <c r="AT104" s="187"/>
      <c r="AU104" s="187"/>
      <c r="AV104" s="187"/>
      <c r="AW104" s="187"/>
      <c r="AX104" s="188">
        <v>12866668</v>
      </c>
      <c r="AY104" s="188"/>
      <c r="AZ104" s="188"/>
      <c r="BA104" s="187"/>
      <c r="BB104" s="187"/>
      <c r="BC104" s="187"/>
      <c r="BD104" s="187"/>
      <c r="BE104" s="187"/>
      <c r="BF104" s="187"/>
      <c r="BG104" s="131">
        <f t="shared" ref="BG104:BI105" si="39">+T104+W104+Z104+AC104+AF104+AI104+AL104+AO104+AR104+AU104+AX104+BA104+BD104</f>
        <v>12866668</v>
      </c>
      <c r="BH104" s="131">
        <f t="shared" si="39"/>
        <v>0</v>
      </c>
      <c r="BI104" s="131">
        <f t="shared" si="39"/>
        <v>0</v>
      </c>
      <c r="BJ104" s="55"/>
      <c r="BK104" s="55"/>
      <c r="BL104" s="55"/>
      <c r="BM104" s="55"/>
      <c r="BN104" s="55"/>
      <c r="BO104" s="55"/>
      <c r="BP104" s="55"/>
    </row>
    <row r="105" spans="1:68" ht="45" x14ac:dyDescent="0.2">
      <c r="A105" s="104"/>
      <c r="B105" s="255"/>
      <c r="C105" s="263"/>
      <c r="D105" s="132"/>
      <c r="E105" s="725"/>
      <c r="F105" s="145" t="s">
        <v>408</v>
      </c>
      <c r="G105" s="127" t="s">
        <v>409</v>
      </c>
      <c r="H105" s="124">
        <v>3205021</v>
      </c>
      <c r="I105" s="186" t="s">
        <v>278</v>
      </c>
      <c r="J105" s="127" t="s">
        <v>277</v>
      </c>
      <c r="K105" s="124">
        <v>320502100</v>
      </c>
      <c r="L105" s="368" t="s">
        <v>279</v>
      </c>
      <c r="M105" s="127" t="s">
        <v>204</v>
      </c>
      <c r="N105" s="219">
        <v>4</v>
      </c>
      <c r="O105" s="219">
        <v>1</v>
      </c>
      <c r="P105" s="219"/>
      <c r="Q105" s="893"/>
      <c r="R105" s="889"/>
      <c r="S105" s="894"/>
      <c r="T105" s="129"/>
      <c r="U105" s="129"/>
      <c r="V105" s="129"/>
      <c r="W105" s="129"/>
      <c r="X105" s="129"/>
      <c r="Y105" s="129"/>
      <c r="Z105" s="129"/>
      <c r="AA105" s="129"/>
      <c r="AB105" s="129"/>
      <c r="AC105" s="129"/>
      <c r="AD105" s="129"/>
      <c r="AE105" s="129"/>
      <c r="AF105" s="129"/>
      <c r="AG105" s="129"/>
      <c r="AH105" s="129"/>
      <c r="AI105" s="129"/>
      <c r="AJ105" s="129"/>
      <c r="AK105" s="129"/>
      <c r="AL105" s="129"/>
      <c r="AM105" s="129"/>
      <c r="AN105" s="129"/>
      <c r="AO105" s="129"/>
      <c r="AP105" s="187"/>
      <c r="AQ105" s="187"/>
      <c r="AR105" s="187"/>
      <c r="AS105" s="187"/>
      <c r="AT105" s="187"/>
      <c r="AU105" s="187"/>
      <c r="AV105" s="187"/>
      <c r="AW105" s="187"/>
      <c r="AX105" s="188">
        <v>4835998.3</v>
      </c>
      <c r="AY105" s="188"/>
      <c r="AZ105" s="188"/>
      <c r="BA105" s="187"/>
      <c r="BB105" s="187"/>
      <c r="BC105" s="187"/>
      <c r="BD105" s="187"/>
      <c r="BE105" s="187"/>
      <c r="BF105" s="187"/>
      <c r="BG105" s="131">
        <f t="shared" si="39"/>
        <v>4835998.3</v>
      </c>
      <c r="BH105" s="131">
        <f t="shared" si="39"/>
        <v>0</v>
      </c>
      <c r="BI105" s="131">
        <f t="shared" si="39"/>
        <v>0</v>
      </c>
      <c r="BJ105" s="55"/>
      <c r="BK105" s="55"/>
      <c r="BL105" s="55"/>
      <c r="BM105" s="55"/>
      <c r="BN105" s="55"/>
      <c r="BO105" s="55"/>
      <c r="BP105" s="55"/>
    </row>
    <row r="106" spans="1:68" ht="15.75" x14ac:dyDescent="0.2">
      <c r="A106" s="104"/>
      <c r="B106" s="134"/>
      <c r="C106" s="346">
        <v>43</v>
      </c>
      <c r="D106" s="347">
        <v>4503</v>
      </c>
      <c r="E106" s="175" t="s">
        <v>410</v>
      </c>
      <c r="F106" s="138"/>
      <c r="G106" s="139"/>
      <c r="H106" s="176"/>
      <c r="I106" s="177"/>
      <c r="J106" s="178"/>
      <c r="K106" s="178"/>
      <c r="L106" s="177"/>
      <c r="M106" s="339"/>
      <c r="N106" s="176"/>
      <c r="O106" s="139"/>
      <c r="P106" s="139"/>
      <c r="Q106" s="181"/>
      <c r="R106" s="181"/>
      <c r="S106" s="177"/>
      <c r="T106" s="364">
        <f t="shared" ref="T106:BI106" si="40">SUM(T107:T109)</f>
        <v>0</v>
      </c>
      <c r="U106" s="364">
        <f t="shared" si="40"/>
        <v>0</v>
      </c>
      <c r="V106" s="364">
        <f t="shared" si="40"/>
        <v>0</v>
      </c>
      <c r="W106" s="364">
        <f t="shared" si="40"/>
        <v>0</v>
      </c>
      <c r="X106" s="364">
        <f t="shared" si="40"/>
        <v>0</v>
      </c>
      <c r="Y106" s="364">
        <f t="shared" si="40"/>
        <v>0</v>
      </c>
      <c r="Z106" s="364">
        <f t="shared" si="40"/>
        <v>0</v>
      </c>
      <c r="AA106" s="364">
        <f t="shared" si="40"/>
        <v>0</v>
      </c>
      <c r="AB106" s="364">
        <f t="shared" si="40"/>
        <v>0</v>
      </c>
      <c r="AC106" s="364">
        <f t="shared" si="40"/>
        <v>0</v>
      </c>
      <c r="AD106" s="364">
        <f t="shared" si="40"/>
        <v>0</v>
      </c>
      <c r="AE106" s="364">
        <f t="shared" si="40"/>
        <v>0</v>
      </c>
      <c r="AF106" s="364">
        <f t="shared" si="40"/>
        <v>0</v>
      </c>
      <c r="AG106" s="364">
        <f t="shared" si="40"/>
        <v>0</v>
      </c>
      <c r="AH106" s="364">
        <f t="shared" si="40"/>
        <v>0</v>
      </c>
      <c r="AI106" s="364">
        <f t="shared" si="40"/>
        <v>0</v>
      </c>
      <c r="AJ106" s="364">
        <f t="shared" si="40"/>
        <v>0</v>
      </c>
      <c r="AK106" s="364">
        <f t="shared" si="40"/>
        <v>0</v>
      </c>
      <c r="AL106" s="364">
        <f t="shared" si="40"/>
        <v>0</v>
      </c>
      <c r="AM106" s="364">
        <f t="shared" si="40"/>
        <v>0</v>
      </c>
      <c r="AN106" s="364">
        <f t="shared" si="40"/>
        <v>0</v>
      </c>
      <c r="AO106" s="364">
        <f t="shared" si="40"/>
        <v>0</v>
      </c>
      <c r="AP106" s="364">
        <f t="shared" si="40"/>
        <v>0</v>
      </c>
      <c r="AQ106" s="364">
        <f t="shared" si="40"/>
        <v>0</v>
      </c>
      <c r="AR106" s="364">
        <f t="shared" si="40"/>
        <v>0</v>
      </c>
      <c r="AS106" s="364">
        <f t="shared" si="40"/>
        <v>0</v>
      </c>
      <c r="AT106" s="364">
        <f t="shared" si="40"/>
        <v>0</v>
      </c>
      <c r="AU106" s="364">
        <f t="shared" si="40"/>
        <v>0</v>
      </c>
      <c r="AV106" s="364">
        <f t="shared" si="40"/>
        <v>0</v>
      </c>
      <c r="AW106" s="364">
        <f t="shared" si="40"/>
        <v>0</v>
      </c>
      <c r="AX106" s="364">
        <f t="shared" si="40"/>
        <v>128229610</v>
      </c>
      <c r="AY106" s="364">
        <f t="shared" si="40"/>
        <v>93487069</v>
      </c>
      <c r="AZ106" s="364">
        <f t="shared" si="40"/>
        <v>82460177</v>
      </c>
      <c r="BA106" s="364">
        <f t="shared" si="40"/>
        <v>0</v>
      </c>
      <c r="BB106" s="364">
        <f t="shared" si="40"/>
        <v>0</v>
      </c>
      <c r="BC106" s="364">
        <f t="shared" si="40"/>
        <v>0</v>
      </c>
      <c r="BD106" s="364">
        <f t="shared" si="40"/>
        <v>0</v>
      </c>
      <c r="BE106" s="364">
        <f t="shared" si="40"/>
        <v>0</v>
      </c>
      <c r="BF106" s="364">
        <f t="shared" si="40"/>
        <v>0</v>
      </c>
      <c r="BG106" s="364">
        <f t="shared" si="40"/>
        <v>128229610</v>
      </c>
      <c r="BH106" s="364">
        <f t="shared" si="40"/>
        <v>93487069</v>
      </c>
      <c r="BI106" s="364">
        <f t="shared" si="40"/>
        <v>82460177</v>
      </c>
      <c r="BJ106" s="55"/>
      <c r="BK106" s="55"/>
      <c r="BL106" s="55"/>
      <c r="BM106" s="55"/>
      <c r="BN106" s="55"/>
      <c r="BO106" s="55"/>
      <c r="BP106" s="55"/>
    </row>
    <row r="107" spans="1:68" ht="45" x14ac:dyDescent="0.2">
      <c r="A107" s="104"/>
      <c r="B107" s="255"/>
      <c r="C107" s="256"/>
      <c r="D107" s="120"/>
      <c r="E107" s="721"/>
      <c r="F107" s="356" t="s">
        <v>411</v>
      </c>
      <c r="G107" s="127" t="s">
        <v>412</v>
      </c>
      <c r="H107" s="124">
        <v>4503002</v>
      </c>
      <c r="I107" s="186" t="s">
        <v>413</v>
      </c>
      <c r="J107" s="127" t="s">
        <v>414</v>
      </c>
      <c r="K107" s="124">
        <v>450300200</v>
      </c>
      <c r="L107" s="186" t="s">
        <v>415</v>
      </c>
      <c r="M107" s="127" t="s">
        <v>204</v>
      </c>
      <c r="N107" s="124">
        <v>15000</v>
      </c>
      <c r="O107" s="124">
        <v>1000</v>
      </c>
      <c r="P107" s="185"/>
      <c r="Q107" s="892" t="s">
        <v>407</v>
      </c>
      <c r="R107" s="887" t="s">
        <v>349</v>
      </c>
      <c r="S107" s="890" t="s">
        <v>350</v>
      </c>
      <c r="T107" s="129"/>
      <c r="U107" s="129"/>
      <c r="V107" s="129"/>
      <c r="W107" s="129"/>
      <c r="X107" s="129"/>
      <c r="Y107" s="129"/>
      <c r="Z107" s="129"/>
      <c r="AA107" s="129"/>
      <c r="AB107" s="129"/>
      <c r="AC107" s="129"/>
      <c r="AD107" s="129"/>
      <c r="AE107" s="129"/>
      <c r="AF107" s="129"/>
      <c r="AG107" s="129"/>
      <c r="AH107" s="129"/>
      <c r="AI107" s="129"/>
      <c r="AJ107" s="129"/>
      <c r="AK107" s="129"/>
      <c r="AL107" s="129"/>
      <c r="AM107" s="129"/>
      <c r="AN107" s="129"/>
      <c r="AO107" s="129"/>
      <c r="AP107" s="187"/>
      <c r="AQ107" s="187"/>
      <c r="AR107" s="187"/>
      <c r="AS107" s="187"/>
      <c r="AT107" s="187"/>
      <c r="AU107" s="187"/>
      <c r="AV107" s="187"/>
      <c r="AW107" s="187"/>
      <c r="AX107" s="188">
        <v>5000000</v>
      </c>
      <c r="AY107" s="188"/>
      <c r="AZ107" s="188"/>
      <c r="BA107" s="187"/>
      <c r="BB107" s="187"/>
      <c r="BC107" s="187"/>
      <c r="BD107" s="187"/>
      <c r="BE107" s="187"/>
      <c r="BF107" s="187"/>
      <c r="BG107" s="131">
        <f t="shared" ref="BG107:BI109" si="41">+T107+W107+Z107+AC107+AF107+AI107+AL107+AO107+AR107+AU107+AX107+BA107+BD107</f>
        <v>5000000</v>
      </c>
      <c r="BH107" s="131">
        <f t="shared" si="41"/>
        <v>0</v>
      </c>
      <c r="BI107" s="131">
        <f t="shared" si="41"/>
        <v>0</v>
      </c>
      <c r="BJ107" s="55"/>
      <c r="BK107" s="55"/>
      <c r="BL107" s="55"/>
      <c r="BM107" s="55"/>
      <c r="BN107" s="55"/>
      <c r="BO107" s="55"/>
      <c r="BP107" s="55"/>
    </row>
    <row r="108" spans="1:68" ht="52.5" customHeight="1" x14ac:dyDescent="0.2">
      <c r="A108" s="104"/>
      <c r="B108" s="255"/>
      <c r="C108" s="255"/>
      <c r="D108" s="323"/>
      <c r="E108" s="722"/>
      <c r="F108" s="356" t="s">
        <v>416</v>
      </c>
      <c r="G108" s="127" t="s">
        <v>417</v>
      </c>
      <c r="H108" s="124">
        <v>4503003</v>
      </c>
      <c r="I108" s="186" t="s">
        <v>397</v>
      </c>
      <c r="J108" s="127" t="s">
        <v>418</v>
      </c>
      <c r="K108" s="124">
        <v>450300300</v>
      </c>
      <c r="L108" s="186" t="s">
        <v>419</v>
      </c>
      <c r="M108" s="127" t="s">
        <v>109</v>
      </c>
      <c r="N108" s="124">
        <v>12</v>
      </c>
      <c r="O108" s="124">
        <v>12</v>
      </c>
      <c r="P108" s="219"/>
      <c r="Q108" s="893"/>
      <c r="R108" s="889"/>
      <c r="S108" s="894"/>
      <c r="T108" s="129"/>
      <c r="U108" s="129"/>
      <c r="V108" s="129"/>
      <c r="W108" s="129"/>
      <c r="X108" s="129"/>
      <c r="Y108" s="129"/>
      <c r="Z108" s="129"/>
      <c r="AA108" s="129"/>
      <c r="AB108" s="129"/>
      <c r="AC108" s="129"/>
      <c r="AD108" s="129"/>
      <c r="AE108" s="129"/>
      <c r="AF108" s="129"/>
      <c r="AG108" s="129"/>
      <c r="AH108" s="129"/>
      <c r="AI108" s="129"/>
      <c r="AJ108" s="129"/>
      <c r="AK108" s="129"/>
      <c r="AL108" s="129"/>
      <c r="AM108" s="129"/>
      <c r="AN108" s="129"/>
      <c r="AO108" s="129"/>
      <c r="AP108" s="187"/>
      <c r="AQ108" s="187"/>
      <c r="AR108" s="187"/>
      <c r="AS108" s="187"/>
      <c r="AT108" s="187"/>
      <c r="AU108" s="187"/>
      <c r="AV108" s="187"/>
      <c r="AW108" s="187"/>
      <c r="AX108" s="188">
        <v>110000000</v>
      </c>
      <c r="AY108" s="188">
        <v>88487069</v>
      </c>
      <c r="AZ108" s="188">
        <v>77460177</v>
      </c>
      <c r="BA108" s="187"/>
      <c r="BB108" s="187"/>
      <c r="BC108" s="187"/>
      <c r="BD108" s="187"/>
      <c r="BE108" s="187"/>
      <c r="BF108" s="187"/>
      <c r="BG108" s="131">
        <f t="shared" si="41"/>
        <v>110000000</v>
      </c>
      <c r="BH108" s="131">
        <f t="shared" si="41"/>
        <v>88487069</v>
      </c>
      <c r="BI108" s="131">
        <f t="shared" si="41"/>
        <v>77460177</v>
      </c>
      <c r="BJ108" s="55"/>
      <c r="BK108" s="55"/>
      <c r="BL108" s="55"/>
      <c r="BM108" s="55"/>
      <c r="BN108" s="55"/>
      <c r="BO108" s="55"/>
      <c r="BP108" s="55"/>
    </row>
    <row r="109" spans="1:68" ht="52.5" customHeight="1" x14ac:dyDescent="0.2">
      <c r="A109" s="104"/>
      <c r="B109" s="263"/>
      <c r="C109" s="263"/>
      <c r="D109" s="132"/>
      <c r="E109" s="723"/>
      <c r="F109" s="356" t="s">
        <v>416</v>
      </c>
      <c r="G109" s="127" t="s">
        <v>420</v>
      </c>
      <c r="H109" s="124">
        <v>4503004</v>
      </c>
      <c r="I109" s="186" t="s">
        <v>421</v>
      </c>
      <c r="J109" s="127" t="s">
        <v>422</v>
      </c>
      <c r="K109" s="124" t="s">
        <v>292</v>
      </c>
      <c r="L109" s="186" t="s">
        <v>423</v>
      </c>
      <c r="M109" s="127" t="s">
        <v>109</v>
      </c>
      <c r="N109" s="148">
        <v>1</v>
      </c>
      <c r="O109" s="148">
        <v>1</v>
      </c>
      <c r="P109" s="148"/>
      <c r="Q109" s="149" t="s">
        <v>407</v>
      </c>
      <c r="R109" s="370" t="s">
        <v>424</v>
      </c>
      <c r="S109" s="368" t="s">
        <v>425</v>
      </c>
      <c r="T109" s="129"/>
      <c r="U109" s="129"/>
      <c r="V109" s="129"/>
      <c r="W109" s="129"/>
      <c r="X109" s="129"/>
      <c r="Y109" s="129"/>
      <c r="Z109" s="129"/>
      <c r="AA109" s="129"/>
      <c r="AB109" s="129"/>
      <c r="AC109" s="129"/>
      <c r="AD109" s="129"/>
      <c r="AE109" s="129"/>
      <c r="AF109" s="129"/>
      <c r="AG109" s="129"/>
      <c r="AH109" s="129"/>
      <c r="AI109" s="129"/>
      <c r="AJ109" s="129"/>
      <c r="AK109" s="129"/>
      <c r="AL109" s="129"/>
      <c r="AM109" s="129"/>
      <c r="AN109" s="129"/>
      <c r="AO109" s="129"/>
      <c r="AP109" s="187"/>
      <c r="AQ109" s="187"/>
      <c r="AR109" s="187"/>
      <c r="AS109" s="187"/>
      <c r="AT109" s="187"/>
      <c r="AU109" s="187"/>
      <c r="AV109" s="187"/>
      <c r="AW109" s="187"/>
      <c r="AX109" s="188">
        <v>13229610</v>
      </c>
      <c r="AY109" s="188">
        <v>5000000</v>
      </c>
      <c r="AZ109" s="188">
        <v>5000000</v>
      </c>
      <c r="BA109" s="187"/>
      <c r="BB109" s="187"/>
      <c r="BC109" s="187"/>
      <c r="BD109" s="187"/>
      <c r="BE109" s="187"/>
      <c r="BF109" s="187"/>
      <c r="BG109" s="131">
        <f t="shared" si="41"/>
        <v>13229610</v>
      </c>
      <c r="BH109" s="131">
        <f t="shared" si="41"/>
        <v>5000000</v>
      </c>
      <c r="BI109" s="131">
        <f t="shared" si="41"/>
        <v>5000000</v>
      </c>
      <c r="BJ109" s="55"/>
      <c r="BK109" s="55"/>
      <c r="BL109" s="55"/>
      <c r="BM109" s="55"/>
      <c r="BN109" s="55"/>
      <c r="BO109" s="55"/>
      <c r="BP109" s="55"/>
    </row>
    <row r="110" spans="1:68" ht="15.75" x14ac:dyDescent="0.2">
      <c r="A110" s="104"/>
      <c r="B110" s="373">
        <v>4</v>
      </c>
      <c r="C110" s="327" t="s">
        <v>128</v>
      </c>
      <c r="D110" s="328"/>
      <c r="E110" s="165"/>
      <c r="F110" s="166"/>
      <c r="G110" s="167"/>
      <c r="H110" s="168"/>
      <c r="I110" s="169"/>
      <c r="J110" s="170"/>
      <c r="K110" s="170"/>
      <c r="L110" s="169"/>
      <c r="M110" s="337"/>
      <c r="N110" s="168"/>
      <c r="O110" s="167"/>
      <c r="P110" s="167"/>
      <c r="Q110" s="165"/>
      <c r="R110" s="165"/>
      <c r="S110" s="169"/>
      <c r="T110" s="338">
        <f t="shared" ref="T110:BI110" si="42">+T111</f>
        <v>0</v>
      </c>
      <c r="U110" s="338">
        <f t="shared" si="42"/>
        <v>0</v>
      </c>
      <c r="V110" s="338">
        <f t="shared" si="42"/>
        <v>0</v>
      </c>
      <c r="W110" s="338">
        <f t="shared" si="42"/>
        <v>0</v>
      </c>
      <c r="X110" s="338">
        <f t="shared" si="42"/>
        <v>0</v>
      </c>
      <c r="Y110" s="338">
        <f t="shared" si="42"/>
        <v>0</v>
      </c>
      <c r="Z110" s="338">
        <f t="shared" si="42"/>
        <v>0</v>
      </c>
      <c r="AA110" s="338">
        <f t="shared" si="42"/>
        <v>0</v>
      </c>
      <c r="AB110" s="338">
        <f t="shared" si="42"/>
        <v>0</v>
      </c>
      <c r="AC110" s="338">
        <f t="shared" si="42"/>
        <v>0</v>
      </c>
      <c r="AD110" s="338">
        <f t="shared" si="42"/>
        <v>0</v>
      </c>
      <c r="AE110" s="338">
        <f t="shared" si="42"/>
        <v>0</v>
      </c>
      <c r="AF110" s="338">
        <f t="shared" si="42"/>
        <v>0</v>
      </c>
      <c r="AG110" s="338">
        <f t="shared" si="42"/>
        <v>0</v>
      </c>
      <c r="AH110" s="338">
        <f t="shared" si="42"/>
        <v>0</v>
      </c>
      <c r="AI110" s="338">
        <f t="shared" si="42"/>
        <v>0</v>
      </c>
      <c r="AJ110" s="338">
        <f t="shared" si="42"/>
        <v>0</v>
      </c>
      <c r="AK110" s="338">
        <f t="shared" si="42"/>
        <v>0</v>
      </c>
      <c r="AL110" s="338">
        <f t="shared" si="42"/>
        <v>0</v>
      </c>
      <c r="AM110" s="338">
        <f t="shared" si="42"/>
        <v>0</v>
      </c>
      <c r="AN110" s="338">
        <f t="shared" si="42"/>
        <v>0</v>
      </c>
      <c r="AO110" s="338">
        <f t="shared" si="42"/>
        <v>0</v>
      </c>
      <c r="AP110" s="338">
        <f t="shared" si="42"/>
        <v>0</v>
      </c>
      <c r="AQ110" s="338">
        <f t="shared" si="42"/>
        <v>0</v>
      </c>
      <c r="AR110" s="338">
        <f t="shared" si="42"/>
        <v>0</v>
      </c>
      <c r="AS110" s="338">
        <f t="shared" si="42"/>
        <v>0</v>
      </c>
      <c r="AT110" s="338">
        <f t="shared" si="42"/>
        <v>0</v>
      </c>
      <c r="AU110" s="338">
        <f t="shared" si="42"/>
        <v>0</v>
      </c>
      <c r="AV110" s="338">
        <f t="shared" si="42"/>
        <v>0</v>
      </c>
      <c r="AW110" s="338">
        <f t="shared" si="42"/>
        <v>0</v>
      </c>
      <c r="AX110" s="338">
        <f t="shared" si="42"/>
        <v>377796636</v>
      </c>
      <c r="AY110" s="338">
        <f t="shared" si="42"/>
        <v>39170667</v>
      </c>
      <c r="AZ110" s="338">
        <f t="shared" si="42"/>
        <v>28370667</v>
      </c>
      <c r="BA110" s="338">
        <f t="shared" si="42"/>
        <v>0</v>
      </c>
      <c r="BB110" s="338">
        <f t="shared" si="42"/>
        <v>0</v>
      </c>
      <c r="BC110" s="338">
        <f t="shared" si="42"/>
        <v>0</v>
      </c>
      <c r="BD110" s="338">
        <f t="shared" si="42"/>
        <v>0</v>
      </c>
      <c r="BE110" s="338">
        <f t="shared" si="42"/>
        <v>0</v>
      </c>
      <c r="BF110" s="338">
        <f t="shared" si="42"/>
        <v>0</v>
      </c>
      <c r="BG110" s="338">
        <f t="shared" si="42"/>
        <v>377796636</v>
      </c>
      <c r="BH110" s="338">
        <f t="shared" si="42"/>
        <v>39170667</v>
      </c>
      <c r="BI110" s="338">
        <f t="shared" si="42"/>
        <v>28370667</v>
      </c>
      <c r="BJ110" s="55"/>
      <c r="BK110" s="55"/>
      <c r="BL110" s="55"/>
      <c r="BM110" s="55"/>
      <c r="BN110" s="55"/>
      <c r="BO110" s="55"/>
      <c r="BP110" s="55"/>
    </row>
    <row r="111" spans="1:68" ht="15.75" x14ac:dyDescent="0.2">
      <c r="A111" s="104"/>
      <c r="B111" s="374"/>
      <c r="C111" s="375">
        <v>42</v>
      </c>
      <c r="D111" s="253">
        <v>4502</v>
      </c>
      <c r="E111" s="376" t="s">
        <v>119</v>
      </c>
      <c r="F111" s="138"/>
      <c r="G111" s="139"/>
      <c r="H111" s="176"/>
      <c r="I111" s="177"/>
      <c r="J111" s="178"/>
      <c r="K111" s="178"/>
      <c r="L111" s="177"/>
      <c r="M111" s="339"/>
      <c r="N111" s="176"/>
      <c r="O111" s="139"/>
      <c r="P111" s="139"/>
      <c r="Q111" s="181"/>
      <c r="R111" s="181"/>
      <c r="S111" s="177"/>
      <c r="T111" s="357">
        <f t="shared" ref="T111:BI111" si="43">SUM(T112:T116)</f>
        <v>0</v>
      </c>
      <c r="U111" s="357">
        <f t="shared" si="43"/>
        <v>0</v>
      </c>
      <c r="V111" s="357">
        <f t="shared" si="43"/>
        <v>0</v>
      </c>
      <c r="W111" s="357">
        <f t="shared" si="43"/>
        <v>0</v>
      </c>
      <c r="X111" s="357">
        <f t="shared" si="43"/>
        <v>0</v>
      </c>
      <c r="Y111" s="357">
        <f t="shared" si="43"/>
        <v>0</v>
      </c>
      <c r="Z111" s="357">
        <f t="shared" si="43"/>
        <v>0</v>
      </c>
      <c r="AA111" s="357">
        <f t="shared" si="43"/>
        <v>0</v>
      </c>
      <c r="AB111" s="357">
        <f t="shared" si="43"/>
        <v>0</v>
      </c>
      <c r="AC111" s="357">
        <f t="shared" si="43"/>
        <v>0</v>
      </c>
      <c r="AD111" s="357">
        <f t="shared" si="43"/>
        <v>0</v>
      </c>
      <c r="AE111" s="357">
        <f t="shared" si="43"/>
        <v>0</v>
      </c>
      <c r="AF111" s="357">
        <f t="shared" si="43"/>
        <v>0</v>
      </c>
      <c r="AG111" s="357">
        <f t="shared" si="43"/>
        <v>0</v>
      </c>
      <c r="AH111" s="357">
        <f t="shared" si="43"/>
        <v>0</v>
      </c>
      <c r="AI111" s="357">
        <f t="shared" si="43"/>
        <v>0</v>
      </c>
      <c r="AJ111" s="357">
        <f t="shared" si="43"/>
        <v>0</v>
      </c>
      <c r="AK111" s="357">
        <f t="shared" si="43"/>
        <v>0</v>
      </c>
      <c r="AL111" s="357">
        <f t="shared" si="43"/>
        <v>0</v>
      </c>
      <c r="AM111" s="357">
        <f t="shared" si="43"/>
        <v>0</v>
      </c>
      <c r="AN111" s="357">
        <f t="shared" si="43"/>
        <v>0</v>
      </c>
      <c r="AO111" s="357">
        <f t="shared" si="43"/>
        <v>0</v>
      </c>
      <c r="AP111" s="357">
        <f t="shared" si="43"/>
        <v>0</v>
      </c>
      <c r="AQ111" s="357">
        <f t="shared" si="43"/>
        <v>0</v>
      </c>
      <c r="AR111" s="357">
        <f t="shared" si="43"/>
        <v>0</v>
      </c>
      <c r="AS111" s="357">
        <f t="shared" si="43"/>
        <v>0</v>
      </c>
      <c r="AT111" s="357">
        <f t="shared" si="43"/>
        <v>0</v>
      </c>
      <c r="AU111" s="357">
        <f t="shared" si="43"/>
        <v>0</v>
      </c>
      <c r="AV111" s="357">
        <f t="shared" si="43"/>
        <v>0</v>
      </c>
      <c r="AW111" s="357">
        <f t="shared" si="43"/>
        <v>0</v>
      </c>
      <c r="AX111" s="357">
        <f t="shared" si="43"/>
        <v>377796636</v>
      </c>
      <c r="AY111" s="357">
        <f t="shared" si="43"/>
        <v>39170667</v>
      </c>
      <c r="AZ111" s="357">
        <f t="shared" si="43"/>
        <v>28370667</v>
      </c>
      <c r="BA111" s="357">
        <f t="shared" si="43"/>
        <v>0</v>
      </c>
      <c r="BB111" s="357">
        <f t="shared" si="43"/>
        <v>0</v>
      </c>
      <c r="BC111" s="357">
        <f t="shared" si="43"/>
        <v>0</v>
      </c>
      <c r="BD111" s="357">
        <f t="shared" si="43"/>
        <v>0</v>
      </c>
      <c r="BE111" s="357">
        <f t="shared" si="43"/>
        <v>0</v>
      </c>
      <c r="BF111" s="357">
        <f t="shared" si="43"/>
        <v>0</v>
      </c>
      <c r="BG111" s="357">
        <f t="shared" si="43"/>
        <v>377796636</v>
      </c>
      <c r="BH111" s="357">
        <f t="shared" si="43"/>
        <v>39170667</v>
      </c>
      <c r="BI111" s="357">
        <f t="shared" si="43"/>
        <v>28370667</v>
      </c>
      <c r="BJ111" s="55"/>
      <c r="BK111" s="55"/>
      <c r="BL111" s="55"/>
      <c r="BM111" s="55"/>
      <c r="BN111" s="55"/>
      <c r="BO111" s="55"/>
      <c r="BP111" s="55"/>
    </row>
    <row r="112" spans="1:68" ht="58.5" customHeight="1" x14ac:dyDescent="0.2">
      <c r="A112" s="104"/>
      <c r="B112" s="359"/>
      <c r="C112" s="358"/>
      <c r="D112" s="190"/>
      <c r="E112" s="724"/>
      <c r="F112" s="145" t="s">
        <v>120</v>
      </c>
      <c r="G112" s="127" t="s">
        <v>426</v>
      </c>
      <c r="H112" s="377">
        <v>4502001</v>
      </c>
      <c r="I112" s="125" t="s">
        <v>427</v>
      </c>
      <c r="J112" s="126" t="s">
        <v>428</v>
      </c>
      <c r="K112" s="124">
        <v>450200100</v>
      </c>
      <c r="L112" s="125" t="s">
        <v>429</v>
      </c>
      <c r="M112" s="349" t="s">
        <v>109</v>
      </c>
      <c r="N112" s="124">
        <v>3</v>
      </c>
      <c r="O112" s="123">
        <v>3</v>
      </c>
      <c r="P112" s="123"/>
      <c r="Q112" s="892" t="s">
        <v>125</v>
      </c>
      <c r="R112" s="887" t="s">
        <v>400</v>
      </c>
      <c r="S112" s="890" t="s">
        <v>401</v>
      </c>
      <c r="T112" s="129"/>
      <c r="U112" s="129"/>
      <c r="V112" s="129"/>
      <c r="W112" s="129"/>
      <c r="X112" s="129"/>
      <c r="Y112" s="129"/>
      <c r="Z112" s="129"/>
      <c r="AA112" s="129"/>
      <c r="AB112" s="129"/>
      <c r="AC112" s="129"/>
      <c r="AD112" s="129"/>
      <c r="AE112" s="129"/>
      <c r="AF112" s="129"/>
      <c r="AG112" s="129"/>
      <c r="AH112" s="129"/>
      <c r="AI112" s="129"/>
      <c r="AJ112" s="129"/>
      <c r="AK112" s="129"/>
      <c r="AL112" s="129"/>
      <c r="AM112" s="129"/>
      <c r="AN112" s="129"/>
      <c r="AO112" s="129"/>
      <c r="AP112" s="129"/>
      <c r="AQ112" s="129"/>
      <c r="AR112" s="129"/>
      <c r="AS112" s="129"/>
      <c r="AT112" s="129"/>
      <c r="AU112" s="129"/>
      <c r="AV112" s="129"/>
      <c r="AW112" s="129"/>
      <c r="AX112" s="229">
        <v>207796636</v>
      </c>
      <c r="AY112" s="229">
        <v>23270667</v>
      </c>
      <c r="AZ112" s="229">
        <v>15570667</v>
      </c>
      <c r="BA112" s="129"/>
      <c r="BB112" s="129"/>
      <c r="BC112" s="129"/>
      <c r="BD112" s="129"/>
      <c r="BE112" s="129"/>
      <c r="BF112" s="129"/>
      <c r="BG112" s="131">
        <f t="shared" ref="BG112:BI116" si="44">+T112+W112+Z112+AC112+AF112+AI112+AL112+AO112+AR112+AU112+AX112+BA112+BD112</f>
        <v>207796636</v>
      </c>
      <c r="BH112" s="131">
        <f t="shared" si="44"/>
        <v>23270667</v>
      </c>
      <c r="BI112" s="131">
        <f t="shared" si="44"/>
        <v>15570667</v>
      </c>
      <c r="BJ112" s="55"/>
      <c r="BK112" s="55"/>
      <c r="BL112" s="55"/>
      <c r="BM112" s="55"/>
      <c r="BN112" s="55"/>
      <c r="BO112" s="55"/>
      <c r="BP112" s="55"/>
    </row>
    <row r="113" spans="1:68" ht="54.75" customHeight="1" x14ac:dyDescent="0.2">
      <c r="A113" s="104"/>
      <c r="B113" s="359"/>
      <c r="C113" s="359"/>
      <c r="D113" s="208"/>
      <c r="E113" s="725"/>
      <c r="F113" s="152" t="s">
        <v>120</v>
      </c>
      <c r="G113" s="378" t="s">
        <v>430</v>
      </c>
      <c r="H113" s="124" t="s">
        <v>102</v>
      </c>
      <c r="I113" s="379" t="s">
        <v>431</v>
      </c>
      <c r="J113" s="378" t="s">
        <v>432</v>
      </c>
      <c r="K113" s="378" t="s">
        <v>102</v>
      </c>
      <c r="L113" s="379" t="s">
        <v>433</v>
      </c>
      <c r="M113" s="380" t="s">
        <v>109</v>
      </c>
      <c r="N113" s="219">
        <v>1</v>
      </c>
      <c r="O113" s="381">
        <v>1</v>
      </c>
      <c r="P113" s="716"/>
      <c r="Q113" s="893"/>
      <c r="R113" s="889"/>
      <c r="S113" s="894"/>
      <c r="T113" s="129"/>
      <c r="U113" s="129"/>
      <c r="V113" s="129"/>
      <c r="W113" s="129"/>
      <c r="X113" s="129"/>
      <c r="Y113" s="129"/>
      <c r="Z113" s="129"/>
      <c r="AA113" s="129"/>
      <c r="AB113" s="129"/>
      <c r="AC113" s="129"/>
      <c r="AD113" s="129"/>
      <c r="AE113" s="129"/>
      <c r="AF113" s="129"/>
      <c r="AG113" s="129"/>
      <c r="AH113" s="129"/>
      <c r="AI113" s="129"/>
      <c r="AJ113" s="129"/>
      <c r="AK113" s="129"/>
      <c r="AL113" s="129"/>
      <c r="AM113" s="129"/>
      <c r="AN113" s="129"/>
      <c r="AO113" s="129"/>
      <c r="AP113" s="129"/>
      <c r="AQ113" s="129"/>
      <c r="AR113" s="129"/>
      <c r="AS113" s="129"/>
      <c r="AT113" s="129"/>
      <c r="AU113" s="129"/>
      <c r="AV113" s="129"/>
      <c r="AW113" s="129"/>
      <c r="AX113" s="229">
        <v>70000000</v>
      </c>
      <c r="AY113" s="229"/>
      <c r="AZ113" s="229"/>
      <c r="BA113" s="129"/>
      <c r="BB113" s="129"/>
      <c r="BC113" s="129"/>
      <c r="BD113" s="129"/>
      <c r="BE113" s="129"/>
      <c r="BF113" s="129"/>
      <c r="BG113" s="131">
        <f t="shared" si="44"/>
        <v>70000000</v>
      </c>
      <c r="BH113" s="131">
        <f t="shared" si="44"/>
        <v>0</v>
      </c>
      <c r="BI113" s="131">
        <f t="shared" si="44"/>
        <v>0</v>
      </c>
      <c r="BJ113" s="55"/>
      <c r="BK113" s="55"/>
      <c r="BL113" s="55"/>
      <c r="BM113" s="55"/>
      <c r="BN113" s="55"/>
      <c r="BO113" s="55"/>
      <c r="BP113" s="55"/>
    </row>
    <row r="114" spans="1:68" ht="95.25" customHeight="1" x14ac:dyDescent="0.2">
      <c r="A114" s="104"/>
      <c r="B114" s="359"/>
      <c r="C114" s="359"/>
      <c r="D114" s="208"/>
      <c r="E114" s="724"/>
      <c r="F114" s="145" t="s">
        <v>120</v>
      </c>
      <c r="G114" s="126" t="s">
        <v>434</v>
      </c>
      <c r="H114" s="124" t="s">
        <v>102</v>
      </c>
      <c r="I114" s="125" t="s">
        <v>435</v>
      </c>
      <c r="J114" s="126" t="s">
        <v>436</v>
      </c>
      <c r="K114" s="126" t="s">
        <v>102</v>
      </c>
      <c r="L114" s="125" t="s">
        <v>437</v>
      </c>
      <c r="M114" s="349" t="s">
        <v>109</v>
      </c>
      <c r="N114" s="124">
        <v>12</v>
      </c>
      <c r="O114" s="123">
        <v>12</v>
      </c>
      <c r="P114" s="123"/>
      <c r="Q114" s="892" t="s">
        <v>125</v>
      </c>
      <c r="R114" s="887" t="s">
        <v>438</v>
      </c>
      <c r="S114" s="890" t="s">
        <v>439</v>
      </c>
      <c r="T114" s="129"/>
      <c r="U114" s="129"/>
      <c r="V114" s="129"/>
      <c r="W114" s="129"/>
      <c r="X114" s="129"/>
      <c r="Y114" s="129"/>
      <c r="Z114" s="129"/>
      <c r="AA114" s="129"/>
      <c r="AB114" s="129"/>
      <c r="AC114" s="129"/>
      <c r="AD114" s="129"/>
      <c r="AE114" s="129"/>
      <c r="AF114" s="129"/>
      <c r="AG114" s="129"/>
      <c r="AH114" s="129"/>
      <c r="AI114" s="129"/>
      <c r="AJ114" s="129"/>
      <c r="AK114" s="129"/>
      <c r="AL114" s="129"/>
      <c r="AM114" s="129"/>
      <c r="AN114" s="129"/>
      <c r="AO114" s="129"/>
      <c r="AP114" s="129"/>
      <c r="AQ114" s="129"/>
      <c r="AR114" s="129"/>
      <c r="AS114" s="129"/>
      <c r="AT114" s="129"/>
      <c r="AU114" s="129"/>
      <c r="AV114" s="129"/>
      <c r="AW114" s="129"/>
      <c r="AX114" s="229">
        <v>40000000</v>
      </c>
      <c r="AY114" s="229">
        <v>11900000</v>
      </c>
      <c r="AZ114" s="229">
        <v>8800000</v>
      </c>
      <c r="BA114" s="129"/>
      <c r="BB114" s="129"/>
      <c r="BC114" s="129"/>
      <c r="BD114" s="129"/>
      <c r="BE114" s="129"/>
      <c r="BF114" s="129"/>
      <c r="BG114" s="131">
        <f t="shared" si="44"/>
        <v>40000000</v>
      </c>
      <c r="BH114" s="131">
        <f t="shared" si="44"/>
        <v>11900000</v>
      </c>
      <c r="BI114" s="131">
        <f t="shared" si="44"/>
        <v>8800000</v>
      </c>
      <c r="BJ114" s="55"/>
      <c r="BK114" s="55"/>
      <c r="BL114" s="55"/>
      <c r="BM114" s="55"/>
      <c r="BN114" s="55"/>
      <c r="BO114" s="55"/>
      <c r="BP114" s="55"/>
    </row>
    <row r="115" spans="1:68" ht="63.75" customHeight="1" x14ac:dyDescent="0.2">
      <c r="A115" s="104"/>
      <c r="B115" s="359"/>
      <c r="C115" s="359"/>
      <c r="D115" s="208"/>
      <c r="E115" s="725"/>
      <c r="F115" s="145" t="s">
        <v>120</v>
      </c>
      <c r="G115" s="382" t="s">
        <v>440</v>
      </c>
      <c r="H115" s="124" t="s">
        <v>102</v>
      </c>
      <c r="I115" s="379" t="s">
        <v>441</v>
      </c>
      <c r="J115" s="382" t="s">
        <v>442</v>
      </c>
      <c r="K115" s="382" t="s">
        <v>102</v>
      </c>
      <c r="L115" s="383" t="s">
        <v>443</v>
      </c>
      <c r="M115" s="380" t="s">
        <v>204</v>
      </c>
      <c r="N115" s="219">
        <v>1</v>
      </c>
      <c r="O115" s="381">
        <v>0.2</v>
      </c>
      <c r="P115" s="716"/>
      <c r="Q115" s="893"/>
      <c r="R115" s="889"/>
      <c r="S115" s="894"/>
      <c r="T115" s="129"/>
      <c r="U115" s="129"/>
      <c r="V115" s="129"/>
      <c r="W115" s="129"/>
      <c r="X115" s="129"/>
      <c r="Y115" s="129"/>
      <c r="Z115" s="129"/>
      <c r="AA115" s="129"/>
      <c r="AB115" s="129"/>
      <c r="AC115" s="129"/>
      <c r="AD115" s="129"/>
      <c r="AE115" s="129"/>
      <c r="AF115" s="129"/>
      <c r="AG115" s="129"/>
      <c r="AH115" s="129"/>
      <c r="AI115" s="129"/>
      <c r="AJ115" s="129"/>
      <c r="AK115" s="129"/>
      <c r="AL115" s="129"/>
      <c r="AM115" s="129"/>
      <c r="AN115" s="129"/>
      <c r="AO115" s="129"/>
      <c r="AP115" s="129"/>
      <c r="AQ115" s="129"/>
      <c r="AR115" s="129"/>
      <c r="AS115" s="129"/>
      <c r="AT115" s="129"/>
      <c r="AU115" s="129"/>
      <c r="AV115" s="129"/>
      <c r="AW115" s="129"/>
      <c r="AX115" s="229">
        <v>10000000</v>
      </c>
      <c r="AY115" s="229"/>
      <c r="AZ115" s="229"/>
      <c r="BA115" s="129"/>
      <c r="BB115" s="129"/>
      <c r="BC115" s="129"/>
      <c r="BD115" s="129"/>
      <c r="BE115" s="129"/>
      <c r="BF115" s="129"/>
      <c r="BG115" s="131">
        <f t="shared" si="44"/>
        <v>10000000</v>
      </c>
      <c r="BH115" s="131">
        <f t="shared" si="44"/>
        <v>0</v>
      </c>
      <c r="BI115" s="131">
        <f t="shared" si="44"/>
        <v>0</v>
      </c>
      <c r="BJ115" s="55"/>
      <c r="BK115" s="55"/>
      <c r="BL115" s="55"/>
      <c r="BM115" s="55"/>
      <c r="BN115" s="55"/>
      <c r="BO115" s="55"/>
      <c r="BP115" s="55"/>
    </row>
    <row r="116" spans="1:68" ht="46.5" customHeight="1" x14ac:dyDescent="0.2">
      <c r="A116" s="141"/>
      <c r="B116" s="360"/>
      <c r="C116" s="360"/>
      <c r="D116" s="361"/>
      <c r="E116" s="121"/>
      <c r="F116" s="145" t="s">
        <v>120</v>
      </c>
      <c r="G116" s="127" t="s">
        <v>426</v>
      </c>
      <c r="H116" s="384">
        <v>4502001</v>
      </c>
      <c r="I116" s="368" t="s">
        <v>427</v>
      </c>
      <c r="J116" s="127" t="s">
        <v>428</v>
      </c>
      <c r="K116" s="124">
        <v>450200100</v>
      </c>
      <c r="L116" s="186" t="s">
        <v>429</v>
      </c>
      <c r="M116" s="349" t="s">
        <v>109</v>
      </c>
      <c r="N116" s="385">
        <v>3</v>
      </c>
      <c r="O116" s="385">
        <v>3</v>
      </c>
      <c r="P116" s="385"/>
      <c r="Q116" s="149" t="s">
        <v>322</v>
      </c>
      <c r="R116" s="127" t="s">
        <v>444</v>
      </c>
      <c r="S116" s="186" t="s">
        <v>445</v>
      </c>
      <c r="T116" s="129"/>
      <c r="U116" s="129"/>
      <c r="V116" s="129"/>
      <c r="W116" s="129"/>
      <c r="X116" s="129"/>
      <c r="Y116" s="129"/>
      <c r="Z116" s="129"/>
      <c r="AA116" s="129"/>
      <c r="AB116" s="129"/>
      <c r="AC116" s="129"/>
      <c r="AD116" s="129"/>
      <c r="AE116" s="129"/>
      <c r="AF116" s="129"/>
      <c r="AG116" s="129"/>
      <c r="AH116" s="129"/>
      <c r="AI116" s="129"/>
      <c r="AJ116" s="129"/>
      <c r="AK116" s="129"/>
      <c r="AL116" s="129"/>
      <c r="AM116" s="129"/>
      <c r="AN116" s="129"/>
      <c r="AO116" s="129"/>
      <c r="AP116" s="129"/>
      <c r="AQ116" s="129"/>
      <c r="AR116" s="129"/>
      <c r="AS116" s="129"/>
      <c r="AT116" s="129"/>
      <c r="AU116" s="129"/>
      <c r="AV116" s="187"/>
      <c r="AW116" s="187"/>
      <c r="AX116" s="188">
        <f>50000000</f>
        <v>50000000</v>
      </c>
      <c r="AY116" s="188">
        <v>4000000</v>
      </c>
      <c r="AZ116" s="188">
        <v>4000000</v>
      </c>
      <c r="BA116" s="187"/>
      <c r="BB116" s="187"/>
      <c r="BC116" s="187"/>
      <c r="BD116" s="187"/>
      <c r="BE116" s="187"/>
      <c r="BF116" s="187"/>
      <c r="BG116" s="131">
        <f t="shared" si="44"/>
        <v>50000000</v>
      </c>
      <c r="BH116" s="131">
        <f t="shared" si="44"/>
        <v>4000000</v>
      </c>
      <c r="BI116" s="131">
        <f t="shared" si="44"/>
        <v>4000000</v>
      </c>
      <c r="BJ116" s="55"/>
      <c r="BK116" s="55"/>
      <c r="BL116" s="55"/>
      <c r="BM116" s="55"/>
      <c r="BN116" s="55"/>
      <c r="BO116" s="55"/>
      <c r="BP116" s="55"/>
    </row>
    <row r="117" spans="1:68" ht="27.75" customHeight="1" x14ac:dyDescent="0.2">
      <c r="B117" s="230"/>
      <c r="C117" s="230"/>
      <c r="D117" s="231"/>
      <c r="E117" s="232"/>
      <c r="F117" s="233"/>
      <c r="G117" s="234"/>
      <c r="H117" s="235"/>
      <c r="I117" s="236"/>
      <c r="J117" s="237"/>
      <c r="K117" s="237"/>
      <c r="L117" s="236"/>
      <c r="M117" s="232"/>
      <c r="N117" s="235"/>
      <c r="O117" s="234"/>
      <c r="P117" s="234"/>
      <c r="Q117" s="232"/>
      <c r="R117" s="232"/>
      <c r="S117" s="236"/>
      <c r="T117" s="238"/>
      <c r="U117" s="238"/>
      <c r="V117" s="238"/>
      <c r="W117" s="238"/>
      <c r="X117" s="238"/>
      <c r="Y117" s="238"/>
      <c r="Z117" s="238"/>
      <c r="AA117" s="238"/>
      <c r="AB117" s="238"/>
      <c r="AC117" s="238"/>
      <c r="AD117" s="238"/>
      <c r="AE117" s="238"/>
      <c r="AF117" s="238"/>
      <c r="AG117" s="238"/>
      <c r="AH117" s="238"/>
      <c r="AI117" s="238"/>
      <c r="AJ117" s="238"/>
      <c r="AK117" s="238"/>
      <c r="AL117" s="238"/>
      <c r="AM117" s="238"/>
      <c r="AN117" s="238"/>
      <c r="AO117" s="238"/>
      <c r="AP117" s="238"/>
      <c r="AQ117" s="238"/>
      <c r="AR117" s="238"/>
      <c r="AS117" s="238"/>
      <c r="AT117" s="238"/>
      <c r="AU117" s="238"/>
      <c r="AV117" s="238"/>
      <c r="AW117" s="238"/>
      <c r="AX117" s="239"/>
      <c r="AY117" s="239"/>
      <c r="AZ117" s="239"/>
      <c r="BA117" s="238"/>
      <c r="BB117" s="238"/>
      <c r="BC117" s="238"/>
      <c r="BG117" s="240"/>
      <c r="BH117" s="240"/>
      <c r="BI117" s="240"/>
      <c r="BJ117" s="55"/>
      <c r="BK117" s="55"/>
      <c r="BL117" s="55"/>
      <c r="BM117" s="55"/>
      <c r="BN117" s="55"/>
      <c r="BO117" s="55"/>
      <c r="BP117" s="55"/>
    </row>
    <row r="118" spans="1:68" ht="19.5" customHeight="1" x14ac:dyDescent="0.2">
      <c r="A118" s="241" t="s">
        <v>446</v>
      </c>
      <c r="B118" s="242"/>
      <c r="C118" s="243"/>
      <c r="D118" s="244"/>
      <c r="E118" s="245"/>
      <c r="F118" s="246"/>
      <c r="G118" s="247"/>
      <c r="H118" s="248"/>
      <c r="I118" s="249"/>
      <c r="J118" s="250"/>
      <c r="K118" s="250"/>
      <c r="L118" s="249"/>
      <c r="M118" s="386"/>
      <c r="N118" s="248"/>
      <c r="O118" s="247"/>
      <c r="P118" s="247"/>
      <c r="Q118" s="245"/>
      <c r="R118" s="245"/>
      <c r="S118" s="249"/>
      <c r="T118" s="251">
        <f t="shared" ref="T118:BI118" si="45">T119</f>
        <v>2577375983.8299999</v>
      </c>
      <c r="U118" s="251">
        <f t="shared" si="45"/>
        <v>25600000</v>
      </c>
      <c r="V118" s="251">
        <f t="shared" si="45"/>
        <v>22800000</v>
      </c>
      <c r="W118" s="251">
        <f t="shared" si="45"/>
        <v>0</v>
      </c>
      <c r="X118" s="251">
        <f t="shared" si="45"/>
        <v>0</v>
      </c>
      <c r="Y118" s="251">
        <f t="shared" si="45"/>
        <v>0</v>
      </c>
      <c r="Z118" s="251">
        <f t="shared" si="45"/>
        <v>0</v>
      </c>
      <c r="AA118" s="251">
        <f t="shared" si="45"/>
        <v>0</v>
      </c>
      <c r="AB118" s="251">
        <f t="shared" si="45"/>
        <v>0</v>
      </c>
      <c r="AC118" s="251">
        <f t="shared" si="45"/>
        <v>0</v>
      </c>
      <c r="AD118" s="251">
        <f t="shared" si="45"/>
        <v>0</v>
      </c>
      <c r="AE118" s="251">
        <f t="shared" si="45"/>
        <v>0</v>
      </c>
      <c r="AF118" s="251">
        <f t="shared" si="45"/>
        <v>0</v>
      </c>
      <c r="AG118" s="251">
        <f t="shared" si="45"/>
        <v>0</v>
      </c>
      <c r="AH118" s="251">
        <f t="shared" si="45"/>
        <v>0</v>
      </c>
      <c r="AI118" s="251">
        <f t="shared" si="45"/>
        <v>0</v>
      </c>
      <c r="AJ118" s="251">
        <f t="shared" si="45"/>
        <v>0</v>
      </c>
      <c r="AK118" s="251">
        <f t="shared" si="45"/>
        <v>0</v>
      </c>
      <c r="AL118" s="251">
        <f t="shared" si="45"/>
        <v>0</v>
      </c>
      <c r="AM118" s="251">
        <f t="shared" si="45"/>
        <v>0</v>
      </c>
      <c r="AN118" s="251">
        <f t="shared" si="45"/>
        <v>0</v>
      </c>
      <c r="AO118" s="251">
        <f t="shared" si="45"/>
        <v>0</v>
      </c>
      <c r="AP118" s="251">
        <f t="shared" si="45"/>
        <v>0</v>
      </c>
      <c r="AQ118" s="251">
        <f t="shared" si="45"/>
        <v>0</v>
      </c>
      <c r="AR118" s="251">
        <f t="shared" si="45"/>
        <v>0</v>
      </c>
      <c r="AS118" s="251">
        <f t="shared" si="45"/>
        <v>0</v>
      </c>
      <c r="AT118" s="251">
        <f t="shared" si="45"/>
        <v>0</v>
      </c>
      <c r="AU118" s="251">
        <f t="shared" si="45"/>
        <v>0</v>
      </c>
      <c r="AV118" s="251">
        <f t="shared" si="45"/>
        <v>0</v>
      </c>
      <c r="AW118" s="251">
        <f t="shared" si="45"/>
        <v>0</v>
      </c>
      <c r="AX118" s="251">
        <f t="shared" si="45"/>
        <v>934149741</v>
      </c>
      <c r="AY118" s="251">
        <f t="shared" si="45"/>
        <v>92200000</v>
      </c>
      <c r="AZ118" s="251">
        <f t="shared" si="45"/>
        <v>92200000</v>
      </c>
      <c r="BA118" s="251">
        <f t="shared" si="45"/>
        <v>287355981.30000001</v>
      </c>
      <c r="BB118" s="251">
        <f t="shared" si="45"/>
        <v>0</v>
      </c>
      <c r="BC118" s="251">
        <f t="shared" si="45"/>
        <v>0</v>
      </c>
      <c r="BD118" s="251">
        <f t="shared" si="45"/>
        <v>0</v>
      </c>
      <c r="BE118" s="251">
        <f t="shared" si="45"/>
        <v>0</v>
      </c>
      <c r="BF118" s="251">
        <f t="shared" si="45"/>
        <v>0</v>
      </c>
      <c r="BG118" s="251">
        <f t="shared" si="45"/>
        <v>3798881706.1300001</v>
      </c>
      <c r="BH118" s="251">
        <f t="shared" si="45"/>
        <v>117800000</v>
      </c>
      <c r="BI118" s="251">
        <f t="shared" si="45"/>
        <v>115000000</v>
      </c>
      <c r="BJ118" s="55"/>
      <c r="BK118" s="55"/>
      <c r="BL118" s="55"/>
      <c r="BM118" s="55"/>
      <c r="BN118" s="55"/>
      <c r="BO118" s="55"/>
      <c r="BP118" s="55"/>
    </row>
    <row r="119" spans="1:68" ht="19.5" customHeight="1" x14ac:dyDescent="0.2">
      <c r="A119" s="104"/>
      <c r="B119" s="387">
        <v>1</v>
      </c>
      <c r="C119" s="163" t="s">
        <v>1</v>
      </c>
      <c r="D119" s="164"/>
      <c r="E119" s="165"/>
      <c r="F119" s="166"/>
      <c r="G119" s="167"/>
      <c r="H119" s="168"/>
      <c r="I119" s="169"/>
      <c r="J119" s="170"/>
      <c r="K119" s="170"/>
      <c r="L119" s="169"/>
      <c r="M119" s="171"/>
      <c r="N119" s="172"/>
      <c r="O119" s="167"/>
      <c r="P119" s="167"/>
      <c r="Q119" s="165"/>
      <c r="R119" s="165"/>
      <c r="S119" s="169"/>
      <c r="T119" s="103">
        <f t="shared" ref="T119:BI119" si="46">T120+T127</f>
        <v>2577375983.8299999</v>
      </c>
      <c r="U119" s="103">
        <f t="shared" si="46"/>
        <v>25600000</v>
      </c>
      <c r="V119" s="103">
        <f t="shared" si="46"/>
        <v>22800000</v>
      </c>
      <c r="W119" s="103">
        <f t="shared" si="46"/>
        <v>0</v>
      </c>
      <c r="X119" s="103">
        <f t="shared" si="46"/>
        <v>0</v>
      </c>
      <c r="Y119" s="103">
        <f t="shared" si="46"/>
        <v>0</v>
      </c>
      <c r="Z119" s="103">
        <f t="shared" si="46"/>
        <v>0</v>
      </c>
      <c r="AA119" s="103">
        <f t="shared" si="46"/>
        <v>0</v>
      </c>
      <c r="AB119" s="103">
        <f t="shared" si="46"/>
        <v>0</v>
      </c>
      <c r="AC119" s="103">
        <f t="shared" si="46"/>
        <v>0</v>
      </c>
      <c r="AD119" s="103">
        <f t="shared" si="46"/>
        <v>0</v>
      </c>
      <c r="AE119" s="103">
        <f t="shared" si="46"/>
        <v>0</v>
      </c>
      <c r="AF119" s="103">
        <f t="shared" si="46"/>
        <v>0</v>
      </c>
      <c r="AG119" s="103">
        <f t="shared" si="46"/>
        <v>0</v>
      </c>
      <c r="AH119" s="103">
        <f t="shared" si="46"/>
        <v>0</v>
      </c>
      <c r="AI119" s="103">
        <f t="shared" si="46"/>
        <v>0</v>
      </c>
      <c r="AJ119" s="103">
        <f t="shared" si="46"/>
        <v>0</v>
      </c>
      <c r="AK119" s="103">
        <f t="shared" si="46"/>
        <v>0</v>
      </c>
      <c r="AL119" s="103">
        <f t="shared" si="46"/>
        <v>0</v>
      </c>
      <c r="AM119" s="103">
        <f t="shared" si="46"/>
        <v>0</v>
      </c>
      <c r="AN119" s="103">
        <f t="shared" si="46"/>
        <v>0</v>
      </c>
      <c r="AO119" s="103">
        <f t="shared" si="46"/>
        <v>0</v>
      </c>
      <c r="AP119" s="103">
        <f t="shared" si="46"/>
        <v>0</v>
      </c>
      <c r="AQ119" s="103">
        <f t="shared" si="46"/>
        <v>0</v>
      </c>
      <c r="AR119" s="103">
        <f t="shared" si="46"/>
        <v>0</v>
      </c>
      <c r="AS119" s="103">
        <f t="shared" si="46"/>
        <v>0</v>
      </c>
      <c r="AT119" s="103">
        <f t="shared" si="46"/>
        <v>0</v>
      </c>
      <c r="AU119" s="103">
        <f t="shared" si="46"/>
        <v>0</v>
      </c>
      <c r="AV119" s="103">
        <f t="shared" si="46"/>
        <v>0</v>
      </c>
      <c r="AW119" s="103">
        <f t="shared" si="46"/>
        <v>0</v>
      </c>
      <c r="AX119" s="103">
        <f t="shared" si="46"/>
        <v>934149741</v>
      </c>
      <c r="AY119" s="103">
        <f t="shared" si="46"/>
        <v>92200000</v>
      </c>
      <c r="AZ119" s="103">
        <f t="shared" si="46"/>
        <v>92200000</v>
      </c>
      <c r="BA119" s="103">
        <f t="shared" si="46"/>
        <v>287355981.30000001</v>
      </c>
      <c r="BB119" s="103">
        <f t="shared" si="46"/>
        <v>0</v>
      </c>
      <c r="BC119" s="103">
        <f t="shared" si="46"/>
        <v>0</v>
      </c>
      <c r="BD119" s="103">
        <f t="shared" si="46"/>
        <v>0</v>
      </c>
      <c r="BE119" s="103">
        <f t="shared" si="46"/>
        <v>0</v>
      </c>
      <c r="BF119" s="103">
        <f t="shared" si="46"/>
        <v>0</v>
      </c>
      <c r="BG119" s="103">
        <f t="shared" si="46"/>
        <v>3798881706.1300001</v>
      </c>
      <c r="BH119" s="103">
        <f t="shared" si="46"/>
        <v>117800000</v>
      </c>
      <c r="BI119" s="103">
        <f t="shared" si="46"/>
        <v>115000000</v>
      </c>
      <c r="BJ119" s="55"/>
      <c r="BK119" s="55"/>
      <c r="BL119" s="55"/>
      <c r="BM119" s="55"/>
      <c r="BN119" s="55"/>
      <c r="BO119" s="55"/>
      <c r="BP119" s="55"/>
    </row>
    <row r="120" spans="1:68" ht="19.5" customHeight="1" x14ac:dyDescent="0.2">
      <c r="A120" s="104"/>
      <c r="B120" s="105"/>
      <c r="C120" s="388">
        <v>25</v>
      </c>
      <c r="D120" s="253">
        <v>3301</v>
      </c>
      <c r="E120" s="175" t="s">
        <v>227</v>
      </c>
      <c r="F120" s="138"/>
      <c r="G120" s="139"/>
      <c r="H120" s="176"/>
      <c r="I120" s="177"/>
      <c r="J120" s="178"/>
      <c r="K120" s="178"/>
      <c r="L120" s="177"/>
      <c r="M120" s="179"/>
      <c r="N120" s="180"/>
      <c r="O120" s="139"/>
      <c r="P120" s="139"/>
      <c r="Q120" s="181"/>
      <c r="R120" s="181"/>
      <c r="S120" s="177"/>
      <c r="T120" s="117">
        <f t="shared" ref="T120:BI120" si="47">SUM(T121:T126)</f>
        <v>2577375983.8299999</v>
      </c>
      <c r="U120" s="117">
        <f t="shared" si="47"/>
        <v>25600000</v>
      </c>
      <c r="V120" s="117">
        <f t="shared" si="47"/>
        <v>22800000</v>
      </c>
      <c r="W120" s="117">
        <f t="shared" si="47"/>
        <v>0</v>
      </c>
      <c r="X120" s="117">
        <f t="shared" si="47"/>
        <v>0</v>
      </c>
      <c r="Y120" s="117">
        <f t="shared" si="47"/>
        <v>0</v>
      </c>
      <c r="Z120" s="117">
        <f t="shared" si="47"/>
        <v>0</v>
      </c>
      <c r="AA120" s="117">
        <f t="shared" si="47"/>
        <v>0</v>
      </c>
      <c r="AB120" s="117">
        <f t="shared" si="47"/>
        <v>0</v>
      </c>
      <c r="AC120" s="117">
        <f t="shared" si="47"/>
        <v>0</v>
      </c>
      <c r="AD120" s="117">
        <f t="shared" si="47"/>
        <v>0</v>
      </c>
      <c r="AE120" s="117">
        <f t="shared" si="47"/>
        <v>0</v>
      </c>
      <c r="AF120" s="117">
        <f t="shared" si="47"/>
        <v>0</v>
      </c>
      <c r="AG120" s="117">
        <f t="shared" si="47"/>
        <v>0</v>
      </c>
      <c r="AH120" s="117">
        <f t="shared" si="47"/>
        <v>0</v>
      </c>
      <c r="AI120" s="117">
        <f t="shared" si="47"/>
        <v>0</v>
      </c>
      <c r="AJ120" s="117">
        <f t="shared" si="47"/>
        <v>0</v>
      </c>
      <c r="AK120" s="117">
        <f t="shared" si="47"/>
        <v>0</v>
      </c>
      <c r="AL120" s="117">
        <f t="shared" si="47"/>
        <v>0</v>
      </c>
      <c r="AM120" s="117">
        <f t="shared" si="47"/>
        <v>0</v>
      </c>
      <c r="AN120" s="117">
        <f t="shared" si="47"/>
        <v>0</v>
      </c>
      <c r="AO120" s="117">
        <f t="shared" si="47"/>
        <v>0</v>
      </c>
      <c r="AP120" s="117">
        <f t="shared" si="47"/>
        <v>0</v>
      </c>
      <c r="AQ120" s="117">
        <f t="shared" si="47"/>
        <v>0</v>
      </c>
      <c r="AR120" s="117">
        <f t="shared" si="47"/>
        <v>0</v>
      </c>
      <c r="AS120" s="117">
        <f t="shared" si="47"/>
        <v>0</v>
      </c>
      <c r="AT120" s="117">
        <f t="shared" si="47"/>
        <v>0</v>
      </c>
      <c r="AU120" s="117">
        <f t="shared" si="47"/>
        <v>0</v>
      </c>
      <c r="AV120" s="117">
        <f t="shared" si="47"/>
        <v>0</v>
      </c>
      <c r="AW120" s="117">
        <f t="shared" si="47"/>
        <v>0</v>
      </c>
      <c r="AX120" s="117">
        <f t="shared" si="47"/>
        <v>854149741</v>
      </c>
      <c r="AY120" s="117">
        <f t="shared" si="47"/>
        <v>78400000</v>
      </c>
      <c r="AZ120" s="117">
        <f t="shared" si="47"/>
        <v>78400000</v>
      </c>
      <c r="BA120" s="117">
        <f t="shared" si="47"/>
        <v>0</v>
      </c>
      <c r="BB120" s="117">
        <f t="shared" si="47"/>
        <v>0</v>
      </c>
      <c r="BC120" s="117">
        <f t="shared" si="47"/>
        <v>0</v>
      </c>
      <c r="BD120" s="117">
        <f t="shared" si="47"/>
        <v>0</v>
      </c>
      <c r="BE120" s="117">
        <f t="shared" si="47"/>
        <v>0</v>
      </c>
      <c r="BF120" s="117">
        <f t="shared" si="47"/>
        <v>0</v>
      </c>
      <c r="BG120" s="117">
        <f t="shared" si="47"/>
        <v>3431525724.8299999</v>
      </c>
      <c r="BH120" s="117">
        <f t="shared" si="47"/>
        <v>104000000</v>
      </c>
      <c r="BI120" s="117">
        <f t="shared" si="47"/>
        <v>101200000</v>
      </c>
      <c r="BJ120" s="55"/>
      <c r="BK120" s="55"/>
      <c r="BL120" s="55"/>
      <c r="BM120" s="55"/>
      <c r="BN120" s="55"/>
      <c r="BO120" s="55"/>
      <c r="BP120" s="55"/>
    </row>
    <row r="121" spans="1:68" ht="69.75" customHeight="1" x14ac:dyDescent="0.2">
      <c r="A121" s="104"/>
      <c r="B121" s="255"/>
      <c r="C121" s="256"/>
      <c r="D121" s="120"/>
      <c r="E121" s="296"/>
      <c r="F121" s="122" t="s">
        <v>447</v>
      </c>
      <c r="G121" s="123" t="s">
        <v>448</v>
      </c>
      <c r="H121" s="124">
        <v>3301087</v>
      </c>
      <c r="I121" s="186" t="s">
        <v>449</v>
      </c>
      <c r="J121" s="127" t="s">
        <v>450</v>
      </c>
      <c r="K121" s="124">
        <v>330108701</v>
      </c>
      <c r="L121" s="186" t="s">
        <v>415</v>
      </c>
      <c r="M121" s="370" t="s">
        <v>204</v>
      </c>
      <c r="N121" s="219">
        <v>18785</v>
      </c>
      <c r="O121" s="124">
        <v>1600</v>
      </c>
      <c r="P121" s="124">
        <v>172</v>
      </c>
      <c r="Q121" s="887" t="s">
        <v>235</v>
      </c>
      <c r="R121" s="887" t="s">
        <v>451</v>
      </c>
      <c r="S121" s="890" t="s">
        <v>452</v>
      </c>
      <c r="T121" s="390"/>
      <c r="U121" s="390"/>
      <c r="V121" s="390"/>
      <c r="W121" s="391"/>
      <c r="X121" s="391"/>
      <c r="Y121" s="391"/>
      <c r="Z121" s="391"/>
      <c r="AA121" s="391"/>
      <c r="AB121" s="391"/>
      <c r="AC121" s="391"/>
      <c r="AD121" s="391"/>
      <c r="AE121" s="391"/>
      <c r="AF121" s="391"/>
      <c r="AG121" s="391"/>
      <c r="AH121" s="391"/>
      <c r="AI121" s="391"/>
      <c r="AJ121" s="391"/>
      <c r="AK121" s="391"/>
      <c r="AL121" s="391"/>
      <c r="AM121" s="391"/>
      <c r="AN121" s="391"/>
      <c r="AO121" s="391"/>
      <c r="AP121" s="391"/>
      <c r="AQ121" s="391"/>
      <c r="AR121" s="391"/>
      <c r="AS121" s="391"/>
      <c r="AT121" s="391"/>
      <c r="AU121" s="391"/>
      <c r="AV121" s="391"/>
      <c r="AW121" s="391"/>
      <c r="AX121" s="392">
        <v>774149741</v>
      </c>
      <c r="AY121" s="393">
        <v>78400000</v>
      </c>
      <c r="AZ121" s="393">
        <v>78400000</v>
      </c>
      <c r="BA121" s="394"/>
      <c r="BB121" s="394"/>
      <c r="BC121" s="394"/>
      <c r="BD121" s="394"/>
      <c r="BE121" s="394"/>
      <c r="BF121" s="394"/>
      <c r="BG121" s="395">
        <f t="shared" ref="BG121:BI126" si="48">+T121+W121+Z121+AC121+AF121+AI121+AL121+AO121+AR121+AU121+AX121+BA121+BD121</f>
        <v>774149741</v>
      </c>
      <c r="BH121" s="395">
        <f t="shared" si="48"/>
        <v>78400000</v>
      </c>
      <c r="BI121" s="395">
        <f t="shared" si="48"/>
        <v>78400000</v>
      </c>
      <c r="BJ121" s="55"/>
      <c r="BK121" s="55"/>
      <c r="BL121" s="55"/>
      <c r="BM121" s="55"/>
      <c r="BN121" s="55"/>
      <c r="BO121" s="55"/>
      <c r="BP121" s="55"/>
    </row>
    <row r="122" spans="1:68" ht="60" x14ac:dyDescent="0.2">
      <c r="A122" s="104"/>
      <c r="B122" s="255"/>
      <c r="C122" s="255"/>
      <c r="D122" s="323"/>
      <c r="E122" s="778"/>
      <c r="F122" s="122" t="s">
        <v>228</v>
      </c>
      <c r="G122" s="123" t="s">
        <v>453</v>
      </c>
      <c r="H122" s="124">
        <v>3301073</v>
      </c>
      <c r="I122" s="186" t="s">
        <v>454</v>
      </c>
      <c r="J122" s="127" t="s">
        <v>455</v>
      </c>
      <c r="K122" s="124">
        <v>330107301</v>
      </c>
      <c r="L122" s="186" t="s">
        <v>456</v>
      </c>
      <c r="M122" s="127" t="s">
        <v>204</v>
      </c>
      <c r="N122" s="124">
        <v>1800</v>
      </c>
      <c r="O122" s="124">
        <v>200</v>
      </c>
      <c r="P122" s="124">
        <v>162</v>
      </c>
      <c r="Q122" s="889"/>
      <c r="R122" s="888"/>
      <c r="S122" s="891"/>
      <c r="T122" s="396">
        <v>1308657774.3499999</v>
      </c>
      <c r="U122" s="396">
        <v>25600000</v>
      </c>
      <c r="V122" s="396">
        <v>22800000</v>
      </c>
      <c r="W122" s="345"/>
      <c r="X122" s="345"/>
      <c r="Y122" s="345"/>
      <c r="Z122" s="345"/>
      <c r="AA122" s="345"/>
      <c r="AB122" s="345"/>
      <c r="AC122" s="345"/>
      <c r="AD122" s="345"/>
      <c r="AE122" s="345"/>
      <c r="AF122" s="345"/>
      <c r="AG122" s="345"/>
      <c r="AH122" s="345"/>
      <c r="AI122" s="345"/>
      <c r="AJ122" s="345"/>
      <c r="AK122" s="345"/>
      <c r="AL122" s="345"/>
      <c r="AM122" s="345"/>
      <c r="AN122" s="345"/>
      <c r="AO122" s="345"/>
      <c r="AP122" s="345"/>
      <c r="AQ122" s="345"/>
      <c r="AR122" s="345"/>
      <c r="AS122" s="345"/>
      <c r="AT122" s="345"/>
      <c r="AU122" s="345"/>
      <c r="AV122" s="397"/>
      <c r="AW122" s="397"/>
      <c r="AX122" s="398"/>
      <c r="AY122" s="398"/>
      <c r="AZ122" s="398"/>
      <c r="BA122" s="397"/>
      <c r="BB122" s="397"/>
      <c r="BC122" s="397"/>
      <c r="BD122" s="397"/>
      <c r="BE122" s="397"/>
      <c r="BF122" s="397"/>
      <c r="BG122" s="395">
        <f t="shared" si="48"/>
        <v>1308657774.3499999</v>
      </c>
      <c r="BH122" s="395">
        <f t="shared" si="48"/>
        <v>25600000</v>
      </c>
      <c r="BI122" s="395">
        <f t="shared" si="48"/>
        <v>22800000</v>
      </c>
      <c r="BJ122" s="55"/>
      <c r="BK122" s="55"/>
      <c r="BL122" s="55"/>
      <c r="BM122" s="55"/>
      <c r="BN122" s="55"/>
      <c r="BO122" s="55"/>
      <c r="BP122" s="55"/>
    </row>
    <row r="123" spans="1:68" ht="45" x14ac:dyDescent="0.2">
      <c r="A123" s="104"/>
      <c r="B123" s="255"/>
      <c r="C123" s="255"/>
      <c r="D123" s="323"/>
      <c r="E123" s="720"/>
      <c r="F123" s="122" t="s">
        <v>457</v>
      </c>
      <c r="G123" s="123" t="s">
        <v>458</v>
      </c>
      <c r="H123" s="124">
        <v>3301085</v>
      </c>
      <c r="I123" s="186" t="s">
        <v>459</v>
      </c>
      <c r="J123" s="127" t="s">
        <v>460</v>
      </c>
      <c r="K123" s="127" t="s">
        <v>461</v>
      </c>
      <c r="L123" s="186" t="s">
        <v>462</v>
      </c>
      <c r="M123" s="127" t="s">
        <v>204</v>
      </c>
      <c r="N123" s="124">
        <v>270958</v>
      </c>
      <c r="O123" s="124">
        <v>958</v>
      </c>
      <c r="P123" s="124"/>
      <c r="Q123" s="887" t="s">
        <v>235</v>
      </c>
      <c r="R123" s="896" t="s">
        <v>463</v>
      </c>
      <c r="S123" s="897" t="s">
        <v>464</v>
      </c>
      <c r="T123" s="396">
        <v>110000000</v>
      </c>
      <c r="U123" s="396"/>
      <c r="V123" s="396"/>
      <c r="W123" s="345"/>
      <c r="X123" s="345"/>
      <c r="Y123" s="345"/>
      <c r="Z123" s="345"/>
      <c r="AA123" s="345"/>
      <c r="AB123" s="345"/>
      <c r="AC123" s="345"/>
      <c r="AD123" s="345"/>
      <c r="AE123" s="345"/>
      <c r="AF123" s="345"/>
      <c r="AG123" s="345"/>
      <c r="AH123" s="345"/>
      <c r="AI123" s="345"/>
      <c r="AJ123" s="345"/>
      <c r="AK123" s="345"/>
      <c r="AL123" s="345"/>
      <c r="AM123" s="345"/>
      <c r="AN123" s="345"/>
      <c r="AO123" s="345"/>
      <c r="AP123" s="345"/>
      <c r="AQ123" s="345"/>
      <c r="AR123" s="345"/>
      <c r="AS123" s="345"/>
      <c r="AT123" s="345"/>
      <c r="AU123" s="345"/>
      <c r="AV123" s="397"/>
      <c r="AW123" s="397"/>
      <c r="AX123" s="398"/>
      <c r="AY123" s="398"/>
      <c r="AZ123" s="398"/>
      <c r="BA123" s="397"/>
      <c r="BB123" s="397"/>
      <c r="BC123" s="397"/>
      <c r="BD123" s="397"/>
      <c r="BE123" s="397"/>
      <c r="BF123" s="397"/>
      <c r="BG123" s="395">
        <f t="shared" si="48"/>
        <v>110000000</v>
      </c>
      <c r="BH123" s="395">
        <f t="shared" si="48"/>
        <v>0</v>
      </c>
      <c r="BI123" s="395">
        <f t="shared" si="48"/>
        <v>0</v>
      </c>
      <c r="BJ123" s="55"/>
      <c r="BK123" s="55"/>
      <c r="BL123" s="55"/>
      <c r="BM123" s="55"/>
      <c r="BN123" s="55"/>
      <c r="BO123" s="55"/>
      <c r="BP123" s="55"/>
    </row>
    <row r="124" spans="1:68" ht="45" x14ac:dyDescent="0.2">
      <c r="A124" s="104"/>
      <c r="B124" s="255"/>
      <c r="C124" s="255"/>
      <c r="D124" s="323"/>
      <c r="E124" s="720"/>
      <c r="F124" s="122" t="s">
        <v>457</v>
      </c>
      <c r="G124" s="123" t="s">
        <v>465</v>
      </c>
      <c r="H124" s="124">
        <v>3301100</v>
      </c>
      <c r="I124" s="186" t="s">
        <v>466</v>
      </c>
      <c r="J124" s="146" t="s">
        <v>467</v>
      </c>
      <c r="K124" s="399" t="s">
        <v>468</v>
      </c>
      <c r="L124" s="320" t="s">
        <v>469</v>
      </c>
      <c r="M124" s="127" t="s">
        <v>204</v>
      </c>
      <c r="N124" s="124">
        <v>40</v>
      </c>
      <c r="O124" s="124">
        <v>5</v>
      </c>
      <c r="P124" s="124"/>
      <c r="Q124" s="889"/>
      <c r="R124" s="896"/>
      <c r="S124" s="897"/>
      <c r="T124" s="400">
        <f>94814219-0.26</f>
        <v>94814218.739999995</v>
      </c>
      <c r="U124" s="400"/>
      <c r="V124" s="400"/>
      <c r="W124" s="345"/>
      <c r="X124" s="345"/>
      <c r="Y124" s="345"/>
      <c r="Z124" s="345"/>
      <c r="AA124" s="345"/>
      <c r="AB124" s="345"/>
      <c r="AC124" s="345"/>
      <c r="AD124" s="345"/>
      <c r="AE124" s="345"/>
      <c r="AF124" s="345"/>
      <c r="AG124" s="345"/>
      <c r="AH124" s="345"/>
      <c r="AI124" s="345"/>
      <c r="AJ124" s="345"/>
      <c r="AK124" s="345"/>
      <c r="AL124" s="345"/>
      <c r="AM124" s="345"/>
      <c r="AN124" s="345"/>
      <c r="AO124" s="345"/>
      <c r="AP124" s="345"/>
      <c r="AQ124" s="345"/>
      <c r="AR124" s="345"/>
      <c r="AS124" s="345"/>
      <c r="AT124" s="345"/>
      <c r="AU124" s="345"/>
      <c r="AV124" s="345"/>
      <c r="AW124" s="345"/>
      <c r="AX124" s="345"/>
      <c r="AY124" s="345"/>
      <c r="AZ124" s="345"/>
      <c r="BA124" s="345"/>
      <c r="BB124" s="345"/>
      <c r="BC124" s="345"/>
      <c r="BD124" s="345"/>
      <c r="BE124" s="345"/>
      <c r="BF124" s="345"/>
      <c r="BG124" s="395">
        <f t="shared" si="48"/>
        <v>94814218.739999995</v>
      </c>
      <c r="BH124" s="395">
        <f t="shared" si="48"/>
        <v>0</v>
      </c>
      <c r="BI124" s="395">
        <f t="shared" si="48"/>
        <v>0</v>
      </c>
      <c r="BJ124" s="55"/>
      <c r="BK124" s="55"/>
      <c r="BL124" s="55"/>
      <c r="BM124" s="55"/>
      <c r="BN124" s="55"/>
      <c r="BO124" s="55"/>
      <c r="BP124" s="55"/>
    </row>
    <row r="125" spans="1:68" ht="75" x14ac:dyDescent="0.2">
      <c r="A125" s="104"/>
      <c r="B125" s="255"/>
      <c r="C125" s="255"/>
      <c r="D125" s="323"/>
      <c r="E125" s="778"/>
      <c r="F125" s="145" t="s">
        <v>228</v>
      </c>
      <c r="G125" s="124" t="s">
        <v>470</v>
      </c>
      <c r="H125" s="124">
        <v>3301099</v>
      </c>
      <c r="I125" s="186" t="s">
        <v>471</v>
      </c>
      <c r="J125" s="146" t="s">
        <v>472</v>
      </c>
      <c r="K125" s="399" t="s">
        <v>473</v>
      </c>
      <c r="L125" s="320" t="s">
        <v>474</v>
      </c>
      <c r="M125" s="290" t="s">
        <v>109</v>
      </c>
      <c r="N125" s="146">
        <v>1</v>
      </c>
      <c r="O125" s="124">
        <v>1</v>
      </c>
      <c r="P125" s="124"/>
      <c r="Q125" s="212" t="s">
        <v>235</v>
      </c>
      <c r="R125" s="127" t="s">
        <v>475</v>
      </c>
      <c r="S125" s="186" t="s">
        <v>476</v>
      </c>
      <c r="T125" s="345"/>
      <c r="U125" s="345"/>
      <c r="V125" s="345"/>
      <c r="W125" s="345"/>
      <c r="X125" s="345"/>
      <c r="Y125" s="345"/>
      <c r="Z125" s="345"/>
      <c r="AA125" s="345"/>
      <c r="AB125" s="345"/>
      <c r="AC125" s="345"/>
      <c r="AD125" s="345"/>
      <c r="AE125" s="345"/>
      <c r="AF125" s="345"/>
      <c r="AG125" s="345"/>
      <c r="AH125" s="345"/>
      <c r="AI125" s="345"/>
      <c r="AJ125" s="345"/>
      <c r="AK125" s="345"/>
      <c r="AL125" s="345"/>
      <c r="AM125" s="345"/>
      <c r="AN125" s="345"/>
      <c r="AO125" s="345"/>
      <c r="AP125" s="345"/>
      <c r="AQ125" s="345"/>
      <c r="AR125" s="345"/>
      <c r="AS125" s="345"/>
      <c r="AT125" s="345"/>
      <c r="AU125" s="345"/>
      <c r="AV125" s="397"/>
      <c r="AW125" s="397"/>
      <c r="AX125" s="398">
        <f>60000000+20000000</f>
        <v>80000000</v>
      </c>
      <c r="AY125" s="398"/>
      <c r="AZ125" s="398"/>
      <c r="BA125" s="397"/>
      <c r="BB125" s="397"/>
      <c r="BC125" s="397"/>
      <c r="BD125" s="397"/>
      <c r="BE125" s="397"/>
      <c r="BF125" s="397"/>
      <c r="BG125" s="395">
        <f t="shared" si="48"/>
        <v>80000000</v>
      </c>
      <c r="BH125" s="395">
        <f t="shared" si="48"/>
        <v>0</v>
      </c>
      <c r="BI125" s="395">
        <f t="shared" si="48"/>
        <v>0</v>
      </c>
      <c r="BJ125" s="55"/>
      <c r="BK125" s="55"/>
      <c r="BL125" s="55"/>
      <c r="BM125" s="55"/>
      <c r="BN125" s="55"/>
      <c r="BO125" s="55"/>
      <c r="BP125" s="55"/>
    </row>
    <row r="126" spans="1:68" ht="60" x14ac:dyDescent="0.2">
      <c r="A126" s="104"/>
      <c r="B126" s="255"/>
      <c r="C126" s="263"/>
      <c r="D126" s="132"/>
      <c r="E126" s="779"/>
      <c r="F126" s="122" t="s">
        <v>228</v>
      </c>
      <c r="G126" s="123" t="s">
        <v>477</v>
      </c>
      <c r="H126" s="124">
        <v>3301095</v>
      </c>
      <c r="I126" s="186" t="s">
        <v>478</v>
      </c>
      <c r="J126" s="212" t="s">
        <v>479</v>
      </c>
      <c r="K126" s="212" t="s">
        <v>480</v>
      </c>
      <c r="L126" s="211" t="s">
        <v>481</v>
      </c>
      <c r="M126" s="290" t="s">
        <v>204</v>
      </c>
      <c r="N126" s="146">
        <v>480</v>
      </c>
      <c r="O126" s="146">
        <v>30</v>
      </c>
      <c r="P126" s="146"/>
      <c r="Q126" s="212" t="s">
        <v>235</v>
      </c>
      <c r="R126" s="127" t="s">
        <v>482</v>
      </c>
      <c r="S126" s="186" t="s">
        <v>483</v>
      </c>
      <c r="T126" s="401">
        <v>1063903990.74</v>
      </c>
      <c r="U126" s="401"/>
      <c r="V126" s="401"/>
      <c r="W126" s="345"/>
      <c r="X126" s="345"/>
      <c r="Y126" s="345"/>
      <c r="Z126" s="345"/>
      <c r="AA126" s="345"/>
      <c r="AB126" s="345"/>
      <c r="AC126" s="345"/>
      <c r="AD126" s="345"/>
      <c r="AE126" s="345"/>
      <c r="AF126" s="345"/>
      <c r="AG126" s="345"/>
      <c r="AH126" s="345"/>
      <c r="AI126" s="345"/>
      <c r="AJ126" s="345"/>
      <c r="AK126" s="345"/>
      <c r="AL126" s="345"/>
      <c r="AM126" s="345"/>
      <c r="AN126" s="345"/>
      <c r="AO126" s="345"/>
      <c r="AP126" s="345"/>
      <c r="AQ126" s="345"/>
      <c r="AR126" s="345"/>
      <c r="AS126" s="345"/>
      <c r="AT126" s="345"/>
      <c r="AU126" s="345"/>
      <c r="AV126" s="345"/>
      <c r="AW126" s="345"/>
      <c r="AX126" s="392"/>
      <c r="AY126" s="402"/>
      <c r="AZ126" s="402"/>
      <c r="BA126" s="397"/>
      <c r="BB126" s="397"/>
      <c r="BC126" s="397"/>
      <c r="BD126" s="397"/>
      <c r="BE126" s="397"/>
      <c r="BF126" s="397"/>
      <c r="BG126" s="395">
        <f t="shared" si="48"/>
        <v>1063903990.74</v>
      </c>
      <c r="BH126" s="395">
        <f t="shared" si="48"/>
        <v>0</v>
      </c>
      <c r="BI126" s="395">
        <f t="shared" si="48"/>
        <v>0</v>
      </c>
      <c r="BJ126" s="55"/>
      <c r="BK126" s="55"/>
      <c r="BL126" s="55"/>
      <c r="BM126" s="55"/>
      <c r="BN126" s="55"/>
      <c r="BO126" s="55"/>
      <c r="BP126" s="55"/>
    </row>
    <row r="127" spans="1:68" ht="21" customHeight="1" x14ac:dyDescent="0.2">
      <c r="A127" s="104"/>
      <c r="B127" s="134"/>
      <c r="C127" s="403">
        <v>26</v>
      </c>
      <c r="D127" s="347">
        <v>3302</v>
      </c>
      <c r="E127" s="376" t="s">
        <v>484</v>
      </c>
      <c r="F127" s="138"/>
      <c r="G127" s="139"/>
      <c r="H127" s="176"/>
      <c r="I127" s="177"/>
      <c r="J127" s="178"/>
      <c r="K127" s="178"/>
      <c r="L127" s="177"/>
      <c r="M127" s="179"/>
      <c r="N127" s="180"/>
      <c r="O127" s="139"/>
      <c r="P127" s="139"/>
      <c r="Q127" s="181"/>
      <c r="R127" s="181"/>
      <c r="S127" s="177"/>
      <c r="T127" s="117">
        <f t="shared" ref="T127:BI127" si="49">SUM(T128:T129)</f>
        <v>0</v>
      </c>
      <c r="U127" s="117">
        <f t="shared" si="49"/>
        <v>0</v>
      </c>
      <c r="V127" s="117">
        <f t="shared" si="49"/>
        <v>0</v>
      </c>
      <c r="W127" s="117">
        <f t="shared" si="49"/>
        <v>0</v>
      </c>
      <c r="X127" s="117">
        <f t="shared" si="49"/>
        <v>0</v>
      </c>
      <c r="Y127" s="117">
        <f t="shared" si="49"/>
        <v>0</v>
      </c>
      <c r="Z127" s="117">
        <f t="shared" si="49"/>
        <v>0</v>
      </c>
      <c r="AA127" s="117">
        <f t="shared" si="49"/>
        <v>0</v>
      </c>
      <c r="AB127" s="117">
        <f t="shared" si="49"/>
        <v>0</v>
      </c>
      <c r="AC127" s="117">
        <f t="shared" si="49"/>
        <v>0</v>
      </c>
      <c r="AD127" s="117">
        <f t="shared" si="49"/>
        <v>0</v>
      </c>
      <c r="AE127" s="117">
        <f t="shared" si="49"/>
        <v>0</v>
      </c>
      <c r="AF127" s="117">
        <f t="shared" si="49"/>
        <v>0</v>
      </c>
      <c r="AG127" s="117">
        <f t="shared" si="49"/>
        <v>0</v>
      </c>
      <c r="AH127" s="117">
        <f t="shared" si="49"/>
        <v>0</v>
      </c>
      <c r="AI127" s="117">
        <f t="shared" si="49"/>
        <v>0</v>
      </c>
      <c r="AJ127" s="117">
        <f t="shared" si="49"/>
        <v>0</v>
      </c>
      <c r="AK127" s="117">
        <f t="shared" si="49"/>
        <v>0</v>
      </c>
      <c r="AL127" s="117">
        <f t="shared" si="49"/>
        <v>0</v>
      </c>
      <c r="AM127" s="117">
        <f t="shared" si="49"/>
        <v>0</v>
      </c>
      <c r="AN127" s="117">
        <f t="shared" si="49"/>
        <v>0</v>
      </c>
      <c r="AO127" s="117">
        <f t="shared" si="49"/>
        <v>0</v>
      </c>
      <c r="AP127" s="117">
        <f t="shared" si="49"/>
        <v>0</v>
      </c>
      <c r="AQ127" s="117">
        <f t="shared" si="49"/>
        <v>0</v>
      </c>
      <c r="AR127" s="117">
        <f t="shared" si="49"/>
        <v>0</v>
      </c>
      <c r="AS127" s="117">
        <f t="shared" si="49"/>
        <v>0</v>
      </c>
      <c r="AT127" s="117">
        <f t="shared" si="49"/>
        <v>0</v>
      </c>
      <c r="AU127" s="117">
        <f t="shared" si="49"/>
        <v>0</v>
      </c>
      <c r="AV127" s="117">
        <f t="shared" si="49"/>
        <v>0</v>
      </c>
      <c r="AW127" s="117">
        <f t="shared" si="49"/>
        <v>0</v>
      </c>
      <c r="AX127" s="117">
        <f t="shared" si="49"/>
        <v>80000000</v>
      </c>
      <c r="AY127" s="117">
        <f t="shared" si="49"/>
        <v>13800000</v>
      </c>
      <c r="AZ127" s="117">
        <f t="shared" si="49"/>
        <v>13800000</v>
      </c>
      <c r="BA127" s="117">
        <f t="shared" si="49"/>
        <v>287355981.30000001</v>
      </c>
      <c r="BB127" s="117">
        <f t="shared" si="49"/>
        <v>0</v>
      </c>
      <c r="BC127" s="117">
        <f t="shared" si="49"/>
        <v>0</v>
      </c>
      <c r="BD127" s="117">
        <f t="shared" si="49"/>
        <v>0</v>
      </c>
      <c r="BE127" s="117">
        <f t="shared" si="49"/>
        <v>0</v>
      </c>
      <c r="BF127" s="117">
        <f t="shared" si="49"/>
        <v>0</v>
      </c>
      <c r="BG127" s="117">
        <f t="shared" si="49"/>
        <v>367355981.30000001</v>
      </c>
      <c r="BH127" s="117">
        <f t="shared" si="49"/>
        <v>13800000</v>
      </c>
      <c r="BI127" s="117">
        <f t="shared" si="49"/>
        <v>13800000</v>
      </c>
      <c r="BJ127" s="55"/>
      <c r="BK127" s="55"/>
      <c r="BL127" s="55"/>
      <c r="BM127" s="55"/>
      <c r="BN127" s="55"/>
      <c r="BO127" s="55"/>
      <c r="BP127" s="55"/>
    </row>
    <row r="128" spans="1:68" ht="99" customHeight="1" x14ac:dyDescent="0.2">
      <c r="A128" s="104"/>
      <c r="B128" s="255"/>
      <c r="C128" s="256"/>
      <c r="D128" s="120"/>
      <c r="E128" s="389"/>
      <c r="F128" s="122" t="s">
        <v>485</v>
      </c>
      <c r="G128" s="127" t="s">
        <v>486</v>
      </c>
      <c r="H128" s="313">
        <v>3302042</v>
      </c>
      <c r="I128" s="186" t="s">
        <v>487</v>
      </c>
      <c r="J128" s="127" t="s">
        <v>488</v>
      </c>
      <c r="K128" s="127" t="s">
        <v>489</v>
      </c>
      <c r="L128" s="186" t="s">
        <v>490</v>
      </c>
      <c r="M128" s="127" t="s">
        <v>204</v>
      </c>
      <c r="N128" s="124">
        <v>48</v>
      </c>
      <c r="O128" s="124">
        <v>12</v>
      </c>
      <c r="P128" s="124">
        <v>15</v>
      </c>
      <c r="Q128" s="887" t="s">
        <v>235</v>
      </c>
      <c r="R128" s="887" t="s">
        <v>491</v>
      </c>
      <c r="S128" s="890" t="s">
        <v>492</v>
      </c>
      <c r="T128" s="129"/>
      <c r="U128" s="129"/>
      <c r="V128" s="129"/>
      <c r="W128" s="129"/>
      <c r="X128" s="129"/>
      <c r="Y128" s="129"/>
      <c r="Z128" s="129"/>
      <c r="AA128" s="129"/>
      <c r="AB128" s="129"/>
      <c r="AC128" s="129"/>
      <c r="AD128" s="129"/>
      <c r="AE128" s="129"/>
      <c r="AF128" s="129"/>
      <c r="AG128" s="129"/>
      <c r="AH128" s="129"/>
      <c r="AI128" s="129"/>
      <c r="AJ128" s="129"/>
      <c r="AK128" s="129"/>
      <c r="AL128" s="129"/>
      <c r="AM128" s="129"/>
      <c r="AN128" s="129"/>
      <c r="AO128" s="129"/>
      <c r="AP128" s="129"/>
      <c r="AQ128" s="129"/>
      <c r="AR128" s="129"/>
      <c r="AS128" s="129"/>
      <c r="AT128" s="129"/>
      <c r="AU128" s="129"/>
      <c r="AV128" s="187"/>
      <c r="AW128" s="187"/>
      <c r="AX128" s="188">
        <v>80000000</v>
      </c>
      <c r="AY128" s="188">
        <v>13800000</v>
      </c>
      <c r="AZ128" s="188">
        <v>13800000</v>
      </c>
      <c r="BA128" s="187"/>
      <c r="BB128" s="187"/>
      <c r="BC128" s="187"/>
      <c r="BD128" s="351"/>
      <c r="BE128" s="351"/>
      <c r="BF128" s="351"/>
      <c r="BG128" s="131">
        <f t="shared" ref="BG128:BI129" si="50">+T128+W128+Z128+AC128+AF128+AI128+AL128+AO128+AR128+AU128+AX128+BA128+BD128</f>
        <v>80000000</v>
      </c>
      <c r="BH128" s="131">
        <f t="shared" si="50"/>
        <v>13800000</v>
      </c>
      <c r="BI128" s="131">
        <f t="shared" si="50"/>
        <v>13800000</v>
      </c>
      <c r="BJ128" s="55"/>
      <c r="BK128" s="55"/>
      <c r="BL128" s="55"/>
      <c r="BM128" s="55"/>
      <c r="BN128" s="55"/>
      <c r="BO128" s="55"/>
      <c r="BP128" s="55"/>
    </row>
    <row r="129" spans="1:68" ht="100.5" customHeight="1" x14ac:dyDescent="0.2">
      <c r="A129" s="141"/>
      <c r="B129" s="263"/>
      <c r="C129" s="263"/>
      <c r="D129" s="132"/>
      <c r="E129" s="389"/>
      <c r="F129" s="122" t="s">
        <v>485</v>
      </c>
      <c r="G129" s="146" t="s">
        <v>493</v>
      </c>
      <c r="H129" s="313">
        <v>3302070</v>
      </c>
      <c r="I129" s="186" t="s">
        <v>494</v>
      </c>
      <c r="J129" s="146" t="s">
        <v>495</v>
      </c>
      <c r="K129" s="399" t="s">
        <v>496</v>
      </c>
      <c r="L129" s="320" t="s">
        <v>469</v>
      </c>
      <c r="M129" s="127" t="s">
        <v>109</v>
      </c>
      <c r="N129" s="124">
        <v>4</v>
      </c>
      <c r="O129" s="124">
        <v>4</v>
      </c>
      <c r="P129" s="124"/>
      <c r="Q129" s="889"/>
      <c r="R129" s="889"/>
      <c r="S129" s="894"/>
      <c r="T129" s="129"/>
      <c r="U129" s="129"/>
      <c r="V129" s="129"/>
      <c r="W129" s="129"/>
      <c r="X129" s="129"/>
      <c r="Y129" s="129"/>
      <c r="Z129" s="129"/>
      <c r="AA129" s="129"/>
      <c r="AB129" s="129"/>
      <c r="AC129" s="129"/>
      <c r="AD129" s="129"/>
      <c r="AE129" s="129"/>
      <c r="AF129" s="129"/>
      <c r="AG129" s="129"/>
      <c r="AH129" s="129"/>
      <c r="AI129" s="129"/>
      <c r="AJ129" s="129"/>
      <c r="AK129" s="129"/>
      <c r="AL129" s="129"/>
      <c r="AM129" s="129"/>
      <c r="AN129" s="129"/>
      <c r="AO129" s="129"/>
      <c r="AP129" s="129"/>
      <c r="AQ129" s="129"/>
      <c r="AR129" s="129"/>
      <c r="AS129" s="129"/>
      <c r="AT129" s="129"/>
      <c r="AU129" s="129"/>
      <c r="AV129" s="187"/>
      <c r="AW129" s="187"/>
      <c r="AX129" s="188"/>
      <c r="AY129" s="188"/>
      <c r="AZ129" s="188"/>
      <c r="BA129" s="404">
        <v>287355981.30000001</v>
      </c>
      <c r="BB129" s="405"/>
      <c r="BC129" s="405"/>
      <c r="BD129" s="351"/>
      <c r="BE129" s="351"/>
      <c r="BF129" s="351"/>
      <c r="BG129" s="131">
        <f t="shared" si="50"/>
        <v>287355981.30000001</v>
      </c>
      <c r="BH129" s="131">
        <f t="shared" si="50"/>
        <v>0</v>
      </c>
      <c r="BI129" s="131">
        <f t="shared" si="50"/>
        <v>0</v>
      </c>
      <c r="BJ129" s="55"/>
      <c r="BK129" s="55"/>
      <c r="BL129" s="55"/>
      <c r="BM129" s="55"/>
      <c r="BN129" s="55"/>
      <c r="BO129" s="55"/>
      <c r="BP129" s="55"/>
    </row>
    <row r="130" spans="1:68" ht="28.5" customHeight="1" x14ac:dyDescent="0.2">
      <c r="BG130" s="240"/>
      <c r="BH130" s="240"/>
      <c r="BI130" s="240"/>
      <c r="BJ130" s="55"/>
      <c r="BK130" s="55"/>
      <c r="BL130" s="55"/>
      <c r="BM130" s="55"/>
      <c r="BN130" s="55"/>
      <c r="BO130" s="55"/>
      <c r="BP130" s="55"/>
    </row>
    <row r="131" spans="1:68" ht="15.75" x14ac:dyDescent="0.2">
      <c r="A131" s="76" t="s">
        <v>497</v>
      </c>
      <c r="B131" s="78"/>
      <c r="C131" s="78"/>
      <c r="D131" s="79"/>
      <c r="E131" s="80"/>
      <c r="F131" s="81"/>
      <c r="G131" s="82"/>
      <c r="H131" s="83"/>
      <c r="I131" s="84"/>
      <c r="J131" s="85"/>
      <c r="K131" s="85"/>
      <c r="L131" s="84"/>
      <c r="M131" s="160"/>
      <c r="N131" s="83"/>
      <c r="O131" s="82"/>
      <c r="P131" s="82"/>
      <c r="Q131" s="80"/>
      <c r="R131" s="80"/>
      <c r="S131" s="84"/>
      <c r="T131" s="251">
        <f>T132</f>
        <v>0</v>
      </c>
      <c r="U131" s="251"/>
      <c r="V131" s="251"/>
      <c r="W131" s="251">
        <f>W132</f>
        <v>0</v>
      </c>
      <c r="X131" s="251"/>
      <c r="Y131" s="251"/>
      <c r="Z131" s="251">
        <f>Z132</f>
        <v>0</v>
      </c>
      <c r="AA131" s="251"/>
      <c r="AB131" s="251"/>
      <c r="AC131" s="251">
        <f>AC132</f>
        <v>0</v>
      </c>
      <c r="AD131" s="251"/>
      <c r="AE131" s="251"/>
      <c r="AF131" s="251">
        <f>AF132</f>
        <v>0</v>
      </c>
      <c r="AG131" s="251"/>
      <c r="AH131" s="251"/>
      <c r="AI131" s="251">
        <f>AI132</f>
        <v>0</v>
      </c>
      <c r="AJ131" s="251"/>
      <c r="AK131" s="251"/>
      <c r="AL131" s="251">
        <f>AL132</f>
        <v>0</v>
      </c>
      <c r="AM131" s="251"/>
      <c r="AN131" s="251"/>
      <c r="AO131" s="251">
        <f>AO132</f>
        <v>0</v>
      </c>
      <c r="AP131" s="251"/>
      <c r="AQ131" s="251"/>
      <c r="AR131" s="251">
        <f>AR132</f>
        <v>0</v>
      </c>
      <c r="AS131" s="251"/>
      <c r="AT131" s="251"/>
      <c r="AU131" s="251">
        <f>AU132</f>
        <v>0</v>
      </c>
      <c r="AV131" s="251"/>
      <c r="AW131" s="251"/>
      <c r="AX131" s="251">
        <f t="shared" ref="AX131:BD131" si="51">AX132</f>
        <v>1026689937</v>
      </c>
      <c r="AY131" s="251">
        <f t="shared" si="51"/>
        <v>170253332</v>
      </c>
      <c r="AZ131" s="251">
        <f t="shared" si="51"/>
        <v>160946666</v>
      </c>
      <c r="BA131" s="251">
        <f t="shared" si="51"/>
        <v>545981904.85000002</v>
      </c>
      <c r="BB131" s="251">
        <f t="shared" si="51"/>
        <v>232026666</v>
      </c>
      <c r="BC131" s="251">
        <f t="shared" si="51"/>
        <v>228426666</v>
      </c>
      <c r="BD131" s="251">
        <f t="shared" si="51"/>
        <v>0</v>
      </c>
      <c r="BE131" s="251"/>
      <c r="BF131" s="251"/>
      <c r="BG131" s="251">
        <f>BG132</f>
        <v>1572671841.8499999</v>
      </c>
      <c r="BH131" s="251">
        <f>BH132</f>
        <v>402279998</v>
      </c>
      <c r="BI131" s="251">
        <f>BI132</f>
        <v>389373332</v>
      </c>
      <c r="BJ131" s="55"/>
      <c r="BK131" s="55"/>
      <c r="BL131" s="55"/>
      <c r="BM131" s="55"/>
      <c r="BN131" s="55"/>
      <c r="BO131" s="55"/>
      <c r="BP131" s="55"/>
    </row>
    <row r="132" spans="1:68" ht="15.75" x14ac:dyDescent="0.2">
      <c r="A132" s="104"/>
      <c r="B132" s="163">
        <v>2</v>
      </c>
      <c r="C132" s="163" t="s">
        <v>2</v>
      </c>
      <c r="D132" s="164"/>
      <c r="E132" s="417"/>
      <c r="F132" s="166"/>
      <c r="G132" s="167"/>
      <c r="H132" s="168"/>
      <c r="I132" s="169"/>
      <c r="J132" s="170"/>
      <c r="K132" s="170"/>
      <c r="L132" s="169"/>
      <c r="M132" s="171"/>
      <c r="N132" s="172"/>
      <c r="O132" s="167"/>
      <c r="P132" s="167"/>
      <c r="Q132" s="165"/>
      <c r="R132" s="165"/>
      <c r="S132" s="169"/>
      <c r="T132" s="103">
        <f>T133+T142</f>
        <v>0</v>
      </c>
      <c r="U132" s="103"/>
      <c r="V132" s="103"/>
      <c r="W132" s="103">
        <f>W133+W142</f>
        <v>0</v>
      </c>
      <c r="X132" s="103"/>
      <c r="Y132" s="103"/>
      <c r="Z132" s="103">
        <f>Z133+Z142</f>
        <v>0</v>
      </c>
      <c r="AA132" s="103"/>
      <c r="AB132" s="103"/>
      <c r="AC132" s="103">
        <f>AC133+AC142</f>
        <v>0</v>
      </c>
      <c r="AD132" s="103"/>
      <c r="AE132" s="103"/>
      <c r="AF132" s="103">
        <f>AF133+AF142</f>
        <v>0</v>
      </c>
      <c r="AG132" s="103"/>
      <c r="AH132" s="103"/>
      <c r="AI132" s="103">
        <f>AI133+AI142</f>
        <v>0</v>
      </c>
      <c r="AJ132" s="103"/>
      <c r="AK132" s="103"/>
      <c r="AL132" s="103">
        <f>AL133+AL142</f>
        <v>0</v>
      </c>
      <c r="AM132" s="103"/>
      <c r="AN132" s="103"/>
      <c r="AO132" s="103">
        <f>AO133+AO142</f>
        <v>0</v>
      </c>
      <c r="AP132" s="103"/>
      <c r="AQ132" s="103"/>
      <c r="AR132" s="103">
        <f>AR133+AR142</f>
        <v>0</v>
      </c>
      <c r="AS132" s="103"/>
      <c r="AT132" s="103"/>
      <c r="AU132" s="103">
        <f>AU133+AU142</f>
        <v>0</v>
      </c>
      <c r="AV132" s="103"/>
      <c r="AW132" s="103"/>
      <c r="AX132" s="103">
        <f t="shared" ref="AX132:BD132" si="52">AX133+AX142</f>
        <v>1026689937</v>
      </c>
      <c r="AY132" s="103">
        <f t="shared" si="52"/>
        <v>170253332</v>
      </c>
      <c r="AZ132" s="103">
        <f t="shared" si="52"/>
        <v>160946666</v>
      </c>
      <c r="BA132" s="103">
        <f t="shared" si="52"/>
        <v>545981904.85000002</v>
      </c>
      <c r="BB132" s="103">
        <f t="shared" si="52"/>
        <v>232026666</v>
      </c>
      <c r="BC132" s="103">
        <f t="shared" si="52"/>
        <v>228426666</v>
      </c>
      <c r="BD132" s="103">
        <f t="shared" si="52"/>
        <v>0</v>
      </c>
      <c r="BE132" s="103"/>
      <c r="BF132" s="103"/>
      <c r="BG132" s="103">
        <f>BG133+BG142</f>
        <v>1572671841.8499999</v>
      </c>
      <c r="BH132" s="103">
        <f>BH133+BH142</f>
        <v>402279998</v>
      </c>
      <c r="BI132" s="103">
        <f>BI133+BI142</f>
        <v>389373332</v>
      </c>
      <c r="BJ132" s="55"/>
      <c r="BK132" s="55"/>
      <c r="BL132" s="55"/>
      <c r="BM132" s="55"/>
      <c r="BN132" s="55"/>
      <c r="BO132" s="55"/>
      <c r="BP132" s="55"/>
    </row>
    <row r="133" spans="1:68" ht="15.75" x14ac:dyDescent="0.2">
      <c r="A133" s="104"/>
      <c r="B133" s="907"/>
      <c r="C133" s="418">
        <v>27</v>
      </c>
      <c r="D133" s="419">
        <v>3502</v>
      </c>
      <c r="E133" s="108" t="s">
        <v>255</v>
      </c>
      <c r="F133" s="138"/>
      <c r="G133" s="139"/>
      <c r="H133" s="176"/>
      <c r="I133" s="177"/>
      <c r="J133" s="178"/>
      <c r="K133" s="178"/>
      <c r="L133" s="177"/>
      <c r="M133" s="179"/>
      <c r="N133" s="180"/>
      <c r="O133" s="139"/>
      <c r="P133" s="139"/>
      <c r="Q133" s="181"/>
      <c r="R133" s="181"/>
      <c r="S133" s="177"/>
      <c r="T133" s="117">
        <f>SUM(T134:T141)</f>
        <v>0</v>
      </c>
      <c r="U133" s="117"/>
      <c r="V133" s="117"/>
      <c r="W133" s="117">
        <f>SUM(W134:W141)</f>
        <v>0</v>
      </c>
      <c r="X133" s="117"/>
      <c r="Y133" s="117"/>
      <c r="Z133" s="117">
        <f>SUM(Z134:Z141)</f>
        <v>0</v>
      </c>
      <c r="AA133" s="117"/>
      <c r="AB133" s="117"/>
      <c r="AC133" s="117">
        <f>SUM(AC134:AC141)</f>
        <v>0</v>
      </c>
      <c r="AD133" s="117"/>
      <c r="AE133" s="117"/>
      <c r="AF133" s="117">
        <f>SUM(AF134:AF141)</f>
        <v>0</v>
      </c>
      <c r="AG133" s="117"/>
      <c r="AH133" s="117"/>
      <c r="AI133" s="117">
        <f>SUM(AI134:AI141)</f>
        <v>0</v>
      </c>
      <c r="AJ133" s="117"/>
      <c r="AK133" s="117"/>
      <c r="AL133" s="117">
        <f>SUM(AL134:AL141)</f>
        <v>0</v>
      </c>
      <c r="AM133" s="117"/>
      <c r="AN133" s="117"/>
      <c r="AO133" s="117">
        <f>SUM(AO134:AO141)</f>
        <v>0</v>
      </c>
      <c r="AP133" s="117"/>
      <c r="AQ133" s="117"/>
      <c r="AR133" s="117">
        <f>SUM(AR134:AR141)</f>
        <v>0</v>
      </c>
      <c r="AS133" s="117"/>
      <c r="AT133" s="117"/>
      <c r="AU133" s="117">
        <f>SUM(AU134:AU141)</f>
        <v>0</v>
      </c>
      <c r="AV133" s="117"/>
      <c r="AW133" s="117"/>
      <c r="AX133" s="117">
        <f t="shared" ref="AX133:BD133" si="53">SUM(AX134:AX141)</f>
        <v>741004937</v>
      </c>
      <c r="AY133" s="117">
        <f t="shared" si="53"/>
        <v>145853332</v>
      </c>
      <c r="AZ133" s="117">
        <f t="shared" si="53"/>
        <v>136546666</v>
      </c>
      <c r="BA133" s="117">
        <f t="shared" si="53"/>
        <v>545981904.85000002</v>
      </c>
      <c r="BB133" s="117">
        <f t="shared" si="53"/>
        <v>232026666</v>
      </c>
      <c r="BC133" s="117">
        <f t="shared" si="53"/>
        <v>228426666</v>
      </c>
      <c r="BD133" s="117">
        <f t="shared" si="53"/>
        <v>0</v>
      </c>
      <c r="BE133" s="117"/>
      <c r="BF133" s="117"/>
      <c r="BG133" s="117">
        <f>SUM(BG134:BG141)</f>
        <v>1286986841.8499999</v>
      </c>
      <c r="BH133" s="117">
        <f>SUM(BH134:BH141)</f>
        <v>377879998</v>
      </c>
      <c r="BI133" s="117">
        <f>SUM(BI134:BI141)</f>
        <v>364973332</v>
      </c>
      <c r="BJ133" s="55"/>
      <c r="BK133" s="55"/>
      <c r="BL133" s="55"/>
      <c r="BM133" s="55"/>
      <c r="BN133" s="55"/>
      <c r="BO133" s="55"/>
      <c r="BP133" s="55"/>
    </row>
    <row r="134" spans="1:68" ht="56.25" customHeight="1" x14ac:dyDescent="0.2">
      <c r="A134" s="104"/>
      <c r="B134" s="908"/>
      <c r="C134" s="420"/>
      <c r="D134" s="421"/>
      <c r="E134" s="780"/>
      <c r="F134" s="422" t="s">
        <v>498</v>
      </c>
      <c r="G134" s="423" t="s">
        <v>499</v>
      </c>
      <c r="H134" s="193">
        <v>3502006</v>
      </c>
      <c r="I134" s="424" t="s">
        <v>500</v>
      </c>
      <c r="J134" s="425" t="s">
        <v>501</v>
      </c>
      <c r="K134" s="425" t="s">
        <v>502</v>
      </c>
      <c r="L134" s="424" t="s">
        <v>503</v>
      </c>
      <c r="M134" s="349" t="s">
        <v>204</v>
      </c>
      <c r="N134" s="124">
        <v>4</v>
      </c>
      <c r="O134" s="124">
        <v>1</v>
      </c>
      <c r="P134" s="124"/>
      <c r="Q134" s="892" t="s">
        <v>252</v>
      </c>
      <c r="R134" s="901" t="s">
        <v>504</v>
      </c>
      <c r="S134" s="904" t="s">
        <v>505</v>
      </c>
      <c r="T134" s="426"/>
      <c r="U134" s="426"/>
      <c r="V134" s="426"/>
      <c r="W134" s="426"/>
      <c r="X134" s="426"/>
      <c r="Y134" s="426"/>
      <c r="Z134" s="426"/>
      <c r="AA134" s="426"/>
      <c r="AB134" s="426"/>
      <c r="AC134" s="426"/>
      <c r="AD134" s="426"/>
      <c r="AE134" s="426"/>
      <c r="AF134" s="426"/>
      <c r="AG134" s="426"/>
      <c r="AH134" s="426"/>
      <c r="AI134" s="426"/>
      <c r="AJ134" s="426"/>
      <c r="AK134" s="426"/>
      <c r="AL134" s="426"/>
      <c r="AM134" s="426"/>
      <c r="AN134" s="426"/>
      <c r="AO134" s="426"/>
      <c r="AP134" s="426"/>
      <c r="AQ134" s="426"/>
      <c r="AR134" s="426"/>
      <c r="AS134" s="426"/>
      <c r="AT134" s="426"/>
      <c r="AU134" s="426"/>
      <c r="AV134" s="427"/>
      <c r="AW134" s="427"/>
      <c r="AX134" s="428">
        <f>20000000+12500000</f>
        <v>32500000</v>
      </c>
      <c r="AY134" s="428"/>
      <c r="AZ134" s="428"/>
      <c r="BA134" s="427"/>
      <c r="BB134" s="427"/>
      <c r="BC134" s="427"/>
      <c r="BD134" s="187"/>
      <c r="BE134" s="187"/>
      <c r="BF134" s="187"/>
      <c r="BG134" s="131">
        <f t="shared" ref="BG134:BI141" si="54">+T134+W134+Z134+AC134+AF134+AI134+AL134+AO134+AR134+AU134+AX134+BA134+BD134</f>
        <v>32500000</v>
      </c>
      <c r="BH134" s="131">
        <f t="shared" si="54"/>
        <v>0</v>
      </c>
      <c r="BI134" s="131">
        <f t="shared" si="54"/>
        <v>0</v>
      </c>
      <c r="BJ134" s="55"/>
      <c r="BK134" s="55"/>
      <c r="BL134" s="55"/>
      <c r="BM134" s="55"/>
      <c r="BN134" s="55"/>
      <c r="BO134" s="55"/>
      <c r="BP134" s="55"/>
    </row>
    <row r="135" spans="1:68" ht="47.25" customHeight="1" x14ac:dyDescent="0.2">
      <c r="A135" s="104"/>
      <c r="B135" s="908"/>
      <c r="C135" s="255"/>
      <c r="D135" s="323"/>
      <c r="E135" s="723"/>
      <c r="F135" s="430" t="s">
        <v>498</v>
      </c>
      <c r="G135" s="184" t="s">
        <v>506</v>
      </c>
      <c r="H135" s="193">
        <v>3502007</v>
      </c>
      <c r="I135" s="186" t="s">
        <v>507</v>
      </c>
      <c r="J135" s="127" t="s">
        <v>508</v>
      </c>
      <c r="K135" s="127" t="s">
        <v>509</v>
      </c>
      <c r="L135" s="186" t="s">
        <v>510</v>
      </c>
      <c r="M135" s="349" t="s">
        <v>109</v>
      </c>
      <c r="N135" s="124">
        <v>7</v>
      </c>
      <c r="O135" s="124">
        <v>7</v>
      </c>
      <c r="P135" s="124"/>
      <c r="Q135" s="893"/>
      <c r="R135" s="903"/>
      <c r="S135" s="906"/>
      <c r="T135" s="129"/>
      <c r="U135" s="129"/>
      <c r="V135" s="129"/>
      <c r="W135" s="129"/>
      <c r="X135" s="129"/>
      <c r="Y135" s="129"/>
      <c r="Z135" s="129"/>
      <c r="AA135" s="129"/>
      <c r="AB135" s="129"/>
      <c r="AC135" s="129"/>
      <c r="AD135" s="129"/>
      <c r="AE135" s="129"/>
      <c r="AF135" s="129"/>
      <c r="AG135" s="129"/>
      <c r="AH135" s="129"/>
      <c r="AI135" s="129"/>
      <c r="AJ135" s="129"/>
      <c r="AK135" s="129"/>
      <c r="AL135" s="129"/>
      <c r="AM135" s="129"/>
      <c r="AN135" s="129"/>
      <c r="AO135" s="129"/>
      <c r="AP135" s="129"/>
      <c r="AQ135" s="129"/>
      <c r="AR135" s="129"/>
      <c r="AS135" s="129"/>
      <c r="AT135" s="129"/>
      <c r="AU135" s="129"/>
      <c r="AV135" s="187"/>
      <c r="AW135" s="187"/>
      <c r="AX135" s="188">
        <f>30000000+12500000</f>
        <v>42500000</v>
      </c>
      <c r="AY135" s="188"/>
      <c r="AZ135" s="188"/>
      <c r="BA135" s="187"/>
      <c r="BB135" s="187"/>
      <c r="BC135" s="187"/>
      <c r="BD135" s="187"/>
      <c r="BE135" s="187"/>
      <c r="BF135" s="187"/>
      <c r="BG135" s="131">
        <f t="shared" si="54"/>
        <v>42500000</v>
      </c>
      <c r="BH135" s="131">
        <f t="shared" si="54"/>
        <v>0</v>
      </c>
      <c r="BI135" s="131">
        <f t="shared" si="54"/>
        <v>0</v>
      </c>
      <c r="BJ135" s="55"/>
      <c r="BK135" s="55"/>
      <c r="BL135" s="55"/>
      <c r="BM135" s="55"/>
      <c r="BN135" s="55"/>
      <c r="BO135" s="55"/>
      <c r="BP135" s="55"/>
    </row>
    <row r="136" spans="1:68" ht="43.5" customHeight="1" x14ac:dyDescent="0.2">
      <c r="A136" s="104"/>
      <c r="B136" s="908"/>
      <c r="C136" s="909"/>
      <c r="D136" s="431"/>
      <c r="E136" s="727"/>
      <c r="F136" s="422" t="s">
        <v>498</v>
      </c>
      <c r="G136" s="423" t="s">
        <v>511</v>
      </c>
      <c r="H136" s="308">
        <v>3502022</v>
      </c>
      <c r="I136" s="186" t="s">
        <v>512</v>
      </c>
      <c r="J136" s="146" t="s">
        <v>513</v>
      </c>
      <c r="K136" s="291" t="s">
        <v>514</v>
      </c>
      <c r="L136" s="320" t="s">
        <v>515</v>
      </c>
      <c r="M136" s="146" t="s">
        <v>109</v>
      </c>
      <c r="N136" s="146">
        <v>14</v>
      </c>
      <c r="O136" s="146">
        <v>14</v>
      </c>
      <c r="P136" s="864">
        <v>10</v>
      </c>
      <c r="Q136" s="892" t="s">
        <v>252</v>
      </c>
      <c r="R136" s="901" t="s">
        <v>516</v>
      </c>
      <c r="S136" s="904" t="s">
        <v>517</v>
      </c>
      <c r="T136" s="426"/>
      <c r="U136" s="426"/>
      <c r="V136" s="426"/>
      <c r="W136" s="426"/>
      <c r="X136" s="426"/>
      <c r="Y136" s="426"/>
      <c r="Z136" s="426"/>
      <c r="AA136" s="426"/>
      <c r="AB136" s="426"/>
      <c r="AC136" s="426"/>
      <c r="AD136" s="426"/>
      <c r="AE136" s="426"/>
      <c r="AF136" s="426"/>
      <c r="AG136" s="426"/>
      <c r="AH136" s="426"/>
      <c r="AI136" s="426"/>
      <c r="AJ136" s="426"/>
      <c r="AK136" s="426"/>
      <c r="AL136" s="426"/>
      <c r="AM136" s="426"/>
      <c r="AN136" s="426"/>
      <c r="AO136" s="426"/>
      <c r="AP136" s="426"/>
      <c r="AQ136" s="426"/>
      <c r="AR136" s="426"/>
      <c r="AS136" s="426"/>
      <c r="AT136" s="426"/>
      <c r="AU136" s="426"/>
      <c r="AV136" s="427"/>
      <c r="AW136" s="427"/>
      <c r="AX136" s="428">
        <f>100000000+89600000</f>
        <v>189600000</v>
      </c>
      <c r="AY136" s="428">
        <v>52013333</v>
      </c>
      <c r="AZ136" s="428">
        <v>52013333</v>
      </c>
      <c r="BA136" s="427"/>
      <c r="BB136" s="427"/>
      <c r="BC136" s="427"/>
      <c r="BD136" s="187"/>
      <c r="BE136" s="187"/>
      <c r="BF136" s="187"/>
      <c r="BG136" s="131">
        <f t="shared" si="54"/>
        <v>189600000</v>
      </c>
      <c r="BH136" s="131">
        <f t="shared" si="54"/>
        <v>52013333</v>
      </c>
      <c r="BI136" s="131">
        <f t="shared" si="54"/>
        <v>52013333</v>
      </c>
      <c r="BJ136" s="55"/>
      <c r="BK136" s="55"/>
      <c r="BL136" s="55"/>
      <c r="BM136" s="55"/>
      <c r="BN136" s="55"/>
      <c r="BO136" s="55"/>
      <c r="BP136" s="55"/>
    </row>
    <row r="137" spans="1:68" ht="39.75" customHeight="1" x14ac:dyDescent="0.2">
      <c r="A137" s="104"/>
      <c r="B137" s="908"/>
      <c r="C137" s="909"/>
      <c r="D137" s="431"/>
      <c r="E137" s="725"/>
      <c r="F137" s="422" t="s">
        <v>498</v>
      </c>
      <c r="G137" s="423" t="s">
        <v>518</v>
      </c>
      <c r="H137" s="308">
        <v>3502047</v>
      </c>
      <c r="I137" s="186" t="s">
        <v>519</v>
      </c>
      <c r="J137" s="146" t="s">
        <v>520</v>
      </c>
      <c r="K137" s="291" t="s">
        <v>521</v>
      </c>
      <c r="L137" s="320" t="s">
        <v>522</v>
      </c>
      <c r="M137" s="127" t="s">
        <v>109</v>
      </c>
      <c r="N137" s="124">
        <v>1</v>
      </c>
      <c r="O137" s="124">
        <v>1</v>
      </c>
      <c r="P137" s="214"/>
      <c r="Q137" s="895"/>
      <c r="R137" s="902"/>
      <c r="S137" s="905"/>
      <c r="T137" s="129"/>
      <c r="U137" s="129"/>
      <c r="V137" s="129"/>
      <c r="W137" s="129"/>
      <c r="X137" s="129"/>
      <c r="Y137" s="129"/>
      <c r="Z137" s="129"/>
      <c r="AA137" s="129"/>
      <c r="AB137" s="129"/>
      <c r="AC137" s="129"/>
      <c r="AD137" s="129"/>
      <c r="AE137" s="129"/>
      <c r="AF137" s="129"/>
      <c r="AG137" s="129"/>
      <c r="AH137" s="129"/>
      <c r="AI137" s="129"/>
      <c r="AJ137" s="129"/>
      <c r="AK137" s="129"/>
      <c r="AL137" s="129"/>
      <c r="AM137" s="129"/>
      <c r="AN137" s="129"/>
      <c r="AO137" s="129"/>
      <c r="AP137" s="129"/>
      <c r="AQ137" s="129"/>
      <c r="AR137" s="129"/>
      <c r="AS137" s="129"/>
      <c r="AT137" s="129"/>
      <c r="AU137" s="129"/>
      <c r="AV137" s="187"/>
      <c r="AW137" s="187"/>
      <c r="AX137" s="188">
        <v>20000000</v>
      </c>
      <c r="AY137" s="188"/>
      <c r="AZ137" s="188"/>
      <c r="BA137" s="187"/>
      <c r="BB137" s="187"/>
      <c r="BC137" s="187"/>
      <c r="BD137" s="187"/>
      <c r="BE137" s="187"/>
      <c r="BF137" s="187"/>
      <c r="BG137" s="131">
        <f t="shared" si="54"/>
        <v>20000000</v>
      </c>
      <c r="BH137" s="131">
        <f t="shared" si="54"/>
        <v>0</v>
      </c>
      <c r="BI137" s="131">
        <f t="shared" si="54"/>
        <v>0</v>
      </c>
      <c r="BJ137" s="55"/>
      <c r="BK137" s="55"/>
      <c r="BL137" s="55"/>
      <c r="BM137" s="55"/>
      <c r="BN137" s="55"/>
      <c r="BO137" s="55"/>
      <c r="BP137" s="55"/>
    </row>
    <row r="138" spans="1:68" ht="62.25" customHeight="1" x14ac:dyDescent="0.2">
      <c r="A138" s="104"/>
      <c r="B138" s="908"/>
      <c r="C138" s="909"/>
      <c r="D138" s="323"/>
      <c r="E138" s="724"/>
      <c r="F138" s="430" t="s">
        <v>523</v>
      </c>
      <c r="G138" s="184" t="s">
        <v>524</v>
      </c>
      <c r="H138" s="308">
        <v>3502039</v>
      </c>
      <c r="I138" s="186" t="s">
        <v>525</v>
      </c>
      <c r="J138" s="127" t="s">
        <v>526</v>
      </c>
      <c r="K138" s="127" t="s">
        <v>527</v>
      </c>
      <c r="L138" s="186" t="s">
        <v>327</v>
      </c>
      <c r="M138" s="127" t="s">
        <v>109</v>
      </c>
      <c r="N138" s="124">
        <v>12</v>
      </c>
      <c r="O138" s="124">
        <v>12</v>
      </c>
      <c r="P138" s="864">
        <v>12</v>
      </c>
      <c r="Q138" s="892" t="s">
        <v>252</v>
      </c>
      <c r="R138" s="887" t="s">
        <v>528</v>
      </c>
      <c r="S138" s="890" t="s">
        <v>529</v>
      </c>
      <c r="T138" s="129"/>
      <c r="U138" s="129"/>
      <c r="V138" s="129"/>
      <c r="W138" s="129"/>
      <c r="X138" s="129"/>
      <c r="Y138" s="129"/>
      <c r="Z138" s="129"/>
      <c r="AA138" s="129"/>
      <c r="AB138" s="129"/>
      <c r="AC138" s="129"/>
      <c r="AD138" s="129"/>
      <c r="AE138" s="129"/>
      <c r="AF138" s="129"/>
      <c r="AG138" s="129"/>
      <c r="AH138" s="129"/>
      <c r="AI138" s="129"/>
      <c r="AJ138" s="129"/>
      <c r="AK138" s="129"/>
      <c r="AL138" s="129"/>
      <c r="AM138" s="129"/>
      <c r="AN138" s="129"/>
      <c r="AO138" s="129"/>
      <c r="AP138" s="129"/>
      <c r="AQ138" s="129"/>
      <c r="AR138" s="129"/>
      <c r="AS138" s="129"/>
      <c r="AT138" s="129"/>
      <c r="AU138" s="129"/>
      <c r="AV138" s="187"/>
      <c r="AW138" s="187"/>
      <c r="AX138" s="188">
        <f>434485000-14600000-236245001</f>
        <v>183639999</v>
      </c>
      <c r="AY138" s="188">
        <v>93839999</v>
      </c>
      <c r="AZ138" s="188">
        <v>84533333</v>
      </c>
      <c r="BA138" s="187"/>
      <c r="BB138" s="187"/>
      <c r="BC138" s="187"/>
      <c r="BD138" s="187"/>
      <c r="BE138" s="187"/>
      <c r="BF138" s="187"/>
      <c r="BG138" s="131">
        <f t="shared" si="54"/>
        <v>183639999</v>
      </c>
      <c r="BH138" s="131">
        <f t="shared" si="54"/>
        <v>93839999</v>
      </c>
      <c r="BI138" s="131">
        <f t="shared" si="54"/>
        <v>84533333</v>
      </c>
      <c r="BJ138" s="55"/>
      <c r="BK138" s="55"/>
      <c r="BL138" s="55"/>
      <c r="BM138" s="55"/>
      <c r="BN138" s="55"/>
      <c r="BO138" s="55"/>
      <c r="BP138" s="55"/>
    </row>
    <row r="139" spans="1:68" ht="62.25" customHeight="1" x14ac:dyDescent="0.2">
      <c r="A139" s="104"/>
      <c r="B139" s="908"/>
      <c r="C139" s="909"/>
      <c r="D139" s="323"/>
      <c r="E139" s="726"/>
      <c r="F139" s="430" t="s">
        <v>523</v>
      </c>
      <c r="G139" s="184" t="s">
        <v>524</v>
      </c>
      <c r="H139" s="308">
        <v>3502039</v>
      </c>
      <c r="I139" s="186" t="s">
        <v>525</v>
      </c>
      <c r="J139" s="146" t="s">
        <v>530</v>
      </c>
      <c r="K139" s="291" t="s">
        <v>531</v>
      </c>
      <c r="L139" s="320" t="s">
        <v>532</v>
      </c>
      <c r="M139" s="127" t="s">
        <v>204</v>
      </c>
      <c r="N139" s="124">
        <v>6</v>
      </c>
      <c r="O139" s="124">
        <v>1</v>
      </c>
      <c r="P139" s="124"/>
      <c r="Q139" s="895"/>
      <c r="R139" s="888"/>
      <c r="S139" s="891"/>
      <c r="T139" s="129"/>
      <c r="U139" s="129"/>
      <c r="V139" s="129"/>
      <c r="W139" s="129"/>
      <c r="X139" s="129"/>
      <c r="Y139" s="129"/>
      <c r="Z139" s="129"/>
      <c r="AA139" s="129"/>
      <c r="AB139" s="129"/>
      <c r="AC139" s="129"/>
      <c r="AD139" s="129"/>
      <c r="AE139" s="129"/>
      <c r="AF139" s="129"/>
      <c r="AG139" s="129"/>
      <c r="AH139" s="129"/>
      <c r="AI139" s="129"/>
      <c r="AJ139" s="129"/>
      <c r="AK139" s="129"/>
      <c r="AL139" s="129"/>
      <c r="AM139" s="129"/>
      <c r="AN139" s="129"/>
      <c r="AO139" s="129"/>
      <c r="AP139" s="129"/>
      <c r="AQ139" s="129"/>
      <c r="AR139" s="129"/>
      <c r="AS139" s="129"/>
      <c r="AT139" s="129"/>
      <c r="AU139" s="129"/>
      <c r="AV139" s="187"/>
      <c r="AW139" s="187"/>
      <c r="AX139" s="188">
        <v>236245001</v>
      </c>
      <c r="AY139" s="188"/>
      <c r="AZ139" s="188"/>
      <c r="BA139" s="187"/>
      <c r="BB139" s="187"/>
      <c r="BC139" s="187"/>
      <c r="BD139" s="187"/>
      <c r="BE139" s="187"/>
      <c r="BF139" s="187"/>
      <c r="BG139" s="131">
        <f t="shared" si="54"/>
        <v>236245001</v>
      </c>
      <c r="BH139" s="131">
        <f t="shared" si="54"/>
        <v>0</v>
      </c>
      <c r="BI139" s="131">
        <f t="shared" si="54"/>
        <v>0</v>
      </c>
      <c r="BJ139" s="55"/>
      <c r="BK139" s="55"/>
      <c r="BL139" s="55"/>
      <c r="BM139" s="55"/>
      <c r="BN139" s="55"/>
      <c r="BO139" s="55"/>
      <c r="BP139" s="55"/>
    </row>
    <row r="140" spans="1:68" ht="46.5" customHeight="1" x14ac:dyDescent="0.2">
      <c r="A140" s="104"/>
      <c r="B140" s="908"/>
      <c r="C140" s="909"/>
      <c r="D140" s="323"/>
      <c r="E140" s="725"/>
      <c r="F140" s="430" t="s">
        <v>498</v>
      </c>
      <c r="G140" s="184" t="s">
        <v>518</v>
      </c>
      <c r="H140" s="308">
        <v>3502047</v>
      </c>
      <c r="I140" s="186" t="s">
        <v>519</v>
      </c>
      <c r="J140" s="127" t="s">
        <v>520</v>
      </c>
      <c r="K140" s="291">
        <v>350204700</v>
      </c>
      <c r="L140" s="186" t="s">
        <v>522</v>
      </c>
      <c r="M140" s="127" t="s">
        <v>109</v>
      </c>
      <c r="N140" s="124">
        <v>1</v>
      </c>
      <c r="O140" s="124">
        <v>1</v>
      </c>
      <c r="P140" s="124"/>
      <c r="Q140" s="893"/>
      <c r="R140" s="889"/>
      <c r="S140" s="894"/>
      <c r="T140" s="129"/>
      <c r="U140" s="129"/>
      <c r="V140" s="129"/>
      <c r="W140" s="129"/>
      <c r="X140" s="129"/>
      <c r="Y140" s="129"/>
      <c r="Z140" s="129"/>
      <c r="AA140" s="129"/>
      <c r="AB140" s="129"/>
      <c r="AC140" s="129"/>
      <c r="AD140" s="129"/>
      <c r="AE140" s="129"/>
      <c r="AF140" s="129"/>
      <c r="AG140" s="129"/>
      <c r="AH140" s="129"/>
      <c r="AI140" s="129"/>
      <c r="AJ140" s="129"/>
      <c r="AK140" s="129"/>
      <c r="AL140" s="129"/>
      <c r="AM140" s="129"/>
      <c r="AN140" s="129"/>
      <c r="AO140" s="129"/>
      <c r="AP140" s="129"/>
      <c r="AQ140" s="129"/>
      <c r="AR140" s="129"/>
      <c r="AS140" s="129"/>
      <c r="AT140" s="129"/>
      <c r="AU140" s="129"/>
      <c r="AV140" s="187"/>
      <c r="AW140" s="187"/>
      <c r="AX140" s="188">
        <v>36519937</v>
      </c>
      <c r="AY140" s="188"/>
      <c r="AZ140" s="188"/>
      <c r="BA140" s="187"/>
      <c r="BB140" s="187"/>
      <c r="BC140" s="187"/>
      <c r="BD140" s="187"/>
      <c r="BE140" s="187"/>
      <c r="BF140" s="187"/>
      <c r="BG140" s="131">
        <f t="shared" si="54"/>
        <v>36519937</v>
      </c>
      <c r="BH140" s="131">
        <f t="shared" si="54"/>
        <v>0</v>
      </c>
      <c r="BI140" s="131">
        <f t="shared" si="54"/>
        <v>0</v>
      </c>
      <c r="BJ140" s="55"/>
      <c r="BK140" s="55"/>
      <c r="BL140" s="55"/>
      <c r="BM140" s="55"/>
      <c r="BN140" s="55"/>
      <c r="BO140" s="55"/>
      <c r="BP140" s="55"/>
    </row>
    <row r="141" spans="1:68" s="314" customFormat="1" ht="42.75" customHeight="1" x14ac:dyDescent="0.25">
      <c r="A141" s="432"/>
      <c r="B141" s="908"/>
      <c r="C141" s="910"/>
      <c r="D141" s="433"/>
      <c r="E141" s="121"/>
      <c r="F141" s="434" t="s">
        <v>523</v>
      </c>
      <c r="G141" s="435" t="s">
        <v>533</v>
      </c>
      <c r="H141" s="308">
        <v>3502046</v>
      </c>
      <c r="I141" s="186" t="s">
        <v>534</v>
      </c>
      <c r="J141" s="127" t="s">
        <v>535</v>
      </c>
      <c r="K141" s="127" t="s">
        <v>536</v>
      </c>
      <c r="L141" s="186" t="s">
        <v>537</v>
      </c>
      <c r="M141" s="127" t="s">
        <v>204</v>
      </c>
      <c r="N141" s="124">
        <v>4</v>
      </c>
      <c r="O141" s="124">
        <v>1</v>
      </c>
      <c r="P141" s="864">
        <v>0.42</v>
      </c>
      <c r="Q141" s="149" t="s">
        <v>252</v>
      </c>
      <c r="R141" s="127" t="s">
        <v>538</v>
      </c>
      <c r="S141" s="186" t="s">
        <v>539</v>
      </c>
      <c r="T141" s="129"/>
      <c r="U141" s="129"/>
      <c r="V141" s="129"/>
      <c r="W141" s="129"/>
      <c r="X141" s="129"/>
      <c r="Y141" s="129"/>
      <c r="Z141" s="129"/>
      <c r="AA141" s="129"/>
      <c r="AB141" s="129"/>
      <c r="AC141" s="129"/>
      <c r="AD141" s="129"/>
      <c r="AE141" s="129"/>
      <c r="AF141" s="129"/>
      <c r="AG141" s="129"/>
      <c r="AH141" s="129"/>
      <c r="AI141" s="129"/>
      <c r="AJ141" s="129"/>
      <c r="AK141" s="129"/>
      <c r="AL141" s="129"/>
      <c r="AM141" s="129"/>
      <c r="AN141" s="129"/>
      <c r="AO141" s="129"/>
      <c r="AP141" s="129"/>
      <c r="AQ141" s="129"/>
      <c r="AR141" s="129"/>
      <c r="AS141" s="129"/>
      <c r="AT141" s="129"/>
      <c r="AU141" s="129"/>
      <c r="AV141" s="187"/>
      <c r="AW141" s="187"/>
      <c r="AX141" s="188"/>
      <c r="AY141" s="188"/>
      <c r="AZ141" s="188"/>
      <c r="BA141" s="436">
        <f>291845334+22109904.85+232026666</f>
        <v>545981904.85000002</v>
      </c>
      <c r="BB141" s="436">
        <v>232026666</v>
      </c>
      <c r="BC141" s="436">
        <v>228426666</v>
      </c>
      <c r="BD141" s="436"/>
      <c r="BE141" s="436"/>
      <c r="BF141" s="436"/>
      <c r="BG141" s="131">
        <f t="shared" si="54"/>
        <v>545981904.85000002</v>
      </c>
      <c r="BH141" s="131">
        <f t="shared" si="54"/>
        <v>232026666</v>
      </c>
      <c r="BI141" s="131">
        <f t="shared" si="54"/>
        <v>228426666</v>
      </c>
      <c r="BJ141" s="437"/>
      <c r="BK141" s="437"/>
      <c r="BL141" s="437"/>
      <c r="BM141" s="437"/>
      <c r="BN141" s="437"/>
      <c r="BO141" s="437"/>
      <c r="BP141" s="437"/>
    </row>
    <row r="142" spans="1:68" ht="15.75" x14ac:dyDescent="0.2">
      <c r="A142" s="104"/>
      <c r="B142" s="907"/>
      <c r="C142" s="438">
        <v>28</v>
      </c>
      <c r="D142" s="439">
        <v>3602</v>
      </c>
      <c r="E142" s="108" t="s">
        <v>540</v>
      </c>
      <c r="F142" s="138"/>
      <c r="G142" s="139"/>
      <c r="H142" s="176"/>
      <c r="I142" s="177"/>
      <c r="J142" s="178"/>
      <c r="K142" s="178"/>
      <c r="L142" s="177"/>
      <c r="M142" s="179"/>
      <c r="N142" s="180"/>
      <c r="O142" s="139"/>
      <c r="P142" s="139"/>
      <c r="Q142" s="181"/>
      <c r="R142" s="181"/>
      <c r="S142" s="177"/>
      <c r="T142" s="117">
        <f>SUM(T143:T146)</f>
        <v>0</v>
      </c>
      <c r="U142" s="117"/>
      <c r="V142" s="117"/>
      <c r="W142" s="117">
        <f>SUM(W143:W146)</f>
        <v>0</v>
      </c>
      <c r="X142" s="117"/>
      <c r="Y142" s="117"/>
      <c r="Z142" s="117">
        <f>SUM(Z143:Z146)</f>
        <v>0</v>
      </c>
      <c r="AA142" s="117"/>
      <c r="AB142" s="117"/>
      <c r="AC142" s="117">
        <f>SUM(AC143:AC146)</f>
        <v>0</v>
      </c>
      <c r="AD142" s="117"/>
      <c r="AE142" s="117"/>
      <c r="AF142" s="117">
        <f>SUM(AF143:AF146)</f>
        <v>0</v>
      </c>
      <c r="AG142" s="117"/>
      <c r="AH142" s="117"/>
      <c r="AI142" s="117">
        <f>SUM(AI143:AI146)</f>
        <v>0</v>
      </c>
      <c r="AJ142" s="117"/>
      <c r="AK142" s="117"/>
      <c r="AL142" s="117">
        <f>SUM(AL143:AL146)</f>
        <v>0</v>
      </c>
      <c r="AM142" s="117"/>
      <c r="AN142" s="117"/>
      <c r="AO142" s="117">
        <f>SUM(AO143:AO146)</f>
        <v>0</v>
      </c>
      <c r="AP142" s="117"/>
      <c r="AQ142" s="117"/>
      <c r="AR142" s="117">
        <f>SUM(AR143:AR146)</f>
        <v>0</v>
      </c>
      <c r="AS142" s="117"/>
      <c r="AT142" s="117"/>
      <c r="AU142" s="117">
        <f>SUM(AU143:AU146)</f>
        <v>0</v>
      </c>
      <c r="AV142" s="117"/>
      <c r="AW142" s="117"/>
      <c r="AX142" s="117">
        <f t="shared" ref="AX142:BD142" si="55">SUM(AX143:AX146)</f>
        <v>285685000</v>
      </c>
      <c r="AY142" s="117">
        <f t="shared" si="55"/>
        <v>24400000</v>
      </c>
      <c r="AZ142" s="117">
        <f t="shared" si="55"/>
        <v>24400000</v>
      </c>
      <c r="BA142" s="117">
        <f t="shared" si="55"/>
        <v>0</v>
      </c>
      <c r="BB142" s="117">
        <f t="shared" si="55"/>
        <v>0</v>
      </c>
      <c r="BC142" s="117">
        <f t="shared" si="55"/>
        <v>0</v>
      </c>
      <c r="BD142" s="117">
        <f t="shared" si="55"/>
        <v>0</v>
      </c>
      <c r="BE142" s="117"/>
      <c r="BF142" s="117"/>
      <c r="BG142" s="117">
        <f>SUM(BG143:BG146)</f>
        <v>285685000</v>
      </c>
      <c r="BH142" s="117">
        <f>SUM(BH143:BH146)</f>
        <v>24400000</v>
      </c>
      <c r="BI142" s="117">
        <f>SUM(BI143:BI146)</f>
        <v>24400000</v>
      </c>
    </row>
    <row r="143" spans="1:68" ht="51" customHeight="1" x14ac:dyDescent="0.2">
      <c r="A143" s="104"/>
      <c r="B143" s="908"/>
      <c r="C143" s="898"/>
      <c r="D143" s="421"/>
      <c r="E143" s="727"/>
      <c r="F143" s="422" t="s">
        <v>498</v>
      </c>
      <c r="G143" s="146" t="s">
        <v>541</v>
      </c>
      <c r="H143" s="124">
        <v>3602018</v>
      </c>
      <c r="I143" s="440" t="s">
        <v>542</v>
      </c>
      <c r="J143" s="146" t="s">
        <v>543</v>
      </c>
      <c r="K143" s="291">
        <v>360201800</v>
      </c>
      <c r="L143" s="320" t="s">
        <v>544</v>
      </c>
      <c r="M143" s="146" t="s">
        <v>204</v>
      </c>
      <c r="N143" s="146">
        <v>14</v>
      </c>
      <c r="O143" s="146">
        <v>3</v>
      </c>
      <c r="P143" s="146"/>
      <c r="Q143" s="887" t="s">
        <v>252</v>
      </c>
      <c r="R143" s="901" t="s">
        <v>545</v>
      </c>
      <c r="S143" s="904" t="s">
        <v>546</v>
      </c>
      <c r="T143" s="426"/>
      <c r="U143" s="426"/>
      <c r="V143" s="426"/>
      <c r="W143" s="426"/>
      <c r="X143" s="426"/>
      <c r="Y143" s="426"/>
      <c r="Z143" s="426"/>
      <c r="AA143" s="426"/>
      <c r="AB143" s="426"/>
      <c r="AC143" s="426"/>
      <c r="AD143" s="426"/>
      <c r="AE143" s="426"/>
      <c r="AF143" s="426"/>
      <c r="AG143" s="426"/>
      <c r="AH143" s="426"/>
      <c r="AI143" s="426"/>
      <c r="AJ143" s="426"/>
      <c r="AK143" s="426"/>
      <c r="AL143" s="426"/>
      <c r="AM143" s="426"/>
      <c r="AN143" s="426"/>
      <c r="AO143" s="426"/>
      <c r="AP143" s="426"/>
      <c r="AQ143" s="426"/>
      <c r="AR143" s="426"/>
      <c r="AS143" s="426"/>
      <c r="AT143" s="426"/>
      <c r="AU143" s="426"/>
      <c r="AV143" s="427"/>
      <c r="AW143" s="427"/>
      <c r="AX143" s="428">
        <f>223285000-50000000</f>
        <v>173285000</v>
      </c>
      <c r="AY143" s="428"/>
      <c r="AZ143" s="428"/>
      <c r="BA143" s="427"/>
      <c r="BB143" s="427"/>
      <c r="BC143" s="427"/>
      <c r="BD143" s="187"/>
      <c r="BE143" s="187"/>
      <c r="BF143" s="187"/>
      <c r="BG143" s="131">
        <f t="shared" ref="BG143:BI146" si="56">+T143+W143+Z143+AC143+AF143+AI143+AL143+AO143+AR143+AU143+AX143+BA143+BD143</f>
        <v>173285000</v>
      </c>
      <c r="BH143" s="131">
        <f t="shared" si="56"/>
        <v>0</v>
      </c>
      <c r="BI143" s="131">
        <f t="shared" si="56"/>
        <v>0</v>
      </c>
    </row>
    <row r="144" spans="1:68" ht="51" customHeight="1" x14ac:dyDescent="0.2">
      <c r="A144" s="104"/>
      <c r="B144" s="908"/>
      <c r="C144" s="899"/>
      <c r="D144" s="431"/>
      <c r="E144" s="728"/>
      <c r="F144" s="422" t="s">
        <v>498</v>
      </c>
      <c r="G144" s="146" t="s">
        <v>547</v>
      </c>
      <c r="H144" s="193">
        <v>3602032</v>
      </c>
      <c r="I144" s="186" t="s">
        <v>548</v>
      </c>
      <c r="J144" s="146" t="s">
        <v>549</v>
      </c>
      <c r="K144" s="291">
        <v>360203201</v>
      </c>
      <c r="L144" s="320" t="s">
        <v>550</v>
      </c>
      <c r="M144" s="146" t="s">
        <v>109</v>
      </c>
      <c r="N144" s="146">
        <v>14</v>
      </c>
      <c r="O144" s="146">
        <v>14</v>
      </c>
      <c r="P144" s="146" t="s">
        <v>1499</v>
      </c>
      <c r="Q144" s="888"/>
      <c r="R144" s="902"/>
      <c r="S144" s="905"/>
      <c r="T144" s="426"/>
      <c r="U144" s="426"/>
      <c r="V144" s="426"/>
      <c r="W144" s="426"/>
      <c r="X144" s="426"/>
      <c r="Y144" s="426"/>
      <c r="Z144" s="426"/>
      <c r="AA144" s="426"/>
      <c r="AB144" s="426"/>
      <c r="AC144" s="426"/>
      <c r="AD144" s="426"/>
      <c r="AE144" s="426"/>
      <c r="AF144" s="426"/>
      <c r="AG144" s="426"/>
      <c r="AH144" s="426"/>
      <c r="AI144" s="426"/>
      <c r="AJ144" s="426"/>
      <c r="AK144" s="426"/>
      <c r="AL144" s="426"/>
      <c r="AM144" s="426"/>
      <c r="AN144" s="426"/>
      <c r="AO144" s="426"/>
      <c r="AP144" s="426"/>
      <c r="AQ144" s="426"/>
      <c r="AR144" s="426"/>
      <c r="AS144" s="426"/>
      <c r="AT144" s="426"/>
      <c r="AU144" s="426"/>
      <c r="AV144" s="427"/>
      <c r="AW144" s="427"/>
      <c r="AX144" s="428">
        <f>124400000-50000000</f>
        <v>74400000</v>
      </c>
      <c r="AY144" s="428">
        <v>24400000</v>
      </c>
      <c r="AZ144" s="428">
        <v>24400000</v>
      </c>
      <c r="BA144" s="427"/>
      <c r="BB144" s="427"/>
      <c r="BC144" s="427"/>
      <c r="BD144" s="187"/>
      <c r="BE144" s="187"/>
      <c r="BF144" s="187"/>
      <c r="BG144" s="131">
        <f t="shared" si="56"/>
        <v>74400000</v>
      </c>
      <c r="BH144" s="131">
        <f t="shared" si="56"/>
        <v>24400000</v>
      </c>
      <c r="BI144" s="131">
        <f t="shared" si="56"/>
        <v>24400000</v>
      </c>
    </row>
    <row r="145" spans="1:68" ht="51" customHeight="1" x14ac:dyDescent="0.2">
      <c r="A145" s="104"/>
      <c r="B145" s="908"/>
      <c r="C145" s="899"/>
      <c r="D145" s="431"/>
      <c r="E145" s="728"/>
      <c r="F145" s="422" t="s">
        <v>498</v>
      </c>
      <c r="G145" s="146" t="s">
        <v>551</v>
      </c>
      <c r="H145" s="193">
        <v>3602029</v>
      </c>
      <c r="I145" s="186" t="s">
        <v>552</v>
      </c>
      <c r="J145" s="146" t="s">
        <v>553</v>
      </c>
      <c r="K145" s="291">
        <v>360202904</v>
      </c>
      <c r="L145" s="320" t="s">
        <v>554</v>
      </c>
      <c r="M145" s="146" t="s">
        <v>204</v>
      </c>
      <c r="N145" s="146">
        <v>42</v>
      </c>
      <c r="O145" s="146">
        <v>5</v>
      </c>
      <c r="P145" s="146"/>
      <c r="Q145" s="888"/>
      <c r="R145" s="902"/>
      <c r="S145" s="905"/>
      <c r="T145" s="426"/>
      <c r="U145" s="426"/>
      <c r="V145" s="426"/>
      <c r="W145" s="426"/>
      <c r="X145" s="426"/>
      <c r="Y145" s="426"/>
      <c r="Z145" s="426"/>
      <c r="AA145" s="426"/>
      <c r="AB145" s="426"/>
      <c r="AC145" s="426"/>
      <c r="AD145" s="426"/>
      <c r="AE145" s="426"/>
      <c r="AF145" s="426"/>
      <c r="AG145" s="426"/>
      <c r="AH145" s="426"/>
      <c r="AI145" s="426"/>
      <c r="AJ145" s="426"/>
      <c r="AK145" s="426"/>
      <c r="AL145" s="426"/>
      <c r="AM145" s="426"/>
      <c r="AN145" s="426"/>
      <c r="AO145" s="426"/>
      <c r="AP145" s="426"/>
      <c r="AQ145" s="426"/>
      <c r="AR145" s="426"/>
      <c r="AS145" s="426"/>
      <c r="AT145" s="426"/>
      <c r="AU145" s="426"/>
      <c r="AV145" s="427"/>
      <c r="AW145" s="427"/>
      <c r="AX145" s="428">
        <v>20000000</v>
      </c>
      <c r="AY145" s="428"/>
      <c r="AZ145" s="428"/>
      <c r="BA145" s="427"/>
      <c r="BB145" s="427"/>
      <c r="BC145" s="427"/>
      <c r="BD145" s="187"/>
      <c r="BE145" s="187"/>
      <c r="BF145" s="187"/>
      <c r="BG145" s="131">
        <f t="shared" si="56"/>
        <v>20000000</v>
      </c>
      <c r="BH145" s="131">
        <f t="shared" si="56"/>
        <v>0</v>
      </c>
      <c r="BI145" s="131">
        <f t="shared" si="56"/>
        <v>0</v>
      </c>
    </row>
    <row r="146" spans="1:68" ht="51" customHeight="1" x14ac:dyDescent="0.2">
      <c r="A146" s="141"/>
      <c r="B146" s="908"/>
      <c r="C146" s="900"/>
      <c r="D146" s="433"/>
      <c r="E146" s="729"/>
      <c r="F146" s="422" t="s">
        <v>498</v>
      </c>
      <c r="G146" s="146" t="s">
        <v>555</v>
      </c>
      <c r="H146" s="193">
        <v>3602030</v>
      </c>
      <c r="I146" s="186" t="s">
        <v>556</v>
      </c>
      <c r="J146" s="146" t="s">
        <v>557</v>
      </c>
      <c r="K146" s="291" t="s">
        <v>558</v>
      </c>
      <c r="L146" s="320" t="s">
        <v>559</v>
      </c>
      <c r="M146" s="349" t="s">
        <v>204</v>
      </c>
      <c r="N146" s="219">
        <v>12</v>
      </c>
      <c r="O146" s="219">
        <v>1</v>
      </c>
      <c r="P146" s="219"/>
      <c r="Q146" s="889"/>
      <c r="R146" s="903"/>
      <c r="S146" s="906"/>
      <c r="T146" s="426"/>
      <c r="U146" s="426"/>
      <c r="V146" s="426"/>
      <c r="W146" s="426"/>
      <c r="X146" s="426"/>
      <c r="Y146" s="426"/>
      <c r="Z146" s="426"/>
      <c r="AA146" s="426"/>
      <c r="AB146" s="426"/>
      <c r="AC146" s="426"/>
      <c r="AD146" s="426"/>
      <c r="AE146" s="426"/>
      <c r="AF146" s="426"/>
      <c r="AG146" s="426"/>
      <c r="AH146" s="426"/>
      <c r="AI146" s="426"/>
      <c r="AJ146" s="426"/>
      <c r="AK146" s="426"/>
      <c r="AL146" s="426"/>
      <c r="AM146" s="426"/>
      <c r="AN146" s="426"/>
      <c r="AO146" s="426"/>
      <c r="AP146" s="426"/>
      <c r="AQ146" s="426"/>
      <c r="AR146" s="426"/>
      <c r="AS146" s="426"/>
      <c r="AT146" s="426"/>
      <c r="AU146" s="426"/>
      <c r="AV146" s="427"/>
      <c r="AW146" s="427"/>
      <c r="AX146" s="428">
        <v>18000000</v>
      </c>
      <c r="AY146" s="428"/>
      <c r="AZ146" s="428"/>
      <c r="BA146" s="427"/>
      <c r="BB146" s="427"/>
      <c r="BC146" s="427"/>
      <c r="BD146" s="187"/>
      <c r="BE146" s="187"/>
      <c r="BF146" s="187"/>
      <c r="BG146" s="131">
        <f t="shared" si="56"/>
        <v>18000000</v>
      </c>
      <c r="BH146" s="131">
        <f t="shared" si="56"/>
        <v>0</v>
      </c>
      <c r="BI146" s="131">
        <f t="shared" si="56"/>
        <v>0</v>
      </c>
    </row>
    <row r="147" spans="1:68" ht="27.75" customHeight="1" x14ac:dyDescent="0.2">
      <c r="BG147" s="441"/>
      <c r="BH147" s="441"/>
      <c r="BI147" s="441"/>
    </row>
    <row r="148" spans="1:68" ht="17.25" customHeight="1" x14ac:dyDescent="0.2">
      <c r="A148" s="76" t="s">
        <v>560</v>
      </c>
      <c r="B148" s="77"/>
      <c r="C148" s="76"/>
      <c r="D148" s="442"/>
      <c r="E148" s="443"/>
      <c r="F148" s="444"/>
      <c r="G148" s="445"/>
      <c r="H148" s="446"/>
      <c r="I148" s="447"/>
      <c r="J148" s="448"/>
      <c r="K148" s="448"/>
      <c r="L148" s="447"/>
      <c r="M148" s="86"/>
      <c r="N148" s="446"/>
      <c r="O148" s="445"/>
      <c r="P148" s="445"/>
      <c r="Q148" s="443"/>
      <c r="R148" s="443"/>
      <c r="S148" s="447"/>
      <c r="T148" s="449">
        <f>T149+T180</f>
        <v>0</v>
      </c>
      <c r="U148" s="449"/>
      <c r="V148" s="449"/>
      <c r="W148" s="449">
        <f>W149+W180</f>
        <v>0</v>
      </c>
      <c r="X148" s="449"/>
      <c r="Y148" s="449"/>
      <c r="Z148" s="449">
        <f>Z149+Z180</f>
        <v>0</v>
      </c>
      <c r="AA148" s="449"/>
      <c r="AB148" s="449"/>
      <c r="AC148" s="449">
        <f>AC149+AC180</f>
        <v>0</v>
      </c>
      <c r="AD148" s="449"/>
      <c r="AE148" s="449"/>
      <c r="AF148" s="449">
        <f>AF149+AF180</f>
        <v>0</v>
      </c>
      <c r="AG148" s="449"/>
      <c r="AH148" s="449"/>
      <c r="AI148" s="449">
        <f>AI149+AI180</f>
        <v>0</v>
      </c>
      <c r="AJ148" s="449"/>
      <c r="AK148" s="449"/>
      <c r="AL148" s="449">
        <f>AL149+AL180</f>
        <v>0</v>
      </c>
      <c r="AM148" s="449"/>
      <c r="AN148" s="449"/>
      <c r="AO148" s="449">
        <f>AO149+AO180</f>
        <v>0</v>
      </c>
      <c r="AP148" s="449"/>
      <c r="AQ148" s="449"/>
      <c r="AR148" s="449">
        <f>AR149+AR180</f>
        <v>0</v>
      </c>
      <c r="AS148" s="449"/>
      <c r="AT148" s="449"/>
      <c r="AU148" s="449">
        <f>AU149+AU180</f>
        <v>0</v>
      </c>
      <c r="AV148" s="449"/>
      <c r="AW148" s="449"/>
      <c r="AX148" s="449">
        <f>AX149+AX180</f>
        <v>2852390196.25</v>
      </c>
      <c r="AY148" s="449">
        <f>AY149+AY180</f>
        <v>346616664</v>
      </c>
      <c r="AZ148" s="449">
        <f>AZ149+AZ180</f>
        <v>295466664</v>
      </c>
      <c r="BA148" s="449">
        <f>BA149+BA180</f>
        <v>0</v>
      </c>
      <c r="BB148" s="449"/>
      <c r="BC148" s="449"/>
      <c r="BD148" s="449">
        <f>BD149+BD180</f>
        <v>0</v>
      </c>
      <c r="BE148" s="449"/>
      <c r="BF148" s="449"/>
      <c r="BG148" s="449">
        <f>BG149+BG180</f>
        <v>2852390196.25</v>
      </c>
      <c r="BH148" s="449">
        <f>BH149+BH180</f>
        <v>346616664</v>
      </c>
      <c r="BI148" s="449">
        <f>BI149+BI180</f>
        <v>295466664</v>
      </c>
    </row>
    <row r="149" spans="1:68" ht="17.25" customHeight="1" x14ac:dyDescent="0.2">
      <c r="A149" s="104"/>
      <c r="B149" s="92">
        <v>2</v>
      </c>
      <c r="C149" s="163" t="s">
        <v>2</v>
      </c>
      <c r="D149" s="164"/>
      <c r="E149" s="165"/>
      <c r="F149" s="166"/>
      <c r="G149" s="167"/>
      <c r="H149" s="168"/>
      <c r="I149" s="169"/>
      <c r="J149" s="170"/>
      <c r="K149" s="170"/>
      <c r="L149" s="169"/>
      <c r="M149" s="171"/>
      <c r="N149" s="172"/>
      <c r="O149" s="167"/>
      <c r="P149" s="167"/>
      <c r="Q149" s="165"/>
      <c r="R149" s="165"/>
      <c r="S149" s="169"/>
      <c r="T149" s="103">
        <f>+T150+T163+T165+T168+T170+T172+T174+T177</f>
        <v>0</v>
      </c>
      <c r="U149" s="103"/>
      <c r="V149" s="103"/>
      <c r="W149" s="103">
        <f>+W150+W163+W165+W168+W170+W172+W174+W177</f>
        <v>0</v>
      </c>
      <c r="X149" s="103"/>
      <c r="Y149" s="103"/>
      <c r="Z149" s="103">
        <f>+Z150+Z163+Z165+Z168+Z170+Z172+Z174+Z177</f>
        <v>0</v>
      </c>
      <c r="AA149" s="103"/>
      <c r="AB149" s="103"/>
      <c r="AC149" s="103">
        <f>+AC150+AC163+AC165+AC168+AC170+AC172+AC174+AC177</f>
        <v>0</v>
      </c>
      <c r="AD149" s="103"/>
      <c r="AE149" s="103"/>
      <c r="AF149" s="103">
        <f>+AF150+AF163+AF165+AF168+AF170+AF172+AF174+AF177</f>
        <v>0</v>
      </c>
      <c r="AG149" s="103"/>
      <c r="AH149" s="103"/>
      <c r="AI149" s="103">
        <f>+AI150+AI163+AI165+AI168+AI170+AI172+AI174+AI177</f>
        <v>0</v>
      </c>
      <c r="AJ149" s="103"/>
      <c r="AK149" s="103"/>
      <c r="AL149" s="103">
        <f>+AL150+AL163+AL165+AL168+AL170+AL172+AL174+AL177</f>
        <v>0</v>
      </c>
      <c r="AM149" s="103"/>
      <c r="AN149" s="103"/>
      <c r="AO149" s="103">
        <f>+AO150+AO163+AO165+AO168+AO170+AO172+AO174+AO177</f>
        <v>0</v>
      </c>
      <c r="AP149" s="103"/>
      <c r="AQ149" s="103"/>
      <c r="AR149" s="103">
        <f>+AR150+AR163+AR165+AR168+AR170+AR172+AR174+AR177</f>
        <v>0</v>
      </c>
      <c r="AS149" s="103"/>
      <c r="AT149" s="103"/>
      <c r="AU149" s="103">
        <f>+AU150+AU163+AU165+AU168+AU170+AU172+AU174+AU177</f>
        <v>0</v>
      </c>
      <c r="AV149" s="103"/>
      <c r="AW149" s="103"/>
      <c r="AX149" s="103">
        <f>+AX150+AX163+AX165+AX168+AX170+AX172+AX174+AX177</f>
        <v>1323519269</v>
      </c>
      <c r="AY149" s="103">
        <f>+AY150+AY163+AY165+AY168+AY170+AY172+AY174+AY177</f>
        <v>247916665</v>
      </c>
      <c r="AZ149" s="103">
        <f>+AZ150+AZ163+AZ165+AZ168+AZ170+AZ172+AZ174+AZ177</f>
        <v>217166665</v>
      </c>
      <c r="BA149" s="103">
        <f>+BA150+BA163+BA165+BA168+BA170+BA172+BA174+BA177</f>
        <v>0</v>
      </c>
      <c r="BB149" s="103"/>
      <c r="BC149" s="103"/>
      <c r="BD149" s="103">
        <f>+BD150+BD163+BD165+BD168+BD170+BD172+BD174+BD177</f>
        <v>0</v>
      </c>
      <c r="BE149" s="103"/>
      <c r="BF149" s="103"/>
      <c r="BG149" s="103">
        <f>+BG150+BG163+BG165+BG168+BG170+BG172+BG174+BG177</f>
        <v>1323519269</v>
      </c>
      <c r="BH149" s="103">
        <f>+BH150+BH163+BH165+BH168+BH170+BH172+BH174+BH177</f>
        <v>247916665</v>
      </c>
      <c r="BI149" s="103">
        <f>+BI150+BI163+BI165+BI168+BI170+BI172+BI174+BI177</f>
        <v>217166665</v>
      </c>
      <c r="BJ149" s="450"/>
      <c r="BK149" s="450"/>
      <c r="BL149" s="450"/>
      <c r="BM149" s="450"/>
      <c r="BN149" s="450"/>
      <c r="BO149" s="451"/>
    </row>
    <row r="150" spans="1:68" ht="17.25" customHeight="1" x14ac:dyDescent="0.2">
      <c r="A150" s="104"/>
      <c r="B150" s="105"/>
      <c r="C150" s="279">
        <v>4</v>
      </c>
      <c r="D150" s="110">
        <v>1702</v>
      </c>
      <c r="E150" s="108" t="s">
        <v>561</v>
      </c>
      <c r="F150" s="109"/>
      <c r="G150" s="139"/>
      <c r="H150" s="176"/>
      <c r="I150" s="177"/>
      <c r="J150" s="178"/>
      <c r="K150" s="178"/>
      <c r="L150" s="177"/>
      <c r="M150" s="179"/>
      <c r="N150" s="180"/>
      <c r="O150" s="139"/>
      <c r="P150" s="139"/>
      <c r="Q150" s="181"/>
      <c r="R150" s="181"/>
      <c r="S150" s="177"/>
      <c r="T150" s="117">
        <f>SUM(T151:T162)</f>
        <v>0</v>
      </c>
      <c r="U150" s="117"/>
      <c r="V150" s="117"/>
      <c r="W150" s="117">
        <f>SUM(W151:W162)</f>
        <v>0</v>
      </c>
      <c r="X150" s="117"/>
      <c r="Y150" s="117"/>
      <c r="Z150" s="117">
        <f>SUM(Z151:Z162)</f>
        <v>0</v>
      </c>
      <c r="AA150" s="117"/>
      <c r="AB150" s="117"/>
      <c r="AC150" s="117">
        <f>SUM(AC151:AC162)</f>
        <v>0</v>
      </c>
      <c r="AD150" s="117"/>
      <c r="AE150" s="117"/>
      <c r="AF150" s="117">
        <f>SUM(AF151:AF162)</f>
        <v>0</v>
      </c>
      <c r="AG150" s="117"/>
      <c r="AH150" s="117"/>
      <c r="AI150" s="117">
        <f>SUM(AI151:AI162)</f>
        <v>0</v>
      </c>
      <c r="AJ150" s="117"/>
      <c r="AK150" s="117"/>
      <c r="AL150" s="117">
        <f>SUM(AL151:AL162)</f>
        <v>0</v>
      </c>
      <c r="AM150" s="117"/>
      <c r="AN150" s="117"/>
      <c r="AO150" s="117">
        <f>SUM(AO151:AO162)</f>
        <v>0</v>
      </c>
      <c r="AP150" s="117"/>
      <c r="AQ150" s="117"/>
      <c r="AR150" s="117">
        <f>SUM(AR151:AR162)</f>
        <v>0</v>
      </c>
      <c r="AS150" s="117"/>
      <c r="AT150" s="117"/>
      <c r="AU150" s="117">
        <f>SUM(AU151:AU162)</f>
        <v>0</v>
      </c>
      <c r="AV150" s="117"/>
      <c r="AW150" s="117"/>
      <c r="AX150" s="117">
        <f>SUM(AX151:AX162)</f>
        <v>845354420</v>
      </c>
      <c r="AY150" s="117">
        <f>SUM(AY151:AY162)</f>
        <v>237916665</v>
      </c>
      <c r="AZ150" s="117">
        <f>SUM(AZ151:AZ162)</f>
        <v>207166665</v>
      </c>
      <c r="BA150" s="117">
        <f>SUM(BA151:BA162)</f>
        <v>0</v>
      </c>
      <c r="BB150" s="117"/>
      <c r="BC150" s="117"/>
      <c r="BD150" s="117">
        <f>SUM(BD151:BD162)</f>
        <v>0</v>
      </c>
      <c r="BE150" s="117"/>
      <c r="BF150" s="117"/>
      <c r="BG150" s="117">
        <f>SUM(BG151:BG162)</f>
        <v>845354420</v>
      </c>
      <c r="BH150" s="117">
        <f>SUM(BH151:BH162)</f>
        <v>237916665</v>
      </c>
      <c r="BI150" s="117">
        <f>SUM(BI151:BI162)</f>
        <v>207166665</v>
      </c>
      <c r="BJ150" s="450"/>
      <c r="BK150" s="450"/>
      <c r="BL150" s="450"/>
      <c r="BM150" s="450"/>
      <c r="BN150" s="450"/>
      <c r="BO150" s="451"/>
    </row>
    <row r="151" spans="1:68" ht="66" customHeight="1" x14ac:dyDescent="0.2">
      <c r="A151" s="104"/>
      <c r="B151" s="118"/>
      <c r="C151" s="282"/>
      <c r="D151" s="283"/>
      <c r="E151" s="724"/>
      <c r="F151" s="145" t="s">
        <v>248</v>
      </c>
      <c r="G151" s="127" t="s">
        <v>562</v>
      </c>
      <c r="H151" s="308">
        <v>1702011</v>
      </c>
      <c r="I151" s="186" t="s">
        <v>563</v>
      </c>
      <c r="J151" s="127" t="s">
        <v>564</v>
      </c>
      <c r="K151" s="127" t="s">
        <v>565</v>
      </c>
      <c r="L151" s="186" t="s">
        <v>566</v>
      </c>
      <c r="M151" s="127" t="s">
        <v>109</v>
      </c>
      <c r="N151" s="124">
        <v>30</v>
      </c>
      <c r="O151" s="308">
        <v>30</v>
      </c>
      <c r="P151" s="308"/>
      <c r="Q151" s="896" t="s">
        <v>252</v>
      </c>
      <c r="R151" s="896" t="s">
        <v>567</v>
      </c>
      <c r="S151" s="897" t="s">
        <v>568</v>
      </c>
      <c r="T151" s="129"/>
      <c r="U151" s="129"/>
      <c r="V151" s="129"/>
      <c r="W151" s="129"/>
      <c r="X151" s="129"/>
      <c r="Y151" s="129"/>
      <c r="Z151" s="129"/>
      <c r="AA151" s="129"/>
      <c r="AB151" s="129"/>
      <c r="AC151" s="129"/>
      <c r="AD151" s="129"/>
      <c r="AE151" s="129"/>
      <c r="AF151" s="129"/>
      <c r="AG151" s="129"/>
      <c r="AH151" s="129"/>
      <c r="AI151" s="129"/>
      <c r="AJ151" s="129"/>
      <c r="AK151" s="129"/>
      <c r="AL151" s="129"/>
      <c r="AM151" s="129"/>
      <c r="AN151" s="129"/>
      <c r="AO151" s="129"/>
      <c r="AP151" s="129"/>
      <c r="AQ151" s="129"/>
      <c r="AR151" s="129"/>
      <c r="AS151" s="129"/>
      <c r="AT151" s="129"/>
      <c r="AU151" s="129"/>
      <c r="AV151" s="129"/>
      <c r="AW151" s="129"/>
      <c r="AX151" s="452">
        <v>195850000</v>
      </c>
      <c r="AY151" s="400">
        <v>160049999</v>
      </c>
      <c r="AZ151" s="400">
        <v>134699999</v>
      </c>
      <c r="BA151" s="453"/>
      <c r="BB151" s="453"/>
      <c r="BC151" s="453"/>
      <c r="BD151" s="453"/>
      <c r="BE151" s="453"/>
      <c r="BF151" s="453"/>
      <c r="BG151" s="131">
        <f t="shared" ref="BG151:BI162" si="57">+T151+W151+Z151+AC151+AF151+AI151+AL151+AO151+AR151+AU151+AX151+BA151+BD151</f>
        <v>195850000</v>
      </c>
      <c r="BH151" s="131">
        <f t="shared" si="57"/>
        <v>160049999</v>
      </c>
      <c r="BI151" s="131">
        <f t="shared" si="57"/>
        <v>134699999</v>
      </c>
      <c r="BJ151" s="454"/>
      <c r="BK151" s="455"/>
      <c r="BL151" s="455"/>
      <c r="BM151" s="455"/>
      <c r="BN151" s="455"/>
      <c r="BO151" s="456"/>
      <c r="BP151" s="55"/>
    </row>
    <row r="152" spans="1:68" ht="54.75" customHeight="1" x14ac:dyDescent="0.2">
      <c r="A152" s="104"/>
      <c r="B152" s="118"/>
      <c r="C152" s="282"/>
      <c r="D152" s="283"/>
      <c r="E152" s="537"/>
      <c r="F152" s="145" t="s">
        <v>248</v>
      </c>
      <c r="G152" s="457" t="s">
        <v>569</v>
      </c>
      <c r="H152" s="308">
        <v>1702007</v>
      </c>
      <c r="I152" s="186" t="s">
        <v>570</v>
      </c>
      <c r="J152" s="457" t="s">
        <v>571</v>
      </c>
      <c r="K152" s="458" t="s">
        <v>572</v>
      </c>
      <c r="L152" s="459" t="s">
        <v>573</v>
      </c>
      <c r="M152" s="192" t="s">
        <v>204</v>
      </c>
      <c r="N152" s="193">
        <v>16</v>
      </c>
      <c r="O152" s="308">
        <v>5</v>
      </c>
      <c r="P152" s="308"/>
      <c r="Q152" s="896"/>
      <c r="R152" s="896"/>
      <c r="S152" s="897"/>
      <c r="T152" s="460"/>
      <c r="U152" s="460"/>
      <c r="V152" s="460"/>
      <c r="W152" s="460"/>
      <c r="X152" s="460"/>
      <c r="Y152" s="460"/>
      <c r="Z152" s="460"/>
      <c r="AA152" s="460"/>
      <c r="AB152" s="460"/>
      <c r="AC152" s="460"/>
      <c r="AD152" s="460"/>
      <c r="AE152" s="460"/>
      <c r="AF152" s="460"/>
      <c r="AG152" s="460"/>
      <c r="AH152" s="460"/>
      <c r="AI152" s="460"/>
      <c r="AJ152" s="460"/>
      <c r="AK152" s="460"/>
      <c r="AL152" s="460"/>
      <c r="AM152" s="460"/>
      <c r="AN152" s="460"/>
      <c r="AO152" s="460"/>
      <c r="AP152" s="460"/>
      <c r="AQ152" s="460"/>
      <c r="AR152" s="460"/>
      <c r="AS152" s="460"/>
      <c r="AT152" s="460"/>
      <c r="AU152" s="460"/>
      <c r="AV152" s="460"/>
      <c r="AW152" s="460"/>
      <c r="AX152" s="452">
        <v>130000000</v>
      </c>
      <c r="AY152" s="400"/>
      <c r="AZ152" s="400"/>
      <c r="BA152" s="453"/>
      <c r="BB152" s="453"/>
      <c r="BC152" s="453"/>
      <c r="BD152" s="453"/>
      <c r="BE152" s="453"/>
      <c r="BF152" s="453"/>
      <c r="BG152" s="131">
        <f t="shared" si="57"/>
        <v>130000000</v>
      </c>
      <c r="BH152" s="131">
        <f t="shared" si="57"/>
        <v>0</v>
      </c>
      <c r="BI152" s="131">
        <f t="shared" si="57"/>
        <v>0</v>
      </c>
      <c r="BJ152" s="461"/>
      <c r="BK152" s="461"/>
      <c r="BL152" s="461"/>
      <c r="BM152" s="461"/>
      <c r="BN152" s="461"/>
      <c r="BO152" s="456"/>
      <c r="BP152" s="55"/>
    </row>
    <row r="153" spans="1:68" ht="54" customHeight="1" x14ac:dyDescent="0.2">
      <c r="A153" s="104"/>
      <c r="B153" s="118"/>
      <c r="C153" s="282"/>
      <c r="D153" s="283"/>
      <c r="E153" s="725"/>
      <c r="F153" s="145" t="s">
        <v>248</v>
      </c>
      <c r="G153" s="146" t="s">
        <v>574</v>
      </c>
      <c r="H153" s="308">
        <v>1702009</v>
      </c>
      <c r="I153" s="186" t="s">
        <v>575</v>
      </c>
      <c r="J153" s="146" t="s">
        <v>576</v>
      </c>
      <c r="K153" s="291">
        <v>170200900</v>
      </c>
      <c r="L153" s="320" t="s">
        <v>577</v>
      </c>
      <c r="M153" s="192" t="s">
        <v>204</v>
      </c>
      <c r="N153" s="193">
        <v>500</v>
      </c>
      <c r="O153" s="308">
        <v>100</v>
      </c>
      <c r="P153" s="308"/>
      <c r="Q153" s="896"/>
      <c r="R153" s="896"/>
      <c r="S153" s="897"/>
      <c r="T153" s="460"/>
      <c r="U153" s="460"/>
      <c r="V153" s="460"/>
      <c r="W153" s="460"/>
      <c r="X153" s="460"/>
      <c r="Y153" s="460"/>
      <c r="Z153" s="460"/>
      <c r="AA153" s="460"/>
      <c r="AB153" s="460"/>
      <c r="AC153" s="460"/>
      <c r="AD153" s="460"/>
      <c r="AE153" s="460"/>
      <c r="AF153" s="460"/>
      <c r="AG153" s="460"/>
      <c r="AH153" s="460"/>
      <c r="AI153" s="460"/>
      <c r="AJ153" s="460"/>
      <c r="AK153" s="460"/>
      <c r="AL153" s="460"/>
      <c r="AM153" s="460"/>
      <c r="AN153" s="460"/>
      <c r="AO153" s="460"/>
      <c r="AP153" s="460"/>
      <c r="AQ153" s="460"/>
      <c r="AR153" s="460"/>
      <c r="AS153" s="460"/>
      <c r="AT153" s="460"/>
      <c r="AU153" s="460"/>
      <c r="AV153" s="460"/>
      <c r="AW153" s="460"/>
      <c r="AX153" s="452">
        <v>89300265</v>
      </c>
      <c r="AY153" s="400"/>
      <c r="AZ153" s="400"/>
      <c r="BA153" s="453"/>
      <c r="BB153" s="453"/>
      <c r="BC153" s="453"/>
      <c r="BD153" s="453"/>
      <c r="BE153" s="453"/>
      <c r="BF153" s="453"/>
      <c r="BG153" s="131">
        <f t="shared" si="57"/>
        <v>89300265</v>
      </c>
      <c r="BH153" s="131">
        <f t="shared" si="57"/>
        <v>0</v>
      </c>
      <c r="BI153" s="131">
        <f t="shared" si="57"/>
        <v>0</v>
      </c>
      <c r="BJ153" s="461"/>
      <c r="BK153" s="461"/>
      <c r="BL153" s="461"/>
      <c r="BM153" s="461"/>
      <c r="BN153" s="461"/>
      <c r="BO153" s="456"/>
      <c r="BP153" s="55"/>
    </row>
    <row r="154" spans="1:68" ht="93.75" customHeight="1" x14ac:dyDescent="0.2">
      <c r="A154" s="104"/>
      <c r="B154" s="118"/>
      <c r="C154" s="282"/>
      <c r="D154" s="283"/>
      <c r="E154" s="127"/>
      <c r="F154" s="145" t="s">
        <v>248</v>
      </c>
      <c r="G154" s="146" t="s">
        <v>578</v>
      </c>
      <c r="H154" s="462">
        <v>1702017</v>
      </c>
      <c r="I154" s="186" t="s">
        <v>579</v>
      </c>
      <c r="J154" s="146" t="s">
        <v>580</v>
      </c>
      <c r="K154" s="291" t="s">
        <v>581</v>
      </c>
      <c r="L154" s="320" t="s">
        <v>582</v>
      </c>
      <c r="M154" s="192" t="s">
        <v>204</v>
      </c>
      <c r="N154" s="193">
        <v>2500</v>
      </c>
      <c r="O154" s="719">
        <v>250</v>
      </c>
      <c r="P154" s="719"/>
      <c r="Q154" s="463" t="s">
        <v>583</v>
      </c>
      <c r="R154" s="127" t="s">
        <v>584</v>
      </c>
      <c r="S154" s="186" t="s">
        <v>585</v>
      </c>
      <c r="T154" s="460"/>
      <c r="U154" s="460"/>
      <c r="V154" s="460"/>
      <c r="W154" s="460"/>
      <c r="X154" s="460"/>
      <c r="Y154" s="460"/>
      <c r="Z154" s="460"/>
      <c r="AA154" s="460"/>
      <c r="AB154" s="460"/>
      <c r="AC154" s="460"/>
      <c r="AD154" s="460"/>
      <c r="AE154" s="460"/>
      <c r="AF154" s="460"/>
      <c r="AG154" s="460"/>
      <c r="AH154" s="460"/>
      <c r="AI154" s="460"/>
      <c r="AJ154" s="460"/>
      <c r="AK154" s="460"/>
      <c r="AL154" s="460"/>
      <c r="AM154" s="460"/>
      <c r="AN154" s="460"/>
      <c r="AO154" s="460"/>
      <c r="AP154" s="460"/>
      <c r="AQ154" s="460"/>
      <c r="AR154" s="460"/>
      <c r="AS154" s="460"/>
      <c r="AT154" s="460"/>
      <c r="AU154" s="460"/>
      <c r="AV154" s="460"/>
      <c r="AW154" s="460"/>
      <c r="AX154" s="452">
        <v>110000000</v>
      </c>
      <c r="AY154" s="400">
        <v>51466666</v>
      </c>
      <c r="AZ154" s="400">
        <v>49666666</v>
      </c>
      <c r="BA154" s="453"/>
      <c r="BB154" s="453"/>
      <c r="BC154" s="453"/>
      <c r="BD154" s="453"/>
      <c r="BE154" s="453"/>
      <c r="BF154" s="453"/>
      <c r="BG154" s="131">
        <f t="shared" si="57"/>
        <v>110000000</v>
      </c>
      <c r="BH154" s="131">
        <f t="shared" si="57"/>
        <v>51466666</v>
      </c>
      <c r="BI154" s="131">
        <f t="shared" si="57"/>
        <v>49666666</v>
      </c>
      <c r="BJ154" s="461"/>
      <c r="BK154" s="461"/>
      <c r="BL154" s="461"/>
      <c r="BM154" s="461"/>
      <c r="BN154" s="461"/>
      <c r="BO154" s="456"/>
      <c r="BP154" s="55"/>
    </row>
    <row r="155" spans="1:68" ht="41.25" customHeight="1" x14ac:dyDescent="0.2">
      <c r="A155" s="104"/>
      <c r="B155" s="118"/>
      <c r="C155" s="282"/>
      <c r="D155" s="283"/>
      <c r="E155" s="724"/>
      <c r="F155" s="145" t="s">
        <v>248</v>
      </c>
      <c r="G155" s="212" t="s">
        <v>586</v>
      </c>
      <c r="H155" s="308">
        <v>1702038</v>
      </c>
      <c r="I155" s="186" t="s">
        <v>587</v>
      </c>
      <c r="J155" s="212" t="s">
        <v>588</v>
      </c>
      <c r="K155" s="212" t="s">
        <v>589</v>
      </c>
      <c r="L155" s="211" t="s">
        <v>590</v>
      </c>
      <c r="M155" s="146" t="s">
        <v>109</v>
      </c>
      <c r="N155" s="146">
        <v>30</v>
      </c>
      <c r="O155" s="146">
        <v>30</v>
      </c>
      <c r="P155" s="146"/>
      <c r="Q155" s="887" t="s">
        <v>252</v>
      </c>
      <c r="R155" s="887" t="s">
        <v>591</v>
      </c>
      <c r="S155" s="887" t="s">
        <v>592</v>
      </c>
      <c r="T155" s="460"/>
      <c r="U155" s="460"/>
      <c r="V155" s="460"/>
      <c r="W155" s="460"/>
      <c r="X155" s="460"/>
      <c r="Y155" s="460"/>
      <c r="Z155" s="460"/>
      <c r="AA155" s="460"/>
      <c r="AB155" s="460"/>
      <c r="AC155" s="460"/>
      <c r="AD155" s="460"/>
      <c r="AE155" s="460"/>
      <c r="AF155" s="460"/>
      <c r="AG155" s="460"/>
      <c r="AH155" s="460"/>
      <c r="AI155" s="460"/>
      <c r="AJ155" s="460"/>
      <c r="AK155" s="460"/>
      <c r="AL155" s="460"/>
      <c r="AM155" s="460"/>
      <c r="AN155" s="460"/>
      <c r="AO155" s="460"/>
      <c r="AP155" s="460"/>
      <c r="AQ155" s="460"/>
      <c r="AR155" s="460"/>
      <c r="AS155" s="460"/>
      <c r="AT155" s="460"/>
      <c r="AU155" s="460"/>
      <c r="AV155" s="460"/>
      <c r="AW155" s="460"/>
      <c r="AX155" s="452">
        <v>71204155</v>
      </c>
      <c r="AY155" s="400">
        <v>5000000</v>
      </c>
      <c r="AZ155" s="400">
        <v>5000000</v>
      </c>
      <c r="BA155" s="453"/>
      <c r="BB155" s="453"/>
      <c r="BC155" s="453"/>
      <c r="BD155" s="453"/>
      <c r="BE155" s="453"/>
      <c r="BF155" s="453"/>
      <c r="BG155" s="131">
        <f t="shared" si="57"/>
        <v>71204155</v>
      </c>
      <c r="BH155" s="131">
        <f t="shared" si="57"/>
        <v>5000000</v>
      </c>
      <c r="BI155" s="131">
        <f t="shared" si="57"/>
        <v>5000000</v>
      </c>
      <c r="BJ155" s="461"/>
      <c r="BK155" s="461"/>
      <c r="BL155" s="461"/>
      <c r="BM155" s="461"/>
      <c r="BN155" s="461"/>
      <c r="BO155" s="456"/>
      <c r="BP155" s="55"/>
    </row>
    <row r="156" spans="1:68" ht="63.75" customHeight="1" x14ac:dyDescent="0.2">
      <c r="A156" s="104"/>
      <c r="B156" s="118"/>
      <c r="C156" s="282"/>
      <c r="D156" s="283"/>
      <c r="E156" s="725"/>
      <c r="F156" s="145" t="s">
        <v>248</v>
      </c>
      <c r="G156" s="212" t="s">
        <v>586</v>
      </c>
      <c r="H156" s="308">
        <v>1702038</v>
      </c>
      <c r="I156" s="186" t="s">
        <v>587</v>
      </c>
      <c r="J156" s="212" t="s">
        <v>593</v>
      </c>
      <c r="K156" s="212" t="s">
        <v>594</v>
      </c>
      <c r="L156" s="211" t="s">
        <v>595</v>
      </c>
      <c r="M156" s="146" t="s">
        <v>204</v>
      </c>
      <c r="N156" s="146">
        <v>300</v>
      </c>
      <c r="O156" s="146">
        <v>60</v>
      </c>
      <c r="P156" s="146"/>
      <c r="Q156" s="889"/>
      <c r="R156" s="889"/>
      <c r="S156" s="889"/>
      <c r="T156" s="460"/>
      <c r="U156" s="460"/>
      <c r="V156" s="460"/>
      <c r="W156" s="460"/>
      <c r="X156" s="460"/>
      <c r="Y156" s="460"/>
      <c r="Z156" s="460"/>
      <c r="AA156" s="460"/>
      <c r="AB156" s="460"/>
      <c r="AC156" s="460"/>
      <c r="AD156" s="460"/>
      <c r="AE156" s="460"/>
      <c r="AF156" s="460"/>
      <c r="AG156" s="460"/>
      <c r="AH156" s="460"/>
      <c r="AI156" s="460"/>
      <c r="AJ156" s="460"/>
      <c r="AK156" s="460"/>
      <c r="AL156" s="460"/>
      <c r="AM156" s="460"/>
      <c r="AN156" s="460"/>
      <c r="AO156" s="460"/>
      <c r="AP156" s="460"/>
      <c r="AQ156" s="460"/>
      <c r="AR156" s="460"/>
      <c r="AS156" s="460"/>
      <c r="AT156" s="460"/>
      <c r="AU156" s="460"/>
      <c r="AV156" s="460"/>
      <c r="AW156" s="460"/>
      <c r="AX156" s="452">
        <v>40000000</v>
      </c>
      <c r="AY156" s="400">
        <v>21400000</v>
      </c>
      <c r="AZ156" s="400">
        <v>17800000</v>
      </c>
      <c r="BA156" s="453"/>
      <c r="BB156" s="453"/>
      <c r="BC156" s="453"/>
      <c r="BD156" s="453"/>
      <c r="BE156" s="453"/>
      <c r="BF156" s="453"/>
      <c r="BG156" s="131">
        <f t="shared" si="57"/>
        <v>40000000</v>
      </c>
      <c r="BH156" s="131">
        <f t="shared" si="57"/>
        <v>21400000</v>
      </c>
      <c r="BI156" s="131">
        <f t="shared" si="57"/>
        <v>17800000</v>
      </c>
      <c r="BJ156" s="461"/>
      <c r="BK156" s="461"/>
      <c r="BL156" s="461"/>
      <c r="BM156" s="461"/>
      <c r="BN156" s="461"/>
      <c r="BO156" s="456"/>
      <c r="BP156" s="55"/>
    </row>
    <row r="157" spans="1:68" ht="74.25" customHeight="1" x14ac:dyDescent="0.2">
      <c r="A157" s="104"/>
      <c r="B157" s="118"/>
      <c r="C157" s="282"/>
      <c r="D157" s="283"/>
      <c r="E157" s="724"/>
      <c r="F157" s="145" t="s">
        <v>248</v>
      </c>
      <c r="G157" s="127" t="s">
        <v>596</v>
      </c>
      <c r="H157" s="308">
        <v>1702023</v>
      </c>
      <c r="I157" s="186" t="s">
        <v>519</v>
      </c>
      <c r="J157" s="127" t="s">
        <v>597</v>
      </c>
      <c r="K157" s="127" t="s">
        <v>598</v>
      </c>
      <c r="L157" s="186" t="s">
        <v>599</v>
      </c>
      <c r="M157" s="192" t="s">
        <v>109</v>
      </c>
      <c r="N157" s="193">
        <v>1</v>
      </c>
      <c r="O157" s="464">
        <v>1</v>
      </c>
      <c r="P157" s="464"/>
      <c r="Q157" s="887" t="s">
        <v>583</v>
      </c>
      <c r="R157" s="896" t="s">
        <v>600</v>
      </c>
      <c r="S157" s="912" t="s">
        <v>601</v>
      </c>
      <c r="T157" s="460"/>
      <c r="U157" s="460"/>
      <c r="V157" s="460"/>
      <c r="W157" s="460"/>
      <c r="X157" s="460"/>
      <c r="Y157" s="460"/>
      <c r="Z157" s="460"/>
      <c r="AA157" s="460"/>
      <c r="AB157" s="460"/>
      <c r="AC157" s="460"/>
      <c r="AD157" s="460"/>
      <c r="AE157" s="460"/>
      <c r="AF157" s="460"/>
      <c r="AG157" s="460"/>
      <c r="AH157" s="460"/>
      <c r="AI157" s="460"/>
      <c r="AJ157" s="460"/>
      <c r="AK157" s="460"/>
      <c r="AL157" s="460"/>
      <c r="AM157" s="460"/>
      <c r="AN157" s="460"/>
      <c r="AO157" s="460"/>
      <c r="AP157" s="460"/>
      <c r="AQ157" s="460"/>
      <c r="AR157" s="460"/>
      <c r="AS157" s="460"/>
      <c r="AT157" s="460"/>
      <c r="AU157" s="460"/>
      <c r="AV157" s="460"/>
      <c r="AW157" s="460"/>
      <c r="AX157" s="452">
        <v>50000000</v>
      </c>
      <c r="AY157" s="400"/>
      <c r="AZ157" s="400"/>
      <c r="BA157" s="453"/>
      <c r="BB157" s="453"/>
      <c r="BC157" s="453"/>
      <c r="BD157" s="453"/>
      <c r="BE157" s="453"/>
      <c r="BF157" s="453"/>
      <c r="BG157" s="131">
        <f t="shared" si="57"/>
        <v>50000000</v>
      </c>
      <c r="BH157" s="131">
        <f t="shared" si="57"/>
        <v>0</v>
      </c>
      <c r="BI157" s="131">
        <f t="shared" si="57"/>
        <v>0</v>
      </c>
      <c r="BJ157" s="461"/>
      <c r="BK157" s="461"/>
      <c r="BL157" s="461"/>
      <c r="BM157" s="461"/>
      <c r="BN157" s="461"/>
      <c r="BO157" s="456"/>
      <c r="BP157" s="55"/>
    </row>
    <row r="158" spans="1:68" ht="58.5" customHeight="1" x14ac:dyDescent="0.2">
      <c r="A158" s="104"/>
      <c r="B158" s="118"/>
      <c r="C158" s="282"/>
      <c r="D158" s="283"/>
      <c r="E158" s="725"/>
      <c r="F158" s="145" t="s">
        <v>248</v>
      </c>
      <c r="G158" s="146" t="s">
        <v>602</v>
      </c>
      <c r="H158" s="308">
        <v>1702024</v>
      </c>
      <c r="I158" s="186" t="s">
        <v>603</v>
      </c>
      <c r="J158" s="146" t="s">
        <v>604</v>
      </c>
      <c r="K158" s="291" t="s">
        <v>605</v>
      </c>
      <c r="L158" s="320" t="s">
        <v>606</v>
      </c>
      <c r="M158" s="192" t="s">
        <v>109</v>
      </c>
      <c r="N158" s="193">
        <v>12</v>
      </c>
      <c r="O158" s="464">
        <v>12</v>
      </c>
      <c r="P158" s="464"/>
      <c r="Q158" s="889"/>
      <c r="R158" s="896"/>
      <c r="S158" s="912"/>
      <c r="T158" s="460"/>
      <c r="U158" s="460"/>
      <c r="V158" s="460"/>
      <c r="W158" s="460"/>
      <c r="X158" s="460"/>
      <c r="Y158" s="460"/>
      <c r="Z158" s="460"/>
      <c r="AA158" s="460"/>
      <c r="AB158" s="460"/>
      <c r="AC158" s="460"/>
      <c r="AD158" s="460"/>
      <c r="AE158" s="460"/>
      <c r="AF158" s="460"/>
      <c r="AG158" s="460"/>
      <c r="AH158" s="460"/>
      <c r="AI158" s="460"/>
      <c r="AJ158" s="460"/>
      <c r="AK158" s="460"/>
      <c r="AL158" s="460"/>
      <c r="AM158" s="460"/>
      <c r="AN158" s="460"/>
      <c r="AO158" s="460"/>
      <c r="AP158" s="460"/>
      <c r="AQ158" s="460"/>
      <c r="AR158" s="460"/>
      <c r="AS158" s="460"/>
      <c r="AT158" s="460"/>
      <c r="AU158" s="460"/>
      <c r="AV158" s="460"/>
      <c r="AW158" s="460"/>
      <c r="AX158" s="452">
        <v>50000000</v>
      </c>
      <c r="AY158" s="400"/>
      <c r="AZ158" s="400"/>
      <c r="BA158" s="453"/>
      <c r="BB158" s="453"/>
      <c r="BC158" s="453"/>
      <c r="BD158" s="453"/>
      <c r="BE158" s="453"/>
      <c r="BF158" s="453"/>
      <c r="BG158" s="131">
        <f t="shared" si="57"/>
        <v>50000000</v>
      </c>
      <c r="BH158" s="131">
        <f t="shared" si="57"/>
        <v>0</v>
      </c>
      <c r="BI158" s="131">
        <f t="shared" si="57"/>
        <v>0</v>
      </c>
      <c r="BJ158" s="461"/>
      <c r="BK158" s="461"/>
      <c r="BL158" s="461"/>
      <c r="BM158" s="461"/>
      <c r="BN158" s="461"/>
      <c r="BO158" s="456"/>
      <c r="BP158" s="55"/>
    </row>
    <row r="159" spans="1:68" ht="41.25" customHeight="1" x14ac:dyDescent="0.2">
      <c r="A159" s="104"/>
      <c r="B159" s="118"/>
      <c r="C159" s="282"/>
      <c r="D159" s="283"/>
      <c r="E159" s="724"/>
      <c r="F159" s="145" t="s">
        <v>248</v>
      </c>
      <c r="G159" s="146" t="s">
        <v>607</v>
      </c>
      <c r="H159" s="308">
        <v>1702014</v>
      </c>
      <c r="I159" s="186" t="s">
        <v>608</v>
      </c>
      <c r="J159" s="146" t="s">
        <v>609</v>
      </c>
      <c r="K159" s="291" t="s">
        <v>610</v>
      </c>
      <c r="L159" s="320" t="s">
        <v>611</v>
      </c>
      <c r="M159" s="146" t="s">
        <v>204</v>
      </c>
      <c r="N159" s="146">
        <v>100</v>
      </c>
      <c r="O159" s="146">
        <v>25</v>
      </c>
      <c r="P159" s="146"/>
      <c r="Q159" s="887" t="s">
        <v>583</v>
      </c>
      <c r="R159" s="896" t="s">
        <v>612</v>
      </c>
      <c r="S159" s="912" t="s">
        <v>613</v>
      </c>
      <c r="T159" s="460"/>
      <c r="U159" s="460"/>
      <c r="V159" s="460"/>
      <c r="W159" s="460"/>
      <c r="X159" s="460"/>
      <c r="Y159" s="460"/>
      <c r="Z159" s="460"/>
      <c r="AA159" s="460"/>
      <c r="AB159" s="460"/>
      <c r="AC159" s="460"/>
      <c r="AD159" s="460"/>
      <c r="AE159" s="460"/>
      <c r="AF159" s="460"/>
      <c r="AG159" s="460"/>
      <c r="AH159" s="460"/>
      <c r="AI159" s="460"/>
      <c r="AJ159" s="460"/>
      <c r="AK159" s="460"/>
      <c r="AL159" s="460"/>
      <c r="AM159" s="460"/>
      <c r="AN159" s="460"/>
      <c r="AO159" s="460"/>
      <c r="AP159" s="460"/>
      <c r="AQ159" s="460"/>
      <c r="AR159" s="460"/>
      <c r="AS159" s="460"/>
      <c r="AT159" s="460"/>
      <c r="AU159" s="460"/>
      <c r="AV159" s="460"/>
      <c r="AW159" s="460"/>
      <c r="AX159" s="452">
        <v>50000000</v>
      </c>
      <c r="AY159" s="400"/>
      <c r="AZ159" s="400"/>
      <c r="BA159" s="453"/>
      <c r="BB159" s="453"/>
      <c r="BC159" s="453"/>
      <c r="BD159" s="453"/>
      <c r="BE159" s="453"/>
      <c r="BF159" s="453"/>
      <c r="BG159" s="131">
        <f t="shared" si="57"/>
        <v>50000000</v>
      </c>
      <c r="BH159" s="131">
        <f t="shared" si="57"/>
        <v>0</v>
      </c>
      <c r="BI159" s="131">
        <f t="shared" si="57"/>
        <v>0</v>
      </c>
      <c r="BJ159" s="461"/>
      <c r="BK159" s="461"/>
      <c r="BL159" s="461"/>
      <c r="BM159" s="461"/>
      <c r="BN159" s="461"/>
      <c r="BO159" s="456"/>
      <c r="BP159" s="55"/>
    </row>
    <row r="160" spans="1:68" ht="57.75" customHeight="1" x14ac:dyDescent="0.2">
      <c r="A160" s="104"/>
      <c r="B160" s="118"/>
      <c r="C160" s="282"/>
      <c r="D160" s="283"/>
      <c r="E160" s="726"/>
      <c r="F160" s="145" t="s">
        <v>248</v>
      </c>
      <c r="G160" s="146" t="s">
        <v>578</v>
      </c>
      <c r="H160" s="308">
        <v>1702017</v>
      </c>
      <c r="I160" s="186" t="s">
        <v>614</v>
      </c>
      <c r="J160" s="146" t="s">
        <v>580</v>
      </c>
      <c r="K160" s="291" t="s">
        <v>581</v>
      </c>
      <c r="L160" s="320" t="s">
        <v>582</v>
      </c>
      <c r="M160" s="192" t="s">
        <v>204</v>
      </c>
      <c r="N160" s="193">
        <v>2500</v>
      </c>
      <c r="O160" s="719">
        <v>250</v>
      </c>
      <c r="P160" s="719"/>
      <c r="Q160" s="888"/>
      <c r="R160" s="896"/>
      <c r="S160" s="912"/>
      <c r="T160" s="460"/>
      <c r="U160" s="460"/>
      <c r="V160" s="460"/>
      <c r="W160" s="460"/>
      <c r="X160" s="460"/>
      <c r="Y160" s="460"/>
      <c r="Z160" s="460"/>
      <c r="AA160" s="460"/>
      <c r="AB160" s="460"/>
      <c r="AC160" s="460"/>
      <c r="AD160" s="460"/>
      <c r="AE160" s="460"/>
      <c r="AF160" s="460"/>
      <c r="AG160" s="460"/>
      <c r="AH160" s="460"/>
      <c r="AI160" s="460"/>
      <c r="AJ160" s="460"/>
      <c r="AK160" s="460"/>
      <c r="AL160" s="460"/>
      <c r="AM160" s="460"/>
      <c r="AN160" s="460"/>
      <c r="AO160" s="460"/>
      <c r="AP160" s="460"/>
      <c r="AQ160" s="460"/>
      <c r="AR160" s="460"/>
      <c r="AS160" s="460"/>
      <c r="AT160" s="460"/>
      <c r="AU160" s="460"/>
      <c r="AV160" s="460"/>
      <c r="AW160" s="460"/>
      <c r="AX160" s="452">
        <v>19000000</v>
      </c>
      <c r="AY160" s="400"/>
      <c r="AZ160" s="400"/>
      <c r="BA160" s="453"/>
      <c r="BB160" s="453"/>
      <c r="BC160" s="453"/>
      <c r="BD160" s="453"/>
      <c r="BE160" s="453"/>
      <c r="BF160" s="453"/>
      <c r="BG160" s="131">
        <f t="shared" si="57"/>
        <v>19000000</v>
      </c>
      <c r="BH160" s="131">
        <f t="shared" si="57"/>
        <v>0</v>
      </c>
      <c r="BI160" s="131">
        <f t="shared" si="57"/>
        <v>0</v>
      </c>
      <c r="BJ160" s="461"/>
      <c r="BK160" s="461"/>
      <c r="BL160" s="461"/>
      <c r="BM160" s="461"/>
      <c r="BN160" s="461"/>
      <c r="BO160" s="456"/>
      <c r="BP160" s="55"/>
    </row>
    <row r="161" spans="1:68" ht="54" customHeight="1" x14ac:dyDescent="0.2">
      <c r="A161" s="104"/>
      <c r="B161" s="118"/>
      <c r="C161" s="282"/>
      <c r="D161" s="283"/>
      <c r="E161" s="725"/>
      <c r="F161" s="145" t="s">
        <v>248</v>
      </c>
      <c r="G161" s="146" t="s">
        <v>615</v>
      </c>
      <c r="H161" s="308">
        <v>1702021</v>
      </c>
      <c r="I161" s="186" t="s">
        <v>616</v>
      </c>
      <c r="J161" s="146" t="s">
        <v>617</v>
      </c>
      <c r="K161" s="291" t="s">
        <v>618</v>
      </c>
      <c r="L161" s="320" t="s">
        <v>619</v>
      </c>
      <c r="M161" s="146" t="s">
        <v>204</v>
      </c>
      <c r="N161" s="146">
        <v>500</v>
      </c>
      <c r="O161" s="146">
        <v>50</v>
      </c>
      <c r="P161" s="146"/>
      <c r="Q161" s="889"/>
      <c r="R161" s="896"/>
      <c r="S161" s="912"/>
      <c r="T161" s="460"/>
      <c r="U161" s="460"/>
      <c r="V161" s="460"/>
      <c r="W161" s="460"/>
      <c r="X161" s="460"/>
      <c r="Y161" s="460"/>
      <c r="Z161" s="460"/>
      <c r="AA161" s="460"/>
      <c r="AB161" s="460"/>
      <c r="AC161" s="460"/>
      <c r="AD161" s="460"/>
      <c r="AE161" s="460"/>
      <c r="AF161" s="460"/>
      <c r="AG161" s="460"/>
      <c r="AH161" s="460"/>
      <c r="AI161" s="460"/>
      <c r="AJ161" s="460"/>
      <c r="AK161" s="460"/>
      <c r="AL161" s="460"/>
      <c r="AM161" s="460"/>
      <c r="AN161" s="460"/>
      <c r="AO161" s="460"/>
      <c r="AP161" s="460"/>
      <c r="AQ161" s="460"/>
      <c r="AR161" s="460"/>
      <c r="AS161" s="460"/>
      <c r="AT161" s="460"/>
      <c r="AU161" s="460"/>
      <c r="AV161" s="460"/>
      <c r="AW161" s="460"/>
      <c r="AX161" s="452">
        <v>10000000</v>
      </c>
      <c r="AY161" s="400"/>
      <c r="AZ161" s="400"/>
      <c r="BA161" s="453"/>
      <c r="BB161" s="453"/>
      <c r="BC161" s="453"/>
      <c r="BD161" s="453"/>
      <c r="BE161" s="453"/>
      <c r="BF161" s="453"/>
      <c r="BG161" s="131">
        <f t="shared" si="57"/>
        <v>10000000</v>
      </c>
      <c r="BH161" s="131">
        <f t="shared" si="57"/>
        <v>0</v>
      </c>
      <c r="BI161" s="131">
        <f t="shared" si="57"/>
        <v>0</v>
      </c>
      <c r="BJ161" s="461"/>
      <c r="BK161" s="461"/>
      <c r="BL161" s="461"/>
      <c r="BM161" s="461"/>
      <c r="BN161" s="461"/>
      <c r="BO161" s="456"/>
      <c r="BP161" s="55"/>
    </row>
    <row r="162" spans="1:68" ht="51" customHeight="1" x14ac:dyDescent="0.2">
      <c r="A162" s="104"/>
      <c r="B162" s="118"/>
      <c r="C162" s="282"/>
      <c r="D162" s="283"/>
      <c r="E162" s="127"/>
      <c r="F162" s="145" t="s">
        <v>248</v>
      </c>
      <c r="G162" s="146" t="s">
        <v>620</v>
      </c>
      <c r="H162" s="308">
        <v>1702025</v>
      </c>
      <c r="I162" s="186" t="s">
        <v>621</v>
      </c>
      <c r="J162" s="146" t="s">
        <v>622</v>
      </c>
      <c r="K162" s="291" t="s">
        <v>623</v>
      </c>
      <c r="L162" s="320" t="s">
        <v>624</v>
      </c>
      <c r="M162" s="192" t="s">
        <v>204</v>
      </c>
      <c r="N162" s="193">
        <v>100</v>
      </c>
      <c r="O162" s="464">
        <v>25</v>
      </c>
      <c r="P162" s="464"/>
      <c r="Q162" s="127" t="s">
        <v>252</v>
      </c>
      <c r="R162" s="127" t="s">
        <v>625</v>
      </c>
      <c r="S162" s="125" t="s">
        <v>626</v>
      </c>
      <c r="T162" s="460"/>
      <c r="U162" s="460"/>
      <c r="V162" s="460"/>
      <c r="W162" s="460"/>
      <c r="X162" s="460"/>
      <c r="Y162" s="460"/>
      <c r="Z162" s="460"/>
      <c r="AA162" s="460"/>
      <c r="AB162" s="460"/>
      <c r="AC162" s="460"/>
      <c r="AD162" s="460"/>
      <c r="AE162" s="460"/>
      <c r="AF162" s="460"/>
      <c r="AG162" s="460"/>
      <c r="AH162" s="460"/>
      <c r="AI162" s="460"/>
      <c r="AJ162" s="460"/>
      <c r="AK162" s="460"/>
      <c r="AL162" s="460"/>
      <c r="AM162" s="460"/>
      <c r="AN162" s="460"/>
      <c r="AO162" s="460"/>
      <c r="AP162" s="460"/>
      <c r="AQ162" s="460"/>
      <c r="AR162" s="460"/>
      <c r="AS162" s="460"/>
      <c r="AT162" s="460"/>
      <c r="AU162" s="460"/>
      <c r="AV162" s="460"/>
      <c r="AW162" s="460"/>
      <c r="AX162" s="452">
        <v>30000000</v>
      </c>
      <c r="AY162" s="400"/>
      <c r="AZ162" s="400"/>
      <c r="BA162" s="453"/>
      <c r="BB162" s="453"/>
      <c r="BC162" s="453"/>
      <c r="BD162" s="453"/>
      <c r="BE162" s="453"/>
      <c r="BF162" s="453"/>
      <c r="BG162" s="131">
        <f t="shared" si="57"/>
        <v>30000000</v>
      </c>
      <c r="BH162" s="131">
        <f t="shared" si="57"/>
        <v>0</v>
      </c>
      <c r="BI162" s="131">
        <f t="shared" si="57"/>
        <v>0</v>
      </c>
      <c r="BJ162" s="461"/>
      <c r="BK162" s="461"/>
      <c r="BL162" s="461"/>
      <c r="BM162" s="461"/>
      <c r="BN162" s="461"/>
      <c r="BO162" s="456"/>
      <c r="BP162" s="55"/>
    </row>
    <row r="163" spans="1:68" ht="23.25" customHeight="1" x14ac:dyDescent="0.2">
      <c r="A163" s="104"/>
      <c r="B163" s="134"/>
      <c r="C163" s="294">
        <v>5</v>
      </c>
      <c r="D163" s="139">
        <v>1703</v>
      </c>
      <c r="E163" s="108" t="s">
        <v>627</v>
      </c>
      <c r="F163" s="109"/>
      <c r="G163" s="110"/>
      <c r="H163" s="111"/>
      <c r="I163" s="112"/>
      <c r="J163" s="113"/>
      <c r="K163" s="113"/>
      <c r="L163" s="112"/>
      <c r="M163" s="114"/>
      <c r="N163" s="115"/>
      <c r="O163" s="110"/>
      <c r="P163" s="110"/>
      <c r="Q163" s="116"/>
      <c r="R163" s="116"/>
      <c r="S163" s="112"/>
      <c r="T163" s="117">
        <f>SUM(T164)</f>
        <v>0</v>
      </c>
      <c r="U163" s="117"/>
      <c r="V163" s="117"/>
      <c r="W163" s="117">
        <f>SUM(W164)</f>
        <v>0</v>
      </c>
      <c r="X163" s="117"/>
      <c r="Y163" s="117"/>
      <c r="Z163" s="117">
        <f>SUM(Z164)</f>
        <v>0</v>
      </c>
      <c r="AA163" s="117"/>
      <c r="AB163" s="117"/>
      <c r="AC163" s="117">
        <f>SUM(AC164)</f>
        <v>0</v>
      </c>
      <c r="AD163" s="117"/>
      <c r="AE163" s="117"/>
      <c r="AF163" s="117">
        <f>SUM(AF164)</f>
        <v>0</v>
      </c>
      <c r="AG163" s="117"/>
      <c r="AH163" s="117"/>
      <c r="AI163" s="117">
        <f>SUM(AI164)</f>
        <v>0</v>
      </c>
      <c r="AJ163" s="117"/>
      <c r="AK163" s="117"/>
      <c r="AL163" s="117">
        <f>SUM(AL164)</f>
        <v>0</v>
      </c>
      <c r="AM163" s="117"/>
      <c r="AN163" s="117"/>
      <c r="AO163" s="117">
        <f>SUM(AO164)</f>
        <v>0</v>
      </c>
      <c r="AP163" s="117"/>
      <c r="AQ163" s="117"/>
      <c r="AR163" s="117">
        <f>SUM(AR164)</f>
        <v>0</v>
      </c>
      <c r="AS163" s="117"/>
      <c r="AT163" s="117"/>
      <c r="AU163" s="117">
        <f>SUM(AU164)</f>
        <v>0</v>
      </c>
      <c r="AV163" s="117"/>
      <c r="AW163" s="117"/>
      <c r="AX163" s="117">
        <f>SUM(AX164)</f>
        <v>90000000</v>
      </c>
      <c r="AY163" s="117">
        <f>SUM(AY164)</f>
        <v>0</v>
      </c>
      <c r="AZ163" s="117">
        <f>SUM(AZ164)</f>
        <v>0</v>
      </c>
      <c r="BA163" s="117">
        <f>SUM(BA164)</f>
        <v>0</v>
      </c>
      <c r="BB163" s="117"/>
      <c r="BC163" s="117"/>
      <c r="BD163" s="117">
        <f>SUM(BD164)</f>
        <v>0</v>
      </c>
      <c r="BE163" s="117"/>
      <c r="BF163" s="117"/>
      <c r="BG163" s="465">
        <f>SUM(BG164)</f>
        <v>90000000</v>
      </c>
      <c r="BH163" s="465">
        <f>SUM(BH164)</f>
        <v>0</v>
      </c>
      <c r="BI163" s="465">
        <f>SUM(BI164)</f>
        <v>0</v>
      </c>
      <c r="BJ163" s="450"/>
      <c r="BK163" s="450"/>
      <c r="BL163" s="450"/>
      <c r="BM163" s="450"/>
      <c r="BN163" s="450"/>
      <c r="BO163" s="451"/>
      <c r="BP163" s="55"/>
    </row>
    <row r="164" spans="1:68" ht="78.75" customHeight="1" x14ac:dyDescent="0.2">
      <c r="A164" s="104"/>
      <c r="B164" s="118"/>
      <c r="C164" s="282"/>
      <c r="D164" s="283"/>
      <c r="E164" s="127"/>
      <c r="F164" s="145" t="s">
        <v>248</v>
      </c>
      <c r="G164" s="146" t="s">
        <v>628</v>
      </c>
      <c r="H164" s="308">
        <v>1703013</v>
      </c>
      <c r="I164" s="186" t="s">
        <v>629</v>
      </c>
      <c r="J164" s="146" t="s">
        <v>630</v>
      </c>
      <c r="K164" s="291" t="s">
        <v>631</v>
      </c>
      <c r="L164" s="320" t="s">
        <v>632</v>
      </c>
      <c r="M164" s="731" t="s">
        <v>204</v>
      </c>
      <c r="N164" s="193">
        <v>300</v>
      </c>
      <c r="O164" s="464">
        <v>75</v>
      </c>
      <c r="P164" s="464"/>
      <c r="Q164" s="127" t="s">
        <v>583</v>
      </c>
      <c r="R164" s="127" t="s">
        <v>612</v>
      </c>
      <c r="S164" s="125" t="s">
        <v>4</v>
      </c>
      <c r="T164" s="460"/>
      <c r="U164" s="460"/>
      <c r="V164" s="460"/>
      <c r="W164" s="460"/>
      <c r="X164" s="460"/>
      <c r="Y164" s="460"/>
      <c r="Z164" s="460"/>
      <c r="AA164" s="460"/>
      <c r="AB164" s="460"/>
      <c r="AC164" s="460"/>
      <c r="AD164" s="460"/>
      <c r="AE164" s="460"/>
      <c r="AF164" s="460"/>
      <c r="AG164" s="460"/>
      <c r="AH164" s="460"/>
      <c r="AI164" s="460"/>
      <c r="AJ164" s="460"/>
      <c r="AK164" s="460"/>
      <c r="AL164" s="460"/>
      <c r="AM164" s="460"/>
      <c r="AN164" s="460"/>
      <c r="AO164" s="460"/>
      <c r="AP164" s="460"/>
      <c r="AQ164" s="460"/>
      <c r="AR164" s="460"/>
      <c r="AS164" s="460"/>
      <c r="AT164" s="460"/>
      <c r="AU164" s="460"/>
      <c r="AV164" s="460"/>
      <c r="AW164" s="460"/>
      <c r="AX164" s="452">
        <v>90000000</v>
      </c>
      <c r="AY164" s="400"/>
      <c r="AZ164" s="400"/>
      <c r="BA164" s="453"/>
      <c r="BB164" s="453"/>
      <c r="BC164" s="453"/>
      <c r="BD164" s="453"/>
      <c r="BE164" s="453"/>
      <c r="BF164" s="453"/>
      <c r="BG164" s="131">
        <f>+T164+W164+Z164+AC164+AF164+AI164+AL164+AO164+AR164+AU164+AX164+BA164+BD164</f>
        <v>90000000</v>
      </c>
      <c r="BH164" s="131">
        <f>+U164+X164+AA164+AD164+AG164+AJ164+AM164+AP164+AS164+AV164+AY164+BB164+BE164</f>
        <v>0</v>
      </c>
      <c r="BI164" s="131">
        <f>+V164+Y164+AB164+AE164+AH164+AK164+AN164+AQ164+AT164+AW164+AZ164+BC164+BF164</f>
        <v>0</v>
      </c>
      <c r="BJ164" s="461"/>
      <c r="BK164" s="461"/>
      <c r="BL164" s="461"/>
      <c r="BM164" s="461"/>
      <c r="BN164" s="461"/>
      <c r="BO164" s="456"/>
      <c r="BP164" s="55"/>
    </row>
    <row r="165" spans="1:68" ht="23.25" customHeight="1" x14ac:dyDescent="0.2">
      <c r="A165" s="104"/>
      <c r="B165" s="134"/>
      <c r="C165" s="294">
        <v>6</v>
      </c>
      <c r="D165" s="139">
        <v>1704</v>
      </c>
      <c r="E165" s="108" t="s">
        <v>633</v>
      </c>
      <c r="F165" s="466"/>
      <c r="G165" s="466"/>
      <c r="H165" s="466"/>
      <c r="I165" s="466"/>
      <c r="J165" s="466"/>
      <c r="K165" s="466"/>
      <c r="L165" s="466"/>
      <c r="M165" s="466"/>
      <c r="N165" s="466"/>
      <c r="O165" s="466"/>
      <c r="P165" s="466"/>
      <c r="Q165" s="466"/>
      <c r="R165" s="467"/>
      <c r="S165" s="468"/>
      <c r="T165" s="469">
        <f>SUM(T166:T167)</f>
        <v>0</v>
      </c>
      <c r="U165" s="469"/>
      <c r="V165" s="469"/>
      <c r="W165" s="469">
        <f>SUM(W166:W167)</f>
        <v>0</v>
      </c>
      <c r="X165" s="469"/>
      <c r="Y165" s="469"/>
      <c r="Z165" s="469">
        <f>SUM(Z166:Z167)</f>
        <v>0</v>
      </c>
      <c r="AA165" s="469"/>
      <c r="AB165" s="469"/>
      <c r="AC165" s="469">
        <f>SUM(AC166:AC167)</f>
        <v>0</v>
      </c>
      <c r="AD165" s="469"/>
      <c r="AE165" s="469"/>
      <c r="AF165" s="469">
        <f>SUM(AF166:AF167)</f>
        <v>0</v>
      </c>
      <c r="AG165" s="469"/>
      <c r="AH165" s="469"/>
      <c r="AI165" s="469">
        <f>SUM(AI166:AI167)</f>
        <v>0</v>
      </c>
      <c r="AJ165" s="469"/>
      <c r="AK165" s="469"/>
      <c r="AL165" s="469">
        <f>SUM(AL166:AL167)</f>
        <v>0</v>
      </c>
      <c r="AM165" s="469"/>
      <c r="AN165" s="469"/>
      <c r="AO165" s="469">
        <f>SUM(AO166:AO167)</f>
        <v>0</v>
      </c>
      <c r="AP165" s="469"/>
      <c r="AQ165" s="469"/>
      <c r="AR165" s="469">
        <f>SUM(AR166:AR167)</f>
        <v>0</v>
      </c>
      <c r="AS165" s="469"/>
      <c r="AT165" s="469"/>
      <c r="AU165" s="469">
        <f>SUM(AU166:AU167)</f>
        <v>0</v>
      </c>
      <c r="AV165" s="469"/>
      <c r="AW165" s="469"/>
      <c r="AX165" s="470">
        <f>SUM(AX166:AX167)</f>
        <v>80364849</v>
      </c>
      <c r="AY165" s="470">
        <f>SUM(AY166:AY167)</f>
        <v>0</v>
      </c>
      <c r="AZ165" s="470">
        <f>SUM(AZ166:AZ167)</f>
        <v>0</v>
      </c>
      <c r="BA165" s="470">
        <f>SUM(BA166:BA167)</f>
        <v>0</v>
      </c>
      <c r="BB165" s="470"/>
      <c r="BC165" s="470"/>
      <c r="BD165" s="470">
        <f>SUM(BD166:BD167)</f>
        <v>0</v>
      </c>
      <c r="BE165" s="470"/>
      <c r="BF165" s="470"/>
      <c r="BG165" s="471">
        <f>SUM(BG166:BG167)</f>
        <v>80364849</v>
      </c>
      <c r="BH165" s="471">
        <f>SUM(BH166:BH167)</f>
        <v>0</v>
      </c>
      <c r="BI165" s="471">
        <f>SUM(BI166:BI167)</f>
        <v>0</v>
      </c>
      <c r="BJ165" s="472"/>
      <c r="BK165" s="472"/>
      <c r="BL165" s="472"/>
      <c r="BM165" s="472"/>
      <c r="BN165" s="472"/>
      <c r="BO165" s="451"/>
      <c r="BP165" s="55"/>
    </row>
    <row r="166" spans="1:68" ht="80.25" customHeight="1" x14ac:dyDescent="0.2">
      <c r="A166" s="104"/>
      <c r="B166" s="473"/>
      <c r="C166" s="474"/>
      <c r="D166" s="475"/>
      <c r="E166" s="781"/>
      <c r="F166" s="145" t="s">
        <v>248</v>
      </c>
      <c r="G166" s="127" t="s">
        <v>634</v>
      </c>
      <c r="H166" s="308">
        <v>1704002</v>
      </c>
      <c r="I166" s="186" t="s">
        <v>635</v>
      </c>
      <c r="J166" s="127" t="s">
        <v>636</v>
      </c>
      <c r="K166" s="127" t="s">
        <v>637</v>
      </c>
      <c r="L166" s="186" t="s">
        <v>638</v>
      </c>
      <c r="M166" s="146" t="s">
        <v>109</v>
      </c>
      <c r="N166" s="146">
        <v>1</v>
      </c>
      <c r="O166" s="146">
        <v>1</v>
      </c>
      <c r="P166" s="146"/>
      <c r="Q166" s="887" t="s">
        <v>252</v>
      </c>
      <c r="R166" s="896" t="s">
        <v>639</v>
      </c>
      <c r="S166" s="897" t="s">
        <v>640</v>
      </c>
      <c r="T166" s="228"/>
      <c r="U166" s="228"/>
      <c r="V166" s="228"/>
      <c r="W166" s="228"/>
      <c r="X166" s="228"/>
      <c r="Y166" s="228"/>
      <c r="Z166" s="228"/>
      <c r="AA166" s="228"/>
      <c r="AB166" s="228"/>
      <c r="AC166" s="228"/>
      <c r="AD166" s="228"/>
      <c r="AE166" s="228"/>
      <c r="AF166" s="228"/>
      <c r="AG166" s="228"/>
      <c r="AH166" s="228"/>
      <c r="AI166" s="228"/>
      <c r="AJ166" s="228"/>
      <c r="AK166" s="228"/>
      <c r="AL166" s="228"/>
      <c r="AM166" s="228"/>
      <c r="AN166" s="228"/>
      <c r="AO166" s="228"/>
      <c r="AP166" s="228"/>
      <c r="AQ166" s="228"/>
      <c r="AR166" s="228"/>
      <c r="AS166" s="228"/>
      <c r="AT166" s="228"/>
      <c r="AU166" s="228"/>
      <c r="AV166" s="228"/>
      <c r="AW166" s="228"/>
      <c r="AX166" s="453">
        <v>50000000</v>
      </c>
      <c r="AY166" s="476"/>
      <c r="AZ166" s="476"/>
      <c r="BA166" s="453"/>
      <c r="BB166" s="453"/>
      <c r="BC166" s="453"/>
      <c r="BD166" s="453"/>
      <c r="BE166" s="453"/>
      <c r="BF166" s="453"/>
      <c r="BG166" s="131">
        <f t="shared" ref="BG166:BI167" si="58">+T166+W166+Z166+AC166+AF166+AI166+AL166+AO166+AR166+AU166+AX166+BA166+BD166</f>
        <v>50000000</v>
      </c>
      <c r="BH166" s="131">
        <f t="shared" si="58"/>
        <v>0</v>
      </c>
      <c r="BI166" s="131">
        <f t="shared" si="58"/>
        <v>0</v>
      </c>
      <c r="BJ166" s="55"/>
      <c r="BK166" s="55"/>
      <c r="BL166" s="55"/>
      <c r="BM166" s="55"/>
      <c r="BN166" s="55"/>
      <c r="BO166" s="55"/>
      <c r="BP166" s="55"/>
    </row>
    <row r="167" spans="1:68" ht="57.75" customHeight="1" x14ac:dyDescent="0.2">
      <c r="A167" s="104"/>
      <c r="B167" s="473"/>
      <c r="C167" s="474"/>
      <c r="D167" s="475"/>
      <c r="E167" s="782"/>
      <c r="F167" s="145" t="s">
        <v>248</v>
      </c>
      <c r="G167" s="370" t="s">
        <v>641</v>
      </c>
      <c r="H167" s="308">
        <v>1704017</v>
      </c>
      <c r="I167" s="186" t="s">
        <v>642</v>
      </c>
      <c r="J167" s="370" t="s">
        <v>643</v>
      </c>
      <c r="K167" s="370" t="s">
        <v>644</v>
      </c>
      <c r="L167" s="368" t="s">
        <v>645</v>
      </c>
      <c r="M167" s="146" t="s">
        <v>204</v>
      </c>
      <c r="N167" s="146">
        <v>500</v>
      </c>
      <c r="O167" s="146">
        <v>50</v>
      </c>
      <c r="P167" s="457"/>
      <c r="Q167" s="889"/>
      <c r="R167" s="896"/>
      <c r="S167" s="897"/>
      <c r="T167" s="228"/>
      <c r="U167" s="228"/>
      <c r="V167" s="228"/>
      <c r="W167" s="228"/>
      <c r="X167" s="228"/>
      <c r="Y167" s="228"/>
      <c r="Z167" s="228"/>
      <c r="AA167" s="228"/>
      <c r="AB167" s="228"/>
      <c r="AC167" s="228"/>
      <c r="AD167" s="228"/>
      <c r="AE167" s="228"/>
      <c r="AF167" s="228"/>
      <c r="AG167" s="228"/>
      <c r="AH167" s="228"/>
      <c r="AI167" s="228"/>
      <c r="AJ167" s="228"/>
      <c r="AK167" s="228"/>
      <c r="AL167" s="228"/>
      <c r="AM167" s="228"/>
      <c r="AN167" s="228"/>
      <c r="AO167" s="228"/>
      <c r="AP167" s="228"/>
      <c r="AQ167" s="228"/>
      <c r="AR167" s="228"/>
      <c r="AS167" s="228"/>
      <c r="AT167" s="228"/>
      <c r="AU167" s="228"/>
      <c r="AV167" s="228"/>
      <c r="AW167" s="228"/>
      <c r="AX167" s="453">
        <v>30364849</v>
      </c>
      <c r="AY167" s="476"/>
      <c r="AZ167" s="476"/>
      <c r="BA167" s="453"/>
      <c r="BB167" s="453"/>
      <c r="BC167" s="453"/>
      <c r="BD167" s="453"/>
      <c r="BE167" s="453"/>
      <c r="BF167" s="453"/>
      <c r="BG167" s="131">
        <f t="shared" si="58"/>
        <v>30364849</v>
      </c>
      <c r="BH167" s="131">
        <f t="shared" si="58"/>
        <v>0</v>
      </c>
      <c r="BI167" s="131">
        <f t="shared" si="58"/>
        <v>0</v>
      </c>
      <c r="BJ167" s="55"/>
      <c r="BK167" s="55"/>
      <c r="BL167" s="55"/>
      <c r="BM167" s="55"/>
      <c r="BN167" s="55"/>
      <c r="BO167" s="55"/>
      <c r="BP167" s="55"/>
    </row>
    <row r="168" spans="1:68" ht="21.75" customHeight="1" x14ac:dyDescent="0.2">
      <c r="A168" s="104"/>
      <c r="B168" s="134"/>
      <c r="C168" s="294">
        <v>7</v>
      </c>
      <c r="D168" s="139">
        <v>1706</v>
      </c>
      <c r="E168" s="108" t="s">
        <v>646</v>
      </c>
      <c r="F168" s="109"/>
      <c r="G168" s="110"/>
      <c r="H168" s="111"/>
      <c r="I168" s="112"/>
      <c r="J168" s="113"/>
      <c r="K168" s="113"/>
      <c r="L168" s="112"/>
      <c r="M168" s="112"/>
      <c r="N168" s="112"/>
      <c r="O168" s="112"/>
      <c r="P168" s="112"/>
      <c r="Q168" s="116"/>
      <c r="R168" s="116"/>
      <c r="S168" s="112"/>
      <c r="T168" s="117">
        <f>SUM(T169)</f>
        <v>0</v>
      </c>
      <c r="U168" s="117"/>
      <c r="V168" s="117"/>
      <c r="W168" s="117">
        <f>SUM(W169)</f>
        <v>0</v>
      </c>
      <c r="X168" s="117"/>
      <c r="Y168" s="117"/>
      <c r="Z168" s="117">
        <f>SUM(Z169)</f>
        <v>0</v>
      </c>
      <c r="AA168" s="117"/>
      <c r="AB168" s="117"/>
      <c r="AC168" s="117">
        <f>SUM(AC169)</f>
        <v>0</v>
      </c>
      <c r="AD168" s="117"/>
      <c r="AE168" s="117"/>
      <c r="AF168" s="117">
        <f>SUM(AF169)</f>
        <v>0</v>
      </c>
      <c r="AG168" s="117"/>
      <c r="AH168" s="117"/>
      <c r="AI168" s="117">
        <f>SUM(AI169)</f>
        <v>0</v>
      </c>
      <c r="AJ168" s="117"/>
      <c r="AK168" s="117"/>
      <c r="AL168" s="117">
        <f>SUM(AL169)</f>
        <v>0</v>
      </c>
      <c r="AM168" s="117"/>
      <c r="AN168" s="117"/>
      <c r="AO168" s="117">
        <f>SUM(AO169)</f>
        <v>0</v>
      </c>
      <c r="AP168" s="117"/>
      <c r="AQ168" s="117"/>
      <c r="AR168" s="117">
        <f>SUM(AR169)</f>
        <v>0</v>
      </c>
      <c r="AS168" s="117"/>
      <c r="AT168" s="117"/>
      <c r="AU168" s="117">
        <f>SUM(AU169)</f>
        <v>0</v>
      </c>
      <c r="AV168" s="117"/>
      <c r="AW168" s="117"/>
      <c r="AX168" s="117">
        <f>SUM(AX169)</f>
        <v>12800000</v>
      </c>
      <c r="AY168" s="117">
        <f>SUM(AY169)</f>
        <v>5000000</v>
      </c>
      <c r="AZ168" s="117">
        <f>SUM(AZ169)</f>
        <v>5000000</v>
      </c>
      <c r="BA168" s="117">
        <f>SUM(BA169)</f>
        <v>0</v>
      </c>
      <c r="BB168" s="117"/>
      <c r="BC168" s="117"/>
      <c r="BD168" s="117">
        <f>SUM(BD169)</f>
        <v>0</v>
      </c>
      <c r="BE168" s="117"/>
      <c r="BF168" s="117"/>
      <c r="BG168" s="465">
        <f>SUM(BG169)</f>
        <v>12800000</v>
      </c>
      <c r="BH168" s="465">
        <f>SUM(BH169)</f>
        <v>5000000</v>
      </c>
      <c r="BI168" s="465">
        <f>SUM(BI169)</f>
        <v>5000000</v>
      </c>
      <c r="BJ168" s="450"/>
      <c r="BK168" s="450"/>
      <c r="BL168" s="450"/>
      <c r="BM168" s="450"/>
      <c r="BN168" s="450"/>
      <c r="BO168" s="451"/>
      <c r="BP168" s="55"/>
    </row>
    <row r="169" spans="1:68" ht="72.75" customHeight="1" x14ac:dyDescent="0.2">
      <c r="A169" s="104"/>
      <c r="B169" s="118"/>
      <c r="C169" s="282"/>
      <c r="D169" s="283"/>
      <c r="E169" s="192"/>
      <c r="F169" s="145" t="s">
        <v>248</v>
      </c>
      <c r="G169" s="127" t="s">
        <v>647</v>
      </c>
      <c r="H169" s="308">
        <v>1706004</v>
      </c>
      <c r="I169" s="186" t="s">
        <v>648</v>
      </c>
      <c r="J169" s="127" t="s">
        <v>649</v>
      </c>
      <c r="K169" s="127" t="s">
        <v>650</v>
      </c>
      <c r="L169" s="186" t="s">
        <v>651</v>
      </c>
      <c r="M169" s="146" t="s">
        <v>109</v>
      </c>
      <c r="N169" s="146">
        <v>10</v>
      </c>
      <c r="O169" s="146">
        <v>10</v>
      </c>
      <c r="P169" s="146"/>
      <c r="Q169" s="127" t="s">
        <v>252</v>
      </c>
      <c r="R169" s="127" t="s">
        <v>591</v>
      </c>
      <c r="S169" s="186" t="s">
        <v>592</v>
      </c>
      <c r="T169" s="129"/>
      <c r="U169" s="129"/>
      <c r="V169" s="129"/>
      <c r="W169" s="129"/>
      <c r="X169" s="129"/>
      <c r="Y169" s="129"/>
      <c r="Z169" s="129"/>
      <c r="AA169" s="129"/>
      <c r="AB169" s="129"/>
      <c r="AC169" s="129"/>
      <c r="AD169" s="129"/>
      <c r="AE169" s="129"/>
      <c r="AF169" s="129"/>
      <c r="AG169" s="129"/>
      <c r="AH169" s="129"/>
      <c r="AI169" s="129"/>
      <c r="AJ169" s="129"/>
      <c r="AK169" s="129"/>
      <c r="AL169" s="129"/>
      <c r="AM169" s="129"/>
      <c r="AN169" s="129"/>
      <c r="AO169" s="129"/>
      <c r="AP169" s="129"/>
      <c r="AQ169" s="129"/>
      <c r="AR169" s="129"/>
      <c r="AS169" s="129"/>
      <c r="AT169" s="129"/>
      <c r="AU169" s="129"/>
      <c r="AV169" s="129"/>
      <c r="AW169" s="129"/>
      <c r="AX169" s="453">
        <v>12800000</v>
      </c>
      <c r="AY169" s="476">
        <v>5000000</v>
      </c>
      <c r="AZ169" s="476">
        <v>5000000</v>
      </c>
      <c r="BA169" s="453"/>
      <c r="BB169" s="453"/>
      <c r="BC169" s="453"/>
      <c r="BD169" s="453"/>
      <c r="BE169" s="453"/>
      <c r="BF169" s="453"/>
      <c r="BG169" s="131">
        <f>+T169+W169+Z169+AC169+AF169+AI169+AL169+AO169+AR169+AU169+AX169+BA169+BD169</f>
        <v>12800000</v>
      </c>
      <c r="BH169" s="131">
        <f>+U169+X169+AA169+AD169+AG169+AJ169+AM169+AP169+AS169+AV169+AY169+BB169+BE169</f>
        <v>5000000</v>
      </c>
      <c r="BI169" s="131">
        <f>+V169+Y169+AB169+AE169+AH169+AK169+AN169+AQ169+AT169+AW169+AZ169+BC169+BF169</f>
        <v>5000000</v>
      </c>
      <c r="BJ169" s="454"/>
      <c r="BK169" s="455"/>
      <c r="BL169" s="455"/>
      <c r="BM169" s="455"/>
      <c r="BN169" s="455"/>
      <c r="BO169" s="456"/>
      <c r="BP169" s="55"/>
    </row>
    <row r="170" spans="1:68" ht="25.5" customHeight="1" x14ac:dyDescent="0.2">
      <c r="A170" s="104"/>
      <c r="B170" s="134"/>
      <c r="C170" s="294">
        <v>8</v>
      </c>
      <c r="D170" s="139">
        <v>1707</v>
      </c>
      <c r="E170" s="108" t="s">
        <v>652</v>
      </c>
      <c r="F170" s="109"/>
      <c r="G170" s="110"/>
      <c r="H170" s="111"/>
      <c r="I170" s="112"/>
      <c r="J170" s="113"/>
      <c r="K170" s="113"/>
      <c r="L170" s="112"/>
      <c r="M170" s="114"/>
      <c r="N170" s="115"/>
      <c r="O170" s="110"/>
      <c r="P170" s="110"/>
      <c r="Q170" s="116"/>
      <c r="R170" s="116"/>
      <c r="S170" s="112"/>
      <c r="T170" s="117">
        <f>SUM(T171)</f>
        <v>0</v>
      </c>
      <c r="U170" s="117"/>
      <c r="V170" s="117"/>
      <c r="W170" s="117">
        <f>SUM(W171)</f>
        <v>0</v>
      </c>
      <c r="X170" s="117"/>
      <c r="Y170" s="117"/>
      <c r="Z170" s="117">
        <f>SUM(Z171)</f>
        <v>0</v>
      </c>
      <c r="AA170" s="117"/>
      <c r="AB170" s="117"/>
      <c r="AC170" s="117">
        <f>SUM(AC171)</f>
        <v>0</v>
      </c>
      <c r="AD170" s="117"/>
      <c r="AE170" s="117"/>
      <c r="AF170" s="117">
        <f>SUM(AF171)</f>
        <v>0</v>
      </c>
      <c r="AG170" s="117"/>
      <c r="AH170" s="117"/>
      <c r="AI170" s="117">
        <f>SUM(AI171)</f>
        <v>0</v>
      </c>
      <c r="AJ170" s="117"/>
      <c r="AK170" s="117"/>
      <c r="AL170" s="117">
        <f>SUM(AL171)</f>
        <v>0</v>
      </c>
      <c r="AM170" s="117"/>
      <c r="AN170" s="117"/>
      <c r="AO170" s="117">
        <f>SUM(AO171)</f>
        <v>0</v>
      </c>
      <c r="AP170" s="117"/>
      <c r="AQ170" s="117"/>
      <c r="AR170" s="117">
        <f>SUM(AR171)</f>
        <v>0</v>
      </c>
      <c r="AS170" s="117"/>
      <c r="AT170" s="117"/>
      <c r="AU170" s="117">
        <f>SUM(AU171)</f>
        <v>0</v>
      </c>
      <c r="AV170" s="117"/>
      <c r="AW170" s="117"/>
      <c r="AX170" s="117">
        <f>SUM(AX171)</f>
        <v>50000000</v>
      </c>
      <c r="AY170" s="117">
        <f>SUM(AY171)</f>
        <v>0</v>
      </c>
      <c r="AZ170" s="117">
        <f>SUM(AZ171)</f>
        <v>0</v>
      </c>
      <c r="BA170" s="117">
        <f>SUM(BA171)</f>
        <v>0</v>
      </c>
      <c r="BB170" s="117"/>
      <c r="BC170" s="117"/>
      <c r="BD170" s="117">
        <f>SUM(BD171)</f>
        <v>0</v>
      </c>
      <c r="BE170" s="117"/>
      <c r="BF170" s="117"/>
      <c r="BG170" s="465">
        <f>SUM(BG171)</f>
        <v>50000000</v>
      </c>
      <c r="BH170" s="465">
        <f>SUM(BH171)</f>
        <v>0</v>
      </c>
      <c r="BI170" s="465">
        <f>SUM(BI171)</f>
        <v>0</v>
      </c>
      <c r="BJ170" s="450"/>
      <c r="BK170" s="450"/>
      <c r="BL170" s="450"/>
      <c r="BM170" s="450"/>
      <c r="BN170" s="450"/>
      <c r="BO170" s="451"/>
      <c r="BP170" s="55"/>
    </row>
    <row r="171" spans="1:68" ht="45" customHeight="1" x14ac:dyDescent="0.2">
      <c r="A171" s="104"/>
      <c r="B171" s="118"/>
      <c r="C171" s="282"/>
      <c r="D171" s="283"/>
      <c r="E171" s="127"/>
      <c r="F171" s="145" t="s">
        <v>248</v>
      </c>
      <c r="G171" s="127" t="s">
        <v>653</v>
      </c>
      <c r="H171" s="308">
        <v>1707069</v>
      </c>
      <c r="I171" s="186" t="s">
        <v>654</v>
      </c>
      <c r="J171" s="127" t="s">
        <v>655</v>
      </c>
      <c r="K171" s="127" t="s">
        <v>656</v>
      </c>
      <c r="L171" s="186" t="s">
        <v>657</v>
      </c>
      <c r="M171" s="146" t="s">
        <v>204</v>
      </c>
      <c r="N171" s="146">
        <v>20</v>
      </c>
      <c r="O171" s="146">
        <v>5</v>
      </c>
      <c r="P171" s="146"/>
      <c r="Q171" s="127" t="s">
        <v>583</v>
      </c>
      <c r="R171" s="127" t="s">
        <v>600</v>
      </c>
      <c r="S171" s="125" t="s">
        <v>5</v>
      </c>
      <c r="T171" s="460"/>
      <c r="U171" s="460"/>
      <c r="V171" s="460"/>
      <c r="W171" s="460"/>
      <c r="X171" s="460"/>
      <c r="Y171" s="460"/>
      <c r="Z171" s="460"/>
      <c r="AA171" s="460"/>
      <c r="AB171" s="460"/>
      <c r="AC171" s="460"/>
      <c r="AD171" s="460"/>
      <c r="AE171" s="460"/>
      <c r="AF171" s="460"/>
      <c r="AG171" s="460"/>
      <c r="AH171" s="460"/>
      <c r="AI171" s="460"/>
      <c r="AJ171" s="460"/>
      <c r="AK171" s="460"/>
      <c r="AL171" s="460"/>
      <c r="AM171" s="460"/>
      <c r="AN171" s="460"/>
      <c r="AO171" s="460"/>
      <c r="AP171" s="460"/>
      <c r="AQ171" s="460"/>
      <c r="AR171" s="460"/>
      <c r="AS171" s="460"/>
      <c r="AT171" s="460"/>
      <c r="AU171" s="460"/>
      <c r="AV171" s="460"/>
      <c r="AW171" s="460"/>
      <c r="AX171" s="452">
        <v>50000000</v>
      </c>
      <c r="AY171" s="400"/>
      <c r="AZ171" s="400"/>
      <c r="BA171" s="453"/>
      <c r="BB171" s="453"/>
      <c r="BC171" s="453"/>
      <c r="BD171" s="453"/>
      <c r="BE171" s="453"/>
      <c r="BF171" s="453"/>
      <c r="BG171" s="131">
        <f>+T171+W171+Z171+AC171+AF171+AI171+AL171+AO171+AR171+AU171+AX171+BA171+BD171</f>
        <v>50000000</v>
      </c>
      <c r="BH171" s="131">
        <f>+U171+X171+AA171+AD171+AG171+AJ171+AM171+AP171+AS171+AV171+AY171+BB171+BE171</f>
        <v>0</v>
      </c>
      <c r="BI171" s="131">
        <f>+V171+Y171+AB171+AE171+AH171+AK171+AN171+AQ171+AT171+AW171+AZ171+BC171+BF171</f>
        <v>0</v>
      </c>
      <c r="BJ171" s="461"/>
      <c r="BK171" s="461"/>
      <c r="BL171" s="461"/>
      <c r="BM171" s="461"/>
      <c r="BN171" s="461"/>
      <c r="BO171" s="456"/>
      <c r="BP171" s="55"/>
    </row>
    <row r="172" spans="1:68" ht="24" customHeight="1" x14ac:dyDescent="0.2">
      <c r="A172" s="104"/>
      <c r="B172" s="134"/>
      <c r="C172" s="294">
        <v>9</v>
      </c>
      <c r="D172" s="139">
        <v>1708</v>
      </c>
      <c r="E172" s="108" t="s">
        <v>658</v>
      </c>
      <c r="F172" s="109"/>
      <c r="G172" s="110"/>
      <c r="H172" s="111"/>
      <c r="I172" s="112"/>
      <c r="J172" s="113"/>
      <c r="K172" s="113"/>
      <c r="L172" s="112"/>
      <c r="M172" s="114"/>
      <c r="N172" s="115"/>
      <c r="O172" s="110"/>
      <c r="P172" s="110"/>
      <c r="Q172" s="116"/>
      <c r="R172" s="116"/>
      <c r="S172" s="112"/>
      <c r="T172" s="117">
        <f>SUM(T173:T173)</f>
        <v>0</v>
      </c>
      <c r="U172" s="117"/>
      <c r="V172" s="117"/>
      <c r="W172" s="117">
        <f>SUM(W173:W173)</f>
        <v>0</v>
      </c>
      <c r="X172" s="117"/>
      <c r="Y172" s="117"/>
      <c r="Z172" s="117">
        <f>SUM(Z173:Z173)</f>
        <v>0</v>
      </c>
      <c r="AA172" s="117"/>
      <c r="AB172" s="117"/>
      <c r="AC172" s="117">
        <f>SUM(AC173:AC173)</f>
        <v>0</v>
      </c>
      <c r="AD172" s="117"/>
      <c r="AE172" s="117"/>
      <c r="AF172" s="117">
        <f>SUM(AF173:AF173)</f>
        <v>0</v>
      </c>
      <c r="AG172" s="117"/>
      <c r="AH172" s="117"/>
      <c r="AI172" s="117">
        <f>SUM(AI173:AI173)</f>
        <v>0</v>
      </c>
      <c r="AJ172" s="117"/>
      <c r="AK172" s="117"/>
      <c r="AL172" s="117">
        <f>SUM(AL173:AL173)</f>
        <v>0</v>
      </c>
      <c r="AM172" s="117"/>
      <c r="AN172" s="117"/>
      <c r="AO172" s="117">
        <f>SUM(AO173:AO173)</f>
        <v>0</v>
      </c>
      <c r="AP172" s="117"/>
      <c r="AQ172" s="117"/>
      <c r="AR172" s="117">
        <f>SUM(AR173:AR173)</f>
        <v>0</v>
      </c>
      <c r="AS172" s="117"/>
      <c r="AT172" s="117"/>
      <c r="AU172" s="117">
        <f>SUM(AU173:AU173)</f>
        <v>0</v>
      </c>
      <c r="AV172" s="117"/>
      <c r="AW172" s="117"/>
      <c r="AX172" s="117">
        <f>SUM(AX173:AX173)</f>
        <v>80000000</v>
      </c>
      <c r="AY172" s="117">
        <f>SUM(AY173:AY173)</f>
        <v>0</v>
      </c>
      <c r="AZ172" s="117">
        <f>SUM(AZ173:AZ173)</f>
        <v>0</v>
      </c>
      <c r="BA172" s="117">
        <f>SUM(BA173:BA173)</f>
        <v>0</v>
      </c>
      <c r="BB172" s="117"/>
      <c r="BC172" s="117"/>
      <c r="BD172" s="117">
        <f>SUM(BD173:BD173)</f>
        <v>0</v>
      </c>
      <c r="BE172" s="117"/>
      <c r="BF172" s="117"/>
      <c r="BG172" s="465">
        <f>SUM(BG173:BG173)</f>
        <v>80000000</v>
      </c>
      <c r="BH172" s="465">
        <f>SUM(BH173:BH173)</f>
        <v>0</v>
      </c>
      <c r="BI172" s="465">
        <f>SUM(BI173:BI173)</f>
        <v>0</v>
      </c>
      <c r="BJ172" s="450"/>
      <c r="BK172" s="450"/>
      <c r="BL172" s="450"/>
      <c r="BM172" s="450"/>
      <c r="BN172" s="450"/>
      <c r="BO172" s="451"/>
    </row>
    <row r="173" spans="1:68" ht="45" customHeight="1" x14ac:dyDescent="0.2">
      <c r="A173" s="104"/>
      <c r="B173" s="118"/>
      <c r="C173" s="282"/>
      <c r="D173" s="283"/>
      <c r="E173" s="192"/>
      <c r="F173" s="145" t="s">
        <v>248</v>
      </c>
      <c r="G173" s="146" t="s">
        <v>659</v>
      </c>
      <c r="H173" s="308">
        <v>1708016</v>
      </c>
      <c r="I173" s="186" t="s">
        <v>635</v>
      </c>
      <c r="J173" s="146" t="s">
        <v>660</v>
      </c>
      <c r="K173" s="291" t="s">
        <v>661</v>
      </c>
      <c r="L173" s="320" t="s">
        <v>662</v>
      </c>
      <c r="M173" s="146" t="s">
        <v>109</v>
      </c>
      <c r="N173" s="146">
        <v>2</v>
      </c>
      <c r="O173" s="146">
        <v>2</v>
      </c>
      <c r="P173" s="372"/>
      <c r="Q173" s="212" t="s">
        <v>252</v>
      </c>
      <c r="R173" s="127" t="s">
        <v>663</v>
      </c>
      <c r="S173" s="186" t="s">
        <v>664</v>
      </c>
      <c r="T173" s="129"/>
      <c r="U173" s="129"/>
      <c r="V173" s="129"/>
      <c r="W173" s="129"/>
      <c r="X173" s="129"/>
      <c r="Y173" s="129"/>
      <c r="Z173" s="129"/>
      <c r="AA173" s="129"/>
      <c r="AB173" s="129"/>
      <c r="AC173" s="129"/>
      <c r="AD173" s="129"/>
      <c r="AE173" s="129"/>
      <c r="AF173" s="129"/>
      <c r="AG173" s="129"/>
      <c r="AH173" s="129"/>
      <c r="AI173" s="129"/>
      <c r="AJ173" s="129"/>
      <c r="AK173" s="129"/>
      <c r="AL173" s="129"/>
      <c r="AM173" s="129"/>
      <c r="AN173" s="129"/>
      <c r="AO173" s="129"/>
      <c r="AP173" s="129"/>
      <c r="AQ173" s="129"/>
      <c r="AR173" s="129"/>
      <c r="AS173" s="129"/>
      <c r="AT173" s="129"/>
      <c r="AU173" s="129"/>
      <c r="AV173" s="129"/>
      <c r="AW173" s="129"/>
      <c r="AX173" s="453">
        <f>50000000+30000000</f>
        <v>80000000</v>
      </c>
      <c r="AY173" s="476"/>
      <c r="AZ173" s="476"/>
      <c r="BA173" s="453"/>
      <c r="BB173" s="453"/>
      <c r="BC173" s="453"/>
      <c r="BD173" s="453"/>
      <c r="BE173" s="453"/>
      <c r="BF173" s="453"/>
      <c r="BG173" s="131">
        <f>+T173+W173+Z173+AC173+AF173+AI173+AL173+AO173+AR173+AU173+AX173+BA173+BD173</f>
        <v>80000000</v>
      </c>
      <c r="BH173" s="131">
        <f>+U173+X173+AA173+AD173+AG173+AJ173+AM173+AP173+AS173+AV173+AY173+BB173+BE173</f>
        <v>0</v>
      </c>
      <c r="BI173" s="131">
        <f>+V173+Y173+AB173+AE173+AH173+AK173+AN173+AQ173+AT173+AW173+AZ173+BC173+BF173</f>
        <v>0</v>
      </c>
      <c r="BJ173" s="454"/>
      <c r="BK173" s="455"/>
      <c r="BL173" s="455"/>
      <c r="BM173" s="455"/>
      <c r="BN173" s="455"/>
      <c r="BO173" s="456"/>
      <c r="BP173" s="55"/>
    </row>
    <row r="174" spans="1:68" ht="25.5" customHeight="1" x14ac:dyDescent="0.2">
      <c r="A174" s="104"/>
      <c r="B174" s="134"/>
      <c r="C174" s="294">
        <v>10</v>
      </c>
      <c r="D174" s="139">
        <v>1709</v>
      </c>
      <c r="E174" s="108" t="s">
        <v>247</v>
      </c>
      <c r="F174" s="466"/>
      <c r="G174" s="466"/>
      <c r="H174" s="466"/>
      <c r="I174" s="466"/>
      <c r="J174" s="466"/>
      <c r="K174" s="466"/>
      <c r="L174" s="466"/>
      <c r="M174" s="466"/>
      <c r="N174" s="466"/>
      <c r="O174" s="466"/>
      <c r="P174" s="466"/>
      <c r="Q174" s="466"/>
      <c r="R174" s="466"/>
      <c r="S174" s="468"/>
      <c r="T174" s="469">
        <f>SUM(T175:T176)</f>
        <v>0</v>
      </c>
      <c r="U174" s="469"/>
      <c r="V174" s="469"/>
      <c r="W174" s="469">
        <f>SUM(W175:W176)</f>
        <v>0</v>
      </c>
      <c r="X174" s="469"/>
      <c r="Y174" s="469"/>
      <c r="Z174" s="469">
        <f>SUM(Z175:Z176)</f>
        <v>0</v>
      </c>
      <c r="AA174" s="469"/>
      <c r="AB174" s="469"/>
      <c r="AC174" s="469">
        <f>SUM(AC175:AC176)</f>
        <v>0</v>
      </c>
      <c r="AD174" s="469"/>
      <c r="AE174" s="469"/>
      <c r="AF174" s="469">
        <f>SUM(AF175:AF176)</f>
        <v>0</v>
      </c>
      <c r="AG174" s="469"/>
      <c r="AH174" s="469"/>
      <c r="AI174" s="469">
        <f>SUM(AI175:AI176)</f>
        <v>0</v>
      </c>
      <c r="AJ174" s="469"/>
      <c r="AK174" s="469"/>
      <c r="AL174" s="469">
        <f>SUM(AL175:AL176)</f>
        <v>0</v>
      </c>
      <c r="AM174" s="469"/>
      <c r="AN174" s="469"/>
      <c r="AO174" s="469">
        <f>SUM(AO175:AO176)</f>
        <v>0</v>
      </c>
      <c r="AP174" s="469"/>
      <c r="AQ174" s="469"/>
      <c r="AR174" s="469">
        <f>SUM(AR175:AR176)</f>
        <v>0</v>
      </c>
      <c r="AS174" s="469"/>
      <c r="AT174" s="469"/>
      <c r="AU174" s="469">
        <f>SUM(AU175:AU176)</f>
        <v>0</v>
      </c>
      <c r="AV174" s="469"/>
      <c r="AW174" s="469"/>
      <c r="AX174" s="470">
        <f>SUM(AX175:AX176)</f>
        <v>125000000</v>
      </c>
      <c r="AY174" s="470">
        <f>SUM(AY175:AY176)</f>
        <v>0</v>
      </c>
      <c r="AZ174" s="470">
        <f>SUM(AZ175:AZ176)</f>
        <v>0</v>
      </c>
      <c r="BA174" s="470">
        <f>SUM(BA175:BA176)</f>
        <v>0</v>
      </c>
      <c r="BB174" s="470"/>
      <c r="BC174" s="470"/>
      <c r="BD174" s="470">
        <f>SUM(BD175:BD176)</f>
        <v>0</v>
      </c>
      <c r="BE174" s="470"/>
      <c r="BF174" s="470"/>
      <c r="BG174" s="471">
        <f>SUM(BG175:BG176)</f>
        <v>125000000</v>
      </c>
      <c r="BH174" s="471">
        <f>SUM(BH175:BH176)</f>
        <v>0</v>
      </c>
      <c r="BI174" s="471">
        <f>SUM(BI175:BI176)</f>
        <v>0</v>
      </c>
      <c r="BJ174" s="472"/>
      <c r="BK174" s="472"/>
      <c r="BL174" s="472"/>
      <c r="BM174" s="472"/>
      <c r="BN174" s="472"/>
      <c r="BO174" s="451"/>
    </row>
    <row r="175" spans="1:68" ht="75" customHeight="1" x14ac:dyDescent="0.2">
      <c r="A175" s="104"/>
      <c r="B175" s="473"/>
      <c r="C175" s="474"/>
      <c r="D175" s="475"/>
      <c r="E175" s="781"/>
      <c r="F175" s="145" t="s">
        <v>248</v>
      </c>
      <c r="G175" s="146" t="s">
        <v>665</v>
      </c>
      <c r="H175" s="308">
        <v>1709019</v>
      </c>
      <c r="I175" s="186" t="s">
        <v>666</v>
      </c>
      <c r="J175" s="146" t="s">
        <v>667</v>
      </c>
      <c r="K175" s="291" t="s">
        <v>668</v>
      </c>
      <c r="L175" s="320" t="s">
        <v>666</v>
      </c>
      <c r="M175" s="146" t="s">
        <v>204</v>
      </c>
      <c r="N175" s="146">
        <v>15</v>
      </c>
      <c r="O175" s="146">
        <v>3</v>
      </c>
      <c r="P175" s="146"/>
      <c r="Q175" s="887" t="s">
        <v>252</v>
      </c>
      <c r="R175" s="911" t="s">
        <v>625</v>
      </c>
      <c r="S175" s="912" t="s">
        <v>669</v>
      </c>
      <c r="T175" s="228"/>
      <c r="U175" s="228"/>
      <c r="V175" s="228"/>
      <c r="W175" s="228"/>
      <c r="X175" s="228"/>
      <c r="Y175" s="228"/>
      <c r="Z175" s="228"/>
      <c r="AA175" s="228"/>
      <c r="AB175" s="228"/>
      <c r="AC175" s="228"/>
      <c r="AD175" s="228"/>
      <c r="AE175" s="228"/>
      <c r="AF175" s="228"/>
      <c r="AG175" s="228"/>
      <c r="AH175" s="228"/>
      <c r="AI175" s="228"/>
      <c r="AJ175" s="228"/>
      <c r="AK175" s="228"/>
      <c r="AL175" s="228"/>
      <c r="AM175" s="228"/>
      <c r="AN175" s="228"/>
      <c r="AO175" s="228"/>
      <c r="AP175" s="228"/>
      <c r="AQ175" s="228"/>
      <c r="AR175" s="228"/>
      <c r="AS175" s="228"/>
      <c r="AT175" s="228"/>
      <c r="AU175" s="228"/>
      <c r="AV175" s="228"/>
      <c r="AW175" s="228"/>
      <c r="AX175" s="453">
        <f>50000000+25000000</f>
        <v>75000000</v>
      </c>
      <c r="AY175" s="476"/>
      <c r="AZ175" s="476"/>
      <c r="BA175" s="453"/>
      <c r="BB175" s="453"/>
      <c r="BC175" s="453"/>
      <c r="BD175" s="453"/>
      <c r="BE175" s="453"/>
      <c r="BF175" s="453"/>
      <c r="BG175" s="131">
        <f t="shared" ref="BG175:BI176" si="59">+T175+W175+Z175+AC175+AF175+AI175+AL175+AO175+AR175+AU175+AX175+BA175+BD175</f>
        <v>75000000</v>
      </c>
      <c r="BH175" s="131">
        <f t="shared" si="59"/>
        <v>0</v>
      </c>
      <c r="BI175" s="131">
        <f t="shared" si="59"/>
        <v>0</v>
      </c>
      <c r="BJ175" s="55"/>
      <c r="BK175" s="55"/>
      <c r="BL175" s="55"/>
      <c r="BM175" s="55"/>
      <c r="BN175" s="55"/>
      <c r="BO175" s="55"/>
      <c r="BP175" s="55"/>
    </row>
    <row r="176" spans="1:68" ht="48.75" customHeight="1" x14ac:dyDescent="0.2">
      <c r="A176" s="104"/>
      <c r="B176" s="473"/>
      <c r="C176" s="474"/>
      <c r="D176" s="475"/>
      <c r="E176" s="783"/>
      <c r="F176" s="145" t="s">
        <v>248</v>
      </c>
      <c r="G176" s="146" t="s">
        <v>670</v>
      </c>
      <c r="H176" s="308">
        <v>1709034</v>
      </c>
      <c r="I176" s="186" t="s">
        <v>671</v>
      </c>
      <c r="J176" s="146" t="s">
        <v>672</v>
      </c>
      <c r="K176" s="291" t="s">
        <v>673</v>
      </c>
      <c r="L176" s="320" t="s">
        <v>671</v>
      </c>
      <c r="M176" s="146" t="s">
        <v>204</v>
      </c>
      <c r="N176" s="146">
        <v>10</v>
      </c>
      <c r="O176" s="146">
        <v>1</v>
      </c>
      <c r="P176" s="146"/>
      <c r="Q176" s="888"/>
      <c r="R176" s="911"/>
      <c r="S176" s="912"/>
      <c r="T176" s="228"/>
      <c r="U176" s="228"/>
      <c r="V176" s="228"/>
      <c r="W176" s="228"/>
      <c r="X176" s="228"/>
      <c r="Y176" s="228"/>
      <c r="Z176" s="228"/>
      <c r="AA176" s="228"/>
      <c r="AB176" s="228"/>
      <c r="AC176" s="228"/>
      <c r="AD176" s="228"/>
      <c r="AE176" s="228"/>
      <c r="AF176" s="228"/>
      <c r="AG176" s="228"/>
      <c r="AH176" s="228"/>
      <c r="AI176" s="228"/>
      <c r="AJ176" s="228"/>
      <c r="AK176" s="228"/>
      <c r="AL176" s="228"/>
      <c r="AM176" s="228"/>
      <c r="AN176" s="228"/>
      <c r="AO176" s="228"/>
      <c r="AP176" s="228"/>
      <c r="AQ176" s="228"/>
      <c r="AR176" s="228"/>
      <c r="AS176" s="228"/>
      <c r="AT176" s="228"/>
      <c r="AU176" s="228"/>
      <c r="AV176" s="228"/>
      <c r="AW176" s="228"/>
      <c r="AX176" s="453">
        <v>50000000</v>
      </c>
      <c r="AY176" s="476"/>
      <c r="AZ176" s="476"/>
      <c r="BA176" s="453"/>
      <c r="BB176" s="453"/>
      <c r="BC176" s="453"/>
      <c r="BD176" s="453"/>
      <c r="BE176" s="453"/>
      <c r="BF176" s="453"/>
      <c r="BG176" s="131">
        <f t="shared" si="59"/>
        <v>50000000</v>
      </c>
      <c r="BH176" s="131">
        <f t="shared" si="59"/>
        <v>0</v>
      </c>
      <c r="BI176" s="131">
        <f t="shared" si="59"/>
        <v>0</v>
      </c>
      <c r="BJ176" s="55"/>
      <c r="BK176" s="55"/>
      <c r="BL176" s="55"/>
      <c r="BM176" s="55"/>
      <c r="BN176" s="55"/>
      <c r="BO176" s="55"/>
      <c r="BP176" s="55"/>
    </row>
    <row r="177" spans="1:68" ht="23.25" customHeight="1" x14ac:dyDescent="0.2">
      <c r="A177" s="104"/>
      <c r="B177" s="134"/>
      <c r="C177" s="294">
        <v>27</v>
      </c>
      <c r="D177" s="139">
        <v>3502</v>
      </c>
      <c r="E177" s="108" t="s">
        <v>255</v>
      </c>
      <c r="F177" s="109"/>
      <c r="G177" s="110"/>
      <c r="H177" s="111"/>
      <c r="I177" s="112"/>
      <c r="J177" s="113"/>
      <c r="K177" s="113"/>
      <c r="L177" s="112"/>
      <c r="M177" s="114"/>
      <c r="N177" s="115"/>
      <c r="O177" s="110"/>
      <c r="P177" s="110"/>
      <c r="Q177" s="116"/>
      <c r="R177" s="116"/>
      <c r="S177" s="112"/>
      <c r="T177" s="117">
        <f>SUM(T178:T179)</f>
        <v>0</v>
      </c>
      <c r="U177" s="117"/>
      <c r="V177" s="117"/>
      <c r="W177" s="117">
        <f>SUM(W178:W179)</f>
        <v>0</v>
      </c>
      <c r="X177" s="117"/>
      <c r="Y177" s="117"/>
      <c r="Z177" s="117">
        <f>SUM(Z178:Z179)</f>
        <v>0</v>
      </c>
      <c r="AA177" s="117"/>
      <c r="AB177" s="117"/>
      <c r="AC177" s="117">
        <f>SUM(AC178:AC179)</f>
        <v>0</v>
      </c>
      <c r="AD177" s="117"/>
      <c r="AE177" s="117"/>
      <c r="AF177" s="117">
        <f>SUM(AF178:AF179)</f>
        <v>0</v>
      </c>
      <c r="AG177" s="117"/>
      <c r="AH177" s="117"/>
      <c r="AI177" s="117">
        <f>SUM(AI178:AI179)</f>
        <v>0</v>
      </c>
      <c r="AJ177" s="117"/>
      <c r="AK177" s="117"/>
      <c r="AL177" s="117">
        <f>SUM(AL178:AL179)</f>
        <v>0</v>
      </c>
      <c r="AM177" s="117"/>
      <c r="AN177" s="117"/>
      <c r="AO177" s="117">
        <f>SUM(AO178:AO179)</f>
        <v>0</v>
      </c>
      <c r="AP177" s="117"/>
      <c r="AQ177" s="117"/>
      <c r="AR177" s="117">
        <f>SUM(AR178:AR179)</f>
        <v>0</v>
      </c>
      <c r="AS177" s="117"/>
      <c r="AT177" s="117"/>
      <c r="AU177" s="117">
        <f>SUM(AU178:AU179)</f>
        <v>0</v>
      </c>
      <c r="AV177" s="117"/>
      <c r="AW177" s="117"/>
      <c r="AX177" s="117">
        <f>SUM(AX178:AX179)</f>
        <v>40000000</v>
      </c>
      <c r="AY177" s="117">
        <f>SUM(AY178:AY179)</f>
        <v>5000000</v>
      </c>
      <c r="AZ177" s="117">
        <f>SUM(AZ178:AZ179)</f>
        <v>5000000</v>
      </c>
      <c r="BA177" s="117">
        <f>SUM(BA178:BA179)</f>
        <v>0</v>
      </c>
      <c r="BB177" s="117"/>
      <c r="BC177" s="117"/>
      <c r="BD177" s="117">
        <f>SUM(BD178:BD179)</f>
        <v>0</v>
      </c>
      <c r="BE177" s="117"/>
      <c r="BF177" s="117"/>
      <c r="BG177" s="465">
        <f>SUM(BG178:BG179)</f>
        <v>40000000</v>
      </c>
      <c r="BH177" s="465">
        <f>SUM(BH178:BH179)</f>
        <v>5000000</v>
      </c>
      <c r="BI177" s="465">
        <f>SUM(BI178:BI179)</f>
        <v>5000000</v>
      </c>
      <c r="BJ177" s="450"/>
      <c r="BK177" s="450"/>
      <c r="BL177" s="450"/>
      <c r="BM177" s="450"/>
      <c r="BN177" s="450"/>
      <c r="BO177" s="451"/>
    </row>
    <row r="178" spans="1:68" ht="69.75" customHeight="1" x14ac:dyDescent="0.2">
      <c r="A178" s="104"/>
      <c r="B178" s="118"/>
      <c r="C178" s="207"/>
      <c r="D178" s="477"/>
      <c r="E178" s="724"/>
      <c r="F178" s="145" t="s">
        <v>674</v>
      </c>
      <c r="G178" s="146" t="s">
        <v>675</v>
      </c>
      <c r="H178" s="308">
        <v>3502017</v>
      </c>
      <c r="I178" s="186" t="s">
        <v>676</v>
      </c>
      <c r="J178" s="146" t="s">
        <v>677</v>
      </c>
      <c r="K178" s="291" t="s">
        <v>678</v>
      </c>
      <c r="L178" s="320" t="s">
        <v>679</v>
      </c>
      <c r="M178" s="146" t="s">
        <v>109</v>
      </c>
      <c r="N178" s="146">
        <v>6</v>
      </c>
      <c r="O178" s="146">
        <v>6</v>
      </c>
      <c r="P178" s="146"/>
      <c r="Q178" s="887" t="s">
        <v>252</v>
      </c>
      <c r="R178" s="896" t="s">
        <v>591</v>
      </c>
      <c r="S178" s="897" t="s">
        <v>592</v>
      </c>
      <c r="T178" s="129"/>
      <c r="U178" s="129"/>
      <c r="V178" s="129"/>
      <c r="W178" s="129"/>
      <c r="X178" s="129"/>
      <c r="Y178" s="129"/>
      <c r="Z178" s="129"/>
      <c r="AA178" s="129"/>
      <c r="AB178" s="129"/>
      <c r="AC178" s="129"/>
      <c r="AD178" s="129"/>
      <c r="AE178" s="129"/>
      <c r="AF178" s="129"/>
      <c r="AG178" s="129"/>
      <c r="AH178" s="129"/>
      <c r="AI178" s="129"/>
      <c r="AJ178" s="129"/>
      <c r="AK178" s="129"/>
      <c r="AL178" s="129"/>
      <c r="AM178" s="129"/>
      <c r="AN178" s="129"/>
      <c r="AO178" s="129"/>
      <c r="AP178" s="129"/>
      <c r="AQ178" s="129"/>
      <c r="AR178" s="129"/>
      <c r="AS178" s="129"/>
      <c r="AT178" s="129"/>
      <c r="AU178" s="129"/>
      <c r="AV178" s="129"/>
      <c r="AW178" s="129"/>
      <c r="AX178" s="453">
        <v>22138800</v>
      </c>
      <c r="AY178" s="476">
        <v>5000000</v>
      </c>
      <c r="AZ178" s="476">
        <v>5000000</v>
      </c>
      <c r="BA178" s="453"/>
      <c r="BB178" s="453"/>
      <c r="BC178" s="453"/>
      <c r="BD178" s="453"/>
      <c r="BE178" s="453"/>
      <c r="BF178" s="453"/>
      <c r="BG178" s="131">
        <f t="shared" ref="BG178:BI179" si="60">+T178+W178+Z178+AC178+AF178+AI178+AL178+AO178+AR178+AU178+AX178+BA178+BD178</f>
        <v>22138800</v>
      </c>
      <c r="BH178" s="131">
        <f t="shared" si="60"/>
        <v>5000000</v>
      </c>
      <c r="BI178" s="131">
        <f t="shared" si="60"/>
        <v>5000000</v>
      </c>
      <c r="BJ178" s="454"/>
      <c r="BK178" s="454"/>
      <c r="BL178" s="454"/>
      <c r="BM178" s="454"/>
      <c r="BN178" s="454"/>
      <c r="BO178" s="456"/>
      <c r="BP178" s="55"/>
    </row>
    <row r="179" spans="1:68" s="90" customFormat="1" ht="54" customHeight="1" x14ac:dyDescent="0.25">
      <c r="A179" s="91"/>
      <c r="B179" s="478"/>
      <c r="C179" s="207"/>
      <c r="D179" s="477"/>
      <c r="E179" s="725"/>
      <c r="F179" s="145" t="s">
        <v>674</v>
      </c>
      <c r="G179" s="370" t="s">
        <v>506</v>
      </c>
      <c r="H179" s="308">
        <v>3502007</v>
      </c>
      <c r="I179" s="186" t="s">
        <v>680</v>
      </c>
      <c r="J179" s="370" t="s">
        <v>508</v>
      </c>
      <c r="K179" s="370" t="s">
        <v>509</v>
      </c>
      <c r="L179" s="368" t="s">
        <v>510</v>
      </c>
      <c r="M179" s="127" t="s">
        <v>109</v>
      </c>
      <c r="N179" s="219">
        <v>5</v>
      </c>
      <c r="O179" s="718">
        <v>5</v>
      </c>
      <c r="P179" s="719"/>
      <c r="Q179" s="889"/>
      <c r="R179" s="896"/>
      <c r="S179" s="897"/>
      <c r="T179" s="129"/>
      <c r="U179" s="129"/>
      <c r="V179" s="129"/>
      <c r="W179" s="129"/>
      <c r="X179" s="129"/>
      <c r="Y179" s="129"/>
      <c r="Z179" s="129"/>
      <c r="AA179" s="129"/>
      <c r="AB179" s="129"/>
      <c r="AC179" s="129"/>
      <c r="AD179" s="129"/>
      <c r="AE179" s="129"/>
      <c r="AF179" s="129"/>
      <c r="AG179" s="129"/>
      <c r="AH179" s="129"/>
      <c r="AI179" s="129"/>
      <c r="AJ179" s="129"/>
      <c r="AK179" s="129"/>
      <c r="AL179" s="129"/>
      <c r="AM179" s="129"/>
      <c r="AN179" s="129"/>
      <c r="AO179" s="129"/>
      <c r="AP179" s="129"/>
      <c r="AQ179" s="129"/>
      <c r="AR179" s="129"/>
      <c r="AS179" s="129"/>
      <c r="AT179" s="129"/>
      <c r="AU179" s="129"/>
      <c r="AV179" s="129"/>
      <c r="AW179" s="129"/>
      <c r="AX179" s="453">
        <v>17861200</v>
      </c>
      <c r="AY179" s="476"/>
      <c r="AZ179" s="476"/>
      <c r="BA179" s="453"/>
      <c r="BB179" s="453"/>
      <c r="BC179" s="453"/>
      <c r="BD179" s="453"/>
      <c r="BE179" s="453"/>
      <c r="BF179" s="453"/>
      <c r="BG179" s="131">
        <f t="shared" si="60"/>
        <v>17861200</v>
      </c>
      <c r="BH179" s="131">
        <f t="shared" si="60"/>
        <v>0</v>
      </c>
      <c r="BI179" s="131">
        <f t="shared" si="60"/>
        <v>0</v>
      </c>
      <c r="BJ179" s="454"/>
      <c r="BK179" s="454"/>
      <c r="BL179" s="454"/>
      <c r="BM179" s="454"/>
      <c r="BN179" s="454"/>
      <c r="BO179" s="479"/>
    </row>
    <row r="180" spans="1:68" ht="20.25" customHeight="1" x14ac:dyDescent="0.2">
      <c r="A180" s="104"/>
      <c r="B180" s="480">
        <v>3</v>
      </c>
      <c r="C180" s="163" t="s">
        <v>3</v>
      </c>
      <c r="D180" s="164"/>
      <c r="E180" s="95"/>
      <c r="F180" s="96"/>
      <c r="G180" s="97"/>
      <c r="H180" s="98"/>
      <c r="I180" s="99"/>
      <c r="J180" s="100"/>
      <c r="K180" s="100"/>
      <c r="L180" s="99"/>
      <c r="M180" s="101"/>
      <c r="N180" s="102"/>
      <c r="O180" s="97"/>
      <c r="P180" s="97"/>
      <c r="Q180" s="95"/>
      <c r="R180" s="95"/>
      <c r="S180" s="99"/>
      <c r="T180" s="103">
        <f>+T181+T183+T189+T191+T193</f>
        <v>0</v>
      </c>
      <c r="U180" s="103"/>
      <c r="V180" s="103"/>
      <c r="W180" s="103">
        <f>+W181+W183+W189+W191+W193</f>
        <v>0</v>
      </c>
      <c r="X180" s="103"/>
      <c r="Y180" s="103"/>
      <c r="Z180" s="103">
        <f>+Z181+Z183+Z189+Z191+Z193</f>
        <v>0</v>
      </c>
      <c r="AA180" s="103"/>
      <c r="AB180" s="103"/>
      <c r="AC180" s="103">
        <f>+AC181+AC183+AC189+AC191+AC193</f>
        <v>0</v>
      </c>
      <c r="AD180" s="103"/>
      <c r="AE180" s="103"/>
      <c r="AF180" s="103">
        <f>+AF181+AF183+AF189+AF191+AF193</f>
        <v>0</v>
      </c>
      <c r="AG180" s="103"/>
      <c r="AH180" s="103"/>
      <c r="AI180" s="103">
        <f>+AI181+AI183+AI189+AI191+AI193</f>
        <v>0</v>
      </c>
      <c r="AJ180" s="103"/>
      <c r="AK180" s="103"/>
      <c r="AL180" s="103">
        <f>+AL181+AL183+AL189+AL191+AL193</f>
        <v>0</v>
      </c>
      <c r="AM180" s="103"/>
      <c r="AN180" s="103"/>
      <c r="AO180" s="103">
        <f>+AO181+AO183+AO189+AO191+AO193</f>
        <v>0</v>
      </c>
      <c r="AP180" s="103"/>
      <c r="AQ180" s="103"/>
      <c r="AR180" s="103">
        <f>+AR181+AR183+AR189+AR191+AR193</f>
        <v>0</v>
      </c>
      <c r="AS180" s="103"/>
      <c r="AT180" s="103"/>
      <c r="AU180" s="103">
        <f>+AU181+AU183+AU189+AU191+AU193</f>
        <v>0</v>
      </c>
      <c r="AV180" s="103"/>
      <c r="AW180" s="103"/>
      <c r="AX180" s="103">
        <f>+AX181+AX183+AX189+AX191+AX193</f>
        <v>1528870927.25</v>
      </c>
      <c r="AY180" s="103">
        <f>+AY181+AY183+AY189+AY191+AY193</f>
        <v>98699999</v>
      </c>
      <c r="AZ180" s="103">
        <f>+AZ181+AZ183+AZ189+AZ191+AZ193</f>
        <v>78299999</v>
      </c>
      <c r="BA180" s="103">
        <f>+BA181+BA183+BA189+BA191+BA193</f>
        <v>0</v>
      </c>
      <c r="BB180" s="103"/>
      <c r="BC180" s="103"/>
      <c r="BD180" s="103">
        <f>+BD181+BD183+BD189+BD191+BD193</f>
        <v>0</v>
      </c>
      <c r="BE180" s="103"/>
      <c r="BF180" s="103"/>
      <c r="BG180" s="481">
        <f>+BG181+BG183+BG189+BG191+BG193</f>
        <v>1528870927.25</v>
      </c>
      <c r="BH180" s="481">
        <f>+BH181+BH183+BH189+BH191+BH193</f>
        <v>98699999</v>
      </c>
      <c r="BI180" s="481">
        <f>+BI181+BI183+BI189+BI191+BI193</f>
        <v>78299999</v>
      </c>
      <c r="BJ180" s="450"/>
      <c r="BK180" s="450"/>
      <c r="BL180" s="450"/>
      <c r="BM180" s="450"/>
      <c r="BN180" s="450"/>
      <c r="BO180" s="451"/>
    </row>
    <row r="181" spans="1:68" ht="19.5" customHeight="1" x14ac:dyDescent="0.2">
      <c r="A181" s="104"/>
      <c r="B181" s="105"/>
      <c r="C181" s="388">
        <v>20</v>
      </c>
      <c r="D181" s="253" t="s">
        <v>681</v>
      </c>
      <c r="E181" s="108" t="s">
        <v>682</v>
      </c>
      <c r="F181" s="109"/>
      <c r="G181" s="110"/>
      <c r="H181" s="111"/>
      <c r="I181" s="112"/>
      <c r="J181" s="113"/>
      <c r="K181" s="113"/>
      <c r="L181" s="112"/>
      <c r="M181" s="114"/>
      <c r="N181" s="115"/>
      <c r="O181" s="110"/>
      <c r="P181" s="110"/>
      <c r="Q181" s="116"/>
      <c r="R181" s="116"/>
      <c r="S181" s="112"/>
      <c r="T181" s="117">
        <f>SUM(T182:T182)</f>
        <v>0</v>
      </c>
      <c r="U181" s="117"/>
      <c r="V181" s="117"/>
      <c r="W181" s="117">
        <f>SUM(W182:W182)</f>
        <v>0</v>
      </c>
      <c r="X181" s="117"/>
      <c r="Y181" s="117"/>
      <c r="Z181" s="117">
        <f>SUM(Z182:Z182)</f>
        <v>0</v>
      </c>
      <c r="AA181" s="117"/>
      <c r="AB181" s="117"/>
      <c r="AC181" s="117">
        <f>SUM(AC182:AC182)</f>
        <v>0</v>
      </c>
      <c r="AD181" s="117"/>
      <c r="AE181" s="117"/>
      <c r="AF181" s="117">
        <f>SUM(AF182:AF182)</f>
        <v>0</v>
      </c>
      <c r="AG181" s="117"/>
      <c r="AH181" s="117"/>
      <c r="AI181" s="117">
        <f>SUM(AI182:AI182)</f>
        <v>0</v>
      </c>
      <c r="AJ181" s="117"/>
      <c r="AK181" s="117"/>
      <c r="AL181" s="117">
        <f>SUM(AL182:AL182)</f>
        <v>0</v>
      </c>
      <c r="AM181" s="117"/>
      <c r="AN181" s="117"/>
      <c r="AO181" s="117">
        <f>SUM(AO182:AO182)</f>
        <v>0</v>
      </c>
      <c r="AP181" s="117"/>
      <c r="AQ181" s="117"/>
      <c r="AR181" s="117">
        <f>SUM(AR182:AR182)</f>
        <v>0</v>
      </c>
      <c r="AS181" s="117"/>
      <c r="AT181" s="117"/>
      <c r="AU181" s="117">
        <f>SUM(AU182:AU182)</f>
        <v>0</v>
      </c>
      <c r="AV181" s="117"/>
      <c r="AW181" s="117"/>
      <c r="AX181" s="117">
        <f>SUM(AX182:AX182)</f>
        <v>40000000</v>
      </c>
      <c r="AY181" s="117">
        <f>SUM(AY182:AY182)</f>
        <v>0</v>
      </c>
      <c r="AZ181" s="117">
        <f>SUM(AZ182:AZ182)</f>
        <v>0</v>
      </c>
      <c r="BA181" s="117">
        <f>SUM(BA182:BA182)</f>
        <v>0</v>
      </c>
      <c r="BB181" s="117"/>
      <c r="BC181" s="117"/>
      <c r="BD181" s="117">
        <f>SUM(BD182:BD182)</f>
        <v>0</v>
      </c>
      <c r="BE181" s="117"/>
      <c r="BF181" s="117"/>
      <c r="BG181" s="465">
        <f>SUM(BG182:BG182)</f>
        <v>40000000</v>
      </c>
      <c r="BH181" s="465">
        <f>SUM(BH182:BH182)</f>
        <v>0</v>
      </c>
      <c r="BI181" s="465">
        <f>SUM(BI182:BI182)</f>
        <v>0</v>
      </c>
      <c r="BJ181" s="450"/>
      <c r="BK181" s="450"/>
      <c r="BL181" s="450"/>
      <c r="BM181" s="450"/>
      <c r="BN181" s="450"/>
      <c r="BO181" s="451"/>
    </row>
    <row r="182" spans="1:68" ht="86.25" customHeight="1" x14ac:dyDescent="0.2">
      <c r="A182" s="104"/>
      <c r="B182" s="118"/>
      <c r="C182" s="482"/>
      <c r="D182" s="483"/>
      <c r="E182" s="484"/>
      <c r="F182" s="145" t="s">
        <v>272</v>
      </c>
      <c r="G182" s="146" t="s">
        <v>683</v>
      </c>
      <c r="H182" s="308">
        <v>3201013</v>
      </c>
      <c r="I182" s="186" t="s">
        <v>684</v>
      </c>
      <c r="J182" s="146" t="s">
        <v>685</v>
      </c>
      <c r="K182" s="291" t="s">
        <v>686</v>
      </c>
      <c r="L182" s="320" t="s">
        <v>687</v>
      </c>
      <c r="M182" s="146" t="s">
        <v>204</v>
      </c>
      <c r="N182" s="146">
        <v>4</v>
      </c>
      <c r="O182" s="146">
        <v>1</v>
      </c>
      <c r="P182" s="372"/>
      <c r="Q182" s="212" t="s">
        <v>688</v>
      </c>
      <c r="R182" s="485" t="s">
        <v>689</v>
      </c>
      <c r="S182" s="186" t="s">
        <v>690</v>
      </c>
      <c r="T182" s="194"/>
      <c r="U182" s="194"/>
      <c r="V182" s="194"/>
      <c r="W182" s="194"/>
      <c r="X182" s="194"/>
      <c r="Y182" s="194"/>
      <c r="Z182" s="194"/>
      <c r="AA182" s="194"/>
      <c r="AB182" s="194"/>
      <c r="AC182" s="194"/>
      <c r="AD182" s="194"/>
      <c r="AE182" s="194"/>
      <c r="AF182" s="194"/>
      <c r="AG182" s="194"/>
      <c r="AH182" s="194"/>
      <c r="AI182" s="194"/>
      <c r="AJ182" s="194"/>
      <c r="AK182" s="194"/>
      <c r="AL182" s="194"/>
      <c r="AM182" s="194"/>
      <c r="AN182" s="194"/>
      <c r="AO182" s="194"/>
      <c r="AP182" s="194"/>
      <c r="AQ182" s="194"/>
      <c r="AR182" s="194"/>
      <c r="AS182" s="194"/>
      <c r="AT182" s="194"/>
      <c r="AU182" s="194"/>
      <c r="AV182" s="194"/>
      <c r="AW182" s="194"/>
      <c r="AX182" s="453">
        <v>40000000</v>
      </c>
      <c r="AY182" s="476"/>
      <c r="AZ182" s="476"/>
      <c r="BA182" s="453"/>
      <c r="BB182" s="453"/>
      <c r="BC182" s="453"/>
      <c r="BD182" s="453"/>
      <c r="BE182" s="453"/>
      <c r="BF182" s="453"/>
      <c r="BG182" s="131">
        <f>+T182+W182+Z182+AC182+AF182+AI182+AL182+AO182+AR182+AU182+AX182+BA182+BD182</f>
        <v>40000000</v>
      </c>
      <c r="BH182" s="131">
        <f>+U182+X182+AA182+AD182+AG182+AJ182+AM182+AP182+AS182+AV182+AY182+BB182+BE182</f>
        <v>0</v>
      </c>
      <c r="BI182" s="131">
        <f>+V182+Y182+AB182+AE182+AH182+AK182+AN182+AQ182+AT182+AW182+AZ182+BC182+BF182</f>
        <v>0</v>
      </c>
      <c r="BJ182" s="486"/>
      <c r="BK182" s="486"/>
      <c r="BL182" s="486"/>
      <c r="BM182" s="486"/>
      <c r="BN182" s="486"/>
      <c r="BO182" s="456"/>
      <c r="BP182" s="55"/>
    </row>
    <row r="183" spans="1:68" ht="21.75" customHeight="1" x14ac:dyDescent="0.2">
      <c r="A183" s="104"/>
      <c r="B183" s="134"/>
      <c r="C183" s="403">
        <v>21</v>
      </c>
      <c r="D183" s="347" t="s">
        <v>270</v>
      </c>
      <c r="E183" s="108" t="s">
        <v>271</v>
      </c>
      <c r="F183" s="109"/>
      <c r="G183" s="110"/>
      <c r="H183" s="111"/>
      <c r="I183" s="112"/>
      <c r="J183" s="113"/>
      <c r="K183" s="113"/>
      <c r="L183" s="112"/>
      <c r="M183" s="114"/>
      <c r="N183" s="115"/>
      <c r="O183" s="110"/>
      <c r="P183" s="110"/>
      <c r="Q183" s="116"/>
      <c r="R183" s="116"/>
      <c r="S183" s="112"/>
      <c r="T183" s="117">
        <f>SUM(T184:T188)</f>
        <v>0</v>
      </c>
      <c r="U183" s="117"/>
      <c r="V183" s="117"/>
      <c r="W183" s="117">
        <f>SUM(W184:W188)</f>
        <v>0</v>
      </c>
      <c r="X183" s="117"/>
      <c r="Y183" s="117"/>
      <c r="Z183" s="117">
        <f>SUM(Z184:Z188)</f>
        <v>0</v>
      </c>
      <c r="AA183" s="117"/>
      <c r="AB183" s="117"/>
      <c r="AC183" s="117">
        <f>SUM(AC184:AC188)</f>
        <v>0</v>
      </c>
      <c r="AD183" s="117"/>
      <c r="AE183" s="117"/>
      <c r="AF183" s="117">
        <f>SUM(AF184:AF188)</f>
        <v>0</v>
      </c>
      <c r="AG183" s="117"/>
      <c r="AH183" s="117"/>
      <c r="AI183" s="117">
        <f>SUM(AI184:AI188)</f>
        <v>0</v>
      </c>
      <c r="AJ183" s="117"/>
      <c r="AK183" s="117"/>
      <c r="AL183" s="117">
        <f>SUM(AL184:AL188)</f>
        <v>0</v>
      </c>
      <c r="AM183" s="117"/>
      <c r="AN183" s="117"/>
      <c r="AO183" s="117">
        <f>SUM(AO184:AO188)</f>
        <v>0</v>
      </c>
      <c r="AP183" s="117"/>
      <c r="AQ183" s="117"/>
      <c r="AR183" s="117">
        <f>SUM(AR184:AR188)</f>
        <v>0</v>
      </c>
      <c r="AS183" s="117"/>
      <c r="AT183" s="117"/>
      <c r="AU183" s="117">
        <f>SUM(AU184:AU188)</f>
        <v>0</v>
      </c>
      <c r="AV183" s="117"/>
      <c r="AW183" s="117"/>
      <c r="AX183" s="117">
        <f>SUM(AX184:AX188)</f>
        <v>1392870927.25</v>
      </c>
      <c r="AY183" s="117">
        <f>SUM(AY184:AY188)</f>
        <v>98699999</v>
      </c>
      <c r="AZ183" s="117">
        <f>SUM(AZ184:AZ188)</f>
        <v>78299999</v>
      </c>
      <c r="BA183" s="117">
        <f>SUM(BA184:BA188)</f>
        <v>0</v>
      </c>
      <c r="BB183" s="117"/>
      <c r="BC183" s="117"/>
      <c r="BD183" s="117">
        <f>SUM(BD184:BD188)</f>
        <v>0</v>
      </c>
      <c r="BE183" s="117"/>
      <c r="BF183" s="117"/>
      <c r="BG183" s="465">
        <f>SUM(BG184:BG188)</f>
        <v>1392870927.25</v>
      </c>
      <c r="BH183" s="465">
        <f>SUM(BH184:BH188)</f>
        <v>98699999</v>
      </c>
      <c r="BI183" s="465">
        <f>SUM(BI184:BI188)</f>
        <v>78299999</v>
      </c>
      <c r="BJ183" s="450"/>
      <c r="BK183" s="450"/>
      <c r="BL183" s="450"/>
      <c r="BM183" s="450"/>
      <c r="BN183" s="450"/>
      <c r="BO183" s="451"/>
    </row>
    <row r="184" spans="1:68" ht="98.25" customHeight="1" x14ac:dyDescent="0.2">
      <c r="A184" s="104"/>
      <c r="B184" s="118"/>
      <c r="C184" s="256"/>
      <c r="D184" s="120"/>
      <c r="E184" s="121"/>
      <c r="F184" s="145" t="s">
        <v>272</v>
      </c>
      <c r="G184" s="146" t="s">
        <v>691</v>
      </c>
      <c r="H184" s="308">
        <v>3202017</v>
      </c>
      <c r="I184" s="186" t="s">
        <v>692</v>
      </c>
      <c r="J184" s="146" t="s">
        <v>693</v>
      </c>
      <c r="K184" s="291" t="s">
        <v>694</v>
      </c>
      <c r="L184" s="320" t="s">
        <v>695</v>
      </c>
      <c r="M184" s="146" t="s">
        <v>109</v>
      </c>
      <c r="N184" s="487">
        <v>1</v>
      </c>
      <c r="O184" s="487">
        <v>1</v>
      </c>
      <c r="P184" s="487"/>
      <c r="Q184" s="488" t="s">
        <v>688</v>
      </c>
      <c r="R184" s="127" t="s">
        <v>696</v>
      </c>
      <c r="S184" s="186" t="s">
        <v>697</v>
      </c>
      <c r="T184" s="129"/>
      <c r="U184" s="129"/>
      <c r="V184" s="129"/>
      <c r="W184" s="129"/>
      <c r="X184" s="129"/>
      <c r="Y184" s="129"/>
      <c r="Z184" s="129"/>
      <c r="AA184" s="129"/>
      <c r="AB184" s="129"/>
      <c r="AC184" s="129"/>
      <c r="AD184" s="129"/>
      <c r="AE184" s="129"/>
      <c r="AF184" s="129"/>
      <c r="AG184" s="129"/>
      <c r="AH184" s="129"/>
      <c r="AI184" s="129"/>
      <c r="AJ184" s="129"/>
      <c r="AK184" s="129"/>
      <c r="AL184" s="129"/>
      <c r="AM184" s="129"/>
      <c r="AN184" s="129"/>
      <c r="AO184" s="129"/>
      <c r="AP184" s="129"/>
      <c r="AQ184" s="129"/>
      <c r="AR184" s="129"/>
      <c r="AS184" s="129"/>
      <c r="AT184" s="129"/>
      <c r="AU184" s="129"/>
      <c r="AV184" s="129"/>
      <c r="AW184" s="129"/>
      <c r="AX184" s="453">
        <v>80000000</v>
      </c>
      <c r="AY184" s="476">
        <v>29533333</v>
      </c>
      <c r="AZ184" s="476">
        <v>22333333</v>
      </c>
      <c r="BA184" s="453"/>
      <c r="BB184" s="453"/>
      <c r="BC184" s="453"/>
      <c r="BD184" s="453"/>
      <c r="BE184" s="453"/>
      <c r="BF184" s="453"/>
      <c r="BG184" s="131">
        <f t="shared" ref="BG184:BI188" si="61">+T184+W184+Z184+AC184+AF184+AI184+AL184+AO184+AR184+AU184+AX184+BA184+BD184</f>
        <v>80000000</v>
      </c>
      <c r="BH184" s="131">
        <f t="shared" si="61"/>
        <v>29533333</v>
      </c>
      <c r="BI184" s="131">
        <f t="shared" si="61"/>
        <v>22333333</v>
      </c>
      <c r="BJ184" s="454"/>
      <c r="BK184" s="455"/>
      <c r="BL184" s="455"/>
      <c r="BM184" s="455"/>
      <c r="BN184" s="455"/>
      <c r="BO184" s="456"/>
      <c r="BP184" s="55"/>
    </row>
    <row r="185" spans="1:68" ht="66" customHeight="1" x14ac:dyDescent="0.2">
      <c r="A185" s="104"/>
      <c r="B185" s="118"/>
      <c r="C185" s="255"/>
      <c r="D185" s="323"/>
      <c r="E185" s="724"/>
      <c r="F185" s="145" t="s">
        <v>272</v>
      </c>
      <c r="G185" s="146" t="s">
        <v>698</v>
      </c>
      <c r="H185" s="308">
        <v>3202037</v>
      </c>
      <c r="I185" s="186" t="s">
        <v>699</v>
      </c>
      <c r="J185" s="146" t="s">
        <v>700</v>
      </c>
      <c r="K185" s="291" t="s">
        <v>701</v>
      </c>
      <c r="L185" s="320" t="s">
        <v>702</v>
      </c>
      <c r="M185" s="146" t="s">
        <v>204</v>
      </c>
      <c r="N185" s="487">
        <v>200</v>
      </c>
      <c r="O185" s="146">
        <v>30</v>
      </c>
      <c r="P185" s="146"/>
      <c r="Q185" s="887" t="s">
        <v>688</v>
      </c>
      <c r="R185" s="896" t="s">
        <v>703</v>
      </c>
      <c r="S185" s="897" t="s">
        <v>704</v>
      </c>
      <c r="T185" s="129"/>
      <c r="U185" s="129"/>
      <c r="V185" s="129"/>
      <c r="W185" s="129"/>
      <c r="X185" s="129"/>
      <c r="Y185" s="129"/>
      <c r="Z185" s="129"/>
      <c r="AA185" s="129"/>
      <c r="AB185" s="129"/>
      <c r="AC185" s="129"/>
      <c r="AD185" s="129"/>
      <c r="AE185" s="129"/>
      <c r="AF185" s="129"/>
      <c r="AG185" s="129"/>
      <c r="AH185" s="129"/>
      <c r="AI185" s="129"/>
      <c r="AJ185" s="129"/>
      <c r="AK185" s="129"/>
      <c r="AL185" s="129"/>
      <c r="AM185" s="129"/>
      <c r="AN185" s="129"/>
      <c r="AO185" s="129"/>
      <c r="AP185" s="129"/>
      <c r="AQ185" s="129"/>
      <c r="AR185" s="129"/>
      <c r="AS185" s="129"/>
      <c r="AT185" s="129"/>
      <c r="AU185" s="129"/>
      <c r="AV185" s="129"/>
      <c r="AW185" s="129"/>
      <c r="AX185" s="453">
        <v>128662000</v>
      </c>
      <c r="AY185" s="476">
        <v>48666666</v>
      </c>
      <c r="AZ185" s="476">
        <v>38466666</v>
      </c>
      <c r="BA185" s="453"/>
      <c r="BB185" s="453"/>
      <c r="BC185" s="453"/>
      <c r="BD185" s="453"/>
      <c r="BE185" s="453"/>
      <c r="BF185" s="453"/>
      <c r="BG185" s="131">
        <f t="shared" si="61"/>
        <v>128662000</v>
      </c>
      <c r="BH185" s="131">
        <f t="shared" si="61"/>
        <v>48666666</v>
      </c>
      <c r="BI185" s="131">
        <f t="shared" si="61"/>
        <v>38466666</v>
      </c>
      <c r="BJ185" s="454"/>
      <c r="BK185" s="455"/>
      <c r="BL185" s="455"/>
      <c r="BM185" s="455"/>
      <c r="BN185" s="455"/>
      <c r="BO185" s="456"/>
      <c r="BP185" s="55"/>
    </row>
    <row r="186" spans="1:68" ht="86.25" customHeight="1" x14ac:dyDescent="0.2">
      <c r="A186" s="104"/>
      <c r="B186" s="118"/>
      <c r="C186" s="255"/>
      <c r="D186" s="323"/>
      <c r="E186" s="725"/>
      <c r="F186" s="145" t="s">
        <v>272</v>
      </c>
      <c r="G186" s="146" t="s">
        <v>705</v>
      </c>
      <c r="H186" s="193" t="s">
        <v>706</v>
      </c>
      <c r="I186" s="186" t="s">
        <v>707</v>
      </c>
      <c r="J186" s="146" t="s">
        <v>708</v>
      </c>
      <c r="K186" s="146" t="s">
        <v>102</v>
      </c>
      <c r="L186" s="320" t="s">
        <v>709</v>
      </c>
      <c r="M186" s="146" t="s">
        <v>204</v>
      </c>
      <c r="N186" s="216">
        <v>200</v>
      </c>
      <c r="O186" s="146">
        <v>20</v>
      </c>
      <c r="P186" s="146"/>
      <c r="Q186" s="888"/>
      <c r="R186" s="896"/>
      <c r="S186" s="897"/>
      <c r="T186" s="129"/>
      <c r="U186" s="129"/>
      <c r="V186" s="129"/>
      <c r="W186" s="129"/>
      <c r="X186" s="129"/>
      <c r="Y186" s="129"/>
      <c r="Z186" s="129"/>
      <c r="AA186" s="129"/>
      <c r="AB186" s="129"/>
      <c r="AC186" s="129"/>
      <c r="AD186" s="129"/>
      <c r="AE186" s="129"/>
      <c r="AF186" s="129"/>
      <c r="AG186" s="129"/>
      <c r="AH186" s="129"/>
      <c r="AI186" s="129"/>
      <c r="AJ186" s="129"/>
      <c r="AK186" s="129"/>
      <c r="AL186" s="129"/>
      <c r="AM186" s="129"/>
      <c r="AN186" s="129"/>
      <c r="AO186" s="129"/>
      <c r="AP186" s="129"/>
      <c r="AQ186" s="129"/>
      <c r="AR186" s="129"/>
      <c r="AS186" s="129"/>
      <c r="AT186" s="129"/>
      <c r="AU186" s="129"/>
      <c r="AV186" s="129"/>
      <c r="AW186" s="129"/>
      <c r="AX186" s="453">
        <f>1114208927.55-0.3</f>
        <v>1114208927.25</v>
      </c>
      <c r="AY186" s="476"/>
      <c r="AZ186" s="476"/>
      <c r="BA186" s="453"/>
      <c r="BB186" s="453"/>
      <c r="BC186" s="453"/>
      <c r="BD186" s="453"/>
      <c r="BE186" s="453"/>
      <c r="BF186" s="453"/>
      <c r="BG186" s="131">
        <f t="shared" si="61"/>
        <v>1114208927.25</v>
      </c>
      <c r="BH186" s="131">
        <f t="shared" si="61"/>
        <v>0</v>
      </c>
      <c r="BI186" s="131">
        <f t="shared" si="61"/>
        <v>0</v>
      </c>
      <c r="BJ186" s="454"/>
      <c r="BK186" s="455"/>
      <c r="BL186" s="455"/>
      <c r="BM186" s="455"/>
      <c r="BN186" s="455"/>
      <c r="BO186" s="456"/>
      <c r="BP186" s="55"/>
    </row>
    <row r="187" spans="1:68" ht="86.25" customHeight="1" x14ac:dyDescent="0.2">
      <c r="A187" s="104"/>
      <c r="B187" s="118"/>
      <c r="C187" s="255"/>
      <c r="D187" s="323"/>
      <c r="E187" s="724"/>
      <c r="F187" s="145" t="s">
        <v>272</v>
      </c>
      <c r="G187" s="146" t="s">
        <v>710</v>
      </c>
      <c r="H187" s="124" t="s">
        <v>706</v>
      </c>
      <c r="I187" s="186" t="s">
        <v>711</v>
      </c>
      <c r="J187" s="146" t="s">
        <v>712</v>
      </c>
      <c r="K187" s="146" t="s">
        <v>102</v>
      </c>
      <c r="L187" s="320" t="s">
        <v>713</v>
      </c>
      <c r="M187" s="146" t="s">
        <v>109</v>
      </c>
      <c r="N187" s="216">
        <v>1</v>
      </c>
      <c r="O187" s="216">
        <v>1</v>
      </c>
      <c r="P187" s="216"/>
      <c r="Q187" s="488" t="s">
        <v>688</v>
      </c>
      <c r="R187" s="127" t="s">
        <v>714</v>
      </c>
      <c r="S187" s="186" t="s">
        <v>715</v>
      </c>
      <c r="T187" s="129"/>
      <c r="U187" s="129"/>
      <c r="V187" s="129"/>
      <c r="W187" s="129"/>
      <c r="X187" s="129"/>
      <c r="Y187" s="129"/>
      <c r="Z187" s="129"/>
      <c r="AA187" s="129"/>
      <c r="AB187" s="129"/>
      <c r="AC187" s="129"/>
      <c r="AD187" s="129"/>
      <c r="AE187" s="129"/>
      <c r="AF187" s="129"/>
      <c r="AG187" s="129"/>
      <c r="AH187" s="129"/>
      <c r="AI187" s="129"/>
      <c r="AJ187" s="129"/>
      <c r="AK187" s="129"/>
      <c r="AL187" s="129"/>
      <c r="AM187" s="129"/>
      <c r="AN187" s="129"/>
      <c r="AO187" s="129"/>
      <c r="AP187" s="129"/>
      <c r="AQ187" s="129"/>
      <c r="AR187" s="129"/>
      <c r="AS187" s="129"/>
      <c r="AT187" s="129"/>
      <c r="AU187" s="129"/>
      <c r="AV187" s="129"/>
      <c r="AW187" s="129"/>
      <c r="AX187" s="453">
        <v>30000000</v>
      </c>
      <c r="AY187" s="476"/>
      <c r="AZ187" s="476"/>
      <c r="BA187" s="453"/>
      <c r="BB187" s="453"/>
      <c r="BC187" s="453"/>
      <c r="BD187" s="453"/>
      <c r="BE187" s="453"/>
      <c r="BF187" s="453"/>
      <c r="BG187" s="131">
        <f t="shared" si="61"/>
        <v>30000000</v>
      </c>
      <c r="BH187" s="131">
        <f t="shared" si="61"/>
        <v>0</v>
      </c>
      <c r="BI187" s="131">
        <f t="shared" si="61"/>
        <v>0</v>
      </c>
      <c r="BJ187" s="454"/>
      <c r="BK187" s="455"/>
      <c r="BL187" s="455"/>
      <c r="BM187" s="455"/>
      <c r="BN187" s="455"/>
      <c r="BO187" s="456"/>
      <c r="BP187" s="55"/>
    </row>
    <row r="188" spans="1:68" ht="86.25" customHeight="1" x14ac:dyDescent="0.2">
      <c r="A188" s="104"/>
      <c r="B188" s="118"/>
      <c r="C188" s="263"/>
      <c r="D188" s="132"/>
      <c r="E188" s="725"/>
      <c r="F188" s="145" t="s">
        <v>272</v>
      </c>
      <c r="G188" s="146" t="s">
        <v>716</v>
      </c>
      <c r="H188" s="124" t="s">
        <v>706</v>
      </c>
      <c r="I188" s="186" t="s">
        <v>717</v>
      </c>
      <c r="J188" s="146" t="s">
        <v>718</v>
      </c>
      <c r="K188" s="146" t="s">
        <v>102</v>
      </c>
      <c r="L188" s="320" t="s">
        <v>719</v>
      </c>
      <c r="M188" s="146" t="s">
        <v>204</v>
      </c>
      <c r="N188" s="216">
        <v>4</v>
      </c>
      <c r="O188" s="216">
        <v>1</v>
      </c>
      <c r="P188" s="216"/>
      <c r="Q188" s="488" t="s">
        <v>688</v>
      </c>
      <c r="R188" s="127" t="s">
        <v>720</v>
      </c>
      <c r="S188" s="186" t="s">
        <v>721</v>
      </c>
      <c r="T188" s="129"/>
      <c r="U188" s="129"/>
      <c r="V188" s="129"/>
      <c r="W188" s="129"/>
      <c r="X188" s="129"/>
      <c r="Y188" s="129"/>
      <c r="Z188" s="129"/>
      <c r="AA188" s="129"/>
      <c r="AB188" s="129"/>
      <c r="AC188" s="129"/>
      <c r="AD188" s="129"/>
      <c r="AE188" s="129"/>
      <c r="AF188" s="129"/>
      <c r="AG188" s="129"/>
      <c r="AH188" s="129"/>
      <c r="AI188" s="129"/>
      <c r="AJ188" s="129"/>
      <c r="AK188" s="129"/>
      <c r="AL188" s="129"/>
      <c r="AM188" s="129"/>
      <c r="AN188" s="129"/>
      <c r="AO188" s="129"/>
      <c r="AP188" s="129"/>
      <c r="AQ188" s="129"/>
      <c r="AR188" s="129"/>
      <c r="AS188" s="129"/>
      <c r="AT188" s="129"/>
      <c r="AU188" s="129"/>
      <c r="AV188" s="129"/>
      <c r="AW188" s="129"/>
      <c r="AX188" s="453">
        <v>40000000</v>
      </c>
      <c r="AY188" s="476">
        <v>20500000</v>
      </c>
      <c r="AZ188" s="476">
        <v>17500000</v>
      </c>
      <c r="BA188" s="453"/>
      <c r="BB188" s="453"/>
      <c r="BC188" s="453"/>
      <c r="BD188" s="453"/>
      <c r="BE188" s="453"/>
      <c r="BF188" s="453"/>
      <c r="BG188" s="131">
        <f t="shared" si="61"/>
        <v>40000000</v>
      </c>
      <c r="BH188" s="131">
        <f t="shared" si="61"/>
        <v>20500000</v>
      </c>
      <c r="BI188" s="131">
        <f t="shared" si="61"/>
        <v>17500000</v>
      </c>
      <c r="BJ188" s="454"/>
      <c r="BK188" s="455"/>
      <c r="BL188" s="455"/>
      <c r="BM188" s="455"/>
      <c r="BN188" s="455"/>
      <c r="BO188" s="456"/>
      <c r="BP188" s="55"/>
    </row>
    <row r="189" spans="1:68" ht="21" customHeight="1" x14ac:dyDescent="0.2">
      <c r="A189" s="104"/>
      <c r="B189" s="134"/>
      <c r="C189" s="403">
        <v>22</v>
      </c>
      <c r="D189" s="489" t="s">
        <v>722</v>
      </c>
      <c r="E189" s="108" t="s">
        <v>723</v>
      </c>
      <c r="F189" s="109"/>
      <c r="G189" s="110"/>
      <c r="H189" s="111"/>
      <c r="I189" s="112"/>
      <c r="J189" s="113"/>
      <c r="K189" s="113"/>
      <c r="L189" s="112"/>
      <c r="M189" s="114"/>
      <c r="N189" s="115"/>
      <c r="O189" s="110"/>
      <c r="P189" s="110"/>
      <c r="Q189" s="116"/>
      <c r="R189" s="116"/>
      <c r="S189" s="112"/>
      <c r="T189" s="117">
        <f>SUM(T190:T190)</f>
        <v>0</v>
      </c>
      <c r="U189" s="117"/>
      <c r="V189" s="117"/>
      <c r="W189" s="117">
        <f>SUM(W190:W190)</f>
        <v>0</v>
      </c>
      <c r="X189" s="117"/>
      <c r="Y189" s="117"/>
      <c r="Z189" s="117">
        <f>SUM(Z190:Z190)</f>
        <v>0</v>
      </c>
      <c r="AA189" s="117"/>
      <c r="AB189" s="117"/>
      <c r="AC189" s="117">
        <f>SUM(AC190:AC190)</f>
        <v>0</v>
      </c>
      <c r="AD189" s="117"/>
      <c r="AE189" s="117"/>
      <c r="AF189" s="117">
        <f>SUM(AF190:AF190)</f>
        <v>0</v>
      </c>
      <c r="AG189" s="117"/>
      <c r="AH189" s="117"/>
      <c r="AI189" s="117">
        <f>SUM(AI190:AI190)</f>
        <v>0</v>
      </c>
      <c r="AJ189" s="117"/>
      <c r="AK189" s="117"/>
      <c r="AL189" s="117">
        <f>SUM(AL190:AL190)</f>
        <v>0</v>
      </c>
      <c r="AM189" s="117"/>
      <c r="AN189" s="117"/>
      <c r="AO189" s="117">
        <f>SUM(AO190:AO190)</f>
        <v>0</v>
      </c>
      <c r="AP189" s="117"/>
      <c r="AQ189" s="117"/>
      <c r="AR189" s="117">
        <f>SUM(AR190:AR190)</f>
        <v>0</v>
      </c>
      <c r="AS189" s="117"/>
      <c r="AT189" s="117"/>
      <c r="AU189" s="117">
        <f>SUM(AU190:AU190)</f>
        <v>0</v>
      </c>
      <c r="AV189" s="117"/>
      <c r="AW189" s="117"/>
      <c r="AX189" s="117">
        <f>SUM(AX190:AX190)</f>
        <v>26000000</v>
      </c>
      <c r="AY189" s="117">
        <f>SUM(AY190:AY190)</f>
        <v>0</v>
      </c>
      <c r="AZ189" s="117">
        <f>SUM(AZ190:AZ190)</f>
        <v>0</v>
      </c>
      <c r="BA189" s="117">
        <f>SUM(BA190:BA190)</f>
        <v>0</v>
      </c>
      <c r="BB189" s="117"/>
      <c r="BC189" s="117"/>
      <c r="BD189" s="117">
        <f>SUM(BD190:BD190)</f>
        <v>0</v>
      </c>
      <c r="BE189" s="117"/>
      <c r="BF189" s="117"/>
      <c r="BG189" s="465">
        <f>SUM(BG190:BG190)</f>
        <v>26000000</v>
      </c>
      <c r="BH189" s="465">
        <f>SUM(BH190:BH190)</f>
        <v>0</v>
      </c>
      <c r="BI189" s="465">
        <f>SUM(BI190:BI190)</f>
        <v>0</v>
      </c>
      <c r="BJ189" s="450"/>
      <c r="BK189" s="450"/>
      <c r="BL189" s="450"/>
      <c r="BM189" s="450"/>
      <c r="BN189" s="450"/>
      <c r="BO189" s="451"/>
    </row>
    <row r="190" spans="1:68" ht="62.25" customHeight="1" x14ac:dyDescent="0.2">
      <c r="A190" s="104"/>
      <c r="B190" s="118"/>
      <c r="C190" s="295"/>
      <c r="D190" s="144"/>
      <c r="E190" s="121"/>
      <c r="F190" s="145" t="s">
        <v>272</v>
      </c>
      <c r="G190" s="146" t="s">
        <v>724</v>
      </c>
      <c r="H190" s="308">
        <v>3204012</v>
      </c>
      <c r="I190" s="186" t="s">
        <v>725</v>
      </c>
      <c r="J190" s="146" t="s">
        <v>726</v>
      </c>
      <c r="K190" s="291" t="s">
        <v>727</v>
      </c>
      <c r="L190" s="320" t="s">
        <v>728</v>
      </c>
      <c r="M190" s="146" t="s">
        <v>204</v>
      </c>
      <c r="N190" s="487">
        <v>12</v>
      </c>
      <c r="O190" s="146">
        <v>3</v>
      </c>
      <c r="P190" s="372"/>
      <c r="Q190" s="212" t="s">
        <v>688</v>
      </c>
      <c r="R190" s="127" t="s">
        <v>729</v>
      </c>
      <c r="S190" s="186" t="s">
        <v>730</v>
      </c>
      <c r="T190" s="129"/>
      <c r="U190" s="129"/>
      <c r="V190" s="129"/>
      <c r="W190" s="129"/>
      <c r="X190" s="129"/>
      <c r="Y190" s="129"/>
      <c r="Z190" s="129"/>
      <c r="AA190" s="129"/>
      <c r="AB190" s="129"/>
      <c r="AC190" s="129"/>
      <c r="AD190" s="129"/>
      <c r="AE190" s="129"/>
      <c r="AF190" s="129"/>
      <c r="AG190" s="129"/>
      <c r="AH190" s="129"/>
      <c r="AI190" s="129"/>
      <c r="AJ190" s="129"/>
      <c r="AK190" s="129"/>
      <c r="AL190" s="129"/>
      <c r="AM190" s="129"/>
      <c r="AN190" s="129"/>
      <c r="AO190" s="129"/>
      <c r="AP190" s="129"/>
      <c r="AQ190" s="129"/>
      <c r="AR190" s="129"/>
      <c r="AS190" s="129"/>
      <c r="AT190" s="129"/>
      <c r="AU190" s="129"/>
      <c r="AV190" s="129"/>
      <c r="AW190" s="129"/>
      <c r="AX190" s="453">
        <v>26000000</v>
      </c>
      <c r="AY190" s="476"/>
      <c r="AZ190" s="476"/>
      <c r="BA190" s="453"/>
      <c r="BB190" s="453"/>
      <c r="BC190" s="453"/>
      <c r="BD190" s="453"/>
      <c r="BE190" s="453"/>
      <c r="BF190" s="453"/>
      <c r="BG190" s="131">
        <f>+T190+W190+Z190+AC190+AF190+AI190+AL190+AO190+AR190+AU190+AX190+BA190+BD190</f>
        <v>26000000</v>
      </c>
      <c r="BH190" s="131">
        <f>+U190+X190+AA190+AD190+AG190+AJ190+AM190+AP190+AS190+AV190+AY190+BB190+BE190</f>
        <v>0</v>
      </c>
      <c r="BI190" s="131">
        <f>+V190+Y190+AB190+AE190+AH190+AK190+AN190+AQ190+AT190+AW190+AZ190+BC190+BF190</f>
        <v>0</v>
      </c>
      <c r="BJ190" s="454"/>
      <c r="BK190" s="455"/>
      <c r="BL190" s="455"/>
      <c r="BM190" s="455"/>
      <c r="BN190" s="455"/>
      <c r="BO190" s="456"/>
      <c r="BP190" s="55"/>
    </row>
    <row r="191" spans="1:68" ht="23.25" customHeight="1" x14ac:dyDescent="0.2">
      <c r="A191" s="104"/>
      <c r="B191" s="134"/>
      <c r="C191" s="403">
        <v>23</v>
      </c>
      <c r="D191" s="489">
        <v>3205</v>
      </c>
      <c r="E191" s="108" t="s">
        <v>276</v>
      </c>
      <c r="F191" s="109"/>
      <c r="G191" s="110"/>
      <c r="H191" s="111"/>
      <c r="I191" s="112"/>
      <c r="J191" s="113"/>
      <c r="K191" s="113"/>
      <c r="L191" s="112"/>
      <c r="M191" s="114"/>
      <c r="N191" s="115"/>
      <c r="O191" s="110"/>
      <c r="P191" s="110"/>
      <c r="Q191" s="116"/>
      <c r="R191" s="116"/>
      <c r="S191" s="112"/>
      <c r="T191" s="117">
        <f>SUM(T192:T192)</f>
        <v>0</v>
      </c>
      <c r="U191" s="117"/>
      <c r="V191" s="117"/>
      <c r="W191" s="117">
        <f>SUM(W192:W192)</f>
        <v>0</v>
      </c>
      <c r="X191" s="117"/>
      <c r="Y191" s="117"/>
      <c r="Z191" s="117">
        <f>SUM(Z192:Z192)</f>
        <v>0</v>
      </c>
      <c r="AA191" s="117"/>
      <c r="AB191" s="117"/>
      <c r="AC191" s="117">
        <f>SUM(AC192:AC192)</f>
        <v>0</v>
      </c>
      <c r="AD191" s="117"/>
      <c r="AE191" s="117"/>
      <c r="AF191" s="117">
        <f>SUM(AF192:AF192)</f>
        <v>0</v>
      </c>
      <c r="AG191" s="117"/>
      <c r="AH191" s="117"/>
      <c r="AI191" s="117">
        <f>SUM(AI192:AI192)</f>
        <v>0</v>
      </c>
      <c r="AJ191" s="117"/>
      <c r="AK191" s="117"/>
      <c r="AL191" s="117">
        <f>SUM(AL192:AL192)</f>
        <v>0</v>
      </c>
      <c r="AM191" s="117"/>
      <c r="AN191" s="117"/>
      <c r="AO191" s="117">
        <f>SUM(AO192:AO192)</f>
        <v>0</v>
      </c>
      <c r="AP191" s="117"/>
      <c r="AQ191" s="117"/>
      <c r="AR191" s="117">
        <f>SUM(AR192:AR192)</f>
        <v>0</v>
      </c>
      <c r="AS191" s="117"/>
      <c r="AT191" s="117"/>
      <c r="AU191" s="117">
        <f>SUM(AU192:AU192)</f>
        <v>0</v>
      </c>
      <c r="AV191" s="117"/>
      <c r="AW191" s="117"/>
      <c r="AX191" s="117">
        <f>SUM(AX192:AX192)</f>
        <v>50000000</v>
      </c>
      <c r="AY191" s="117">
        <f>SUM(AY192:AY192)</f>
        <v>0</v>
      </c>
      <c r="AZ191" s="117">
        <f>SUM(AZ192:AZ192)</f>
        <v>0</v>
      </c>
      <c r="BA191" s="117">
        <f>SUM(BA192:BA192)</f>
        <v>0</v>
      </c>
      <c r="BB191" s="117"/>
      <c r="BC191" s="117"/>
      <c r="BD191" s="117">
        <f>SUM(BD192:BD192)</f>
        <v>0</v>
      </c>
      <c r="BE191" s="117"/>
      <c r="BF191" s="117"/>
      <c r="BG191" s="465">
        <f>SUM(BG192:BG192)</f>
        <v>50000000</v>
      </c>
      <c r="BH191" s="465">
        <f>SUM(BH192:BH192)</f>
        <v>0</v>
      </c>
      <c r="BI191" s="465">
        <f>SUM(BI192:BI192)</f>
        <v>0</v>
      </c>
      <c r="BJ191" s="450"/>
      <c r="BK191" s="450"/>
      <c r="BL191" s="450"/>
      <c r="BM191" s="450"/>
      <c r="BN191" s="450"/>
      <c r="BO191" s="451"/>
    </row>
    <row r="192" spans="1:68" ht="63" customHeight="1" x14ac:dyDescent="0.2">
      <c r="A192" s="104"/>
      <c r="B192" s="118"/>
      <c r="C192" s="295"/>
      <c r="D192" s="144"/>
      <c r="E192" s="121"/>
      <c r="F192" s="145" t="s">
        <v>272</v>
      </c>
      <c r="G192" s="124">
        <v>23.3</v>
      </c>
      <c r="H192" s="308">
        <v>3205010</v>
      </c>
      <c r="I192" s="186" t="s">
        <v>731</v>
      </c>
      <c r="J192" s="127" t="s">
        <v>732</v>
      </c>
      <c r="K192" s="127" t="s">
        <v>733</v>
      </c>
      <c r="L192" s="186" t="s">
        <v>734</v>
      </c>
      <c r="M192" s="124" t="s">
        <v>204</v>
      </c>
      <c r="N192" s="124">
        <v>4</v>
      </c>
      <c r="O192" s="719">
        <v>1</v>
      </c>
      <c r="P192" s="124"/>
      <c r="Q192" s="488" t="s">
        <v>735</v>
      </c>
      <c r="R192" s="127" t="s">
        <v>720</v>
      </c>
      <c r="S192" s="186" t="s">
        <v>721</v>
      </c>
      <c r="T192" s="129"/>
      <c r="U192" s="129"/>
      <c r="V192" s="129"/>
      <c r="W192" s="129"/>
      <c r="X192" s="129"/>
      <c r="Y192" s="129"/>
      <c r="Z192" s="129"/>
      <c r="AA192" s="129"/>
      <c r="AB192" s="129"/>
      <c r="AC192" s="129"/>
      <c r="AD192" s="129"/>
      <c r="AE192" s="129"/>
      <c r="AF192" s="129"/>
      <c r="AG192" s="129"/>
      <c r="AH192" s="129"/>
      <c r="AI192" s="129"/>
      <c r="AJ192" s="129"/>
      <c r="AK192" s="129"/>
      <c r="AL192" s="129"/>
      <c r="AM192" s="129"/>
      <c r="AN192" s="129"/>
      <c r="AO192" s="129"/>
      <c r="AP192" s="129"/>
      <c r="AQ192" s="129"/>
      <c r="AR192" s="129"/>
      <c r="AS192" s="129"/>
      <c r="AT192" s="129"/>
      <c r="AU192" s="129"/>
      <c r="AV192" s="129"/>
      <c r="AW192" s="129"/>
      <c r="AX192" s="453">
        <v>50000000</v>
      </c>
      <c r="AY192" s="476"/>
      <c r="AZ192" s="476"/>
      <c r="BA192" s="453"/>
      <c r="BB192" s="453"/>
      <c r="BC192" s="453"/>
      <c r="BD192" s="453"/>
      <c r="BE192" s="453"/>
      <c r="BF192" s="453"/>
      <c r="BG192" s="131">
        <f>+T192+W192+Z192+AC192+AF192+AI192+AL192+AO192+AR192+AU192+AX192+BA192+BD192</f>
        <v>50000000</v>
      </c>
      <c r="BH192" s="131">
        <f>+U192+X192+AA192+AD192+AG192+AJ192+AM192+AP192+AS192+AV192+AY192+BB192+BE192</f>
        <v>0</v>
      </c>
      <c r="BI192" s="131">
        <f>+V192+Y192+AB192+AE192+AH192+AK192+AN192+AQ192+AT192+AW192+AZ192+BC192+BF192</f>
        <v>0</v>
      </c>
      <c r="BJ192" s="454"/>
      <c r="BK192" s="455"/>
      <c r="BL192" s="455"/>
      <c r="BM192" s="455"/>
      <c r="BN192" s="455"/>
      <c r="BO192" s="456"/>
      <c r="BP192" s="55"/>
    </row>
    <row r="193" spans="1:68" ht="21" customHeight="1" x14ac:dyDescent="0.2">
      <c r="A193" s="104"/>
      <c r="B193" s="134"/>
      <c r="C193" s="403">
        <v>24</v>
      </c>
      <c r="D193" s="489" t="s">
        <v>736</v>
      </c>
      <c r="E193" s="108" t="s">
        <v>737</v>
      </c>
      <c r="F193" s="109"/>
      <c r="G193" s="110"/>
      <c r="H193" s="111"/>
      <c r="I193" s="112"/>
      <c r="J193" s="113"/>
      <c r="K193" s="113"/>
      <c r="L193" s="112"/>
      <c r="M193" s="114"/>
      <c r="N193" s="115"/>
      <c r="O193" s="110"/>
      <c r="P193" s="110"/>
      <c r="Q193" s="116"/>
      <c r="R193" s="116"/>
      <c r="S193" s="112"/>
      <c r="T193" s="117">
        <f>SUM(T194:T194)</f>
        <v>0</v>
      </c>
      <c r="U193" s="117"/>
      <c r="V193" s="117"/>
      <c r="W193" s="117">
        <f>SUM(W194:W194)</f>
        <v>0</v>
      </c>
      <c r="X193" s="117"/>
      <c r="Y193" s="117"/>
      <c r="Z193" s="117">
        <f>SUM(Z194:Z194)</f>
        <v>0</v>
      </c>
      <c r="AA193" s="117"/>
      <c r="AB193" s="117"/>
      <c r="AC193" s="117">
        <f>SUM(AC194:AC194)</f>
        <v>0</v>
      </c>
      <c r="AD193" s="117"/>
      <c r="AE193" s="117"/>
      <c r="AF193" s="117">
        <f>SUM(AF194:AF194)</f>
        <v>0</v>
      </c>
      <c r="AG193" s="117"/>
      <c r="AH193" s="117"/>
      <c r="AI193" s="117">
        <f>SUM(AI194:AI194)</f>
        <v>0</v>
      </c>
      <c r="AJ193" s="117"/>
      <c r="AK193" s="117"/>
      <c r="AL193" s="117">
        <f>SUM(AL194:AL194)</f>
        <v>0</v>
      </c>
      <c r="AM193" s="117"/>
      <c r="AN193" s="117"/>
      <c r="AO193" s="117">
        <f>SUM(AO194:AO194)</f>
        <v>0</v>
      </c>
      <c r="AP193" s="117"/>
      <c r="AQ193" s="117"/>
      <c r="AR193" s="117">
        <f>SUM(AR194:AR194)</f>
        <v>0</v>
      </c>
      <c r="AS193" s="117"/>
      <c r="AT193" s="117"/>
      <c r="AU193" s="117">
        <f>SUM(AU194:AU194)</f>
        <v>0</v>
      </c>
      <c r="AV193" s="117"/>
      <c r="AW193" s="117"/>
      <c r="AX193" s="117">
        <f>SUM(AX194:AX194)</f>
        <v>20000000</v>
      </c>
      <c r="AY193" s="117">
        <f>SUM(AY194:AY194)</f>
        <v>0</v>
      </c>
      <c r="AZ193" s="117">
        <f>SUM(AZ194:AZ194)</f>
        <v>0</v>
      </c>
      <c r="BA193" s="117">
        <f>SUM(BA194:BA194)</f>
        <v>0</v>
      </c>
      <c r="BB193" s="117"/>
      <c r="BC193" s="117"/>
      <c r="BD193" s="117">
        <f>SUM(BD194:BD194)</f>
        <v>0</v>
      </c>
      <c r="BE193" s="117"/>
      <c r="BF193" s="117"/>
      <c r="BG193" s="465">
        <f>SUM(BG194:BG194)</f>
        <v>20000000</v>
      </c>
      <c r="BH193" s="465">
        <f>SUM(BH194:BH194)</f>
        <v>0</v>
      </c>
      <c r="BI193" s="465">
        <f>SUM(BI194:BI194)</f>
        <v>0</v>
      </c>
      <c r="BJ193" s="450"/>
      <c r="BK193" s="450"/>
      <c r="BL193" s="450"/>
      <c r="BM193" s="450"/>
      <c r="BN193" s="450"/>
      <c r="BO193" s="451"/>
    </row>
    <row r="194" spans="1:68" ht="78" customHeight="1" x14ac:dyDescent="0.2">
      <c r="A194" s="141"/>
      <c r="B194" s="142"/>
      <c r="C194" s="295"/>
      <c r="D194" s="144"/>
      <c r="E194" s="121"/>
      <c r="F194" s="145" t="s">
        <v>272</v>
      </c>
      <c r="G194" s="146" t="s">
        <v>738</v>
      </c>
      <c r="H194" s="308">
        <v>3206014</v>
      </c>
      <c r="I194" s="186" t="s">
        <v>739</v>
      </c>
      <c r="J194" s="146" t="s">
        <v>740</v>
      </c>
      <c r="K194" s="291" t="s">
        <v>741</v>
      </c>
      <c r="L194" s="320" t="s">
        <v>742</v>
      </c>
      <c r="M194" s="146" t="s">
        <v>204</v>
      </c>
      <c r="N194" s="487">
        <v>6000</v>
      </c>
      <c r="O194" s="146">
        <v>50</v>
      </c>
      <c r="P194" s="146"/>
      <c r="Q194" s="127" t="s">
        <v>688</v>
      </c>
      <c r="R194" s="127" t="s">
        <v>743</v>
      </c>
      <c r="S194" s="186" t="s">
        <v>6</v>
      </c>
      <c r="T194" s="129"/>
      <c r="U194" s="129"/>
      <c r="V194" s="129"/>
      <c r="W194" s="129"/>
      <c r="X194" s="129"/>
      <c r="Y194" s="129"/>
      <c r="Z194" s="129"/>
      <c r="AA194" s="129"/>
      <c r="AB194" s="129"/>
      <c r="AC194" s="129"/>
      <c r="AD194" s="129"/>
      <c r="AE194" s="129"/>
      <c r="AF194" s="129"/>
      <c r="AG194" s="129"/>
      <c r="AH194" s="129"/>
      <c r="AI194" s="129"/>
      <c r="AJ194" s="129"/>
      <c r="AK194" s="129"/>
      <c r="AL194" s="129"/>
      <c r="AM194" s="129"/>
      <c r="AN194" s="129"/>
      <c r="AO194" s="129"/>
      <c r="AP194" s="129"/>
      <c r="AQ194" s="129"/>
      <c r="AR194" s="129"/>
      <c r="AS194" s="129"/>
      <c r="AT194" s="129"/>
      <c r="AU194" s="129"/>
      <c r="AV194" s="129"/>
      <c r="AW194" s="129"/>
      <c r="AX194" s="453">
        <v>20000000</v>
      </c>
      <c r="AY194" s="476"/>
      <c r="AZ194" s="476"/>
      <c r="BA194" s="453"/>
      <c r="BB194" s="453"/>
      <c r="BC194" s="453"/>
      <c r="BD194" s="453"/>
      <c r="BE194" s="453"/>
      <c r="BF194" s="453"/>
      <c r="BG194" s="131">
        <f>+T194+W194+Z194+AC194+AF194+AI194+AL194+AO194+AR194+AU194+AX194+BA194+BD194</f>
        <v>20000000</v>
      </c>
      <c r="BH194" s="131">
        <f>+U194+X194+AA194+AD194+AG194+AJ194+AM194+AP194+AS194+AV194+AY194+BB194+BE194</f>
        <v>0</v>
      </c>
      <c r="BI194" s="131">
        <f>+V194+Y194+AB194+AE194+AH194+AK194+AN194+AQ194+AT194+AW194+AZ194+BC194+BF194</f>
        <v>0</v>
      </c>
      <c r="BJ194" s="454"/>
      <c r="BK194" s="455"/>
      <c r="BL194" s="455"/>
      <c r="BM194" s="455"/>
      <c r="BN194" s="455"/>
      <c r="BO194" s="456"/>
      <c r="BP194" s="55"/>
    </row>
    <row r="195" spans="1:68" ht="33.75" customHeight="1" x14ac:dyDescent="0.2">
      <c r="BG195" s="441"/>
      <c r="BH195" s="441"/>
      <c r="BI195" s="441"/>
    </row>
    <row r="196" spans="1:68" ht="25.5" customHeight="1" x14ac:dyDescent="0.2">
      <c r="A196" s="76" t="s">
        <v>744</v>
      </c>
      <c r="B196" s="77"/>
      <c r="C196" s="78"/>
      <c r="D196" s="79"/>
      <c r="E196" s="80"/>
      <c r="F196" s="81"/>
      <c r="G196" s="82"/>
      <c r="H196" s="83"/>
      <c r="I196" s="84"/>
      <c r="J196" s="85"/>
      <c r="K196" s="85"/>
      <c r="L196" s="84"/>
      <c r="M196" s="160"/>
      <c r="N196" s="83"/>
      <c r="O196" s="82"/>
      <c r="P196" s="82"/>
      <c r="Q196" s="80"/>
      <c r="R196" s="80"/>
      <c r="S196" s="84"/>
      <c r="T196" s="251">
        <f>T197</f>
        <v>0</v>
      </c>
      <c r="U196" s="251"/>
      <c r="V196" s="251"/>
      <c r="W196" s="251">
        <f>W197</f>
        <v>0</v>
      </c>
      <c r="X196" s="251"/>
      <c r="Y196" s="251"/>
      <c r="Z196" s="251">
        <f>Z197</f>
        <v>0</v>
      </c>
      <c r="AA196" s="251"/>
      <c r="AB196" s="251"/>
      <c r="AC196" s="251">
        <f>AC197</f>
        <v>0</v>
      </c>
      <c r="AD196" s="251"/>
      <c r="AE196" s="251"/>
      <c r="AF196" s="251">
        <f>AF197</f>
        <v>0</v>
      </c>
      <c r="AG196" s="251"/>
      <c r="AH196" s="251"/>
      <c r="AI196" s="251">
        <f>AI197</f>
        <v>0</v>
      </c>
      <c r="AJ196" s="251"/>
      <c r="AK196" s="251"/>
      <c r="AL196" s="251">
        <f>AL197</f>
        <v>0</v>
      </c>
      <c r="AM196" s="251"/>
      <c r="AN196" s="251"/>
      <c r="AO196" s="251">
        <f>AO197</f>
        <v>0</v>
      </c>
      <c r="AP196" s="251"/>
      <c r="AQ196" s="251"/>
      <c r="AR196" s="251">
        <f>AR197</f>
        <v>0</v>
      </c>
      <c r="AS196" s="251"/>
      <c r="AT196" s="251"/>
      <c r="AU196" s="251">
        <f>AU197</f>
        <v>0</v>
      </c>
      <c r="AV196" s="251"/>
      <c r="AW196" s="251"/>
      <c r="AX196" s="251">
        <f>AX197</f>
        <v>991267429</v>
      </c>
      <c r="AY196" s="251">
        <f>AY197</f>
        <v>275754000</v>
      </c>
      <c r="AZ196" s="251">
        <f>AZ197</f>
        <v>191841333.32999998</v>
      </c>
      <c r="BA196" s="251">
        <f>BA197</f>
        <v>0</v>
      </c>
      <c r="BB196" s="251"/>
      <c r="BC196" s="251"/>
      <c r="BD196" s="251">
        <f>BD197</f>
        <v>0</v>
      </c>
      <c r="BE196" s="251"/>
      <c r="BF196" s="251"/>
      <c r="BG196" s="251">
        <f>BG197</f>
        <v>991267429</v>
      </c>
      <c r="BH196" s="251">
        <f>BH197</f>
        <v>275754000</v>
      </c>
      <c r="BI196" s="251">
        <f>BI197</f>
        <v>191841333.32999998</v>
      </c>
    </row>
    <row r="197" spans="1:68" ht="24" customHeight="1" x14ac:dyDescent="0.2">
      <c r="A197" s="104"/>
      <c r="B197" s="371">
        <v>4</v>
      </c>
      <c r="C197" s="490" t="s">
        <v>101</v>
      </c>
      <c r="D197" s="491"/>
      <c r="E197" s="492"/>
      <c r="F197" s="493"/>
      <c r="G197" s="494"/>
      <c r="H197" s="495"/>
      <c r="I197" s="496"/>
      <c r="J197" s="497"/>
      <c r="K197" s="497"/>
      <c r="L197" s="496"/>
      <c r="M197" s="498"/>
      <c r="N197" s="499"/>
      <c r="O197" s="494"/>
      <c r="P197" s="494"/>
      <c r="Q197" s="492"/>
      <c r="R197" s="492"/>
      <c r="S197" s="496"/>
      <c r="T197" s="500">
        <f>T198+T201</f>
        <v>0</v>
      </c>
      <c r="U197" s="500"/>
      <c r="V197" s="500"/>
      <c r="W197" s="500">
        <f>W198+W201</f>
        <v>0</v>
      </c>
      <c r="X197" s="500"/>
      <c r="Y197" s="500"/>
      <c r="Z197" s="500">
        <f>Z198+Z201</f>
        <v>0</v>
      </c>
      <c r="AA197" s="500"/>
      <c r="AB197" s="500"/>
      <c r="AC197" s="500">
        <f>AC198+AC201</f>
        <v>0</v>
      </c>
      <c r="AD197" s="500"/>
      <c r="AE197" s="500"/>
      <c r="AF197" s="500">
        <f>AF198+AF201</f>
        <v>0</v>
      </c>
      <c r="AG197" s="500"/>
      <c r="AH197" s="500"/>
      <c r="AI197" s="500">
        <f>AI198+AI201</f>
        <v>0</v>
      </c>
      <c r="AJ197" s="500"/>
      <c r="AK197" s="500"/>
      <c r="AL197" s="500">
        <f>AL198+AL201</f>
        <v>0</v>
      </c>
      <c r="AM197" s="500"/>
      <c r="AN197" s="500"/>
      <c r="AO197" s="500">
        <f>AO198+AO201</f>
        <v>0</v>
      </c>
      <c r="AP197" s="500"/>
      <c r="AQ197" s="500"/>
      <c r="AR197" s="500">
        <f>AR198+AR201</f>
        <v>0</v>
      </c>
      <c r="AS197" s="500"/>
      <c r="AT197" s="500"/>
      <c r="AU197" s="500">
        <f>AU198+AU201</f>
        <v>0</v>
      </c>
      <c r="AV197" s="500"/>
      <c r="AW197" s="500"/>
      <c r="AX197" s="500">
        <f>AX198+AX201</f>
        <v>991267429</v>
      </c>
      <c r="AY197" s="500">
        <f>AY198+AY201</f>
        <v>275754000</v>
      </c>
      <c r="AZ197" s="500">
        <f>AZ198+AZ201</f>
        <v>191841333.32999998</v>
      </c>
      <c r="BA197" s="500">
        <f>BA198+BA201</f>
        <v>0</v>
      </c>
      <c r="BB197" s="500"/>
      <c r="BC197" s="500"/>
      <c r="BD197" s="500">
        <f>BD198+BD201</f>
        <v>0</v>
      </c>
      <c r="BE197" s="500"/>
      <c r="BF197" s="500"/>
      <c r="BG197" s="500">
        <f>BG198+BG201</f>
        <v>991267429</v>
      </c>
      <c r="BH197" s="500">
        <f>BH198+BH201</f>
        <v>275754000</v>
      </c>
      <c r="BI197" s="500">
        <f>BI198+BI201</f>
        <v>191841333.32999998</v>
      </c>
    </row>
    <row r="198" spans="1:68" s="90" customFormat="1" ht="21.75" customHeight="1" x14ac:dyDescent="0.25">
      <c r="A198" s="91"/>
      <c r="B198" s="105"/>
      <c r="C198" s="252">
        <v>45</v>
      </c>
      <c r="D198" s="501" t="s">
        <v>102</v>
      </c>
      <c r="E198" s="913" t="s">
        <v>745</v>
      </c>
      <c r="F198" s="913"/>
      <c r="G198" s="913"/>
      <c r="H198" s="913"/>
      <c r="I198" s="913"/>
      <c r="J198" s="116"/>
      <c r="K198" s="116"/>
      <c r="L198" s="108"/>
      <c r="M198" s="502"/>
      <c r="N198" s="503"/>
      <c r="O198" s="504"/>
      <c r="P198" s="504"/>
      <c r="Q198" s="116"/>
      <c r="R198" s="116"/>
      <c r="S198" s="112"/>
      <c r="T198" s="117">
        <f>SUM(T199:T200)</f>
        <v>0</v>
      </c>
      <c r="U198" s="117"/>
      <c r="V198" s="117"/>
      <c r="W198" s="117">
        <f>SUM(W199:W200)</f>
        <v>0</v>
      </c>
      <c r="X198" s="117"/>
      <c r="Y198" s="117"/>
      <c r="Z198" s="117">
        <f>SUM(Z199:Z200)</f>
        <v>0</v>
      </c>
      <c r="AA198" s="117"/>
      <c r="AB198" s="117"/>
      <c r="AC198" s="117">
        <f>SUM(AC199:AC200)</f>
        <v>0</v>
      </c>
      <c r="AD198" s="117"/>
      <c r="AE198" s="117"/>
      <c r="AF198" s="117">
        <f>SUM(AF199:AF200)</f>
        <v>0</v>
      </c>
      <c r="AG198" s="117"/>
      <c r="AH198" s="117"/>
      <c r="AI198" s="117">
        <f>SUM(AI199:AI200)</f>
        <v>0</v>
      </c>
      <c r="AJ198" s="117"/>
      <c r="AK198" s="117"/>
      <c r="AL198" s="117">
        <f>SUM(AL199:AL200)</f>
        <v>0</v>
      </c>
      <c r="AM198" s="117"/>
      <c r="AN198" s="117"/>
      <c r="AO198" s="117">
        <f>SUM(AO199:AO200)</f>
        <v>0</v>
      </c>
      <c r="AP198" s="117"/>
      <c r="AQ198" s="117"/>
      <c r="AR198" s="117">
        <f>SUM(AR199:AR200)</f>
        <v>0</v>
      </c>
      <c r="AS198" s="117"/>
      <c r="AT198" s="117"/>
      <c r="AU198" s="117">
        <f>SUM(AU199:AU200)</f>
        <v>0</v>
      </c>
      <c r="AV198" s="117"/>
      <c r="AW198" s="117"/>
      <c r="AX198" s="117">
        <f>SUM(AX199:AX200)</f>
        <v>741267429</v>
      </c>
      <c r="AY198" s="117">
        <f>SUM(AY199:AY200)</f>
        <v>275754000</v>
      </c>
      <c r="AZ198" s="117">
        <f>SUM(AZ199:AZ200)</f>
        <v>191841333.32999998</v>
      </c>
      <c r="BA198" s="117">
        <f>SUM(BA199:BA200)</f>
        <v>0</v>
      </c>
      <c r="BB198" s="117"/>
      <c r="BC198" s="117"/>
      <c r="BD198" s="117">
        <f>SUM(BD199:BD200)</f>
        <v>0</v>
      </c>
      <c r="BE198" s="117"/>
      <c r="BF198" s="117"/>
      <c r="BG198" s="117">
        <f>SUM(BG199:BG200)</f>
        <v>741267429</v>
      </c>
      <c r="BH198" s="117">
        <f>SUM(BH199:BH200)</f>
        <v>275754000</v>
      </c>
      <c r="BI198" s="117">
        <f>SUM(BI199:BI200)</f>
        <v>191841333.32999998</v>
      </c>
      <c r="BJ198" s="89"/>
      <c r="BK198" s="89"/>
      <c r="BL198" s="89"/>
      <c r="BM198" s="89"/>
      <c r="BN198" s="89"/>
      <c r="BO198" s="89"/>
      <c r="BP198" s="89"/>
    </row>
    <row r="199" spans="1:68" ht="113.25" customHeight="1" x14ac:dyDescent="0.2">
      <c r="A199" s="104"/>
      <c r="B199" s="118"/>
      <c r="C199" s="256"/>
      <c r="D199" s="120"/>
      <c r="E199" s="121"/>
      <c r="F199" s="122" t="s">
        <v>104</v>
      </c>
      <c r="G199" s="216" t="s">
        <v>746</v>
      </c>
      <c r="H199" s="124" t="s">
        <v>102</v>
      </c>
      <c r="I199" s="145" t="s">
        <v>747</v>
      </c>
      <c r="J199" s="216" t="s">
        <v>748</v>
      </c>
      <c r="K199" s="146" t="s">
        <v>102</v>
      </c>
      <c r="L199" s="147" t="s">
        <v>749</v>
      </c>
      <c r="M199" s="487" t="s">
        <v>109</v>
      </c>
      <c r="N199" s="146">
        <v>1</v>
      </c>
      <c r="O199" s="216">
        <v>1</v>
      </c>
      <c r="P199" s="216"/>
      <c r="Q199" s="127" t="s">
        <v>110</v>
      </c>
      <c r="R199" s="127" t="s">
        <v>750</v>
      </c>
      <c r="S199" s="186" t="s">
        <v>751</v>
      </c>
      <c r="T199" s="129"/>
      <c r="U199" s="129"/>
      <c r="V199" s="129"/>
      <c r="W199" s="129"/>
      <c r="X199" s="129"/>
      <c r="Y199" s="129"/>
      <c r="Z199" s="129"/>
      <c r="AA199" s="129"/>
      <c r="AB199" s="129"/>
      <c r="AC199" s="129"/>
      <c r="AD199" s="129"/>
      <c r="AE199" s="129"/>
      <c r="AF199" s="129"/>
      <c r="AG199" s="129"/>
      <c r="AH199" s="129"/>
      <c r="AI199" s="129"/>
      <c r="AJ199" s="129"/>
      <c r="AK199" s="129"/>
      <c r="AL199" s="129"/>
      <c r="AM199" s="129"/>
      <c r="AN199" s="129"/>
      <c r="AO199" s="129"/>
      <c r="AP199" s="129"/>
      <c r="AQ199" s="129"/>
      <c r="AR199" s="129"/>
      <c r="AS199" s="129"/>
      <c r="AT199" s="129"/>
      <c r="AU199" s="129"/>
      <c r="AV199" s="129"/>
      <c r="AW199" s="129"/>
      <c r="AX199" s="505">
        <v>255021326</v>
      </c>
      <c r="AY199" s="505">
        <v>132781000</v>
      </c>
      <c r="AZ199" s="505">
        <v>79345333.329999998</v>
      </c>
      <c r="BA199" s="129"/>
      <c r="BB199" s="129"/>
      <c r="BC199" s="129"/>
      <c r="BD199" s="129"/>
      <c r="BE199" s="129"/>
      <c r="BF199" s="129"/>
      <c r="BG199" s="131">
        <f t="shared" ref="BG199:BI200" si="62">+T199+W199+Z199+AC199+AF199+AI199+AL199+AO199+AR199+AU199+AX199+BA199+BD199</f>
        <v>255021326</v>
      </c>
      <c r="BH199" s="131">
        <f t="shared" si="62"/>
        <v>132781000</v>
      </c>
      <c r="BI199" s="131">
        <f t="shared" si="62"/>
        <v>79345333.329999998</v>
      </c>
      <c r="BJ199" s="55"/>
      <c r="BK199" s="55"/>
      <c r="BL199" s="55"/>
      <c r="BM199" s="55"/>
      <c r="BN199" s="55"/>
      <c r="BO199" s="55"/>
      <c r="BP199" s="55"/>
    </row>
    <row r="200" spans="1:68" ht="81" customHeight="1" x14ac:dyDescent="0.2">
      <c r="A200" s="104"/>
      <c r="B200" s="118"/>
      <c r="C200" s="263"/>
      <c r="D200" s="132"/>
      <c r="E200" s="429"/>
      <c r="F200" s="122" t="s">
        <v>104</v>
      </c>
      <c r="G200" s="216" t="s">
        <v>752</v>
      </c>
      <c r="H200" s="124" t="s">
        <v>102</v>
      </c>
      <c r="I200" s="186" t="s">
        <v>753</v>
      </c>
      <c r="J200" s="216" t="s">
        <v>754</v>
      </c>
      <c r="K200" s="146" t="s">
        <v>102</v>
      </c>
      <c r="L200" s="147" t="s">
        <v>755</v>
      </c>
      <c r="M200" s="487" t="s">
        <v>109</v>
      </c>
      <c r="N200" s="146">
        <v>1</v>
      </c>
      <c r="O200" s="216">
        <v>1</v>
      </c>
      <c r="P200" s="216"/>
      <c r="Q200" s="127" t="s">
        <v>110</v>
      </c>
      <c r="R200" s="127" t="s">
        <v>756</v>
      </c>
      <c r="S200" s="186" t="s">
        <v>757</v>
      </c>
      <c r="T200" s="129"/>
      <c r="U200" s="129"/>
      <c r="V200" s="129"/>
      <c r="W200" s="129"/>
      <c r="X200" s="129"/>
      <c r="Y200" s="129"/>
      <c r="Z200" s="129"/>
      <c r="AA200" s="129"/>
      <c r="AB200" s="129"/>
      <c r="AC200" s="129"/>
      <c r="AD200" s="129"/>
      <c r="AE200" s="129"/>
      <c r="AF200" s="129"/>
      <c r="AG200" s="129"/>
      <c r="AH200" s="129"/>
      <c r="AI200" s="129"/>
      <c r="AJ200" s="129"/>
      <c r="AK200" s="129"/>
      <c r="AL200" s="129"/>
      <c r="AM200" s="129"/>
      <c r="AN200" s="129"/>
      <c r="AO200" s="129"/>
      <c r="AP200" s="129"/>
      <c r="AQ200" s="129"/>
      <c r="AR200" s="129"/>
      <c r="AS200" s="129"/>
      <c r="AT200" s="129"/>
      <c r="AU200" s="129"/>
      <c r="AV200" s="129"/>
      <c r="AW200" s="129"/>
      <c r="AX200" s="505">
        <v>486246103</v>
      </c>
      <c r="AY200" s="505">
        <v>142973000</v>
      </c>
      <c r="AZ200" s="505">
        <v>112496000</v>
      </c>
      <c r="BA200" s="129"/>
      <c r="BB200" s="129"/>
      <c r="BC200" s="129"/>
      <c r="BD200" s="129"/>
      <c r="BE200" s="129"/>
      <c r="BF200" s="129"/>
      <c r="BG200" s="131">
        <f t="shared" si="62"/>
        <v>486246103</v>
      </c>
      <c r="BH200" s="131">
        <f t="shared" si="62"/>
        <v>142973000</v>
      </c>
      <c r="BI200" s="131">
        <f t="shared" si="62"/>
        <v>112496000</v>
      </c>
      <c r="BJ200" s="55"/>
      <c r="BK200" s="55"/>
      <c r="BL200" s="55"/>
      <c r="BM200" s="55"/>
      <c r="BN200" s="55"/>
      <c r="BO200" s="55"/>
      <c r="BP200" s="55"/>
    </row>
    <row r="201" spans="1:68" ht="21" customHeight="1" x14ac:dyDescent="0.2">
      <c r="A201" s="104"/>
      <c r="B201" s="134"/>
      <c r="C201" s="346">
        <v>42</v>
      </c>
      <c r="D201" s="489">
        <v>4502</v>
      </c>
      <c r="E201" s="506" t="s">
        <v>119</v>
      </c>
      <c r="F201" s="109"/>
      <c r="G201" s="110"/>
      <c r="H201" s="111"/>
      <c r="I201" s="112"/>
      <c r="J201" s="113"/>
      <c r="K201" s="113"/>
      <c r="L201" s="112"/>
      <c r="M201" s="114"/>
      <c r="N201" s="115"/>
      <c r="O201" s="110"/>
      <c r="P201" s="110"/>
      <c r="Q201" s="116"/>
      <c r="R201" s="116"/>
      <c r="S201" s="112"/>
      <c r="T201" s="117">
        <f>SUM(T202)</f>
        <v>0</v>
      </c>
      <c r="U201" s="117"/>
      <c r="V201" s="117"/>
      <c r="W201" s="117">
        <f>SUM(W202)</f>
        <v>0</v>
      </c>
      <c r="X201" s="117"/>
      <c r="Y201" s="117"/>
      <c r="Z201" s="117">
        <f>SUM(Z202)</f>
        <v>0</v>
      </c>
      <c r="AA201" s="117"/>
      <c r="AB201" s="117"/>
      <c r="AC201" s="117">
        <f>SUM(AC202)</f>
        <v>0</v>
      </c>
      <c r="AD201" s="117"/>
      <c r="AE201" s="117"/>
      <c r="AF201" s="117">
        <f>SUM(AF202)</f>
        <v>0</v>
      </c>
      <c r="AG201" s="117"/>
      <c r="AH201" s="117"/>
      <c r="AI201" s="117">
        <f>SUM(AI202)</f>
        <v>0</v>
      </c>
      <c r="AJ201" s="117"/>
      <c r="AK201" s="117"/>
      <c r="AL201" s="117">
        <f>SUM(AL202)</f>
        <v>0</v>
      </c>
      <c r="AM201" s="117"/>
      <c r="AN201" s="117"/>
      <c r="AO201" s="117">
        <f>SUM(AO202)</f>
        <v>0</v>
      </c>
      <c r="AP201" s="117"/>
      <c r="AQ201" s="117"/>
      <c r="AR201" s="117">
        <f>SUM(AR202)</f>
        <v>0</v>
      </c>
      <c r="AS201" s="117"/>
      <c r="AT201" s="117"/>
      <c r="AU201" s="117">
        <f>SUM(AU202)</f>
        <v>0</v>
      </c>
      <c r="AV201" s="117"/>
      <c r="AW201" s="117"/>
      <c r="AX201" s="117">
        <f>SUM(AX202)</f>
        <v>250000000</v>
      </c>
      <c r="AY201" s="117"/>
      <c r="AZ201" s="117"/>
      <c r="BA201" s="117">
        <f>SUM(BA202)</f>
        <v>0</v>
      </c>
      <c r="BB201" s="117"/>
      <c r="BC201" s="117"/>
      <c r="BD201" s="117">
        <f>SUM(BD202)</f>
        <v>0</v>
      </c>
      <c r="BE201" s="117"/>
      <c r="BF201" s="117"/>
      <c r="BG201" s="117">
        <f>SUM(BG202)</f>
        <v>250000000</v>
      </c>
      <c r="BH201" s="117">
        <f>SUM(BH202)</f>
        <v>0</v>
      </c>
      <c r="BI201" s="117">
        <f>SUM(BI202)</f>
        <v>0</v>
      </c>
    </row>
    <row r="202" spans="1:68" ht="117" customHeight="1" x14ac:dyDescent="0.2">
      <c r="A202" s="141"/>
      <c r="B202" s="142"/>
      <c r="C202" s="295"/>
      <c r="D202" s="144"/>
      <c r="E202" s="56"/>
      <c r="F202" s="145" t="s">
        <v>120</v>
      </c>
      <c r="G202" s="146" t="s">
        <v>758</v>
      </c>
      <c r="H202" s="124" t="s">
        <v>102</v>
      </c>
      <c r="I202" s="125" t="s">
        <v>759</v>
      </c>
      <c r="J202" s="146" t="s">
        <v>760</v>
      </c>
      <c r="K202" s="146" t="s">
        <v>102</v>
      </c>
      <c r="L202" s="147" t="s">
        <v>761</v>
      </c>
      <c r="M202" s="487" t="s">
        <v>109</v>
      </c>
      <c r="N202" s="146">
        <v>30</v>
      </c>
      <c r="O202" s="146">
        <v>30</v>
      </c>
      <c r="P202" s="319"/>
      <c r="Q202" s="149" t="s">
        <v>125</v>
      </c>
      <c r="R202" s="192" t="s">
        <v>762</v>
      </c>
      <c r="S202" s="125" t="s">
        <v>763</v>
      </c>
      <c r="T202" s="194"/>
      <c r="U202" s="194"/>
      <c r="V202" s="194"/>
      <c r="W202" s="194"/>
      <c r="X202" s="194"/>
      <c r="Y202" s="194"/>
      <c r="Z202" s="194"/>
      <c r="AA202" s="194"/>
      <c r="AB202" s="194"/>
      <c r="AC202" s="194"/>
      <c r="AD202" s="194"/>
      <c r="AE202" s="194"/>
      <c r="AF202" s="194"/>
      <c r="AG202" s="194"/>
      <c r="AH202" s="194"/>
      <c r="AI202" s="194"/>
      <c r="AJ202" s="194"/>
      <c r="AK202" s="194"/>
      <c r="AL202" s="194"/>
      <c r="AM202" s="194"/>
      <c r="AN202" s="194"/>
      <c r="AO202" s="194"/>
      <c r="AP202" s="194"/>
      <c r="AQ202" s="194"/>
      <c r="AR202" s="194"/>
      <c r="AS202" s="194"/>
      <c r="AT202" s="194"/>
      <c r="AU202" s="194"/>
      <c r="AV202" s="194"/>
      <c r="AW202" s="194"/>
      <c r="AX202" s="507">
        <v>250000000</v>
      </c>
      <c r="AY202" s="508"/>
      <c r="AZ202" s="508"/>
      <c r="BA202" s="194"/>
      <c r="BB202" s="194"/>
      <c r="BC202" s="194"/>
      <c r="BD202" s="194"/>
      <c r="BE202" s="194"/>
      <c r="BF202" s="194"/>
      <c r="BG202" s="131">
        <f>+T202+W202+Z202+AC202+AF202+AI202+AL202+AO202+AR202+AU202+AX202+BA202+BD202</f>
        <v>250000000</v>
      </c>
      <c r="BH202" s="131">
        <f>+U202+X202+AA202+AD202+AG202+AJ202+AM202+AP202+AS202+AV202+AY202+BB202+BE202</f>
        <v>0</v>
      </c>
      <c r="BI202" s="131">
        <f>+V202+Y202+AB202+AE202+AH202+AK202+AN202+AQ202+AT202+AW202+AZ202+BC202+BF202</f>
        <v>0</v>
      </c>
      <c r="BJ202" s="55"/>
      <c r="BK202" s="55"/>
      <c r="BL202" s="55"/>
      <c r="BM202" s="55"/>
      <c r="BN202" s="55"/>
      <c r="BO202" s="55"/>
      <c r="BP202" s="55"/>
    </row>
    <row r="203" spans="1:68" ht="31.5" customHeight="1" x14ac:dyDescent="0.2">
      <c r="BG203" s="441"/>
      <c r="BH203" s="441"/>
      <c r="BI203" s="441"/>
    </row>
    <row r="204" spans="1:68" ht="15.75" x14ac:dyDescent="0.2">
      <c r="A204" s="76" t="s">
        <v>764</v>
      </c>
      <c r="B204" s="77"/>
      <c r="C204" s="78"/>
      <c r="D204" s="79"/>
      <c r="E204" s="80"/>
      <c r="F204" s="81"/>
      <c r="G204" s="82"/>
      <c r="H204" s="83"/>
      <c r="I204" s="84"/>
      <c r="J204" s="85"/>
      <c r="K204" s="85"/>
      <c r="L204" s="84"/>
      <c r="M204" s="160"/>
      <c r="N204" s="83"/>
      <c r="O204" s="82"/>
      <c r="P204" s="82"/>
      <c r="Q204" s="80"/>
      <c r="R204" s="80"/>
      <c r="S204" s="84"/>
      <c r="T204" s="251">
        <f>T205</f>
        <v>0</v>
      </c>
      <c r="U204" s="251"/>
      <c r="V204" s="251"/>
      <c r="W204" s="251">
        <f>W205</f>
        <v>0</v>
      </c>
      <c r="X204" s="251"/>
      <c r="Y204" s="251"/>
      <c r="Z204" s="251">
        <f>Z205</f>
        <v>0</v>
      </c>
      <c r="AA204" s="251"/>
      <c r="AB204" s="251"/>
      <c r="AC204" s="251">
        <f t="shared" ref="AC204:BI204" si="63">AC205</f>
        <v>2854044988.79</v>
      </c>
      <c r="AD204" s="251">
        <f t="shared" si="63"/>
        <v>1277519050</v>
      </c>
      <c r="AE204" s="251">
        <f t="shared" si="63"/>
        <v>0</v>
      </c>
      <c r="AF204" s="251">
        <f t="shared" si="63"/>
        <v>0</v>
      </c>
      <c r="AG204" s="251">
        <f t="shared" si="63"/>
        <v>0</v>
      </c>
      <c r="AH204" s="251">
        <f t="shared" si="63"/>
        <v>0</v>
      </c>
      <c r="AI204" s="251">
        <f t="shared" si="63"/>
        <v>0</v>
      </c>
      <c r="AJ204" s="251">
        <f t="shared" si="63"/>
        <v>0</v>
      </c>
      <c r="AK204" s="251">
        <f t="shared" si="63"/>
        <v>0</v>
      </c>
      <c r="AL204" s="251">
        <f t="shared" si="63"/>
        <v>134989913515.46001</v>
      </c>
      <c r="AM204" s="251">
        <f t="shared" si="63"/>
        <v>57643122447</v>
      </c>
      <c r="AN204" s="251">
        <f t="shared" si="63"/>
        <v>56550991901</v>
      </c>
      <c r="AO204" s="251">
        <f t="shared" si="63"/>
        <v>23500000000</v>
      </c>
      <c r="AP204" s="251">
        <f t="shared" si="63"/>
        <v>13173537263</v>
      </c>
      <c r="AQ204" s="251">
        <f t="shared" si="63"/>
        <v>13173537263</v>
      </c>
      <c r="AR204" s="251">
        <f t="shared" si="63"/>
        <v>12173030541.870001</v>
      </c>
      <c r="AS204" s="251">
        <f t="shared" si="63"/>
        <v>10140303712</v>
      </c>
      <c r="AT204" s="251">
        <f t="shared" si="63"/>
        <v>1781318737</v>
      </c>
      <c r="AU204" s="251">
        <f t="shared" si="63"/>
        <v>0</v>
      </c>
      <c r="AV204" s="251">
        <f t="shared" si="63"/>
        <v>0</v>
      </c>
      <c r="AW204" s="251">
        <f t="shared" si="63"/>
        <v>0</v>
      </c>
      <c r="AX204" s="251">
        <f t="shared" si="63"/>
        <v>2676547493.2183161</v>
      </c>
      <c r="AY204" s="251">
        <f t="shared" si="63"/>
        <v>1914637691.9999959</v>
      </c>
      <c r="AZ204" s="251">
        <f t="shared" si="63"/>
        <v>1539173582.9999959</v>
      </c>
      <c r="BA204" s="251">
        <f t="shared" si="63"/>
        <v>83149.960000000006</v>
      </c>
      <c r="BB204" s="251">
        <f t="shared" si="63"/>
        <v>0</v>
      </c>
      <c r="BC204" s="251">
        <f t="shared" si="63"/>
        <v>0</v>
      </c>
      <c r="BD204" s="251">
        <f t="shared" si="63"/>
        <v>0</v>
      </c>
      <c r="BE204" s="251">
        <f t="shared" si="63"/>
        <v>0</v>
      </c>
      <c r="BF204" s="251">
        <f t="shared" si="63"/>
        <v>0</v>
      </c>
      <c r="BG204" s="251">
        <f t="shared" si="63"/>
        <v>176193619689.29831</v>
      </c>
      <c r="BH204" s="251">
        <f t="shared" si="63"/>
        <v>84149120164</v>
      </c>
      <c r="BI204" s="251">
        <f t="shared" si="63"/>
        <v>73045021484</v>
      </c>
      <c r="BJ204" s="55"/>
      <c r="BK204" s="55"/>
      <c r="BL204" s="55"/>
      <c r="BM204" s="55"/>
      <c r="BN204" s="55"/>
      <c r="BO204" s="55"/>
      <c r="BP204" s="55"/>
    </row>
    <row r="205" spans="1:68" ht="15.75" x14ac:dyDescent="0.2">
      <c r="A205" s="104"/>
      <c r="B205" s="387">
        <v>1</v>
      </c>
      <c r="C205" s="163" t="s">
        <v>1</v>
      </c>
      <c r="D205" s="164"/>
      <c r="E205" s="165"/>
      <c r="F205" s="166"/>
      <c r="G205" s="167"/>
      <c r="H205" s="168"/>
      <c r="I205" s="169"/>
      <c r="J205" s="170"/>
      <c r="K205" s="170"/>
      <c r="L205" s="169"/>
      <c r="M205" s="171"/>
      <c r="N205" s="172"/>
      <c r="O205" s="167"/>
      <c r="P205" s="167"/>
      <c r="Q205" s="165"/>
      <c r="R205" s="165"/>
      <c r="S205" s="169"/>
      <c r="T205" s="103">
        <f>T206+T229</f>
        <v>0</v>
      </c>
      <c r="U205" s="103"/>
      <c r="V205" s="103"/>
      <c r="W205" s="103">
        <f>W206+W229</f>
        <v>0</v>
      </c>
      <c r="X205" s="103"/>
      <c r="Y205" s="103"/>
      <c r="Z205" s="103">
        <f>Z206+Z229</f>
        <v>0</v>
      </c>
      <c r="AA205" s="103"/>
      <c r="AB205" s="103"/>
      <c r="AC205" s="103">
        <f t="shared" ref="AC205:BI205" si="64">AC206+AC229</f>
        <v>2854044988.79</v>
      </c>
      <c r="AD205" s="103">
        <f t="shared" si="64"/>
        <v>1277519050</v>
      </c>
      <c r="AE205" s="103">
        <f t="shared" si="64"/>
        <v>0</v>
      </c>
      <c r="AF205" s="103">
        <f t="shared" si="64"/>
        <v>0</v>
      </c>
      <c r="AG205" s="103">
        <f t="shared" si="64"/>
        <v>0</v>
      </c>
      <c r="AH205" s="103">
        <f t="shared" si="64"/>
        <v>0</v>
      </c>
      <c r="AI205" s="103">
        <f t="shared" si="64"/>
        <v>0</v>
      </c>
      <c r="AJ205" s="103">
        <f t="shared" si="64"/>
        <v>0</v>
      </c>
      <c r="AK205" s="103">
        <f t="shared" si="64"/>
        <v>0</v>
      </c>
      <c r="AL205" s="103">
        <f t="shared" si="64"/>
        <v>134989913515.46001</v>
      </c>
      <c r="AM205" s="103">
        <f t="shared" si="64"/>
        <v>57643122447</v>
      </c>
      <c r="AN205" s="103">
        <f t="shared" si="64"/>
        <v>56550991901</v>
      </c>
      <c r="AO205" s="103">
        <f t="shared" si="64"/>
        <v>23500000000</v>
      </c>
      <c r="AP205" s="103">
        <f t="shared" si="64"/>
        <v>13173537263</v>
      </c>
      <c r="AQ205" s="103">
        <f t="shared" si="64"/>
        <v>13173537263</v>
      </c>
      <c r="AR205" s="103">
        <f t="shared" si="64"/>
        <v>12173030541.870001</v>
      </c>
      <c r="AS205" s="103">
        <f t="shared" si="64"/>
        <v>10140303712</v>
      </c>
      <c r="AT205" s="103">
        <f t="shared" si="64"/>
        <v>1781318737</v>
      </c>
      <c r="AU205" s="103">
        <f t="shared" si="64"/>
        <v>0</v>
      </c>
      <c r="AV205" s="103">
        <f t="shared" si="64"/>
        <v>0</v>
      </c>
      <c r="AW205" s="103">
        <f t="shared" si="64"/>
        <v>0</v>
      </c>
      <c r="AX205" s="103">
        <f t="shared" si="64"/>
        <v>2676547493.2183161</v>
      </c>
      <c r="AY205" s="103">
        <f t="shared" si="64"/>
        <v>1914637691.9999959</v>
      </c>
      <c r="AZ205" s="103">
        <f t="shared" si="64"/>
        <v>1539173582.9999959</v>
      </c>
      <c r="BA205" s="103">
        <f t="shared" si="64"/>
        <v>83149.960000000006</v>
      </c>
      <c r="BB205" s="103">
        <f t="shared" si="64"/>
        <v>0</v>
      </c>
      <c r="BC205" s="103">
        <f t="shared" si="64"/>
        <v>0</v>
      </c>
      <c r="BD205" s="103">
        <f t="shared" si="64"/>
        <v>0</v>
      </c>
      <c r="BE205" s="103">
        <f t="shared" si="64"/>
        <v>0</v>
      </c>
      <c r="BF205" s="103">
        <f t="shared" si="64"/>
        <v>0</v>
      </c>
      <c r="BG205" s="103">
        <f t="shared" si="64"/>
        <v>176193619689.29831</v>
      </c>
      <c r="BH205" s="103">
        <f t="shared" si="64"/>
        <v>84149120164</v>
      </c>
      <c r="BI205" s="103">
        <f t="shared" si="64"/>
        <v>73045021484</v>
      </c>
      <c r="BJ205" s="55"/>
      <c r="BK205" s="55"/>
      <c r="BL205" s="55"/>
      <c r="BM205" s="55"/>
      <c r="BN205" s="55"/>
      <c r="BO205" s="55"/>
      <c r="BP205" s="55"/>
    </row>
    <row r="206" spans="1:68" ht="15.75" x14ac:dyDescent="0.2">
      <c r="A206" s="104"/>
      <c r="B206" s="105"/>
      <c r="C206" s="509">
        <v>15</v>
      </c>
      <c r="D206" s="174">
        <v>2201</v>
      </c>
      <c r="E206" s="510" t="s">
        <v>217</v>
      </c>
      <c r="F206" s="511"/>
      <c r="G206" s="253"/>
      <c r="H206" s="512"/>
      <c r="I206" s="513"/>
      <c r="J206" s="514"/>
      <c r="K206" s="514"/>
      <c r="L206" s="513"/>
      <c r="M206" s="515"/>
      <c r="N206" s="516"/>
      <c r="O206" s="253"/>
      <c r="P206" s="253"/>
      <c r="Q206" s="517"/>
      <c r="R206" s="517"/>
      <c r="S206" s="513"/>
      <c r="T206" s="117">
        <f>SUM(T207:T228)</f>
        <v>0</v>
      </c>
      <c r="U206" s="117"/>
      <c r="V206" s="117"/>
      <c r="W206" s="117">
        <f>SUM(W207:W228)</f>
        <v>0</v>
      </c>
      <c r="X206" s="117"/>
      <c r="Y206" s="117"/>
      <c r="Z206" s="117">
        <f>SUM(Z207:Z228)</f>
        <v>0</v>
      </c>
      <c r="AA206" s="117"/>
      <c r="AB206" s="117"/>
      <c r="AC206" s="117">
        <f t="shared" ref="AC206:BI206" si="65">SUM(AC207:AC228)</f>
        <v>2764044988.79</v>
      </c>
      <c r="AD206" s="117">
        <f t="shared" si="65"/>
        <v>1277519050</v>
      </c>
      <c r="AE206" s="117">
        <f t="shared" si="65"/>
        <v>0</v>
      </c>
      <c r="AF206" s="117">
        <f t="shared" si="65"/>
        <v>0</v>
      </c>
      <c r="AG206" s="117">
        <f t="shared" si="65"/>
        <v>0</v>
      </c>
      <c r="AH206" s="117">
        <f t="shared" si="65"/>
        <v>0</v>
      </c>
      <c r="AI206" s="117">
        <f t="shared" si="65"/>
        <v>0</v>
      </c>
      <c r="AJ206" s="117">
        <f t="shared" si="65"/>
        <v>0</v>
      </c>
      <c r="AK206" s="117">
        <f t="shared" si="65"/>
        <v>0</v>
      </c>
      <c r="AL206" s="117">
        <f t="shared" si="65"/>
        <v>134989913515.46001</v>
      </c>
      <c r="AM206" s="117">
        <f t="shared" si="65"/>
        <v>57643122447</v>
      </c>
      <c r="AN206" s="117">
        <f t="shared" si="65"/>
        <v>56550991901</v>
      </c>
      <c r="AO206" s="117">
        <f t="shared" si="65"/>
        <v>23500000000</v>
      </c>
      <c r="AP206" s="117">
        <f t="shared" si="65"/>
        <v>13173537263</v>
      </c>
      <c r="AQ206" s="117">
        <f t="shared" si="65"/>
        <v>13173537263</v>
      </c>
      <c r="AR206" s="117">
        <f t="shared" si="65"/>
        <v>12173030541.870001</v>
      </c>
      <c r="AS206" s="117">
        <f t="shared" si="65"/>
        <v>10140303712</v>
      </c>
      <c r="AT206" s="117">
        <f t="shared" si="65"/>
        <v>1781318737</v>
      </c>
      <c r="AU206" s="117">
        <f t="shared" si="65"/>
        <v>0</v>
      </c>
      <c r="AV206" s="117">
        <f t="shared" si="65"/>
        <v>0</v>
      </c>
      <c r="AW206" s="117">
        <f t="shared" si="65"/>
        <v>0</v>
      </c>
      <c r="AX206" s="117">
        <f t="shared" si="65"/>
        <v>2522708993.2183161</v>
      </c>
      <c r="AY206" s="117">
        <f t="shared" si="65"/>
        <v>1814637691.9999959</v>
      </c>
      <c r="AZ206" s="117">
        <f t="shared" si="65"/>
        <v>1439173582.9999959</v>
      </c>
      <c r="BA206" s="117">
        <f t="shared" si="65"/>
        <v>83149.960000000006</v>
      </c>
      <c r="BB206" s="117">
        <f t="shared" si="65"/>
        <v>0</v>
      </c>
      <c r="BC206" s="117">
        <f t="shared" si="65"/>
        <v>0</v>
      </c>
      <c r="BD206" s="117">
        <f t="shared" si="65"/>
        <v>0</v>
      </c>
      <c r="BE206" s="117">
        <f t="shared" si="65"/>
        <v>0</v>
      </c>
      <c r="BF206" s="117">
        <f t="shared" si="65"/>
        <v>0</v>
      </c>
      <c r="BG206" s="117">
        <f t="shared" si="65"/>
        <v>175949781189.29831</v>
      </c>
      <c r="BH206" s="117">
        <f t="shared" si="65"/>
        <v>84049120164</v>
      </c>
      <c r="BI206" s="117">
        <f t="shared" si="65"/>
        <v>72945021484</v>
      </c>
      <c r="BJ206" s="55"/>
      <c r="BK206" s="55"/>
      <c r="BL206" s="55"/>
      <c r="BM206" s="55"/>
      <c r="BN206" s="55"/>
      <c r="BO206" s="55"/>
      <c r="BP206" s="55"/>
    </row>
    <row r="207" spans="1:68" ht="91.5" customHeight="1" x14ac:dyDescent="0.2">
      <c r="A207" s="104"/>
      <c r="B207" s="256"/>
      <c r="C207" s="256"/>
      <c r="D207" s="120"/>
      <c r="E207" s="724"/>
      <c r="F207" s="145" t="s">
        <v>765</v>
      </c>
      <c r="G207" s="518" t="s">
        <v>766</v>
      </c>
      <c r="H207" s="124">
        <v>2201033</v>
      </c>
      <c r="I207" s="186" t="s">
        <v>767</v>
      </c>
      <c r="J207" s="518" t="s">
        <v>768</v>
      </c>
      <c r="K207" s="519">
        <v>220103300</v>
      </c>
      <c r="L207" s="320" t="s">
        <v>769</v>
      </c>
      <c r="M207" s="290" t="s">
        <v>204</v>
      </c>
      <c r="N207" s="146">
        <v>36000</v>
      </c>
      <c r="O207" s="146">
        <v>9000</v>
      </c>
      <c r="P207" s="146"/>
      <c r="Q207" s="914" t="s">
        <v>224</v>
      </c>
      <c r="R207" s="896" t="s">
        <v>770</v>
      </c>
      <c r="S207" s="890" t="s">
        <v>771</v>
      </c>
      <c r="T207" s="129"/>
      <c r="U207" s="129"/>
      <c r="V207" s="129"/>
      <c r="W207" s="129"/>
      <c r="X207" s="129"/>
      <c r="Y207" s="129"/>
      <c r="Z207" s="129"/>
      <c r="AA207" s="129"/>
      <c r="AB207" s="129"/>
      <c r="AC207" s="129">
        <f>2349543380-59954338</f>
        <v>2289589042</v>
      </c>
      <c r="AD207" s="129">
        <v>1277519050</v>
      </c>
      <c r="AE207" s="129"/>
      <c r="AF207" s="129"/>
      <c r="AG207" s="129"/>
      <c r="AH207" s="129"/>
      <c r="AI207" s="129"/>
      <c r="AJ207" s="129"/>
      <c r="AK207" s="129"/>
      <c r="AL207" s="129"/>
      <c r="AM207" s="129"/>
      <c r="AN207" s="129"/>
      <c r="AO207" s="129"/>
      <c r="AP207" s="221"/>
      <c r="AQ207" s="221"/>
      <c r="AR207" s="221"/>
      <c r="AS207" s="221"/>
      <c r="AT207" s="221"/>
      <c r="AU207" s="221"/>
      <c r="AV207" s="221"/>
      <c r="AW207" s="221"/>
      <c r="AX207" s="520">
        <f>1140000000+130863000+400000000</f>
        <v>1670863000</v>
      </c>
      <c r="AY207" s="520">
        <v>1442284358.9999959</v>
      </c>
      <c r="AZ207" s="520">
        <v>1073220249.9999959</v>
      </c>
      <c r="BA207" s="129"/>
      <c r="BB207" s="221"/>
      <c r="BC207" s="221"/>
      <c r="BD207" s="221"/>
      <c r="BE207" s="221"/>
      <c r="BF207" s="221"/>
      <c r="BG207" s="131">
        <f t="shared" ref="BG207:BI222" si="66">+T207+W207+Z207+AC207+AF207+AI207+AL207+AO207+AR207+AU207+AX207+BA207+BD207</f>
        <v>3960452042</v>
      </c>
      <c r="BH207" s="131">
        <f t="shared" si="66"/>
        <v>2719803408.9999962</v>
      </c>
      <c r="BI207" s="131">
        <f t="shared" si="66"/>
        <v>1073220249.9999959</v>
      </c>
      <c r="BJ207" s="55"/>
      <c r="BK207" s="55"/>
      <c r="BL207" s="55"/>
      <c r="BM207" s="55"/>
      <c r="BN207" s="55"/>
      <c r="BO207" s="55"/>
      <c r="BP207" s="55"/>
    </row>
    <row r="208" spans="1:68" ht="75" x14ac:dyDescent="0.2">
      <c r="A208" s="104"/>
      <c r="B208" s="255"/>
      <c r="C208" s="255"/>
      <c r="D208" s="323"/>
      <c r="E208" s="726"/>
      <c r="F208" s="145" t="s">
        <v>772</v>
      </c>
      <c r="G208" s="127" t="s">
        <v>773</v>
      </c>
      <c r="H208" s="124">
        <v>2201028</v>
      </c>
      <c r="I208" s="186" t="s">
        <v>774</v>
      </c>
      <c r="J208" s="127" t="s">
        <v>775</v>
      </c>
      <c r="K208" s="519">
        <v>220102801</v>
      </c>
      <c r="L208" s="186" t="s">
        <v>776</v>
      </c>
      <c r="M208" s="290" t="s">
        <v>204</v>
      </c>
      <c r="N208" s="146">
        <v>36000</v>
      </c>
      <c r="O208" s="146">
        <v>9000</v>
      </c>
      <c r="P208" s="146"/>
      <c r="Q208" s="914"/>
      <c r="R208" s="896"/>
      <c r="S208" s="891"/>
      <c r="T208" s="129"/>
      <c r="U208" s="129"/>
      <c r="V208" s="129"/>
      <c r="W208" s="129"/>
      <c r="X208" s="129"/>
      <c r="Y208" s="129"/>
      <c r="Z208" s="129"/>
      <c r="AA208" s="129"/>
      <c r="AB208" s="129"/>
      <c r="AC208" s="521"/>
      <c r="AD208" s="521"/>
      <c r="AE208" s="521"/>
      <c r="AF208" s="129"/>
      <c r="AG208" s="129"/>
      <c r="AH208" s="129"/>
      <c r="AI208" s="129"/>
      <c r="AJ208" s="129"/>
      <c r="AK208" s="129"/>
      <c r="AL208" s="129">
        <v>394351422</v>
      </c>
      <c r="AM208" s="187"/>
      <c r="AN208" s="187"/>
      <c r="AO208" s="522"/>
      <c r="AP208" s="522"/>
      <c r="AQ208" s="522"/>
      <c r="AR208" s="523">
        <f>12150000000-50000000+73030541.87</f>
        <v>12173030541.870001</v>
      </c>
      <c r="AS208" s="524">
        <v>10140303712</v>
      </c>
      <c r="AT208" s="524">
        <v>1781318737</v>
      </c>
      <c r="AU208" s="221"/>
      <c r="AV208" s="221"/>
      <c r="AW208" s="221"/>
      <c r="AX208" s="523">
        <v>286000000</v>
      </c>
      <c r="AY208" s="523">
        <v>286000000</v>
      </c>
      <c r="AZ208" s="523">
        <v>286000000</v>
      </c>
      <c r="BA208" s="523">
        <v>83149.960000000006</v>
      </c>
      <c r="BB208" s="523"/>
      <c r="BC208" s="523"/>
      <c r="BD208" s="129"/>
      <c r="BE208" s="129"/>
      <c r="BF208" s="129"/>
      <c r="BG208" s="131">
        <f t="shared" si="66"/>
        <v>12853465113.83</v>
      </c>
      <c r="BH208" s="131">
        <f t="shared" si="66"/>
        <v>10426303712</v>
      </c>
      <c r="BI208" s="131">
        <f t="shared" si="66"/>
        <v>2067318737</v>
      </c>
      <c r="BJ208" s="55"/>
      <c r="BK208" s="55"/>
      <c r="BL208" s="55"/>
      <c r="BM208" s="55"/>
      <c r="BN208" s="55"/>
      <c r="BO208" s="55"/>
      <c r="BP208" s="55"/>
    </row>
    <row r="209" spans="1:68" ht="75" x14ac:dyDescent="0.2">
      <c r="A209" s="104"/>
      <c r="B209" s="255"/>
      <c r="C209" s="255"/>
      <c r="D209" s="323"/>
      <c r="E209" s="725"/>
      <c r="F209" s="145" t="s">
        <v>772</v>
      </c>
      <c r="G209" s="127" t="s">
        <v>777</v>
      </c>
      <c r="H209" s="124">
        <v>2201029</v>
      </c>
      <c r="I209" s="186" t="s">
        <v>778</v>
      </c>
      <c r="J209" s="127" t="s">
        <v>779</v>
      </c>
      <c r="K209" s="519">
        <v>220102900</v>
      </c>
      <c r="L209" s="186" t="s">
        <v>780</v>
      </c>
      <c r="M209" s="290" t="s">
        <v>204</v>
      </c>
      <c r="N209" s="146">
        <v>4000</v>
      </c>
      <c r="O209" s="146">
        <v>300</v>
      </c>
      <c r="P209" s="146"/>
      <c r="Q209" s="914"/>
      <c r="R209" s="896"/>
      <c r="S209" s="894"/>
      <c r="T209" s="129"/>
      <c r="U209" s="129"/>
      <c r="V209" s="129"/>
      <c r="W209" s="129"/>
      <c r="X209" s="129"/>
      <c r="Y209" s="129"/>
      <c r="Z209" s="129"/>
      <c r="AA209" s="129"/>
      <c r="AB209" s="129"/>
      <c r="AC209" s="521">
        <f>300000000</f>
        <v>300000000</v>
      </c>
      <c r="AD209" s="521"/>
      <c r="AE209" s="521"/>
      <c r="AF209" s="129"/>
      <c r="AG209" s="129"/>
      <c r="AH209" s="129"/>
      <c r="AI209" s="129"/>
      <c r="AJ209" s="129"/>
      <c r="AK209" s="129"/>
      <c r="AL209" s="129"/>
      <c r="AM209" s="129"/>
      <c r="AN209" s="129"/>
      <c r="AO209" s="129"/>
      <c r="AP209" s="187"/>
      <c r="AQ209" s="187"/>
      <c r="AR209" s="187"/>
      <c r="AS209" s="187"/>
      <c r="AT209" s="187"/>
      <c r="AU209" s="187"/>
      <c r="AV209" s="187"/>
      <c r="AW209" s="187"/>
      <c r="AX209" s="523">
        <f>860000000+40000000-400000000-317093240.421684-266.36</f>
        <v>182906493.21831596</v>
      </c>
      <c r="AY209" s="523"/>
      <c r="AZ209" s="523"/>
      <c r="BA209" s="129"/>
      <c r="BB209" s="187"/>
      <c r="BC209" s="187"/>
      <c r="BD209" s="187"/>
      <c r="BE209" s="187"/>
      <c r="BF209" s="187"/>
      <c r="BG209" s="131">
        <f t="shared" si="66"/>
        <v>482906493.21831596</v>
      </c>
      <c r="BH209" s="131">
        <f t="shared" si="66"/>
        <v>0</v>
      </c>
      <c r="BI209" s="131">
        <f t="shared" si="66"/>
        <v>0</v>
      </c>
      <c r="BJ209" s="55"/>
      <c r="BK209" s="55"/>
      <c r="BL209" s="55"/>
      <c r="BM209" s="55"/>
      <c r="BN209" s="55"/>
      <c r="BO209" s="55"/>
      <c r="BP209" s="55"/>
    </row>
    <row r="210" spans="1:68" ht="133.5" customHeight="1" x14ac:dyDescent="0.2">
      <c r="A210" s="104"/>
      <c r="B210" s="255"/>
      <c r="C210" s="255"/>
      <c r="D210" s="323"/>
      <c r="E210" s="724"/>
      <c r="F210" s="525" t="s">
        <v>781</v>
      </c>
      <c r="G210" s="518" t="s">
        <v>782</v>
      </c>
      <c r="H210" s="219">
        <v>2201055</v>
      </c>
      <c r="I210" s="368" t="s">
        <v>783</v>
      </c>
      <c r="J210" s="518" t="s">
        <v>784</v>
      </c>
      <c r="K210" s="519">
        <v>220105500</v>
      </c>
      <c r="L210" s="320" t="s">
        <v>785</v>
      </c>
      <c r="M210" s="290" t="s">
        <v>109</v>
      </c>
      <c r="N210" s="146">
        <v>1</v>
      </c>
      <c r="O210" s="146">
        <v>1</v>
      </c>
      <c r="P210" s="146"/>
      <c r="Q210" s="914" t="s">
        <v>224</v>
      </c>
      <c r="R210" s="896" t="s">
        <v>786</v>
      </c>
      <c r="S210" s="891" t="s">
        <v>787</v>
      </c>
      <c r="T210" s="261"/>
      <c r="U210" s="261"/>
      <c r="V210" s="261"/>
      <c r="W210" s="261"/>
      <c r="X210" s="261"/>
      <c r="Y210" s="261"/>
      <c r="Z210" s="261"/>
      <c r="AA210" s="261"/>
      <c r="AB210" s="261"/>
      <c r="AC210" s="261"/>
      <c r="AD210" s="261"/>
      <c r="AE210" s="261"/>
      <c r="AF210" s="261"/>
      <c r="AG210" s="261"/>
      <c r="AH210" s="261"/>
      <c r="AI210" s="261"/>
      <c r="AJ210" s="261"/>
      <c r="AK210" s="261"/>
      <c r="AL210" s="261">
        <v>52000000</v>
      </c>
      <c r="AM210" s="261"/>
      <c r="AN210" s="261"/>
      <c r="AO210" s="261"/>
      <c r="AP210" s="526"/>
      <c r="AQ210" s="526"/>
      <c r="AR210" s="526"/>
      <c r="AS210" s="526"/>
      <c r="AT210" s="526"/>
      <c r="AU210" s="526"/>
      <c r="AV210" s="526"/>
      <c r="AW210" s="526"/>
      <c r="AX210" s="527">
        <v>0</v>
      </c>
      <c r="AY210" s="527"/>
      <c r="AZ210" s="527"/>
      <c r="BA210" s="526"/>
      <c r="BB210" s="526"/>
      <c r="BC210" s="526"/>
      <c r="BD210" s="526"/>
      <c r="BE210" s="526"/>
      <c r="BF210" s="526"/>
      <c r="BG210" s="350">
        <f t="shared" si="66"/>
        <v>52000000</v>
      </c>
      <c r="BH210" s="350"/>
      <c r="BI210" s="350"/>
      <c r="BJ210" s="55"/>
      <c r="BK210" s="55"/>
      <c r="BL210" s="55"/>
      <c r="BM210" s="55"/>
      <c r="BN210" s="55"/>
      <c r="BO210" s="55"/>
      <c r="BP210" s="55"/>
    </row>
    <row r="211" spans="1:68" ht="75" x14ac:dyDescent="0.2">
      <c r="A211" s="104"/>
      <c r="B211" s="255"/>
      <c r="C211" s="255"/>
      <c r="D211" s="323"/>
      <c r="E211" s="725"/>
      <c r="F211" s="145" t="s">
        <v>788</v>
      </c>
      <c r="G211" s="518" t="s">
        <v>789</v>
      </c>
      <c r="H211" s="124">
        <v>2201030</v>
      </c>
      <c r="I211" s="186" t="s">
        <v>790</v>
      </c>
      <c r="J211" s="518" t="s">
        <v>791</v>
      </c>
      <c r="K211" s="519">
        <v>220103000</v>
      </c>
      <c r="L211" s="320" t="s">
        <v>792</v>
      </c>
      <c r="M211" s="290" t="s">
        <v>109</v>
      </c>
      <c r="N211" s="146">
        <v>2500</v>
      </c>
      <c r="O211" s="146">
        <v>2500</v>
      </c>
      <c r="P211" s="146"/>
      <c r="Q211" s="914"/>
      <c r="R211" s="896"/>
      <c r="S211" s="894"/>
      <c r="T211" s="129"/>
      <c r="U211" s="129"/>
      <c r="V211" s="129"/>
      <c r="W211" s="129"/>
      <c r="X211" s="129"/>
      <c r="Y211" s="129"/>
      <c r="Z211" s="129"/>
      <c r="AA211" s="129"/>
      <c r="AB211" s="129"/>
      <c r="AC211" s="129"/>
      <c r="AD211" s="129"/>
      <c r="AE211" s="129"/>
      <c r="AF211" s="129"/>
      <c r="AG211" s="129"/>
      <c r="AH211" s="129"/>
      <c r="AI211" s="129"/>
      <c r="AJ211" s="129"/>
      <c r="AK211" s="129"/>
      <c r="AL211" s="521">
        <v>1580000000</v>
      </c>
      <c r="AM211" s="521">
        <v>1187277568</v>
      </c>
      <c r="AN211" s="521">
        <v>474613150</v>
      </c>
      <c r="AO211" s="129"/>
      <c r="AP211" s="187"/>
      <c r="AQ211" s="187"/>
      <c r="AR211" s="187"/>
      <c r="AS211" s="187"/>
      <c r="AT211" s="187"/>
      <c r="AU211" s="187"/>
      <c r="AV211" s="187"/>
      <c r="AW211" s="187"/>
      <c r="AX211" s="188"/>
      <c r="AY211" s="188"/>
      <c r="AZ211" s="188"/>
      <c r="BA211" s="187"/>
      <c r="BB211" s="187"/>
      <c r="BC211" s="187"/>
      <c r="BD211" s="187"/>
      <c r="BE211" s="187"/>
      <c r="BF211" s="187"/>
      <c r="BG211" s="131">
        <f t="shared" si="66"/>
        <v>1580000000</v>
      </c>
      <c r="BH211" s="131">
        <f t="shared" si="66"/>
        <v>1187277568</v>
      </c>
      <c r="BI211" s="131">
        <f t="shared" si="66"/>
        <v>474613150</v>
      </c>
      <c r="BJ211" s="55"/>
      <c r="BK211" s="55"/>
      <c r="BL211" s="55"/>
      <c r="BM211" s="55"/>
      <c r="BN211" s="55"/>
      <c r="BO211" s="55"/>
      <c r="BP211" s="55"/>
    </row>
    <row r="212" spans="1:68" ht="60" x14ac:dyDescent="0.2">
      <c r="A212" s="104"/>
      <c r="B212" s="255"/>
      <c r="C212" s="255"/>
      <c r="D212" s="323"/>
      <c r="E212" s="121"/>
      <c r="F212" s="122" t="s">
        <v>793</v>
      </c>
      <c r="G212" s="127" t="s">
        <v>794</v>
      </c>
      <c r="H212" s="124">
        <v>2201071</v>
      </c>
      <c r="I212" s="186" t="s">
        <v>795</v>
      </c>
      <c r="J212" s="127" t="s">
        <v>796</v>
      </c>
      <c r="K212" s="519">
        <v>220107100</v>
      </c>
      <c r="L212" s="186" t="s">
        <v>797</v>
      </c>
      <c r="M212" s="290" t="s">
        <v>109</v>
      </c>
      <c r="N212" s="146">
        <v>54</v>
      </c>
      <c r="O212" s="146">
        <v>54</v>
      </c>
      <c r="P212" s="146"/>
      <c r="Q212" s="349" t="s">
        <v>224</v>
      </c>
      <c r="R212" s="127" t="s">
        <v>798</v>
      </c>
      <c r="S212" s="186" t="s">
        <v>8</v>
      </c>
      <c r="T212" s="129"/>
      <c r="U212" s="129"/>
      <c r="V212" s="129"/>
      <c r="W212" s="129"/>
      <c r="X212" s="129"/>
      <c r="Y212" s="129"/>
      <c r="Z212" s="129"/>
      <c r="AA212" s="129"/>
      <c r="AB212" s="129"/>
      <c r="AC212" s="129"/>
      <c r="AD212" s="129"/>
      <c r="AE212" s="129"/>
      <c r="AF212" s="129"/>
      <c r="AG212" s="129"/>
      <c r="AH212" s="129"/>
      <c r="AI212" s="129"/>
      <c r="AJ212" s="129"/>
      <c r="AK212" s="129"/>
      <c r="AL212" s="129">
        <f>128238000000+30000000+50000000+103135464.94</f>
        <v>128421135464.94</v>
      </c>
      <c r="AM212" s="129">
        <v>55449435080</v>
      </c>
      <c r="AN212" s="129">
        <v>55097408952</v>
      </c>
      <c r="AO212" s="528">
        <f>16500000000+7000000000</f>
        <v>23500000000</v>
      </c>
      <c r="AP212" s="528">
        <v>13173537263</v>
      </c>
      <c r="AQ212" s="528">
        <v>13173537263</v>
      </c>
      <c r="AR212" s="129"/>
      <c r="AS212" s="129"/>
      <c r="AT212" s="129"/>
      <c r="AU212" s="129"/>
      <c r="AV212" s="187"/>
      <c r="AW212" s="187"/>
      <c r="AX212" s="188"/>
      <c r="AY212" s="188"/>
      <c r="AZ212" s="188"/>
      <c r="BA212" s="187"/>
      <c r="BB212" s="187"/>
      <c r="BC212" s="187"/>
      <c r="BD212" s="187"/>
      <c r="BE212" s="187"/>
      <c r="BF212" s="187"/>
      <c r="BG212" s="131">
        <f t="shared" si="66"/>
        <v>151921135464.94</v>
      </c>
      <c r="BH212" s="131">
        <f t="shared" si="66"/>
        <v>68622972343</v>
      </c>
      <c r="BI212" s="131">
        <f t="shared" si="66"/>
        <v>68270946215</v>
      </c>
      <c r="BJ212" s="55"/>
      <c r="BK212" s="55"/>
      <c r="BL212" s="55"/>
      <c r="BM212" s="55"/>
      <c r="BN212" s="55"/>
      <c r="BO212" s="55"/>
      <c r="BP212" s="55"/>
    </row>
    <row r="213" spans="1:68" ht="60" x14ac:dyDescent="0.2">
      <c r="A213" s="104"/>
      <c r="B213" s="255"/>
      <c r="C213" s="255"/>
      <c r="D213" s="323"/>
      <c r="E213" s="121"/>
      <c r="F213" s="122" t="s">
        <v>793</v>
      </c>
      <c r="G213" s="127" t="s">
        <v>794</v>
      </c>
      <c r="H213" s="124">
        <v>2201071</v>
      </c>
      <c r="I213" s="529" t="s">
        <v>795</v>
      </c>
      <c r="J213" s="127" t="s">
        <v>796</v>
      </c>
      <c r="K213" s="519">
        <v>220107100</v>
      </c>
      <c r="L213" s="186" t="s">
        <v>797</v>
      </c>
      <c r="M213" s="290" t="s">
        <v>109</v>
      </c>
      <c r="N213" s="146">
        <v>54</v>
      </c>
      <c r="O213" s="146">
        <v>54</v>
      </c>
      <c r="P213" s="146"/>
      <c r="Q213" s="349" t="s">
        <v>224</v>
      </c>
      <c r="R213" s="127" t="s">
        <v>799</v>
      </c>
      <c r="S213" s="211" t="s">
        <v>800</v>
      </c>
      <c r="T213" s="530"/>
      <c r="U213" s="530"/>
      <c r="V213" s="530"/>
      <c r="W213" s="530"/>
      <c r="X213" s="530"/>
      <c r="Y213" s="530"/>
      <c r="Z213" s="530"/>
      <c r="AA213" s="530"/>
      <c r="AB213" s="530"/>
      <c r="AC213" s="530"/>
      <c r="AD213" s="530"/>
      <c r="AE213" s="530"/>
      <c r="AF213" s="530"/>
      <c r="AG213" s="530"/>
      <c r="AH213" s="530"/>
      <c r="AI213" s="530"/>
      <c r="AJ213" s="530"/>
      <c r="AK213" s="530"/>
      <c r="AL213" s="531">
        <v>3762000000</v>
      </c>
      <c r="AM213" s="531">
        <v>1006409799</v>
      </c>
      <c r="AN213" s="531">
        <v>978969799</v>
      </c>
      <c r="AO213" s="532"/>
      <c r="AP213" s="532"/>
      <c r="AQ213" s="532"/>
      <c r="AR213" s="530"/>
      <c r="AS213" s="530"/>
      <c r="AT213" s="530"/>
      <c r="AU213" s="530"/>
      <c r="AV213" s="533"/>
      <c r="AW213" s="533"/>
      <c r="AX213" s="188"/>
      <c r="AY213" s="188"/>
      <c r="AZ213" s="188"/>
      <c r="BA213" s="533"/>
      <c r="BB213" s="533"/>
      <c r="BC213" s="533"/>
      <c r="BD213" s="533"/>
      <c r="BE213" s="533"/>
      <c r="BF213" s="533"/>
      <c r="BG213" s="131">
        <f t="shared" si="66"/>
        <v>3762000000</v>
      </c>
      <c r="BH213" s="131">
        <f t="shared" si="66"/>
        <v>1006409799</v>
      </c>
      <c r="BI213" s="131">
        <f t="shared" si="66"/>
        <v>978969799</v>
      </c>
      <c r="BJ213" s="55"/>
      <c r="BK213" s="55"/>
      <c r="BL213" s="55"/>
      <c r="BM213" s="55"/>
      <c r="BN213" s="55"/>
      <c r="BO213" s="55"/>
      <c r="BP213" s="55"/>
    </row>
    <row r="214" spans="1:68" ht="90" x14ac:dyDescent="0.2">
      <c r="A214" s="104"/>
      <c r="B214" s="255"/>
      <c r="C214" s="255"/>
      <c r="D214" s="323"/>
      <c r="E214" s="721"/>
      <c r="F214" s="122" t="s">
        <v>801</v>
      </c>
      <c r="G214" s="146" t="s">
        <v>802</v>
      </c>
      <c r="H214" s="124">
        <v>2201006</v>
      </c>
      <c r="I214" s="186" t="s">
        <v>803</v>
      </c>
      <c r="J214" s="146" t="s">
        <v>804</v>
      </c>
      <c r="K214" s="519">
        <v>220100600</v>
      </c>
      <c r="L214" s="320" t="s">
        <v>805</v>
      </c>
      <c r="M214" s="290" t="s">
        <v>109</v>
      </c>
      <c r="N214" s="146">
        <v>54</v>
      </c>
      <c r="O214" s="146">
        <v>54</v>
      </c>
      <c r="P214" s="146"/>
      <c r="Q214" s="534" t="s">
        <v>224</v>
      </c>
      <c r="R214" s="887" t="s">
        <v>806</v>
      </c>
      <c r="S214" s="890" t="s">
        <v>807</v>
      </c>
      <c r="T214" s="129"/>
      <c r="U214" s="129"/>
      <c r="V214" s="129"/>
      <c r="W214" s="129"/>
      <c r="X214" s="129"/>
      <c r="Y214" s="129"/>
      <c r="Z214" s="129"/>
      <c r="AA214" s="129"/>
      <c r="AB214" s="129"/>
      <c r="AC214" s="129"/>
      <c r="AD214" s="129"/>
      <c r="AE214" s="129"/>
      <c r="AF214" s="129"/>
      <c r="AG214" s="129"/>
      <c r="AH214" s="129"/>
      <c r="AI214" s="129"/>
      <c r="AJ214" s="129"/>
      <c r="AK214" s="129"/>
      <c r="AL214" s="129"/>
      <c r="AM214" s="129"/>
      <c r="AN214" s="129"/>
      <c r="AO214" s="129"/>
      <c r="AP214" s="129"/>
      <c r="AQ214" s="129"/>
      <c r="AR214" s="129"/>
      <c r="AS214" s="129"/>
      <c r="AT214" s="129"/>
      <c r="AU214" s="129"/>
      <c r="AV214" s="187"/>
      <c r="AW214" s="187"/>
      <c r="AX214" s="188">
        <f>20000000+10000000+31600000</f>
        <v>61600000</v>
      </c>
      <c r="AY214" s="188">
        <v>20000000</v>
      </c>
      <c r="AZ214" s="188">
        <v>20000000</v>
      </c>
      <c r="BA214" s="187"/>
      <c r="BB214" s="187"/>
      <c r="BC214" s="187"/>
      <c r="BD214" s="187"/>
      <c r="BE214" s="187"/>
      <c r="BF214" s="187"/>
      <c r="BG214" s="131">
        <f t="shared" si="66"/>
        <v>61600000</v>
      </c>
      <c r="BH214" s="131">
        <f t="shared" si="66"/>
        <v>20000000</v>
      </c>
      <c r="BI214" s="131">
        <f t="shared" si="66"/>
        <v>20000000</v>
      </c>
      <c r="BJ214" s="55"/>
      <c r="BK214" s="55"/>
      <c r="BL214" s="55"/>
      <c r="BM214" s="55"/>
      <c r="BN214" s="55"/>
      <c r="BO214" s="55"/>
      <c r="BP214" s="55"/>
    </row>
    <row r="215" spans="1:68" ht="77.25" customHeight="1" x14ac:dyDescent="0.2">
      <c r="A215" s="104"/>
      <c r="B215" s="255"/>
      <c r="C215" s="255"/>
      <c r="D215" s="323"/>
      <c r="E215" s="722"/>
      <c r="F215" s="122" t="s">
        <v>765</v>
      </c>
      <c r="G215" s="127" t="s">
        <v>766</v>
      </c>
      <c r="H215" s="124">
        <v>2201033</v>
      </c>
      <c r="I215" s="186" t="s">
        <v>767</v>
      </c>
      <c r="J215" s="127" t="s">
        <v>768</v>
      </c>
      <c r="K215" s="519">
        <v>220103300</v>
      </c>
      <c r="L215" s="186" t="s">
        <v>769</v>
      </c>
      <c r="M215" s="290" t="s">
        <v>204</v>
      </c>
      <c r="N215" s="146">
        <v>36000</v>
      </c>
      <c r="O215" s="146">
        <v>9000</v>
      </c>
      <c r="P215" s="146"/>
      <c r="Q215" s="536"/>
      <c r="R215" s="888"/>
      <c r="S215" s="891"/>
      <c r="T215" s="129"/>
      <c r="U215" s="129"/>
      <c r="V215" s="129"/>
      <c r="W215" s="129"/>
      <c r="X215" s="129"/>
      <c r="Y215" s="129"/>
      <c r="Z215" s="129"/>
      <c r="AA215" s="129"/>
      <c r="AB215" s="129"/>
      <c r="AC215" s="129"/>
      <c r="AD215" s="129"/>
      <c r="AE215" s="129"/>
      <c r="AF215" s="129"/>
      <c r="AG215" s="129"/>
      <c r="AH215" s="129"/>
      <c r="AI215" s="129"/>
      <c r="AJ215" s="129"/>
      <c r="AK215" s="129"/>
      <c r="AL215" s="129">
        <v>25000000</v>
      </c>
      <c r="AM215" s="129"/>
      <c r="AN215" s="129"/>
      <c r="AO215" s="129"/>
      <c r="AP215" s="187"/>
      <c r="AQ215" s="187"/>
      <c r="AR215" s="187"/>
      <c r="AS215" s="187"/>
      <c r="AT215" s="187"/>
      <c r="AU215" s="187"/>
      <c r="AV215" s="187"/>
      <c r="AW215" s="187"/>
      <c r="AX215" s="188"/>
      <c r="AY215" s="188"/>
      <c r="AZ215" s="188"/>
      <c r="BA215" s="187"/>
      <c r="BB215" s="187"/>
      <c r="BC215" s="187"/>
      <c r="BD215" s="187"/>
      <c r="BE215" s="187"/>
      <c r="BF215" s="187"/>
      <c r="BG215" s="131">
        <f t="shared" si="66"/>
        <v>25000000</v>
      </c>
      <c r="BH215" s="131">
        <f t="shared" si="66"/>
        <v>0</v>
      </c>
      <c r="BI215" s="131">
        <f t="shared" si="66"/>
        <v>0</v>
      </c>
      <c r="BJ215" s="55"/>
      <c r="BK215" s="55"/>
      <c r="BL215" s="55"/>
      <c r="BM215" s="55"/>
      <c r="BN215" s="55"/>
      <c r="BO215" s="55"/>
      <c r="BP215" s="55"/>
    </row>
    <row r="216" spans="1:68" ht="105" x14ac:dyDescent="0.2">
      <c r="A216" s="104"/>
      <c r="B216" s="255"/>
      <c r="C216" s="255"/>
      <c r="D216" s="323"/>
      <c r="E216" s="722"/>
      <c r="F216" s="122" t="s">
        <v>808</v>
      </c>
      <c r="G216" s="518" t="s">
        <v>344</v>
      </c>
      <c r="H216" s="124">
        <v>2201068</v>
      </c>
      <c r="I216" s="186" t="s">
        <v>345</v>
      </c>
      <c r="J216" s="518" t="s">
        <v>346</v>
      </c>
      <c r="K216" s="519">
        <v>220106800</v>
      </c>
      <c r="L216" s="320" t="s">
        <v>347</v>
      </c>
      <c r="M216" s="127" t="s">
        <v>109</v>
      </c>
      <c r="N216" s="124">
        <v>266</v>
      </c>
      <c r="O216" s="124">
        <v>40</v>
      </c>
      <c r="P216" s="863"/>
      <c r="Q216" s="536"/>
      <c r="R216" s="888"/>
      <c r="S216" s="891"/>
      <c r="T216" s="129"/>
      <c r="U216" s="129"/>
      <c r="V216" s="129"/>
      <c r="W216" s="129"/>
      <c r="X216" s="129"/>
      <c r="Y216" s="129"/>
      <c r="Z216" s="129"/>
      <c r="AA216" s="129"/>
      <c r="AB216" s="129"/>
      <c r="AC216" s="129"/>
      <c r="AD216" s="129"/>
      <c r="AE216" s="129"/>
      <c r="AF216" s="129"/>
      <c r="AG216" s="129"/>
      <c r="AH216" s="129"/>
      <c r="AI216" s="129"/>
      <c r="AJ216" s="129"/>
      <c r="AK216" s="129"/>
      <c r="AL216" s="129"/>
      <c r="AM216" s="129"/>
      <c r="AN216" s="129"/>
      <c r="AO216" s="129"/>
      <c r="AP216" s="129"/>
      <c r="AQ216" s="129"/>
      <c r="AR216" s="129"/>
      <c r="AS216" s="129"/>
      <c r="AT216" s="129"/>
      <c r="AU216" s="129"/>
      <c r="AV216" s="187"/>
      <c r="AW216" s="187"/>
      <c r="AX216" s="188">
        <f>35000000-8222000+8000000</f>
        <v>34778000</v>
      </c>
      <c r="AY216" s="188"/>
      <c r="AZ216" s="188"/>
      <c r="BA216" s="187"/>
      <c r="BB216" s="187"/>
      <c r="BC216" s="187"/>
      <c r="BD216" s="187"/>
      <c r="BE216" s="187"/>
      <c r="BF216" s="187"/>
      <c r="BG216" s="131">
        <f t="shared" si="66"/>
        <v>34778000</v>
      </c>
      <c r="BH216" s="131">
        <f t="shared" si="66"/>
        <v>0</v>
      </c>
      <c r="BI216" s="131">
        <f t="shared" si="66"/>
        <v>0</v>
      </c>
      <c r="BJ216" s="55"/>
      <c r="BK216" s="55"/>
      <c r="BL216" s="55"/>
      <c r="BM216" s="55"/>
      <c r="BN216" s="55"/>
      <c r="BO216" s="55"/>
      <c r="BP216" s="55"/>
    </row>
    <row r="217" spans="1:68" ht="102" customHeight="1" x14ac:dyDescent="0.2">
      <c r="A217" s="104"/>
      <c r="B217" s="255"/>
      <c r="C217" s="255"/>
      <c r="D217" s="323"/>
      <c r="E217" s="726"/>
      <c r="F217" s="122" t="s">
        <v>772</v>
      </c>
      <c r="G217" s="127" t="s">
        <v>809</v>
      </c>
      <c r="H217" s="124">
        <v>2201046</v>
      </c>
      <c r="I217" s="186" t="s">
        <v>810</v>
      </c>
      <c r="J217" s="127" t="s">
        <v>811</v>
      </c>
      <c r="K217" s="519">
        <v>220104602</v>
      </c>
      <c r="L217" s="186" t="s">
        <v>812</v>
      </c>
      <c r="M217" s="290" t="s">
        <v>204</v>
      </c>
      <c r="N217" s="146">
        <v>54</v>
      </c>
      <c r="O217" s="146">
        <v>5</v>
      </c>
      <c r="P217" s="146"/>
      <c r="Q217" s="536"/>
      <c r="R217" s="888"/>
      <c r="S217" s="891"/>
      <c r="T217" s="129"/>
      <c r="U217" s="129"/>
      <c r="V217" s="129"/>
      <c r="W217" s="129"/>
      <c r="X217" s="129"/>
      <c r="Y217" s="129"/>
      <c r="Z217" s="129"/>
      <c r="AA217" s="129"/>
      <c r="AB217" s="129"/>
      <c r="AC217" s="539"/>
      <c r="AD217" s="539"/>
      <c r="AE217" s="539"/>
      <c r="AF217" s="129"/>
      <c r="AG217" s="129"/>
      <c r="AH217" s="129"/>
      <c r="AI217" s="129"/>
      <c r="AJ217" s="129"/>
      <c r="AK217" s="129"/>
      <c r="AL217" s="129"/>
      <c r="AM217" s="129"/>
      <c r="AN217" s="129"/>
      <c r="AO217" s="129"/>
      <c r="AP217" s="129"/>
      <c r="AQ217" s="129"/>
      <c r="AR217" s="129"/>
      <c r="AS217" s="129"/>
      <c r="AT217" s="129"/>
      <c r="AU217" s="129"/>
      <c r="AV217" s="187"/>
      <c r="AW217" s="187"/>
      <c r="AX217" s="188">
        <f>10000000+5000000-9600000</f>
        <v>5400000</v>
      </c>
      <c r="AY217" s="188"/>
      <c r="AZ217" s="188"/>
      <c r="BA217" s="187"/>
      <c r="BB217" s="187"/>
      <c r="BC217" s="187"/>
      <c r="BD217" s="187"/>
      <c r="BE217" s="187"/>
      <c r="BF217" s="187"/>
      <c r="BG217" s="131">
        <f t="shared" si="66"/>
        <v>5400000</v>
      </c>
      <c r="BH217" s="131">
        <f t="shared" si="66"/>
        <v>0</v>
      </c>
      <c r="BI217" s="131">
        <f t="shared" si="66"/>
        <v>0</v>
      </c>
      <c r="BJ217" s="55"/>
      <c r="BK217" s="55"/>
      <c r="BL217" s="55"/>
      <c r="BM217" s="55"/>
      <c r="BN217" s="55"/>
      <c r="BO217" s="55"/>
      <c r="BP217" s="55"/>
    </row>
    <row r="218" spans="1:68" ht="92.25" customHeight="1" x14ac:dyDescent="0.2">
      <c r="A218" s="104"/>
      <c r="B218" s="255"/>
      <c r="C218" s="255"/>
      <c r="D218" s="323"/>
      <c r="E218" s="726"/>
      <c r="F218" s="145" t="s">
        <v>219</v>
      </c>
      <c r="G218" s="212" t="s">
        <v>220</v>
      </c>
      <c r="H218" s="185" t="s">
        <v>102</v>
      </c>
      <c r="I218" s="186" t="s">
        <v>221</v>
      </c>
      <c r="J218" s="212" t="s">
        <v>222</v>
      </c>
      <c r="K218" s="212" t="s">
        <v>102</v>
      </c>
      <c r="L218" s="211" t="s">
        <v>223</v>
      </c>
      <c r="M218" s="287" t="s">
        <v>204</v>
      </c>
      <c r="N218" s="124">
        <v>54</v>
      </c>
      <c r="O218" s="124">
        <v>9</v>
      </c>
      <c r="P218" s="863"/>
      <c r="Q218" s="536"/>
      <c r="R218" s="888"/>
      <c r="S218" s="891"/>
      <c r="T218" s="129"/>
      <c r="U218" s="129"/>
      <c r="V218" s="129"/>
      <c r="W218" s="129"/>
      <c r="X218" s="129"/>
      <c r="Y218" s="129"/>
      <c r="Z218" s="129"/>
      <c r="AA218" s="129"/>
      <c r="AB218" s="129"/>
      <c r="AC218" s="540"/>
      <c r="AD218" s="540"/>
      <c r="AE218" s="540"/>
      <c r="AF218" s="129"/>
      <c r="AG218" s="129"/>
      <c r="AH218" s="129"/>
      <c r="AI218" s="129"/>
      <c r="AJ218" s="129"/>
      <c r="AK218" s="129"/>
      <c r="AL218" s="129">
        <v>12426628.52</v>
      </c>
      <c r="AM218" s="129"/>
      <c r="AN218" s="129"/>
      <c r="AO218" s="129"/>
      <c r="AP218" s="129"/>
      <c r="AQ218" s="129"/>
      <c r="AR218" s="129"/>
      <c r="AS218" s="129"/>
      <c r="AT218" s="129"/>
      <c r="AU218" s="129"/>
      <c r="AV218" s="187"/>
      <c r="AW218" s="187"/>
      <c r="AX218" s="188">
        <f>20000000+5000000</f>
        <v>25000000</v>
      </c>
      <c r="AY218" s="188">
        <v>18960000</v>
      </c>
      <c r="AZ218" s="188">
        <v>18960000</v>
      </c>
      <c r="BA218" s="187"/>
      <c r="BB218" s="187"/>
      <c r="BC218" s="187"/>
      <c r="BD218" s="187"/>
      <c r="BE218" s="187"/>
      <c r="BF218" s="187"/>
      <c r="BG218" s="131">
        <f t="shared" si="66"/>
        <v>37426628.519999996</v>
      </c>
      <c r="BH218" s="131">
        <f t="shared" si="66"/>
        <v>18960000</v>
      </c>
      <c r="BI218" s="131">
        <f t="shared" si="66"/>
        <v>18960000</v>
      </c>
      <c r="BJ218" s="55"/>
      <c r="BK218" s="55"/>
      <c r="BL218" s="55"/>
      <c r="BM218" s="55"/>
      <c r="BN218" s="55"/>
      <c r="BO218" s="55"/>
      <c r="BP218" s="55"/>
    </row>
    <row r="219" spans="1:68" ht="78.75" customHeight="1" x14ac:dyDescent="0.2">
      <c r="A219" s="104"/>
      <c r="B219" s="255"/>
      <c r="C219" s="255"/>
      <c r="D219" s="323"/>
      <c r="E219" s="725"/>
      <c r="F219" s="122" t="s">
        <v>813</v>
      </c>
      <c r="G219" s="127" t="s">
        <v>814</v>
      </c>
      <c r="H219" s="124">
        <v>2201026</v>
      </c>
      <c r="I219" s="186" t="s">
        <v>815</v>
      </c>
      <c r="J219" s="127" t="s">
        <v>816</v>
      </c>
      <c r="K219" s="519">
        <v>220102600</v>
      </c>
      <c r="L219" s="186" t="s">
        <v>817</v>
      </c>
      <c r="M219" s="290" t="s">
        <v>204</v>
      </c>
      <c r="N219" s="146">
        <v>54</v>
      </c>
      <c r="O219" s="146">
        <v>5</v>
      </c>
      <c r="P219" s="146"/>
      <c r="Q219" s="541"/>
      <c r="R219" s="889"/>
      <c r="S219" s="894"/>
      <c r="T219" s="129"/>
      <c r="U219" s="129"/>
      <c r="V219" s="129"/>
      <c r="W219" s="129"/>
      <c r="X219" s="129"/>
      <c r="Y219" s="129"/>
      <c r="Z219" s="129"/>
      <c r="AA219" s="129"/>
      <c r="AB219" s="129"/>
      <c r="AC219" s="129">
        <v>174455946.78999999</v>
      </c>
      <c r="AD219" s="129"/>
      <c r="AE219" s="129"/>
      <c r="AF219" s="129"/>
      <c r="AG219" s="129"/>
      <c r="AH219" s="129"/>
      <c r="AI219" s="129"/>
      <c r="AJ219" s="129"/>
      <c r="AK219" s="129"/>
      <c r="AL219" s="129">
        <v>43000000</v>
      </c>
      <c r="AM219" s="129"/>
      <c r="AN219" s="129"/>
      <c r="AO219" s="129"/>
      <c r="AP219" s="129"/>
      <c r="AQ219" s="129"/>
      <c r="AR219" s="129"/>
      <c r="AS219" s="129"/>
      <c r="AT219" s="129"/>
      <c r="AU219" s="129"/>
      <c r="AV219" s="129"/>
      <c r="AW219" s="129"/>
      <c r="AX219" s="229">
        <v>90161500</v>
      </c>
      <c r="AY219" s="229"/>
      <c r="AZ219" s="229"/>
      <c r="BA219" s="129"/>
      <c r="BB219" s="129"/>
      <c r="BC219" s="129"/>
      <c r="BD219" s="129"/>
      <c r="BE219" s="129"/>
      <c r="BF219" s="129"/>
      <c r="BG219" s="131">
        <f t="shared" si="66"/>
        <v>307617446.78999996</v>
      </c>
      <c r="BH219" s="131">
        <f t="shared" si="66"/>
        <v>0</v>
      </c>
      <c r="BI219" s="131">
        <f t="shared" si="66"/>
        <v>0</v>
      </c>
      <c r="BJ219" s="55"/>
      <c r="BK219" s="55"/>
      <c r="BL219" s="55"/>
      <c r="BM219" s="55"/>
      <c r="BN219" s="55"/>
      <c r="BO219" s="55"/>
      <c r="BP219" s="55"/>
    </row>
    <row r="220" spans="1:68" ht="90" x14ac:dyDescent="0.2">
      <c r="A220" s="104"/>
      <c r="B220" s="255"/>
      <c r="C220" s="255"/>
      <c r="D220" s="323"/>
      <c r="E220" s="121"/>
      <c r="F220" s="122" t="s">
        <v>801</v>
      </c>
      <c r="G220" s="146" t="s">
        <v>802</v>
      </c>
      <c r="H220" s="124">
        <v>2201006</v>
      </c>
      <c r="I220" s="186" t="s">
        <v>803</v>
      </c>
      <c r="J220" s="146" t="s">
        <v>804</v>
      </c>
      <c r="K220" s="519">
        <v>220100600</v>
      </c>
      <c r="L220" s="320" t="s">
        <v>805</v>
      </c>
      <c r="M220" s="290" t="s">
        <v>109</v>
      </c>
      <c r="N220" s="146">
        <v>54</v>
      </c>
      <c r="O220" s="146">
        <v>54</v>
      </c>
      <c r="P220" s="146"/>
      <c r="Q220" s="349" t="s">
        <v>224</v>
      </c>
      <c r="R220" s="127" t="s">
        <v>818</v>
      </c>
      <c r="S220" s="186" t="s">
        <v>819</v>
      </c>
      <c r="T220" s="129"/>
      <c r="U220" s="129"/>
      <c r="V220" s="129"/>
      <c r="W220" s="129"/>
      <c r="X220" s="129"/>
      <c r="Y220" s="129"/>
      <c r="Z220" s="129"/>
      <c r="AA220" s="129"/>
      <c r="AB220" s="129"/>
      <c r="AC220" s="129"/>
      <c r="AD220" s="129"/>
      <c r="AE220" s="129"/>
      <c r="AF220" s="129"/>
      <c r="AG220" s="543"/>
      <c r="AH220" s="543"/>
      <c r="AI220" s="543"/>
      <c r="AJ220" s="543"/>
      <c r="AK220" s="543"/>
      <c r="AL220" s="544"/>
      <c r="AM220" s="544"/>
      <c r="AN220" s="544"/>
      <c r="AO220" s="543"/>
      <c r="AP220" s="543"/>
      <c r="AQ220" s="543"/>
      <c r="AR220" s="543"/>
      <c r="AS220" s="543"/>
      <c r="AT220" s="543"/>
      <c r="AU220" s="129"/>
      <c r="AV220" s="187"/>
      <c r="AW220" s="187"/>
      <c r="AX220" s="188">
        <v>20000000</v>
      </c>
      <c r="AY220" s="188">
        <v>19200000</v>
      </c>
      <c r="AZ220" s="188">
        <v>12800000</v>
      </c>
      <c r="BA220" s="187"/>
      <c r="BB220" s="187"/>
      <c r="BC220" s="187"/>
      <c r="BD220" s="187"/>
      <c r="BE220" s="187"/>
      <c r="BF220" s="187"/>
      <c r="BG220" s="131">
        <f t="shared" si="66"/>
        <v>20000000</v>
      </c>
      <c r="BH220" s="131">
        <f t="shared" si="66"/>
        <v>19200000</v>
      </c>
      <c r="BI220" s="131">
        <f t="shared" si="66"/>
        <v>12800000</v>
      </c>
      <c r="BJ220" s="55"/>
      <c r="BK220" s="55"/>
      <c r="BL220" s="55"/>
      <c r="BM220" s="55"/>
      <c r="BN220" s="55"/>
      <c r="BO220" s="55"/>
      <c r="BP220" s="55"/>
    </row>
    <row r="221" spans="1:68" s="546" customFormat="1" ht="108" customHeight="1" x14ac:dyDescent="0.25">
      <c r="A221" s="545"/>
      <c r="B221" s="255"/>
      <c r="C221" s="255"/>
      <c r="D221" s="323"/>
      <c r="E221" s="121"/>
      <c r="F221" s="122" t="s">
        <v>772</v>
      </c>
      <c r="G221" s="127" t="s">
        <v>809</v>
      </c>
      <c r="H221" s="124">
        <v>2201046</v>
      </c>
      <c r="I221" s="186" t="s">
        <v>810</v>
      </c>
      <c r="J221" s="127" t="s">
        <v>811</v>
      </c>
      <c r="K221" s="519">
        <v>220104602</v>
      </c>
      <c r="L221" s="186" t="s">
        <v>812</v>
      </c>
      <c r="M221" s="290" t="s">
        <v>204</v>
      </c>
      <c r="N221" s="146">
        <v>54</v>
      </c>
      <c r="O221" s="146">
        <v>5</v>
      </c>
      <c r="P221" s="146"/>
      <c r="Q221" s="349" t="s">
        <v>224</v>
      </c>
      <c r="R221" s="127" t="s">
        <v>820</v>
      </c>
      <c r="S221" s="186" t="s">
        <v>821</v>
      </c>
      <c r="T221" s="129"/>
      <c r="U221" s="129"/>
      <c r="V221" s="129"/>
      <c r="W221" s="129"/>
      <c r="X221" s="129"/>
      <c r="Y221" s="129"/>
      <c r="Z221" s="129"/>
      <c r="AA221" s="129"/>
      <c r="AB221" s="129"/>
      <c r="AC221" s="129"/>
      <c r="AD221" s="129"/>
      <c r="AE221" s="129"/>
      <c r="AF221" s="129"/>
      <c r="AG221" s="129"/>
      <c r="AH221" s="129"/>
      <c r="AI221" s="129"/>
      <c r="AJ221" s="129"/>
      <c r="AK221" s="129"/>
      <c r="AL221" s="195"/>
      <c r="AM221" s="195"/>
      <c r="AN221" s="195"/>
      <c r="AO221" s="195"/>
      <c r="AP221" s="195"/>
      <c r="AQ221" s="195"/>
      <c r="AR221" s="129"/>
      <c r="AS221" s="129"/>
      <c r="AT221" s="129"/>
      <c r="AU221" s="129"/>
      <c r="AV221" s="187"/>
      <c r="AW221" s="187"/>
      <c r="AX221" s="188">
        <v>76000000</v>
      </c>
      <c r="AY221" s="188">
        <v>12513333</v>
      </c>
      <c r="AZ221" s="188">
        <v>12513333</v>
      </c>
      <c r="BA221" s="187"/>
      <c r="BB221" s="187"/>
      <c r="BC221" s="187"/>
      <c r="BD221" s="187"/>
      <c r="BE221" s="187"/>
      <c r="BF221" s="187"/>
      <c r="BG221" s="131">
        <f t="shared" si="66"/>
        <v>76000000</v>
      </c>
      <c r="BH221" s="131">
        <f t="shared" si="66"/>
        <v>12513333</v>
      </c>
      <c r="BI221" s="131">
        <f t="shared" si="66"/>
        <v>12513333</v>
      </c>
    </row>
    <row r="222" spans="1:68" ht="85.5" customHeight="1" x14ac:dyDescent="0.2">
      <c r="A222" s="104"/>
      <c r="B222" s="255"/>
      <c r="C222" s="255"/>
      <c r="D222" s="323"/>
      <c r="E222" s="547"/>
      <c r="F222" s="122" t="s">
        <v>822</v>
      </c>
      <c r="G222" s="518" t="s">
        <v>823</v>
      </c>
      <c r="H222" s="124">
        <v>2201037</v>
      </c>
      <c r="I222" s="186" t="s">
        <v>824</v>
      </c>
      <c r="J222" s="518" t="s">
        <v>825</v>
      </c>
      <c r="K222" s="519">
        <v>220103700</v>
      </c>
      <c r="L222" s="320" t="s">
        <v>826</v>
      </c>
      <c r="M222" s="290" t="s">
        <v>109</v>
      </c>
      <c r="N222" s="146">
        <v>54</v>
      </c>
      <c r="O222" s="146">
        <v>54</v>
      </c>
      <c r="P222" s="146"/>
      <c r="Q222" s="349" t="s">
        <v>224</v>
      </c>
      <c r="R222" s="127" t="s">
        <v>827</v>
      </c>
      <c r="S222" s="186" t="s">
        <v>828</v>
      </c>
      <c r="T222" s="129"/>
      <c r="U222" s="129"/>
      <c r="V222" s="129"/>
      <c r="W222" s="129"/>
      <c r="X222" s="129"/>
      <c r="Y222" s="129"/>
      <c r="Z222" s="129"/>
      <c r="AA222" s="129"/>
      <c r="AB222" s="129"/>
      <c r="AC222" s="129"/>
      <c r="AD222" s="129"/>
      <c r="AE222" s="129"/>
      <c r="AF222" s="129"/>
      <c r="AG222" s="129"/>
      <c r="AH222" s="129"/>
      <c r="AI222" s="129"/>
      <c r="AJ222" s="129"/>
      <c r="AK222" s="129"/>
      <c r="AL222" s="129"/>
      <c r="AM222" s="129"/>
      <c r="AN222" s="129"/>
      <c r="AO222" s="129"/>
      <c r="AP222" s="129"/>
      <c r="AQ222" s="129"/>
      <c r="AR222" s="129"/>
      <c r="AS222" s="129"/>
      <c r="AT222" s="129"/>
      <c r="AU222" s="129"/>
      <c r="AV222" s="187"/>
      <c r="AW222" s="187"/>
      <c r="AX222" s="523">
        <f>25000000-5000000+20000000</f>
        <v>40000000</v>
      </c>
      <c r="AY222" s="523">
        <v>15680000</v>
      </c>
      <c r="AZ222" s="523">
        <v>15680000</v>
      </c>
      <c r="BA222" s="187"/>
      <c r="BB222" s="187"/>
      <c r="BC222" s="187"/>
      <c r="BD222" s="187"/>
      <c r="BE222" s="187"/>
      <c r="BF222" s="187"/>
      <c r="BG222" s="131">
        <f t="shared" si="66"/>
        <v>40000000</v>
      </c>
      <c r="BH222" s="131">
        <f t="shared" si="66"/>
        <v>15680000</v>
      </c>
      <c r="BI222" s="131">
        <f t="shared" si="66"/>
        <v>15680000</v>
      </c>
      <c r="BJ222" s="55"/>
      <c r="BK222" s="55"/>
      <c r="BL222" s="55"/>
      <c r="BM222" s="55"/>
      <c r="BN222" s="55"/>
      <c r="BO222" s="55"/>
      <c r="BP222" s="55"/>
    </row>
    <row r="223" spans="1:68" ht="75" customHeight="1" x14ac:dyDescent="0.2">
      <c r="A223" s="104"/>
      <c r="B223" s="255"/>
      <c r="C223" s="255"/>
      <c r="D223" s="323"/>
      <c r="E223" s="915"/>
      <c r="F223" s="917" t="s">
        <v>772</v>
      </c>
      <c r="G223" s="919" t="s">
        <v>829</v>
      </c>
      <c r="H223" s="921">
        <v>2201050</v>
      </c>
      <c r="I223" s="890" t="s">
        <v>830</v>
      </c>
      <c r="J223" s="518" t="s">
        <v>831</v>
      </c>
      <c r="K223" s="519">
        <v>220105001</v>
      </c>
      <c r="L223" s="320" t="s">
        <v>832</v>
      </c>
      <c r="M223" s="290" t="s">
        <v>109</v>
      </c>
      <c r="N223" s="146">
        <v>150</v>
      </c>
      <c r="O223" s="146">
        <v>150</v>
      </c>
      <c r="P223" s="146"/>
      <c r="Q223" s="923" t="s">
        <v>224</v>
      </c>
      <c r="R223" s="925" t="s">
        <v>833</v>
      </c>
      <c r="S223" s="890" t="s">
        <v>834</v>
      </c>
      <c r="T223" s="129"/>
      <c r="U223" s="129"/>
      <c r="V223" s="129"/>
      <c r="W223" s="129"/>
      <c r="X223" s="129"/>
      <c r="Y223" s="129"/>
      <c r="Z223" s="129"/>
      <c r="AA223" s="129"/>
      <c r="AB223" s="129"/>
      <c r="AC223" s="129"/>
      <c r="AD223" s="129"/>
      <c r="AE223" s="129"/>
      <c r="AF223" s="129"/>
      <c r="AG223" s="129"/>
      <c r="AH223" s="129"/>
      <c r="AI223" s="129"/>
      <c r="AJ223" s="129"/>
      <c r="AK223" s="129"/>
      <c r="AL223" s="548">
        <v>700000000</v>
      </c>
      <c r="AM223" s="548"/>
      <c r="AN223" s="548"/>
      <c r="AO223" s="129"/>
      <c r="AP223" s="129"/>
      <c r="AQ223" s="129"/>
      <c r="AR223" s="129"/>
      <c r="AS223" s="129"/>
      <c r="AT223" s="129"/>
      <c r="AU223" s="129"/>
      <c r="AV223" s="129"/>
      <c r="AW223" s="129"/>
      <c r="AX223" s="549"/>
      <c r="AY223" s="549"/>
      <c r="AZ223" s="549"/>
      <c r="BA223" s="129"/>
      <c r="BB223" s="129"/>
      <c r="BC223" s="129"/>
      <c r="BD223" s="129"/>
      <c r="BE223" s="129"/>
      <c r="BF223" s="129"/>
      <c r="BG223" s="131">
        <f t="shared" ref="BG223:BI223" si="67">+T223+W223+Z223+AC223+AF223+AI223+AL223+AO223+AR223+AU223+AX223+BA223+BD223</f>
        <v>700000000</v>
      </c>
      <c r="BH223" s="131">
        <f t="shared" si="67"/>
        <v>0</v>
      </c>
      <c r="BI223" s="131">
        <f t="shared" si="67"/>
        <v>0</v>
      </c>
      <c r="BJ223" s="55"/>
      <c r="BK223" s="55"/>
      <c r="BL223" s="55"/>
      <c r="BM223" s="55"/>
      <c r="BN223" s="55"/>
      <c r="BO223" s="55"/>
      <c r="BP223" s="55"/>
    </row>
    <row r="224" spans="1:68" ht="53.25" customHeight="1" x14ac:dyDescent="0.2">
      <c r="A224" s="104"/>
      <c r="B224" s="255"/>
      <c r="C224" s="255"/>
      <c r="D224" s="323"/>
      <c r="E224" s="916"/>
      <c r="F224" s="918"/>
      <c r="G224" s="920"/>
      <c r="H224" s="922"/>
      <c r="I224" s="894"/>
      <c r="J224" s="518" t="s">
        <v>835</v>
      </c>
      <c r="K224" s="519">
        <v>220105000</v>
      </c>
      <c r="L224" s="550" t="s">
        <v>836</v>
      </c>
      <c r="M224" s="551" t="s">
        <v>204</v>
      </c>
      <c r="N224" s="146">
        <v>33000</v>
      </c>
      <c r="O224" s="551">
        <v>10000</v>
      </c>
      <c r="P224" s="551"/>
      <c r="Q224" s="924"/>
      <c r="R224" s="926"/>
      <c r="S224" s="894"/>
      <c r="T224" s="129"/>
      <c r="U224" s="129"/>
      <c r="V224" s="129"/>
      <c r="W224" s="129"/>
      <c r="X224" s="129"/>
      <c r="Y224" s="129"/>
      <c r="Z224" s="129"/>
      <c r="AA224" s="129"/>
      <c r="AB224" s="129"/>
      <c r="AC224" s="129"/>
      <c r="AD224" s="129"/>
      <c r="AE224" s="129"/>
      <c r="AF224" s="129"/>
      <c r="AG224" s="129"/>
      <c r="AH224" s="129"/>
      <c r="AI224" s="129"/>
      <c r="AJ224" s="129"/>
      <c r="AK224" s="129"/>
      <c r="AL224" s="548"/>
      <c r="AM224" s="548"/>
      <c r="AN224" s="548"/>
      <c r="AO224" s="129"/>
      <c r="AP224" s="129"/>
      <c r="AQ224" s="129"/>
      <c r="AR224" s="129"/>
      <c r="AS224" s="129"/>
      <c r="AT224" s="129"/>
      <c r="AU224" s="129"/>
      <c r="AV224" s="129"/>
      <c r="AW224" s="129"/>
      <c r="AX224" s="549"/>
      <c r="AY224" s="549"/>
      <c r="AZ224" s="549"/>
      <c r="BA224" s="129"/>
      <c r="BB224" s="129"/>
      <c r="BC224" s="129"/>
      <c r="BD224" s="129"/>
      <c r="BE224" s="129"/>
      <c r="BF224" s="129"/>
      <c r="BG224" s="131"/>
      <c r="BH224" s="131"/>
      <c r="BI224" s="131"/>
      <c r="BJ224" s="55"/>
      <c r="BK224" s="55"/>
      <c r="BL224" s="55"/>
      <c r="BM224" s="55"/>
      <c r="BN224" s="55"/>
      <c r="BO224" s="55"/>
      <c r="BP224" s="55"/>
    </row>
    <row r="225" spans="1:68" ht="63.75" customHeight="1" x14ac:dyDescent="0.2">
      <c r="A225" s="104"/>
      <c r="B225" s="255"/>
      <c r="C225" s="255"/>
      <c r="D225" s="323"/>
      <c r="E225" s="915"/>
      <c r="F225" s="930" t="s">
        <v>837</v>
      </c>
      <c r="G225" s="931" t="s">
        <v>838</v>
      </c>
      <c r="H225" s="932">
        <v>2201034</v>
      </c>
      <c r="I225" s="897" t="s">
        <v>839</v>
      </c>
      <c r="J225" s="518" t="s">
        <v>840</v>
      </c>
      <c r="K225" s="519">
        <v>220103400</v>
      </c>
      <c r="L225" s="320" t="s">
        <v>841</v>
      </c>
      <c r="M225" s="290" t="s">
        <v>204</v>
      </c>
      <c r="N225" s="146">
        <v>15000</v>
      </c>
      <c r="O225" s="146">
        <v>100</v>
      </c>
      <c r="P225" s="146"/>
      <c r="Q225" s="923" t="s">
        <v>224</v>
      </c>
      <c r="R225" s="887" t="s">
        <v>842</v>
      </c>
      <c r="S225" s="890" t="s">
        <v>843</v>
      </c>
      <c r="T225" s="129"/>
      <c r="U225" s="129"/>
      <c r="V225" s="129"/>
      <c r="W225" s="129"/>
      <c r="X225" s="129"/>
      <c r="Y225" s="129"/>
      <c r="Z225" s="129"/>
      <c r="AA225" s="129"/>
      <c r="AB225" s="129"/>
      <c r="AC225" s="129"/>
      <c r="AD225" s="129"/>
      <c r="AE225" s="129"/>
      <c r="AF225" s="129"/>
      <c r="AG225" s="129"/>
      <c r="AH225" s="129"/>
      <c r="AI225" s="129"/>
      <c r="AJ225" s="129"/>
      <c r="AK225" s="129"/>
      <c r="AL225" s="129"/>
      <c r="AM225" s="129"/>
      <c r="AN225" s="129"/>
      <c r="AO225" s="129"/>
      <c r="AP225" s="129"/>
      <c r="AQ225" s="129"/>
      <c r="AR225" s="129"/>
      <c r="AS225" s="129"/>
      <c r="AT225" s="129"/>
      <c r="AU225" s="129"/>
      <c r="AV225" s="129"/>
      <c r="AW225" s="129"/>
      <c r="AX225" s="549">
        <v>5000000</v>
      </c>
      <c r="AY225" s="549"/>
      <c r="AZ225" s="549"/>
      <c r="BA225" s="129"/>
      <c r="BB225" s="129"/>
      <c r="BC225" s="129"/>
      <c r="BD225" s="129"/>
      <c r="BE225" s="129"/>
      <c r="BF225" s="129"/>
      <c r="BG225" s="131">
        <f>+T225+W225+Z225+AC225+AF225+AI225+AL225+AO225+AR225+AU225+AX225+BA225+BD225</f>
        <v>5000000</v>
      </c>
      <c r="BH225" s="131">
        <f>+U225+X225+AA225+AD225+AG225+AJ225+AM225+AP225+AS225+AV225+AY225+BB225+BE225</f>
        <v>0</v>
      </c>
      <c r="BI225" s="131">
        <f>+V225+Y225+AB225+AE225+AH225+AK225+AN225+AQ225+AT225+AW225+AZ225+BC225+BF225</f>
        <v>0</v>
      </c>
      <c r="BJ225" s="55"/>
      <c r="BK225" s="55"/>
      <c r="BL225" s="55"/>
      <c r="BM225" s="55"/>
      <c r="BN225" s="55"/>
      <c r="BO225" s="55"/>
      <c r="BP225" s="55"/>
    </row>
    <row r="226" spans="1:68" ht="63.75" customHeight="1" x14ac:dyDescent="0.2">
      <c r="A226" s="104"/>
      <c r="B226" s="255"/>
      <c r="C226" s="255"/>
      <c r="D226" s="323"/>
      <c r="E226" s="929"/>
      <c r="F226" s="930"/>
      <c r="G226" s="931"/>
      <c r="H226" s="932"/>
      <c r="I226" s="897"/>
      <c r="J226" s="518" t="s">
        <v>844</v>
      </c>
      <c r="K226" s="519">
        <v>220103401</v>
      </c>
      <c r="L226" s="320" t="s">
        <v>845</v>
      </c>
      <c r="M226" s="290" t="s">
        <v>109</v>
      </c>
      <c r="N226" s="146">
        <v>54</v>
      </c>
      <c r="O226" s="146">
        <v>54</v>
      </c>
      <c r="P226" s="146"/>
      <c r="Q226" s="933"/>
      <c r="R226" s="888"/>
      <c r="S226" s="891"/>
      <c r="T226" s="129"/>
      <c r="U226" s="129"/>
      <c r="V226" s="129"/>
      <c r="W226" s="129"/>
      <c r="X226" s="129"/>
      <c r="Y226" s="129"/>
      <c r="Z226" s="129"/>
      <c r="AA226" s="129"/>
      <c r="AB226" s="129"/>
      <c r="AC226" s="129"/>
      <c r="AD226" s="129"/>
      <c r="AE226" s="129"/>
      <c r="AF226" s="129"/>
      <c r="AG226" s="129"/>
      <c r="AH226" s="129"/>
      <c r="AI226" s="129"/>
      <c r="AJ226" s="129"/>
      <c r="AK226" s="129"/>
      <c r="AL226" s="129"/>
      <c r="AM226" s="129"/>
      <c r="AN226" s="129"/>
      <c r="AO226" s="129"/>
      <c r="AP226" s="129"/>
      <c r="AQ226" s="129"/>
      <c r="AR226" s="129"/>
      <c r="AS226" s="129"/>
      <c r="AT226" s="129"/>
      <c r="AU226" s="129"/>
      <c r="AV226" s="129"/>
      <c r="AW226" s="129"/>
      <c r="AX226" s="549">
        <v>10000000</v>
      </c>
      <c r="AY226" s="549"/>
      <c r="AZ226" s="549"/>
      <c r="BA226" s="129"/>
      <c r="BB226" s="129"/>
      <c r="BC226" s="129"/>
      <c r="BD226" s="129"/>
      <c r="BE226" s="129"/>
      <c r="BF226" s="129"/>
      <c r="BG226" s="131">
        <f>+T226+W226+Z226+AC226+AF226+AI226+AL226+AO226+AR226+AU226+AX226+BA226+BD226</f>
        <v>10000000</v>
      </c>
      <c r="BH226" s="131"/>
      <c r="BI226" s="131"/>
      <c r="BJ226" s="55"/>
      <c r="BK226" s="55"/>
      <c r="BL226" s="55"/>
      <c r="BM226" s="55"/>
      <c r="BN226" s="55"/>
      <c r="BO226" s="55"/>
      <c r="BP226" s="55"/>
    </row>
    <row r="227" spans="1:68" ht="61.5" customHeight="1" x14ac:dyDescent="0.2">
      <c r="A227" s="104"/>
      <c r="B227" s="255"/>
      <c r="C227" s="255"/>
      <c r="D227" s="323"/>
      <c r="E227" s="723"/>
      <c r="F227" s="122" t="s">
        <v>837</v>
      </c>
      <c r="G227" s="127" t="s">
        <v>846</v>
      </c>
      <c r="H227" s="153">
        <v>2201060</v>
      </c>
      <c r="I227" s="186" t="s">
        <v>847</v>
      </c>
      <c r="J227" s="127" t="s">
        <v>848</v>
      </c>
      <c r="K227" s="519">
        <v>220106000</v>
      </c>
      <c r="L227" s="186" t="s">
        <v>849</v>
      </c>
      <c r="M227" s="290" t="s">
        <v>204</v>
      </c>
      <c r="N227" s="146">
        <v>500</v>
      </c>
      <c r="O227" s="146">
        <v>50</v>
      </c>
      <c r="P227" s="146"/>
      <c r="Q227" s="924"/>
      <c r="R227" s="889"/>
      <c r="S227" s="894"/>
      <c r="T227" s="129"/>
      <c r="U227" s="129"/>
      <c r="V227" s="129"/>
      <c r="W227" s="129"/>
      <c r="X227" s="129"/>
      <c r="Y227" s="129"/>
      <c r="Z227" s="129"/>
      <c r="AA227" s="129"/>
      <c r="AB227" s="129"/>
      <c r="AC227" s="129"/>
      <c r="AD227" s="129"/>
      <c r="AE227" s="129"/>
      <c r="AF227" s="129"/>
      <c r="AG227" s="129"/>
      <c r="AH227" s="129"/>
      <c r="AI227" s="129"/>
      <c r="AJ227" s="129"/>
      <c r="AK227" s="129"/>
      <c r="AL227" s="129"/>
      <c r="AM227" s="129"/>
      <c r="AN227" s="129"/>
      <c r="AO227" s="129"/>
      <c r="AP227" s="129"/>
      <c r="AQ227" s="129"/>
      <c r="AR227" s="129"/>
      <c r="AS227" s="129"/>
      <c r="AT227" s="129"/>
      <c r="AU227" s="129"/>
      <c r="AV227" s="129"/>
      <c r="AW227" s="129"/>
      <c r="AX227" s="549">
        <v>5000000</v>
      </c>
      <c r="AY227" s="549"/>
      <c r="AZ227" s="549"/>
      <c r="BA227" s="129"/>
      <c r="BB227" s="129"/>
      <c r="BC227" s="129"/>
      <c r="BD227" s="129"/>
      <c r="BE227" s="129"/>
      <c r="BF227" s="129"/>
      <c r="BG227" s="131">
        <f>+T227+W227+Z227+AC227+AF227+AI227+AL227+AO227+AR227+AU227+AX227+BA227+BD227</f>
        <v>5000000</v>
      </c>
      <c r="BH227" s="131">
        <f>+U227+X227+AA227+AD227+AG227+AJ227+AM227+AP227+AS227+AV227+AY227+BB227+BE227</f>
        <v>0</v>
      </c>
      <c r="BI227" s="131">
        <f>+V227+Y227+AB227+AE227+AH227+AK227+AN227+AQ227+AT227+AW227+AZ227+BC227+BF227</f>
        <v>0</v>
      </c>
      <c r="BJ227" s="55"/>
      <c r="BK227" s="55"/>
      <c r="BL227" s="55"/>
      <c r="BM227" s="55"/>
      <c r="BN227" s="55"/>
      <c r="BO227" s="55"/>
      <c r="BP227" s="55"/>
    </row>
    <row r="228" spans="1:68" ht="90" x14ac:dyDescent="0.2">
      <c r="A228" s="104"/>
      <c r="B228" s="255"/>
      <c r="C228" s="263"/>
      <c r="D228" s="132"/>
      <c r="E228" s="429"/>
      <c r="F228" s="122" t="s">
        <v>801</v>
      </c>
      <c r="G228" s="127" t="s">
        <v>850</v>
      </c>
      <c r="H228" s="153">
        <v>2201015</v>
      </c>
      <c r="I228" s="186" t="s">
        <v>851</v>
      </c>
      <c r="J228" s="127" t="s">
        <v>852</v>
      </c>
      <c r="K228" s="552">
        <v>220101500</v>
      </c>
      <c r="L228" s="186" t="s">
        <v>853</v>
      </c>
      <c r="M228" s="290" t="s">
        <v>109</v>
      </c>
      <c r="N228" s="146">
        <v>11</v>
      </c>
      <c r="O228" s="146">
        <v>11</v>
      </c>
      <c r="P228" s="146"/>
      <c r="Q228" s="349" t="s">
        <v>224</v>
      </c>
      <c r="R228" s="127" t="s">
        <v>854</v>
      </c>
      <c r="S228" s="186" t="s">
        <v>7</v>
      </c>
      <c r="T228" s="129"/>
      <c r="U228" s="129"/>
      <c r="V228" s="129"/>
      <c r="W228" s="129"/>
      <c r="X228" s="129"/>
      <c r="Y228" s="129"/>
      <c r="Z228" s="129"/>
      <c r="AA228" s="129"/>
      <c r="AB228" s="129"/>
      <c r="AC228" s="129"/>
      <c r="AD228" s="129"/>
      <c r="AE228" s="129"/>
      <c r="AF228" s="129"/>
      <c r="AG228" s="129"/>
      <c r="AH228" s="129"/>
      <c r="AI228" s="129"/>
      <c r="AJ228" s="129"/>
      <c r="AK228" s="129"/>
      <c r="AL228" s="129"/>
      <c r="AM228" s="129"/>
      <c r="AN228" s="129"/>
      <c r="AO228" s="129"/>
      <c r="AP228" s="129"/>
      <c r="AQ228" s="129"/>
      <c r="AR228" s="129"/>
      <c r="AS228" s="129"/>
      <c r="AT228" s="129"/>
      <c r="AU228" s="129"/>
      <c r="AV228" s="129"/>
      <c r="AW228" s="129"/>
      <c r="AX228" s="549">
        <v>10000000</v>
      </c>
      <c r="AY228" s="549"/>
      <c r="AZ228" s="549"/>
      <c r="BA228" s="129"/>
      <c r="BB228" s="129"/>
      <c r="BC228" s="129"/>
      <c r="BD228" s="129"/>
      <c r="BE228" s="129"/>
      <c r="BF228" s="129"/>
      <c r="BG228" s="131">
        <f>+T228+W228+Z228+AC228+AF228+AI228+AL228+AO228+AR228+AU228+AX228+BA228+BD228</f>
        <v>10000000</v>
      </c>
      <c r="BH228" s="131">
        <f>+U228+X228+AA228+AD228+AG228+AJ228+AM228+AP228+AS228+AV228+AY228+BB228+BE228</f>
        <v>0</v>
      </c>
      <c r="BI228" s="131">
        <f>+V228+Y228+AB228+AE228+AH228+AK228+AN228+AQ228+AT228+AW228+AZ228+BC228+BF228</f>
        <v>0</v>
      </c>
      <c r="BJ228" s="55"/>
      <c r="BK228" s="55"/>
      <c r="BL228" s="55"/>
      <c r="BM228" s="55"/>
      <c r="BN228" s="55"/>
      <c r="BO228" s="55"/>
      <c r="BP228" s="55"/>
    </row>
    <row r="229" spans="1:68" ht="15.75" x14ac:dyDescent="0.2">
      <c r="A229" s="104"/>
      <c r="B229" s="105"/>
      <c r="C229" s="403">
        <v>44</v>
      </c>
      <c r="D229" s="347" t="s">
        <v>102</v>
      </c>
      <c r="E229" s="175" t="s">
        <v>855</v>
      </c>
      <c r="F229" s="138"/>
      <c r="G229" s="139"/>
      <c r="H229" s="176"/>
      <c r="I229" s="177"/>
      <c r="J229" s="178"/>
      <c r="K229" s="178"/>
      <c r="L229" s="177"/>
      <c r="M229" s="179"/>
      <c r="N229" s="180"/>
      <c r="O229" s="139"/>
      <c r="P229" s="139"/>
      <c r="Q229" s="181"/>
      <c r="R229" s="181"/>
      <c r="S229" s="177"/>
      <c r="T229" s="117">
        <f>SUM(T230:T231)</f>
        <v>0</v>
      </c>
      <c r="U229" s="117"/>
      <c r="V229" s="117"/>
      <c r="W229" s="117">
        <f>SUM(W230:W231)</f>
        <v>0</v>
      </c>
      <c r="X229" s="117"/>
      <c r="Y229" s="117"/>
      <c r="Z229" s="117">
        <f>SUM(Z230:Z231)</f>
        <v>0</v>
      </c>
      <c r="AA229" s="117"/>
      <c r="AB229" s="117"/>
      <c r="AC229" s="117">
        <f t="shared" ref="AC229:BI229" si="68">SUM(AC230:AC231)</f>
        <v>90000000</v>
      </c>
      <c r="AD229" s="117">
        <f t="shared" si="68"/>
        <v>0</v>
      </c>
      <c r="AE229" s="117">
        <f t="shared" si="68"/>
        <v>0</v>
      </c>
      <c r="AF229" s="117">
        <f t="shared" si="68"/>
        <v>0</v>
      </c>
      <c r="AG229" s="117">
        <f t="shared" si="68"/>
        <v>0</v>
      </c>
      <c r="AH229" s="117">
        <f t="shared" si="68"/>
        <v>0</v>
      </c>
      <c r="AI229" s="117">
        <f t="shared" si="68"/>
        <v>0</v>
      </c>
      <c r="AJ229" s="117">
        <f t="shared" si="68"/>
        <v>0</v>
      </c>
      <c r="AK229" s="117">
        <f t="shared" si="68"/>
        <v>0</v>
      </c>
      <c r="AL229" s="117">
        <f t="shared" si="68"/>
        <v>0</v>
      </c>
      <c r="AM229" s="117">
        <f t="shared" si="68"/>
        <v>0</v>
      </c>
      <c r="AN229" s="117">
        <f t="shared" si="68"/>
        <v>0</v>
      </c>
      <c r="AO229" s="117">
        <f t="shared" si="68"/>
        <v>0</v>
      </c>
      <c r="AP229" s="117">
        <f t="shared" si="68"/>
        <v>0</v>
      </c>
      <c r="AQ229" s="117">
        <f t="shared" si="68"/>
        <v>0</v>
      </c>
      <c r="AR229" s="117">
        <f t="shared" si="68"/>
        <v>0</v>
      </c>
      <c r="AS229" s="117">
        <f t="shared" si="68"/>
        <v>0</v>
      </c>
      <c r="AT229" s="117">
        <f t="shared" si="68"/>
        <v>0</v>
      </c>
      <c r="AU229" s="117">
        <f t="shared" si="68"/>
        <v>0</v>
      </c>
      <c r="AV229" s="117">
        <f t="shared" si="68"/>
        <v>0</v>
      </c>
      <c r="AW229" s="117">
        <f t="shared" si="68"/>
        <v>0</v>
      </c>
      <c r="AX229" s="117">
        <f t="shared" si="68"/>
        <v>153838500</v>
      </c>
      <c r="AY229" s="117">
        <f t="shared" si="68"/>
        <v>100000000</v>
      </c>
      <c r="AZ229" s="117">
        <f t="shared" si="68"/>
        <v>100000000</v>
      </c>
      <c r="BA229" s="117">
        <f t="shared" si="68"/>
        <v>0</v>
      </c>
      <c r="BB229" s="117">
        <f t="shared" si="68"/>
        <v>0</v>
      </c>
      <c r="BC229" s="117">
        <f t="shared" si="68"/>
        <v>0</v>
      </c>
      <c r="BD229" s="117">
        <f t="shared" si="68"/>
        <v>0</v>
      </c>
      <c r="BE229" s="117">
        <f t="shared" si="68"/>
        <v>0</v>
      </c>
      <c r="BF229" s="117">
        <f t="shared" si="68"/>
        <v>0</v>
      </c>
      <c r="BG229" s="117">
        <f t="shared" si="68"/>
        <v>243838500</v>
      </c>
      <c r="BH229" s="117">
        <f t="shared" si="68"/>
        <v>100000000</v>
      </c>
      <c r="BI229" s="117">
        <f t="shared" si="68"/>
        <v>100000000</v>
      </c>
    </row>
    <row r="230" spans="1:68" s="546" customFormat="1" ht="84.75" customHeight="1" x14ac:dyDescent="0.25">
      <c r="A230" s="545"/>
      <c r="B230" s="255"/>
      <c r="C230" s="256"/>
      <c r="D230" s="120"/>
      <c r="E230" s="127"/>
      <c r="F230" s="122" t="s">
        <v>856</v>
      </c>
      <c r="G230" s="127" t="s">
        <v>857</v>
      </c>
      <c r="H230" s="124" t="s">
        <v>102</v>
      </c>
      <c r="I230" s="186" t="s">
        <v>858</v>
      </c>
      <c r="J230" s="127" t="s">
        <v>859</v>
      </c>
      <c r="K230" s="127" t="s">
        <v>102</v>
      </c>
      <c r="L230" s="186" t="s">
        <v>860</v>
      </c>
      <c r="M230" s="290" t="s">
        <v>109</v>
      </c>
      <c r="N230" s="146">
        <v>1</v>
      </c>
      <c r="O230" s="146">
        <v>1</v>
      </c>
      <c r="P230" s="146"/>
      <c r="Q230" s="349" t="s">
        <v>224</v>
      </c>
      <c r="R230" s="202" t="s">
        <v>820</v>
      </c>
      <c r="S230" s="553" t="s">
        <v>861</v>
      </c>
      <c r="T230" s="129"/>
      <c r="U230" s="129"/>
      <c r="V230" s="129"/>
      <c r="W230" s="129"/>
      <c r="X230" s="129"/>
      <c r="Y230" s="129"/>
      <c r="Z230" s="129"/>
      <c r="AA230" s="129"/>
      <c r="AB230" s="129"/>
      <c r="AC230" s="129">
        <v>40000000</v>
      </c>
      <c r="AD230" s="129"/>
      <c r="AE230" s="129"/>
      <c r="AF230" s="129"/>
      <c r="AG230" s="129"/>
      <c r="AH230" s="129"/>
      <c r="AI230" s="129"/>
      <c r="AJ230" s="129"/>
      <c r="AK230" s="129"/>
      <c r="AL230" s="195"/>
      <c r="AM230" s="195"/>
      <c r="AN230" s="195"/>
      <c r="AO230" s="195"/>
      <c r="AP230" s="195"/>
      <c r="AQ230" s="195"/>
      <c r="AR230" s="129"/>
      <c r="AS230" s="129"/>
      <c r="AT230" s="129"/>
      <c r="AU230" s="129"/>
      <c r="AV230" s="187"/>
      <c r="AW230" s="187"/>
      <c r="AX230" s="188">
        <f>126778000-76778000-46161500</f>
        <v>3838500</v>
      </c>
      <c r="AY230" s="188"/>
      <c r="AZ230" s="188"/>
      <c r="BA230" s="187"/>
      <c r="BB230" s="187"/>
      <c r="BC230" s="187"/>
      <c r="BD230" s="187"/>
      <c r="BE230" s="187"/>
      <c r="BF230" s="187"/>
      <c r="BG230" s="131">
        <f t="shared" ref="BG230:BI231" si="69">+T230+W230+Z230+AC230+AF230+AI230+AL230+AO230+AR230+AU230+AX230+BA230+BD230</f>
        <v>43838500</v>
      </c>
      <c r="BH230" s="131">
        <f t="shared" si="69"/>
        <v>0</v>
      </c>
      <c r="BI230" s="131">
        <f t="shared" si="69"/>
        <v>0</v>
      </c>
    </row>
    <row r="231" spans="1:68" s="546" customFormat="1" ht="98.25" customHeight="1" x14ac:dyDescent="0.25">
      <c r="A231" s="554"/>
      <c r="B231" s="263"/>
      <c r="C231" s="263"/>
      <c r="D231" s="132"/>
      <c r="E231" s="127"/>
      <c r="F231" s="122" t="s">
        <v>856</v>
      </c>
      <c r="G231" s="146" t="s">
        <v>857</v>
      </c>
      <c r="H231" s="124" t="s">
        <v>102</v>
      </c>
      <c r="I231" s="186" t="s">
        <v>858</v>
      </c>
      <c r="J231" s="146" t="s">
        <v>859</v>
      </c>
      <c r="K231" s="342" t="s">
        <v>102</v>
      </c>
      <c r="L231" s="320" t="s">
        <v>860</v>
      </c>
      <c r="M231" s="127" t="s">
        <v>109</v>
      </c>
      <c r="N231" s="124">
        <v>1</v>
      </c>
      <c r="O231" s="308">
        <v>1</v>
      </c>
      <c r="P231" s="308"/>
      <c r="Q231" s="349" t="s">
        <v>224</v>
      </c>
      <c r="R231" s="555" t="s">
        <v>862</v>
      </c>
      <c r="S231" s="186" t="s">
        <v>863</v>
      </c>
      <c r="T231" s="129"/>
      <c r="U231" s="129"/>
      <c r="V231" s="129"/>
      <c r="W231" s="129"/>
      <c r="X231" s="129"/>
      <c r="Y231" s="129"/>
      <c r="Z231" s="129"/>
      <c r="AA231" s="129"/>
      <c r="AB231" s="129"/>
      <c r="AC231" s="129">
        <v>50000000</v>
      </c>
      <c r="AD231" s="129"/>
      <c r="AE231" s="129"/>
      <c r="AF231" s="129"/>
      <c r="AG231" s="129"/>
      <c r="AH231" s="129"/>
      <c r="AI231" s="129"/>
      <c r="AJ231" s="129"/>
      <c r="AK231" s="129"/>
      <c r="AL231" s="195"/>
      <c r="AM231" s="195"/>
      <c r="AN231" s="195"/>
      <c r="AO231" s="195"/>
      <c r="AP231" s="436"/>
      <c r="AQ231" s="436"/>
      <c r="AR231" s="187"/>
      <c r="AS231" s="187"/>
      <c r="AT231" s="187"/>
      <c r="AU231" s="187"/>
      <c r="AV231" s="187"/>
      <c r="AW231" s="187"/>
      <c r="AX231" s="229">
        <f>145000000+5000000</f>
        <v>150000000</v>
      </c>
      <c r="AY231" s="229">
        <v>100000000</v>
      </c>
      <c r="AZ231" s="229">
        <v>100000000</v>
      </c>
      <c r="BA231" s="129"/>
      <c r="BB231" s="129"/>
      <c r="BC231" s="129"/>
      <c r="BD231" s="129"/>
      <c r="BE231" s="129"/>
      <c r="BF231" s="129"/>
      <c r="BG231" s="131">
        <f t="shared" si="69"/>
        <v>200000000</v>
      </c>
      <c r="BH231" s="131">
        <f t="shared" si="69"/>
        <v>100000000</v>
      </c>
      <c r="BI231" s="131">
        <f t="shared" si="69"/>
        <v>100000000</v>
      </c>
    </row>
    <row r="232" spans="1:68" ht="33.75" customHeight="1" x14ac:dyDescent="0.2">
      <c r="BG232" s="441"/>
      <c r="BH232" s="441"/>
      <c r="BI232" s="441"/>
    </row>
    <row r="233" spans="1:68" s="267" customFormat="1" ht="15.75" x14ac:dyDescent="0.2">
      <c r="A233" s="76" t="s">
        <v>864</v>
      </c>
      <c r="B233" s="77"/>
      <c r="C233" s="78"/>
      <c r="D233" s="79"/>
      <c r="E233" s="80"/>
      <c r="F233" s="81"/>
      <c r="G233" s="82"/>
      <c r="H233" s="83"/>
      <c r="I233" s="84"/>
      <c r="J233" s="85"/>
      <c r="K233" s="85"/>
      <c r="L233" s="84"/>
      <c r="M233" s="160"/>
      <c r="N233" s="83"/>
      <c r="O233" s="82"/>
      <c r="P233" s="82"/>
      <c r="Q233" s="80"/>
      <c r="R233" s="80"/>
      <c r="S233" s="84"/>
      <c r="T233" s="251">
        <f>T234+T270+T275</f>
        <v>4262727592.3899999</v>
      </c>
      <c r="U233" s="251">
        <f>U234+U270+U275</f>
        <v>1070402240</v>
      </c>
      <c r="V233" s="251">
        <f>V234+V270+V275</f>
        <v>1070402240</v>
      </c>
      <c r="W233" s="251">
        <f>W234+W270+W275</f>
        <v>0</v>
      </c>
      <c r="X233" s="251"/>
      <c r="Y233" s="251"/>
      <c r="Z233" s="251">
        <f>Z234+Z270+Z275</f>
        <v>0</v>
      </c>
      <c r="AA233" s="251"/>
      <c r="AB233" s="251"/>
      <c r="AC233" s="251">
        <f>AC234+AC270+AC275</f>
        <v>0</v>
      </c>
      <c r="AD233" s="251"/>
      <c r="AE233" s="251"/>
      <c r="AF233" s="251">
        <f>AF234+AF270+AF275</f>
        <v>0</v>
      </c>
      <c r="AG233" s="251"/>
      <c r="AH233" s="251"/>
      <c r="AI233" s="251">
        <f>AI234+AI270+AI275</f>
        <v>0</v>
      </c>
      <c r="AJ233" s="251"/>
      <c r="AK233" s="251"/>
      <c r="AL233" s="251">
        <f>AL234+AL270+AL275</f>
        <v>0</v>
      </c>
      <c r="AM233" s="251"/>
      <c r="AN233" s="251"/>
      <c r="AO233" s="251">
        <f>AO234+AO270+AO275</f>
        <v>0</v>
      </c>
      <c r="AP233" s="251"/>
      <c r="AQ233" s="251"/>
      <c r="AR233" s="251">
        <f>AR234+AR270+AR275</f>
        <v>0</v>
      </c>
      <c r="AS233" s="251"/>
      <c r="AT233" s="251"/>
      <c r="AU233" s="251">
        <f>AU234+AU270+AU275</f>
        <v>0</v>
      </c>
      <c r="AV233" s="251"/>
      <c r="AW233" s="251"/>
      <c r="AX233" s="251">
        <f>AX234+AX270+AX275</f>
        <v>1934044477</v>
      </c>
      <c r="AY233" s="251">
        <f>AY234+AY270+AY275</f>
        <v>343085330</v>
      </c>
      <c r="AZ233" s="251">
        <f>AZ234+AZ270+AZ275</f>
        <v>304485330</v>
      </c>
      <c r="BA233" s="251">
        <f>BA234+BA270+BA275</f>
        <v>0</v>
      </c>
      <c r="BB233" s="251"/>
      <c r="BC233" s="251"/>
      <c r="BD233" s="251">
        <f>BD234+BD270+BD275</f>
        <v>0</v>
      </c>
      <c r="BE233" s="251"/>
      <c r="BF233" s="251"/>
      <c r="BG233" s="251">
        <f>BG234+BG270+BG275</f>
        <v>6196772069.3899994</v>
      </c>
      <c r="BH233" s="251">
        <f>BH234+BH270+BH275</f>
        <v>1413487570</v>
      </c>
      <c r="BI233" s="251">
        <f>BI234+BI270+BI275</f>
        <v>1374887570</v>
      </c>
      <c r="BJ233" s="278"/>
      <c r="BK233" s="278"/>
      <c r="BL233" s="278"/>
      <c r="BM233" s="278"/>
      <c r="BN233" s="278"/>
      <c r="BO233" s="278"/>
      <c r="BP233" s="278"/>
    </row>
    <row r="234" spans="1:68" s="267" customFormat="1" ht="15.75" x14ac:dyDescent="0.2">
      <c r="A234" s="556"/>
      <c r="B234" s="162">
        <v>1</v>
      </c>
      <c r="C234" s="163" t="s">
        <v>865</v>
      </c>
      <c r="D234" s="164"/>
      <c r="E234" s="165"/>
      <c r="F234" s="166"/>
      <c r="G234" s="167"/>
      <c r="H234" s="168"/>
      <c r="I234" s="169"/>
      <c r="J234" s="170"/>
      <c r="K234" s="170"/>
      <c r="L234" s="169"/>
      <c r="M234" s="171"/>
      <c r="N234" s="172"/>
      <c r="O234" s="167"/>
      <c r="P234" s="167"/>
      <c r="Q234" s="165"/>
      <c r="R234" s="165"/>
      <c r="S234" s="169"/>
      <c r="T234" s="103">
        <f>+T235+T238+T240+T249+T257+T267</f>
        <v>4262727592.3899999</v>
      </c>
      <c r="U234" s="103">
        <f>+U235+U238+U240+U249+U257+U267</f>
        <v>1070402240</v>
      </c>
      <c r="V234" s="103">
        <f>+V235+V238+V240+V249+V257+V267</f>
        <v>1070402240</v>
      </c>
      <c r="W234" s="103">
        <f>+W235+W238+W240+W249+W257+W267</f>
        <v>0</v>
      </c>
      <c r="X234" s="103"/>
      <c r="Y234" s="103"/>
      <c r="Z234" s="103">
        <f>+Z235+Z238+Z240+Z249+Z257+Z267</f>
        <v>0</v>
      </c>
      <c r="AA234" s="103"/>
      <c r="AB234" s="103"/>
      <c r="AC234" s="103">
        <f>+AC235+AC238+AC240+AC249+AC257+AC267</f>
        <v>0</v>
      </c>
      <c r="AD234" s="103"/>
      <c r="AE234" s="103"/>
      <c r="AF234" s="103">
        <f>+AF235+AF238+AF240+AF249+AF257+AF267</f>
        <v>0</v>
      </c>
      <c r="AG234" s="103"/>
      <c r="AH234" s="103"/>
      <c r="AI234" s="103">
        <f>+AI235+AI238+AI240+AI249+AI257+AI267</f>
        <v>0</v>
      </c>
      <c r="AJ234" s="103"/>
      <c r="AK234" s="103"/>
      <c r="AL234" s="103">
        <f>+AL235+AL238+AL240+AL249+AL257+AL267</f>
        <v>0</v>
      </c>
      <c r="AM234" s="103"/>
      <c r="AN234" s="103"/>
      <c r="AO234" s="103">
        <f>+AO235+AO238+AO240+AO249+AO257+AO267</f>
        <v>0</v>
      </c>
      <c r="AP234" s="103"/>
      <c r="AQ234" s="103"/>
      <c r="AR234" s="103">
        <f>+AR235+AR238+AR240+AR249+AR257+AR267</f>
        <v>0</v>
      </c>
      <c r="AS234" s="103"/>
      <c r="AT234" s="103"/>
      <c r="AU234" s="103">
        <f>+AU235+AU238+AU240+AU249+AU257+AU267</f>
        <v>0</v>
      </c>
      <c r="AV234" s="103"/>
      <c r="AW234" s="103"/>
      <c r="AX234" s="103">
        <f>+AX235+AX238+AX240+AX249+AX257+AX267</f>
        <v>1867044477</v>
      </c>
      <c r="AY234" s="103">
        <f>+AY235+AY238+AY240+AY249+AY257+AY267</f>
        <v>343085330</v>
      </c>
      <c r="AZ234" s="103">
        <f>+AZ235+AZ238+AZ240+AZ249+AZ257+AZ267</f>
        <v>304485330</v>
      </c>
      <c r="BA234" s="103">
        <f>+BA235+BA238+BA240+BA249+BA257+BA267</f>
        <v>0</v>
      </c>
      <c r="BB234" s="103"/>
      <c r="BC234" s="103"/>
      <c r="BD234" s="103">
        <f>+BD235+BD238+BD240+BD249+BD257+BD267</f>
        <v>0</v>
      </c>
      <c r="BE234" s="103"/>
      <c r="BF234" s="103"/>
      <c r="BG234" s="103">
        <f>+BG235+BG238+BG240+BG249+BG257+BG267</f>
        <v>6129772069.3899994</v>
      </c>
      <c r="BH234" s="103">
        <f>+BH235+BH238+BH240+BH249+BH257+BH267</f>
        <v>1413487570</v>
      </c>
      <c r="BI234" s="103">
        <f>+BI235+BI238+BI240+BI249+BI257+BI267</f>
        <v>1374887570</v>
      </c>
      <c r="BJ234" s="278"/>
      <c r="BK234" s="278"/>
      <c r="BL234" s="278"/>
      <c r="BM234" s="278"/>
      <c r="BN234" s="278"/>
      <c r="BO234" s="278"/>
      <c r="BP234" s="278"/>
    </row>
    <row r="235" spans="1:68" s="267" customFormat="1" ht="15.75" x14ac:dyDescent="0.2">
      <c r="A235" s="556"/>
      <c r="B235" s="105"/>
      <c r="C235" s="388">
        <v>12</v>
      </c>
      <c r="D235" s="253">
        <v>1905</v>
      </c>
      <c r="E235" s="557" t="s">
        <v>866</v>
      </c>
      <c r="F235" s="138"/>
      <c r="G235" s="139"/>
      <c r="H235" s="176"/>
      <c r="I235" s="177"/>
      <c r="J235" s="178"/>
      <c r="K235" s="178"/>
      <c r="L235" s="177"/>
      <c r="M235" s="179"/>
      <c r="N235" s="180"/>
      <c r="O235" s="139"/>
      <c r="P235" s="139"/>
      <c r="Q235" s="181"/>
      <c r="R235" s="181"/>
      <c r="S235" s="177"/>
      <c r="T235" s="558">
        <f>SUM(T236:T237)</f>
        <v>0</v>
      </c>
      <c r="U235" s="558">
        <f>SUM(U236:U237)</f>
        <v>0</v>
      </c>
      <c r="V235" s="558">
        <f>SUM(V236:V237)</f>
        <v>0</v>
      </c>
      <c r="W235" s="558">
        <f>SUM(W236:W237)</f>
        <v>0</v>
      </c>
      <c r="X235" s="558"/>
      <c r="Y235" s="558"/>
      <c r="Z235" s="558">
        <f>SUM(Z236:Z237)</f>
        <v>0</v>
      </c>
      <c r="AA235" s="558"/>
      <c r="AB235" s="558"/>
      <c r="AC235" s="558">
        <f>SUM(AC236:AC237)</f>
        <v>0</v>
      </c>
      <c r="AD235" s="558"/>
      <c r="AE235" s="558"/>
      <c r="AF235" s="558">
        <f>SUM(AF236:AF237)</f>
        <v>0</v>
      </c>
      <c r="AG235" s="558"/>
      <c r="AH235" s="558"/>
      <c r="AI235" s="558">
        <f>SUM(AI236:AI237)</f>
        <v>0</v>
      </c>
      <c r="AJ235" s="558"/>
      <c r="AK235" s="558"/>
      <c r="AL235" s="558">
        <f>SUM(AL236:AL237)</f>
        <v>0</v>
      </c>
      <c r="AM235" s="558"/>
      <c r="AN235" s="558"/>
      <c r="AO235" s="558">
        <f>SUM(AO236:AO237)</f>
        <v>0</v>
      </c>
      <c r="AP235" s="558"/>
      <c r="AQ235" s="558"/>
      <c r="AR235" s="558">
        <f>SUM(AR236:AR237)</f>
        <v>0</v>
      </c>
      <c r="AS235" s="558"/>
      <c r="AT235" s="558"/>
      <c r="AU235" s="558">
        <f>SUM(AU236:AU237)</f>
        <v>0</v>
      </c>
      <c r="AV235" s="558"/>
      <c r="AW235" s="558"/>
      <c r="AX235" s="558">
        <f>SUM(AX236:AX237)</f>
        <v>54477635</v>
      </c>
      <c r="AY235" s="558">
        <f>SUM(AY236:AY237)</f>
        <v>0</v>
      </c>
      <c r="AZ235" s="558">
        <f>SUM(AZ236:AZ237)</f>
        <v>0</v>
      </c>
      <c r="BA235" s="558">
        <f>SUM(BA236:BA237)</f>
        <v>0</v>
      </c>
      <c r="BB235" s="558"/>
      <c r="BC235" s="558"/>
      <c r="BD235" s="558">
        <f>SUM(BD236:BD237)</f>
        <v>0</v>
      </c>
      <c r="BE235" s="558"/>
      <c r="BF235" s="558"/>
      <c r="BG235" s="559">
        <f>SUM(BG236:BG237)</f>
        <v>54477635</v>
      </c>
      <c r="BH235" s="559">
        <f>SUM(BH236:BH237)</f>
        <v>0</v>
      </c>
      <c r="BI235" s="559">
        <f>SUM(BI236:BI237)</f>
        <v>0</v>
      </c>
      <c r="BJ235" s="278"/>
      <c r="BK235" s="278"/>
      <c r="BL235" s="278"/>
      <c r="BM235" s="278"/>
      <c r="BN235" s="278"/>
      <c r="BO235" s="278"/>
      <c r="BP235" s="278"/>
    </row>
    <row r="236" spans="1:68" s="561" customFormat="1" ht="157.5" customHeight="1" x14ac:dyDescent="0.2">
      <c r="A236" s="196"/>
      <c r="B236" s="255"/>
      <c r="C236" s="358"/>
      <c r="D236" s="190"/>
      <c r="E236" s="547"/>
      <c r="F236" s="145" t="s">
        <v>867</v>
      </c>
      <c r="G236" s="127" t="s">
        <v>868</v>
      </c>
      <c r="H236" s="552">
        <v>1905021</v>
      </c>
      <c r="I236" s="186" t="s">
        <v>869</v>
      </c>
      <c r="J236" s="127" t="s">
        <v>870</v>
      </c>
      <c r="K236" s="552">
        <v>190502100</v>
      </c>
      <c r="L236" s="186" t="s">
        <v>871</v>
      </c>
      <c r="M236" s="290" t="s">
        <v>109</v>
      </c>
      <c r="N236" s="146">
        <v>12</v>
      </c>
      <c r="O236" s="146">
        <v>12</v>
      </c>
      <c r="P236" s="146"/>
      <c r="Q236" s="887" t="s">
        <v>214</v>
      </c>
      <c r="R236" s="887" t="s">
        <v>872</v>
      </c>
      <c r="S236" s="927" t="s">
        <v>873</v>
      </c>
      <c r="T236" s="129"/>
      <c r="U236" s="129"/>
      <c r="V236" s="129"/>
      <c r="W236" s="129"/>
      <c r="X236" s="129"/>
      <c r="Y236" s="129"/>
      <c r="Z236" s="129"/>
      <c r="AA236" s="129"/>
      <c r="AB236" s="129"/>
      <c r="AC236" s="129"/>
      <c r="AD236" s="129"/>
      <c r="AE236" s="129"/>
      <c r="AF236" s="129"/>
      <c r="AG236" s="129"/>
      <c r="AH236" s="129"/>
      <c r="AI236" s="129"/>
      <c r="AJ236" s="129"/>
      <c r="AK236" s="129"/>
      <c r="AL236" s="129"/>
      <c r="AM236" s="129"/>
      <c r="AN236" s="129"/>
      <c r="AO236" s="129"/>
      <c r="AP236" s="129"/>
      <c r="AQ236" s="129"/>
      <c r="AR236" s="129"/>
      <c r="AS236" s="129"/>
      <c r="AT236" s="129"/>
      <c r="AU236" s="129"/>
      <c r="AV236" s="187"/>
      <c r="AW236" s="187"/>
      <c r="AX236" s="560">
        <v>25000000</v>
      </c>
      <c r="AY236" s="560"/>
      <c r="AZ236" s="560"/>
      <c r="BA236" s="187"/>
      <c r="BB236" s="187"/>
      <c r="BC236" s="187"/>
      <c r="BD236" s="187"/>
      <c r="BE236" s="187"/>
      <c r="BF236" s="187"/>
      <c r="BG236" s="131">
        <f t="shared" ref="BG236:BI237" si="70">+T236+W236+Z236+AC236+AF236+AI236+AL236+AO236+AR236+AU236+AX236+BA236+BD236</f>
        <v>25000000</v>
      </c>
      <c r="BH236" s="131">
        <f t="shared" si="70"/>
        <v>0</v>
      </c>
      <c r="BI236" s="131">
        <f t="shared" si="70"/>
        <v>0</v>
      </c>
    </row>
    <row r="237" spans="1:68" s="561" customFormat="1" ht="120" x14ac:dyDescent="0.2">
      <c r="A237" s="196"/>
      <c r="B237" s="255"/>
      <c r="C237" s="360"/>
      <c r="D237" s="361"/>
      <c r="E237" s="547"/>
      <c r="F237" s="145" t="s">
        <v>874</v>
      </c>
      <c r="G237" s="146" t="s">
        <v>875</v>
      </c>
      <c r="H237" s="562">
        <v>1905022</v>
      </c>
      <c r="I237" s="563" t="s">
        <v>876</v>
      </c>
      <c r="J237" s="146" t="s">
        <v>877</v>
      </c>
      <c r="K237" s="146">
        <v>190502200</v>
      </c>
      <c r="L237" s="320" t="s">
        <v>878</v>
      </c>
      <c r="M237" s="290" t="s">
        <v>109</v>
      </c>
      <c r="N237" s="146">
        <v>12</v>
      </c>
      <c r="O237" s="146">
        <v>12</v>
      </c>
      <c r="P237" s="146"/>
      <c r="Q237" s="889"/>
      <c r="R237" s="889"/>
      <c r="S237" s="928"/>
      <c r="T237" s="129"/>
      <c r="U237" s="129"/>
      <c r="V237" s="129"/>
      <c r="W237" s="129"/>
      <c r="X237" s="129"/>
      <c r="Y237" s="129"/>
      <c r="Z237" s="129"/>
      <c r="AA237" s="129"/>
      <c r="AB237" s="129"/>
      <c r="AC237" s="129"/>
      <c r="AD237" s="129"/>
      <c r="AE237" s="129"/>
      <c r="AF237" s="129"/>
      <c r="AG237" s="129"/>
      <c r="AH237" s="129"/>
      <c r="AI237" s="129"/>
      <c r="AJ237" s="129"/>
      <c r="AK237" s="129"/>
      <c r="AL237" s="129"/>
      <c r="AM237" s="129"/>
      <c r="AN237" s="129"/>
      <c r="AO237" s="129"/>
      <c r="AP237" s="129"/>
      <c r="AQ237" s="129"/>
      <c r="AR237" s="129"/>
      <c r="AS237" s="129"/>
      <c r="AT237" s="129"/>
      <c r="AU237" s="129"/>
      <c r="AV237" s="187"/>
      <c r="AW237" s="187"/>
      <c r="AX237" s="560">
        <v>29477635</v>
      </c>
      <c r="AY237" s="560"/>
      <c r="AZ237" s="560"/>
      <c r="BA237" s="187"/>
      <c r="BB237" s="187"/>
      <c r="BC237" s="187"/>
      <c r="BD237" s="187"/>
      <c r="BE237" s="187"/>
      <c r="BF237" s="187"/>
      <c r="BG237" s="131">
        <f t="shared" si="70"/>
        <v>29477635</v>
      </c>
      <c r="BH237" s="131">
        <f t="shared" si="70"/>
        <v>0</v>
      </c>
      <c r="BI237" s="131">
        <f t="shared" si="70"/>
        <v>0</v>
      </c>
    </row>
    <row r="238" spans="1:68" s="267" customFormat="1" ht="15.75" customHeight="1" x14ac:dyDescent="0.2">
      <c r="A238" s="556"/>
      <c r="B238" s="134"/>
      <c r="C238" s="403">
        <v>25</v>
      </c>
      <c r="D238" s="347">
        <v>3301</v>
      </c>
      <c r="E238" s="175" t="s">
        <v>227</v>
      </c>
      <c r="F238" s="138"/>
      <c r="G238" s="139"/>
      <c r="H238" s="176"/>
      <c r="I238" s="177"/>
      <c r="J238" s="178"/>
      <c r="K238" s="178"/>
      <c r="L238" s="177"/>
      <c r="M238" s="564"/>
      <c r="N238" s="565"/>
      <c r="O238" s="139"/>
      <c r="P238" s="139"/>
      <c r="Q238" s="181"/>
      <c r="R238" s="181"/>
      <c r="S238" s="177"/>
      <c r="T238" s="558">
        <f>SUM(T239)</f>
        <v>0</v>
      </c>
      <c r="U238" s="558"/>
      <c r="V238" s="558"/>
      <c r="W238" s="558">
        <f>SUM(W239)</f>
        <v>0</v>
      </c>
      <c r="X238" s="558"/>
      <c r="Y238" s="558"/>
      <c r="Z238" s="558">
        <f>SUM(Z239)</f>
        <v>0</v>
      </c>
      <c r="AA238" s="558"/>
      <c r="AB238" s="558"/>
      <c r="AC238" s="558">
        <f>SUM(AC239)</f>
        <v>0</v>
      </c>
      <c r="AD238" s="558"/>
      <c r="AE238" s="558"/>
      <c r="AF238" s="558">
        <f>SUM(AF239)</f>
        <v>0</v>
      </c>
      <c r="AG238" s="558"/>
      <c r="AH238" s="558"/>
      <c r="AI238" s="558">
        <f>SUM(AI239)</f>
        <v>0</v>
      </c>
      <c r="AJ238" s="558"/>
      <c r="AK238" s="558"/>
      <c r="AL238" s="558">
        <f>SUM(AL239)</f>
        <v>0</v>
      </c>
      <c r="AM238" s="558"/>
      <c r="AN238" s="558"/>
      <c r="AO238" s="558">
        <f>SUM(AO239)</f>
        <v>0</v>
      </c>
      <c r="AP238" s="558"/>
      <c r="AQ238" s="558"/>
      <c r="AR238" s="558">
        <f>SUM(AR239)</f>
        <v>0</v>
      </c>
      <c r="AS238" s="558"/>
      <c r="AT238" s="558"/>
      <c r="AU238" s="558">
        <f>SUM(AU239)</f>
        <v>0</v>
      </c>
      <c r="AV238" s="558"/>
      <c r="AW238" s="558"/>
      <c r="AX238" s="558">
        <f>SUM(AX239)</f>
        <v>47000000</v>
      </c>
      <c r="AY238" s="558">
        <f>SUM(AY239)</f>
        <v>0</v>
      </c>
      <c r="AZ238" s="558">
        <f>SUM(AZ239)</f>
        <v>0</v>
      </c>
      <c r="BA238" s="558">
        <f>SUM(BA239)</f>
        <v>0</v>
      </c>
      <c r="BB238" s="558"/>
      <c r="BC238" s="558"/>
      <c r="BD238" s="558">
        <f>SUM(BD239)</f>
        <v>0</v>
      </c>
      <c r="BE238" s="558"/>
      <c r="BF238" s="558"/>
      <c r="BG238" s="559">
        <f>SUM(BG239)</f>
        <v>47000000</v>
      </c>
      <c r="BH238" s="559">
        <f>SUM(BH239)</f>
        <v>0</v>
      </c>
      <c r="BI238" s="559">
        <f>SUM(BI239)</f>
        <v>0</v>
      </c>
      <c r="BJ238" s="278"/>
      <c r="BK238" s="278"/>
      <c r="BL238" s="278"/>
      <c r="BM238" s="278"/>
      <c r="BN238" s="278"/>
      <c r="BO238" s="278"/>
      <c r="BP238" s="278"/>
    </row>
    <row r="239" spans="1:68" s="561" customFormat="1" ht="65.25" customHeight="1" x14ac:dyDescent="0.2">
      <c r="A239" s="196"/>
      <c r="B239" s="255"/>
      <c r="C239" s="365"/>
      <c r="D239" s="184"/>
      <c r="E239" s="566"/>
      <c r="F239" s="145" t="s">
        <v>879</v>
      </c>
      <c r="G239" s="212" t="s">
        <v>880</v>
      </c>
      <c r="H239" s="308">
        <v>3301051</v>
      </c>
      <c r="I239" s="186" t="s">
        <v>881</v>
      </c>
      <c r="J239" s="212" t="s">
        <v>882</v>
      </c>
      <c r="K239" s="552">
        <v>330105110</v>
      </c>
      <c r="L239" s="211" t="s">
        <v>883</v>
      </c>
      <c r="M239" s="290" t="s">
        <v>204</v>
      </c>
      <c r="N239" s="146">
        <v>1000</v>
      </c>
      <c r="O239" s="146">
        <v>50</v>
      </c>
      <c r="P239" s="372"/>
      <c r="Q239" s="212" t="s">
        <v>235</v>
      </c>
      <c r="R239" s="212" t="s">
        <v>884</v>
      </c>
      <c r="S239" s="567" t="s">
        <v>885</v>
      </c>
      <c r="T239" s="129"/>
      <c r="U239" s="129"/>
      <c r="V239" s="129"/>
      <c r="W239" s="129"/>
      <c r="X239" s="129"/>
      <c r="Y239" s="129"/>
      <c r="Z239" s="129"/>
      <c r="AA239" s="129"/>
      <c r="AB239" s="129"/>
      <c r="AC239" s="129"/>
      <c r="AD239" s="129"/>
      <c r="AE239" s="129"/>
      <c r="AF239" s="129"/>
      <c r="AG239" s="129"/>
      <c r="AH239" s="129"/>
      <c r="AI239" s="129"/>
      <c r="AJ239" s="129"/>
      <c r="AK239" s="129"/>
      <c r="AL239" s="129"/>
      <c r="AM239" s="129"/>
      <c r="AN239" s="129"/>
      <c r="AO239" s="129"/>
      <c r="AP239" s="187"/>
      <c r="AQ239" s="187"/>
      <c r="AR239" s="187"/>
      <c r="AS239" s="187"/>
      <c r="AT239" s="187"/>
      <c r="AU239" s="187"/>
      <c r="AV239" s="187"/>
      <c r="AW239" s="187"/>
      <c r="AX239" s="560">
        <f>20000000+27000000</f>
        <v>47000000</v>
      </c>
      <c r="AY239" s="560"/>
      <c r="AZ239" s="560"/>
      <c r="BA239" s="187"/>
      <c r="BB239" s="187"/>
      <c r="BC239" s="187"/>
      <c r="BD239" s="187"/>
      <c r="BE239" s="187"/>
      <c r="BF239" s="187"/>
      <c r="BG239" s="131">
        <f>+T239+W239+Z239+AC239+AF239+AI239+AL239+AO239+AR239+AU239+AX239+BA239+BD239</f>
        <v>47000000</v>
      </c>
      <c r="BH239" s="131">
        <f>+U239+X239+AA239+AD239+AG239+AJ239+AM239+AP239+AS239+AV239+AY239+BB239+BE239</f>
        <v>0</v>
      </c>
      <c r="BI239" s="131">
        <f>+V239+Y239+AB239+AE239+AH239+AK239+AN239+AQ239+AT239+AW239+AZ239+BC239+BF239</f>
        <v>0</v>
      </c>
    </row>
    <row r="240" spans="1:68" s="267" customFormat="1" ht="15.75" x14ac:dyDescent="0.2">
      <c r="A240" s="556"/>
      <c r="B240" s="134"/>
      <c r="C240" s="403">
        <v>36</v>
      </c>
      <c r="D240" s="347">
        <v>4102</v>
      </c>
      <c r="E240" s="175" t="s">
        <v>886</v>
      </c>
      <c r="F240" s="138"/>
      <c r="G240" s="139"/>
      <c r="H240" s="176"/>
      <c r="I240" s="177"/>
      <c r="J240" s="178"/>
      <c r="K240" s="178"/>
      <c r="L240" s="177"/>
      <c r="M240" s="179"/>
      <c r="N240" s="180"/>
      <c r="O240" s="139"/>
      <c r="P240" s="139"/>
      <c r="Q240" s="181"/>
      <c r="R240" s="181"/>
      <c r="S240" s="177"/>
      <c r="T240" s="558">
        <f>SUM(T241:T248)</f>
        <v>0</v>
      </c>
      <c r="U240" s="558"/>
      <c r="V240" s="558"/>
      <c r="W240" s="558">
        <f>SUM(W241:W248)</f>
        <v>0</v>
      </c>
      <c r="X240" s="558"/>
      <c r="Y240" s="558"/>
      <c r="Z240" s="558">
        <f>SUM(Z241:Z248)</f>
        <v>0</v>
      </c>
      <c r="AA240" s="558"/>
      <c r="AB240" s="558"/>
      <c r="AC240" s="558">
        <f>SUM(AC241:AC248)</f>
        <v>0</v>
      </c>
      <c r="AD240" s="558"/>
      <c r="AE240" s="558"/>
      <c r="AF240" s="558">
        <f>SUM(AF241:AF248)</f>
        <v>0</v>
      </c>
      <c r="AG240" s="558"/>
      <c r="AH240" s="558"/>
      <c r="AI240" s="558">
        <f>SUM(AI241:AI248)</f>
        <v>0</v>
      </c>
      <c r="AJ240" s="558"/>
      <c r="AK240" s="558"/>
      <c r="AL240" s="558">
        <f>SUM(AL241:AL248)</f>
        <v>0</v>
      </c>
      <c r="AM240" s="558"/>
      <c r="AN240" s="558"/>
      <c r="AO240" s="558">
        <f>SUM(AO241:AO248)</f>
        <v>0</v>
      </c>
      <c r="AP240" s="558"/>
      <c r="AQ240" s="558"/>
      <c r="AR240" s="558">
        <f>SUM(AR241:AR248)</f>
        <v>0</v>
      </c>
      <c r="AS240" s="558"/>
      <c r="AT240" s="558"/>
      <c r="AU240" s="558">
        <f>SUM(AU241:AU248)</f>
        <v>0</v>
      </c>
      <c r="AV240" s="558"/>
      <c r="AW240" s="558"/>
      <c r="AX240" s="558">
        <f>SUM(AX241:AX248)</f>
        <v>737000000</v>
      </c>
      <c r="AY240" s="558">
        <f>SUM(AY241:AY248)</f>
        <v>137433664</v>
      </c>
      <c r="AZ240" s="558">
        <f>SUM(AZ241:AZ248)</f>
        <v>133833664</v>
      </c>
      <c r="BA240" s="558">
        <f>SUM(BA241:BA248)</f>
        <v>0</v>
      </c>
      <c r="BB240" s="558"/>
      <c r="BC240" s="558"/>
      <c r="BD240" s="558">
        <f>SUM(BD241:BD248)</f>
        <v>0</v>
      </c>
      <c r="BE240" s="558"/>
      <c r="BF240" s="558"/>
      <c r="BG240" s="559">
        <f>SUM(BG241:BG248)</f>
        <v>737000000</v>
      </c>
      <c r="BH240" s="559">
        <f>SUM(BH241:BH248)</f>
        <v>137433664</v>
      </c>
      <c r="BI240" s="559">
        <f>SUM(BI241:BI248)</f>
        <v>133833664</v>
      </c>
      <c r="BJ240" s="278"/>
      <c r="BK240" s="278"/>
      <c r="BL240" s="278"/>
      <c r="BM240" s="278"/>
      <c r="BN240" s="278"/>
      <c r="BO240" s="278"/>
      <c r="BP240" s="278"/>
    </row>
    <row r="241" spans="1:68" s="561" customFormat="1" ht="69" customHeight="1" x14ac:dyDescent="0.2">
      <c r="A241" s="196"/>
      <c r="B241" s="255"/>
      <c r="C241" s="256"/>
      <c r="D241" s="120"/>
      <c r="E241" s="721"/>
      <c r="F241" s="145" t="s">
        <v>887</v>
      </c>
      <c r="G241" s="146" t="s">
        <v>888</v>
      </c>
      <c r="H241" s="308" t="s">
        <v>102</v>
      </c>
      <c r="I241" s="186" t="s">
        <v>889</v>
      </c>
      <c r="J241" s="146" t="s">
        <v>890</v>
      </c>
      <c r="K241" s="291" t="s">
        <v>102</v>
      </c>
      <c r="L241" s="343" t="s">
        <v>891</v>
      </c>
      <c r="M241" s="568" t="s">
        <v>109</v>
      </c>
      <c r="N241" s="291">
        <v>1</v>
      </c>
      <c r="O241" s="291">
        <v>1</v>
      </c>
      <c r="P241" s="291"/>
      <c r="Q241" s="887" t="s">
        <v>357</v>
      </c>
      <c r="R241" s="887" t="s">
        <v>892</v>
      </c>
      <c r="S241" s="890" t="s">
        <v>893</v>
      </c>
      <c r="T241" s="129"/>
      <c r="U241" s="129"/>
      <c r="V241" s="129"/>
      <c r="W241" s="129"/>
      <c r="X241" s="129"/>
      <c r="Y241" s="129"/>
      <c r="Z241" s="129"/>
      <c r="AA241" s="129"/>
      <c r="AB241" s="129"/>
      <c r="AC241" s="129"/>
      <c r="AD241" s="129"/>
      <c r="AE241" s="129"/>
      <c r="AF241" s="129"/>
      <c r="AG241" s="129"/>
      <c r="AH241" s="129"/>
      <c r="AI241" s="129"/>
      <c r="AJ241" s="129"/>
      <c r="AK241" s="129"/>
      <c r="AL241" s="129"/>
      <c r="AM241" s="129"/>
      <c r="AN241" s="129"/>
      <c r="AO241" s="129"/>
      <c r="AP241" s="187"/>
      <c r="AQ241" s="187"/>
      <c r="AR241" s="187"/>
      <c r="AS241" s="187"/>
      <c r="AT241" s="187"/>
      <c r="AU241" s="187"/>
      <c r="AV241" s="187"/>
      <c r="AW241" s="187"/>
      <c r="AX241" s="560">
        <v>30000000</v>
      </c>
      <c r="AY241" s="560"/>
      <c r="AZ241" s="560"/>
      <c r="BA241" s="187"/>
      <c r="BB241" s="187"/>
      <c r="BC241" s="187"/>
      <c r="BD241" s="187"/>
      <c r="BE241" s="187"/>
      <c r="BF241" s="187"/>
      <c r="BG241" s="131">
        <f t="shared" ref="BG241:BI248" si="71">+T241+W241+Z241+AC241+AF241+AI241+AL241+AO241+AR241+AU241+AX241+BA241+BD241</f>
        <v>30000000</v>
      </c>
      <c r="BH241" s="131">
        <f t="shared" si="71"/>
        <v>0</v>
      </c>
      <c r="BI241" s="131">
        <f t="shared" si="71"/>
        <v>0</v>
      </c>
    </row>
    <row r="242" spans="1:68" s="561" customFormat="1" ht="57.75" customHeight="1" x14ac:dyDescent="0.2">
      <c r="A242" s="196"/>
      <c r="B242" s="255"/>
      <c r="C242" s="255"/>
      <c r="D242" s="323"/>
      <c r="E242" s="723"/>
      <c r="F242" s="145" t="s">
        <v>894</v>
      </c>
      <c r="G242" s="146" t="s">
        <v>895</v>
      </c>
      <c r="H242" s="308" t="s">
        <v>102</v>
      </c>
      <c r="I242" s="186" t="s">
        <v>896</v>
      </c>
      <c r="J242" s="146" t="s">
        <v>897</v>
      </c>
      <c r="K242" s="291" t="s">
        <v>102</v>
      </c>
      <c r="L242" s="343" t="s">
        <v>898</v>
      </c>
      <c r="M242" s="568" t="s">
        <v>109</v>
      </c>
      <c r="N242" s="291">
        <v>12</v>
      </c>
      <c r="O242" s="291">
        <v>12</v>
      </c>
      <c r="P242" s="458"/>
      <c r="Q242" s="889"/>
      <c r="R242" s="889"/>
      <c r="S242" s="894"/>
      <c r="T242" s="129"/>
      <c r="U242" s="129"/>
      <c r="V242" s="129"/>
      <c r="W242" s="129"/>
      <c r="X242" s="129"/>
      <c r="Y242" s="129"/>
      <c r="Z242" s="129"/>
      <c r="AA242" s="129"/>
      <c r="AB242" s="129"/>
      <c r="AC242" s="129"/>
      <c r="AD242" s="129"/>
      <c r="AE242" s="129"/>
      <c r="AF242" s="129"/>
      <c r="AG242" s="129"/>
      <c r="AH242" s="129"/>
      <c r="AI242" s="129"/>
      <c r="AJ242" s="129"/>
      <c r="AK242" s="129"/>
      <c r="AL242" s="129"/>
      <c r="AM242" s="129"/>
      <c r="AN242" s="129"/>
      <c r="AO242" s="129"/>
      <c r="AP242" s="187"/>
      <c r="AQ242" s="187"/>
      <c r="AR242" s="187"/>
      <c r="AS242" s="187"/>
      <c r="AT242" s="187"/>
      <c r="AU242" s="187"/>
      <c r="AV242" s="187"/>
      <c r="AW242" s="187"/>
      <c r="AX242" s="560">
        <v>25000000</v>
      </c>
      <c r="AY242" s="560">
        <v>8533333</v>
      </c>
      <c r="AZ242" s="560">
        <v>8533333</v>
      </c>
      <c r="BA242" s="187"/>
      <c r="BB242" s="187"/>
      <c r="BC242" s="187"/>
      <c r="BD242" s="187"/>
      <c r="BE242" s="187"/>
      <c r="BF242" s="187"/>
      <c r="BG242" s="131">
        <f t="shared" si="71"/>
        <v>25000000</v>
      </c>
      <c r="BH242" s="131">
        <f t="shared" si="71"/>
        <v>8533333</v>
      </c>
      <c r="BI242" s="131">
        <f t="shared" si="71"/>
        <v>8533333</v>
      </c>
    </row>
    <row r="243" spans="1:68" s="561" customFormat="1" ht="101.25" customHeight="1" x14ac:dyDescent="0.2">
      <c r="A243" s="196"/>
      <c r="B243" s="255"/>
      <c r="C243" s="359"/>
      <c r="D243" s="208"/>
      <c r="E243" s="121"/>
      <c r="F243" s="145" t="s">
        <v>899</v>
      </c>
      <c r="G243" s="146" t="s">
        <v>900</v>
      </c>
      <c r="H243" s="571" t="s">
        <v>102</v>
      </c>
      <c r="I243" s="186" t="s">
        <v>901</v>
      </c>
      <c r="J243" s="146" t="s">
        <v>902</v>
      </c>
      <c r="K243" s="342" t="s">
        <v>102</v>
      </c>
      <c r="L243" s="343" t="s">
        <v>903</v>
      </c>
      <c r="M243" s="568" t="s">
        <v>109</v>
      </c>
      <c r="N243" s="291">
        <v>1</v>
      </c>
      <c r="O243" s="291">
        <v>1</v>
      </c>
      <c r="P243" s="572"/>
      <c r="Q243" s="149" t="s">
        <v>125</v>
      </c>
      <c r="R243" s="127" t="s">
        <v>904</v>
      </c>
      <c r="S243" s="186" t="s">
        <v>905</v>
      </c>
      <c r="T243" s="129"/>
      <c r="U243" s="129"/>
      <c r="V243" s="129"/>
      <c r="W243" s="129"/>
      <c r="X243" s="129"/>
      <c r="Y243" s="129"/>
      <c r="Z243" s="129"/>
      <c r="AA243" s="129"/>
      <c r="AB243" s="129"/>
      <c r="AC243" s="129"/>
      <c r="AD243" s="129"/>
      <c r="AE243" s="129"/>
      <c r="AF243" s="129"/>
      <c r="AG243" s="129"/>
      <c r="AH243" s="129"/>
      <c r="AI243" s="129"/>
      <c r="AJ243" s="129"/>
      <c r="AK243" s="129"/>
      <c r="AL243" s="129"/>
      <c r="AM243" s="129"/>
      <c r="AN243" s="129"/>
      <c r="AO243" s="129"/>
      <c r="AP243" s="129"/>
      <c r="AQ243" s="129"/>
      <c r="AR243" s="129"/>
      <c r="AS243" s="129"/>
      <c r="AT243" s="129"/>
      <c r="AU243" s="129"/>
      <c r="AV243" s="187"/>
      <c r="AW243" s="187"/>
      <c r="AX243" s="560">
        <v>180000000</v>
      </c>
      <c r="AY243" s="560">
        <v>29896166</v>
      </c>
      <c r="AZ243" s="560">
        <v>29896166</v>
      </c>
      <c r="BA243" s="187"/>
      <c r="BB243" s="187"/>
      <c r="BC243" s="187"/>
      <c r="BD243" s="187"/>
      <c r="BE243" s="187"/>
      <c r="BF243" s="187"/>
      <c r="BG243" s="131">
        <f t="shared" si="71"/>
        <v>180000000</v>
      </c>
      <c r="BH243" s="131">
        <f t="shared" si="71"/>
        <v>29896166</v>
      </c>
      <c r="BI243" s="131">
        <f t="shared" si="71"/>
        <v>29896166</v>
      </c>
    </row>
    <row r="244" spans="1:68" s="561" customFormat="1" ht="106.5" customHeight="1" x14ac:dyDescent="0.2">
      <c r="A244" s="196"/>
      <c r="B244" s="255"/>
      <c r="C244" s="359"/>
      <c r="D244" s="208"/>
      <c r="E244" s="570"/>
      <c r="F244" s="122" t="s">
        <v>906</v>
      </c>
      <c r="G244" s="287" t="s">
        <v>907</v>
      </c>
      <c r="H244" s="571" t="s">
        <v>102</v>
      </c>
      <c r="I244" s="186" t="s">
        <v>908</v>
      </c>
      <c r="J244" s="287" t="s">
        <v>909</v>
      </c>
      <c r="K244" s="287" t="s">
        <v>102</v>
      </c>
      <c r="L244" s="186" t="s">
        <v>910</v>
      </c>
      <c r="M244" s="568" t="s">
        <v>109</v>
      </c>
      <c r="N244" s="291">
        <v>1</v>
      </c>
      <c r="O244" s="291">
        <v>1</v>
      </c>
      <c r="P244" s="572"/>
      <c r="Q244" s="149" t="s">
        <v>357</v>
      </c>
      <c r="R244" s="212" t="s">
        <v>911</v>
      </c>
      <c r="S244" s="211" t="s">
        <v>912</v>
      </c>
      <c r="T244" s="129"/>
      <c r="U244" s="129"/>
      <c r="V244" s="129"/>
      <c r="W244" s="129"/>
      <c r="X244" s="129"/>
      <c r="Y244" s="129"/>
      <c r="Z244" s="129"/>
      <c r="AA244" s="129"/>
      <c r="AB244" s="129"/>
      <c r="AC244" s="129"/>
      <c r="AD244" s="129"/>
      <c r="AE244" s="129"/>
      <c r="AF244" s="129"/>
      <c r="AG244" s="129"/>
      <c r="AH244" s="129"/>
      <c r="AI244" s="129"/>
      <c r="AJ244" s="129"/>
      <c r="AK244" s="129"/>
      <c r="AL244" s="129"/>
      <c r="AM244" s="129"/>
      <c r="AN244" s="129"/>
      <c r="AO244" s="129"/>
      <c r="AP244" s="187"/>
      <c r="AQ244" s="187"/>
      <c r="AR244" s="187"/>
      <c r="AS244" s="187"/>
      <c r="AT244" s="187"/>
      <c r="AU244" s="187"/>
      <c r="AV244" s="187"/>
      <c r="AW244" s="187"/>
      <c r="AX244" s="560">
        <v>240000000</v>
      </c>
      <c r="AY244" s="560">
        <v>58602499</v>
      </c>
      <c r="AZ244" s="560">
        <v>55002499</v>
      </c>
      <c r="BA244" s="187"/>
      <c r="BB244" s="187"/>
      <c r="BC244" s="187"/>
      <c r="BD244" s="187"/>
      <c r="BE244" s="187"/>
      <c r="BF244" s="187"/>
      <c r="BG244" s="131">
        <f t="shared" si="71"/>
        <v>240000000</v>
      </c>
      <c r="BH244" s="131">
        <f t="shared" si="71"/>
        <v>58602499</v>
      </c>
      <c r="BI244" s="131">
        <f t="shared" si="71"/>
        <v>55002499</v>
      </c>
    </row>
    <row r="245" spans="1:68" s="561" customFormat="1" ht="99" customHeight="1" x14ac:dyDescent="0.2">
      <c r="A245" s="196"/>
      <c r="B245" s="255"/>
      <c r="C245" s="359"/>
      <c r="D245" s="208"/>
      <c r="E245" s="566"/>
      <c r="F245" s="145" t="s">
        <v>913</v>
      </c>
      <c r="G245" s="146" t="s">
        <v>914</v>
      </c>
      <c r="H245" s="571" t="s">
        <v>102</v>
      </c>
      <c r="I245" s="125" t="s">
        <v>915</v>
      </c>
      <c r="J245" s="146" t="s">
        <v>916</v>
      </c>
      <c r="K245" s="342" t="s">
        <v>102</v>
      </c>
      <c r="L245" s="320" t="s">
        <v>917</v>
      </c>
      <c r="M245" s="568" t="s">
        <v>109</v>
      </c>
      <c r="N245" s="291">
        <v>1</v>
      </c>
      <c r="O245" s="291">
        <v>1</v>
      </c>
      <c r="P245" s="572"/>
      <c r="Q245" s="149" t="s">
        <v>357</v>
      </c>
      <c r="R245" s="212" t="s">
        <v>884</v>
      </c>
      <c r="S245" s="567" t="s">
        <v>885</v>
      </c>
      <c r="T245" s="129"/>
      <c r="U245" s="129"/>
      <c r="V245" s="129"/>
      <c r="W245" s="129"/>
      <c r="X245" s="129"/>
      <c r="Y245" s="129"/>
      <c r="Z245" s="129"/>
      <c r="AA245" s="129"/>
      <c r="AB245" s="129"/>
      <c r="AC245" s="129"/>
      <c r="AD245" s="129"/>
      <c r="AE245" s="129"/>
      <c r="AF245" s="129"/>
      <c r="AG245" s="129"/>
      <c r="AH245" s="129"/>
      <c r="AI245" s="129"/>
      <c r="AJ245" s="129"/>
      <c r="AK245" s="129"/>
      <c r="AL245" s="129"/>
      <c r="AM245" s="129"/>
      <c r="AN245" s="129"/>
      <c r="AO245" s="129"/>
      <c r="AP245" s="187"/>
      <c r="AQ245" s="187"/>
      <c r="AR245" s="187"/>
      <c r="AS245" s="187"/>
      <c r="AT245" s="187"/>
      <c r="AU245" s="187"/>
      <c r="AV245" s="187"/>
      <c r="AW245" s="187"/>
      <c r="AX245" s="560">
        <v>180000000</v>
      </c>
      <c r="AY245" s="560">
        <v>40401666</v>
      </c>
      <c r="AZ245" s="560">
        <v>40401666</v>
      </c>
      <c r="BA245" s="187"/>
      <c r="BB245" s="187"/>
      <c r="BC245" s="187"/>
      <c r="BD245" s="187"/>
      <c r="BE245" s="187"/>
      <c r="BF245" s="187"/>
      <c r="BG245" s="131">
        <f t="shared" si="71"/>
        <v>180000000</v>
      </c>
      <c r="BH245" s="131">
        <f t="shared" si="71"/>
        <v>40401666</v>
      </c>
      <c r="BI245" s="131">
        <f t="shared" si="71"/>
        <v>40401666</v>
      </c>
    </row>
    <row r="246" spans="1:68" s="561" customFormat="1" ht="120" customHeight="1" x14ac:dyDescent="0.2">
      <c r="A246" s="196"/>
      <c r="B246" s="255"/>
      <c r="C246" s="359"/>
      <c r="D246" s="208"/>
      <c r="E246" s="547"/>
      <c r="F246" s="145" t="s">
        <v>918</v>
      </c>
      <c r="G246" s="287" t="s">
        <v>919</v>
      </c>
      <c r="H246" s="308" t="s">
        <v>102</v>
      </c>
      <c r="I246" s="186" t="s">
        <v>920</v>
      </c>
      <c r="J246" s="287" t="s">
        <v>921</v>
      </c>
      <c r="K246" s="287" t="s">
        <v>102</v>
      </c>
      <c r="L246" s="186" t="s">
        <v>922</v>
      </c>
      <c r="M246" s="568" t="s">
        <v>109</v>
      </c>
      <c r="N246" s="291">
        <v>12</v>
      </c>
      <c r="O246" s="291">
        <v>12</v>
      </c>
      <c r="P246" s="569"/>
      <c r="Q246" s="573" t="s">
        <v>328</v>
      </c>
      <c r="R246" s="212" t="s">
        <v>923</v>
      </c>
      <c r="S246" s="574" t="s">
        <v>924</v>
      </c>
      <c r="T246" s="129"/>
      <c r="U246" s="129"/>
      <c r="V246" s="129"/>
      <c r="W246" s="129"/>
      <c r="X246" s="129"/>
      <c r="Y246" s="129"/>
      <c r="Z246" s="129"/>
      <c r="AA246" s="129"/>
      <c r="AB246" s="129"/>
      <c r="AC246" s="129"/>
      <c r="AD246" s="129"/>
      <c r="AE246" s="129"/>
      <c r="AF246" s="129"/>
      <c r="AG246" s="129"/>
      <c r="AH246" s="129"/>
      <c r="AI246" s="129"/>
      <c r="AJ246" s="129"/>
      <c r="AK246" s="129"/>
      <c r="AL246" s="129"/>
      <c r="AM246" s="129"/>
      <c r="AN246" s="129"/>
      <c r="AO246" s="129"/>
      <c r="AP246" s="129"/>
      <c r="AQ246" s="129"/>
      <c r="AR246" s="129"/>
      <c r="AS246" s="129"/>
      <c r="AT246" s="129"/>
      <c r="AU246" s="129"/>
      <c r="AV246" s="187"/>
      <c r="AW246" s="187"/>
      <c r="AX246" s="560">
        <v>13000000</v>
      </c>
      <c r="AY246" s="560"/>
      <c r="AZ246" s="560"/>
      <c r="BA246" s="187"/>
      <c r="BB246" s="187"/>
      <c r="BC246" s="187"/>
      <c r="BD246" s="187"/>
      <c r="BE246" s="187"/>
      <c r="BF246" s="187"/>
      <c r="BG246" s="131">
        <f t="shared" si="71"/>
        <v>13000000</v>
      </c>
      <c r="BH246" s="131">
        <f t="shared" si="71"/>
        <v>0</v>
      </c>
      <c r="BI246" s="131">
        <f t="shared" si="71"/>
        <v>0</v>
      </c>
    </row>
    <row r="247" spans="1:68" s="561" customFormat="1" ht="112.5" customHeight="1" x14ac:dyDescent="0.2">
      <c r="A247" s="196"/>
      <c r="B247" s="255"/>
      <c r="C247" s="359"/>
      <c r="D247" s="208"/>
      <c r="E247" s="547"/>
      <c r="F247" s="145" t="s">
        <v>925</v>
      </c>
      <c r="G247" s="575" t="s">
        <v>926</v>
      </c>
      <c r="H247" s="562">
        <v>4102022</v>
      </c>
      <c r="I247" s="563" t="s">
        <v>927</v>
      </c>
      <c r="J247" s="575" t="s">
        <v>928</v>
      </c>
      <c r="K247" s="575" t="s">
        <v>929</v>
      </c>
      <c r="L247" s="576" t="s">
        <v>930</v>
      </c>
      <c r="M247" s="568" t="s">
        <v>204</v>
      </c>
      <c r="N247" s="291">
        <v>64</v>
      </c>
      <c r="O247" s="291">
        <v>6</v>
      </c>
      <c r="P247" s="569"/>
      <c r="Q247" s="573" t="s">
        <v>357</v>
      </c>
      <c r="R247" s="212" t="s">
        <v>931</v>
      </c>
      <c r="S247" s="574" t="s">
        <v>932</v>
      </c>
      <c r="T247" s="129"/>
      <c r="U247" s="129"/>
      <c r="V247" s="129"/>
      <c r="W247" s="129"/>
      <c r="X247" s="129"/>
      <c r="Y247" s="129"/>
      <c r="Z247" s="129"/>
      <c r="AA247" s="129"/>
      <c r="AB247" s="129"/>
      <c r="AC247" s="129"/>
      <c r="AD247" s="129"/>
      <c r="AE247" s="129"/>
      <c r="AF247" s="129"/>
      <c r="AG247" s="129"/>
      <c r="AH247" s="129"/>
      <c r="AI247" s="129"/>
      <c r="AJ247" s="129"/>
      <c r="AK247" s="129"/>
      <c r="AL247" s="129"/>
      <c r="AM247" s="129"/>
      <c r="AN247" s="129"/>
      <c r="AO247" s="129"/>
      <c r="AP247" s="129"/>
      <c r="AQ247" s="129"/>
      <c r="AR247" s="129"/>
      <c r="AS247" s="129"/>
      <c r="AT247" s="129"/>
      <c r="AU247" s="129"/>
      <c r="AV247" s="187"/>
      <c r="AW247" s="187"/>
      <c r="AX247" s="560">
        <f>20000000+35000000</f>
        <v>55000000</v>
      </c>
      <c r="AY247" s="560"/>
      <c r="AZ247" s="560"/>
      <c r="BA247" s="187"/>
      <c r="BB247" s="187"/>
      <c r="BC247" s="187"/>
      <c r="BD247" s="187"/>
      <c r="BE247" s="187"/>
      <c r="BF247" s="187"/>
      <c r="BG247" s="131">
        <f t="shared" si="71"/>
        <v>55000000</v>
      </c>
      <c r="BH247" s="131">
        <f t="shared" si="71"/>
        <v>0</v>
      </c>
      <c r="BI247" s="131">
        <f t="shared" si="71"/>
        <v>0</v>
      </c>
    </row>
    <row r="248" spans="1:68" s="561" customFormat="1" ht="73.5" customHeight="1" x14ac:dyDescent="0.2">
      <c r="A248" s="196"/>
      <c r="B248" s="255"/>
      <c r="C248" s="360"/>
      <c r="D248" s="361"/>
      <c r="E248" s="547"/>
      <c r="F248" s="145" t="s">
        <v>933</v>
      </c>
      <c r="G248" s="146" t="s">
        <v>934</v>
      </c>
      <c r="H248" s="124">
        <v>4102038</v>
      </c>
      <c r="I248" s="186" t="s">
        <v>935</v>
      </c>
      <c r="J248" s="146" t="s">
        <v>936</v>
      </c>
      <c r="K248" s="146">
        <v>410203800</v>
      </c>
      <c r="L248" s="320" t="s">
        <v>937</v>
      </c>
      <c r="M248" s="568" t="s">
        <v>204</v>
      </c>
      <c r="N248" s="291">
        <v>40</v>
      </c>
      <c r="O248" s="291">
        <v>10</v>
      </c>
      <c r="P248" s="572"/>
      <c r="Q248" s="149" t="s">
        <v>328</v>
      </c>
      <c r="R248" s="127" t="s">
        <v>938</v>
      </c>
      <c r="S248" s="574" t="s">
        <v>939</v>
      </c>
      <c r="T248" s="129"/>
      <c r="U248" s="129"/>
      <c r="V248" s="129"/>
      <c r="W248" s="129"/>
      <c r="X248" s="129"/>
      <c r="Y248" s="129"/>
      <c r="Z248" s="129"/>
      <c r="AA248" s="129"/>
      <c r="AB248" s="129"/>
      <c r="AC248" s="129"/>
      <c r="AD248" s="129"/>
      <c r="AE248" s="129"/>
      <c r="AF248" s="129"/>
      <c r="AG248" s="129"/>
      <c r="AH248" s="129"/>
      <c r="AI248" s="129"/>
      <c r="AJ248" s="129"/>
      <c r="AK248" s="129"/>
      <c r="AL248" s="129"/>
      <c r="AM248" s="129"/>
      <c r="AN248" s="129"/>
      <c r="AO248" s="129"/>
      <c r="AP248" s="129"/>
      <c r="AQ248" s="129"/>
      <c r="AR248" s="129"/>
      <c r="AS248" s="129"/>
      <c r="AT248" s="129"/>
      <c r="AU248" s="129"/>
      <c r="AV248" s="187"/>
      <c r="AW248" s="187"/>
      <c r="AX248" s="560">
        <v>14000000</v>
      </c>
      <c r="AY248" s="560"/>
      <c r="AZ248" s="560"/>
      <c r="BA248" s="187"/>
      <c r="BB248" s="187"/>
      <c r="BC248" s="187"/>
      <c r="BD248" s="187"/>
      <c r="BE248" s="187"/>
      <c r="BF248" s="187"/>
      <c r="BG248" s="131">
        <f t="shared" si="71"/>
        <v>14000000</v>
      </c>
      <c r="BH248" s="131">
        <f t="shared" si="71"/>
        <v>0</v>
      </c>
      <c r="BI248" s="131">
        <f t="shared" si="71"/>
        <v>0</v>
      </c>
    </row>
    <row r="249" spans="1:68" s="267" customFormat="1" ht="15.75" x14ac:dyDescent="0.2">
      <c r="A249" s="556"/>
      <c r="B249" s="134"/>
      <c r="C249" s="403">
        <v>37</v>
      </c>
      <c r="D249" s="347">
        <v>4103</v>
      </c>
      <c r="E249" s="175" t="s">
        <v>378</v>
      </c>
      <c r="F249" s="138"/>
      <c r="G249" s="139"/>
      <c r="H249" s="176"/>
      <c r="I249" s="177"/>
      <c r="J249" s="178"/>
      <c r="K249" s="178"/>
      <c r="L249" s="177"/>
      <c r="M249" s="179"/>
      <c r="N249" s="180"/>
      <c r="O249" s="139"/>
      <c r="P249" s="139"/>
      <c r="Q249" s="181"/>
      <c r="R249" s="181"/>
      <c r="S249" s="177"/>
      <c r="T249" s="558">
        <f>SUM(T250:T256)</f>
        <v>0</v>
      </c>
      <c r="U249" s="558"/>
      <c r="V249" s="558"/>
      <c r="W249" s="558">
        <f>SUM(W250:W256)</f>
        <v>0</v>
      </c>
      <c r="X249" s="558"/>
      <c r="Y249" s="558"/>
      <c r="Z249" s="558">
        <f>SUM(Z250:Z256)</f>
        <v>0</v>
      </c>
      <c r="AA249" s="558"/>
      <c r="AB249" s="558"/>
      <c r="AC249" s="558">
        <f>SUM(AC250:AC256)</f>
        <v>0</v>
      </c>
      <c r="AD249" s="558"/>
      <c r="AE249" s="558"/>
      <c r="AF249" s="558">
        <f>SUM(AF250:AF256)</f>
        <v>0</v>
      </c>
      <c r="AG249" s="558"/>
      <c r="AH249" s="558"/>
      <c r="AI249" s="558">
        <f>SUM(AI250:AI256)</f>
        <v>0</v>
      </c>
      <c r="AJ249" s="558"/>
      <c r="AK249" s="558"/>
      <c r="AL249" s="558">
        <f>SUM(AL250:AL256)</f>
        <v>0</v>
      </c>
      <c r="AM249" s="558"/>
      <c r="AN249" s="558"/>
      <c r="AO249" s="558">
        <f>SUM(AO250:AO256)</f>
        <v>0</v>
      </c>
      <c r="AP249" s="558"/>
      <c r="AQ249" s="558"/>
      <c r="AR249" s="558">
        <f>SUM(AR250:AR256)</f>
        <v>0</v>
      </c>
      <c r="AS249" s="558"/>
      <c r="AT249" s="558"/>
      <c r="AU249" s="558">
        <f>SUM(AU250:AU256)</f>
        <v>0</v>
      </c>
      <c r="AV249" s="558"/>
      <c r="AW249" s="558"/>
      <c r="AX249" s="558">
        <f>SUM(AX250:AX256)</f>
        <v>273020000</v>
      </c>
      <c r="AY249" s="558">
        <f>SUM(AY250:AY256)</f>
        <v>44520000</v>
      </c>
      <c r="AZ249" s="558">
        <f>SUM(AZ250:AZ256)</f>
        <v>9520000</v>
      </c>
      <c r="BA249" s="558">
        <f>SUM(BA250:BA256)</f>
        <v>0</v>
      </c>
      <c r="BB249" s="558"/>
      <c r="BC249" s="558"/>
      <c r="BD249" s="558">
        <f>SUM(BD250:BD256)</f>
        <v>0</v>
      </c>
      <c r="BE249" s="558"/>
      <c r="BF249" s="558"/>
      <c r="BG249" s="559">
        <f>SUM(BG250:BG256)</f>
        <v>273020000</v>
      </c>
      <c r="BH249" s="559">
        <f>SUM(BH250:BH256)</f>
        <v>44520000</v>
      </c>
      <c r="BI249" s="559">
        <f>SUM(BI250:BI256)</f>
        <v>9520000</v>
      </c>
      <c r="BJ249" s="278"/>
      <c r="BK249" s="278"/>
      <c r="BL249" s="278"/>
      <c r="BM249" s="278"/>
      <c r="BN249" s="278"/>
      <c r="BO249" s="278"/>
      <c r="BP249" s="278"/>
    </row>
    <row r="250" spans="1:68" s="561" customFormat="1" ht="76.5" customHeight="1" x14ac:dyDescent="0.2">
      <c r="A250" s="196"/>
      <c r="B250" s="255"/>
      <c r="C250" s="358"/>
      <c r="D250" s="190"/>
      <c r="E250" s="566"/>
      <c r="F250" s="145" t="s">
        <v>940</v>
      </c>
      <c r="G250" s="146" t="s">
        <v>941</v>
      </c>
      <c r="H250" s="308">
        <v>4103059</v>
      </c>
      <c r="I250" s="186" t="s">
        <v>942</v>
      </c>
      <c r="J250" s="146" t="s">
        <v>943</v>
      </c>
      <c r="K250" s="291">
        <v>410305900</v>
      </c>
      <c r="L250" s="320" t="s">
        <v>944</v>
      </c>
      <c r="M250" s="290" t="s">
        <v>204</v>
      </c>
      <c r="N250" s="146">
        <v>50</v>
      </c>
      <c r="O250" s="146">
        <v>8</v>
      </c>
      <c r="P250" s="319"/>
      <c r="Q250" s="149" t="s">
        <v>357</v>
      </c>
      <c r="R250" s="212" t="s">
        <v>884</v>
      </c>
      <c r="S250" s="567" t="s">
        <v>885</v>
      </c>
      <c r="T250" s="129"/>
      <c r="U250" s="129"/>
      <c r="V250" s="129"/>
      <c r="W250" s="129"/>
      <c r="X250" s="129"/>
      <c r="Y250" s="129"/>
      <c r="Z250" s="129"/>
      <c r="AA250" s="129"/>
      <c r="AB250" s="129"/>
      <c r="AC250" s="129"/>
      <c r="AD250" s="129"/>
      <c r="AE250" s="129"/>
      <c r="AF250" s="129"/>
      <c r="AG250" s="129"/>
      <c r="AH250" s="129"/>
      <c r="AI250" s="129"/>
      <c r="AJ250" s="129"/>
      <c r="AK250" s="129"/>
      <c r="AL250" s="129"/>
      <c r="AM250" s="129"/>
      <c r="AN250" s="129"/>
      <c r="AO250" s="129"/>
      <c r="AP250" s="187"/>
      <c r="AQ250" s="187"/>
      <c r="AR250" s="187"/>
      <c r="AS250" s="187"/>
      <c r="AT250" s="187"/>
      <c r="AU250" s="187"/>
      <c r="AV250" s="187"/>
      <c r="AW250" s="187"/>
      <c r="AX250" s="560">
        <v>27000000</v>
      </c>
      <c r="AY250" s="560"/>
      <c r="AZ250" s="560"/>
      <c r="BA250" s="187"/>
      <c r="BB250" s="187"/>
      <c r="BC250" s="187"/>
      <c r="BD250" s="187"/>
      <c r="BE250" s="187"/>
      <c r="BF250" s="187"/>
      <c r="BG250" s="131">
        <f t="shared" ref="BG250:BI256" si="72">+T250+W250+Z250+AC250+AF250+AI250+AL250+AO250+AR250+AU250+AX250+BA250+BD250</f>
        <v>27000000</v>
      </c>
      <c r="BH250" s="131">
        <f t="shared" si="72"/>
        <v>0</v>
      </c>
      <c r="BI250" s="131">
        <f t="shared" si="72"/>
        <v>0</v>
      </c>
    </row>
    <row r="251" spans="1:68" s="561" customFormat="1" ht="63" customHeight="1" x14ac:dyDescent="0.2">
      <c r="A251" s="196"/>
      <c r="B251" s="255"/>
      <c r="C251" s="359"/>
      <c r="D251" s="208"/>
      <c r="E251" s="547"/>
      <c r="F251" s="122" t="s">
        <v>945</v>
      </c>
      <c r="G251" s="146" t="s">
        <v>946</v>
      </c>
      <c r="H251" s="123">
        <v>4103052</v>
      </c>
      <c r="I251" s="125" t="s">
        <v>947</v>
      </c>
      <c r="J251" s="146" t="s">
        <v>948</v>
      </c>
      <c r="K251" s="342">
        <v>410305202</v>
      </c>
      <c r="L251" s="343" t="s">
        <v>949</v>
      </c>
      <c r="M251" s="290" t="s">
        <v>109</v>
      </c>
      <c r="N251" s="146">
        <v>1</v>
      </c>
      <c r="O251" s="146">
        <v>1</v>
      </c>
      <c r="P251" s="319"/>
      <c r="Q251" s="149" t="s">
        <v>357</v>
      </c>
      <c r="R251" s="127" t="s">
        <v>950</v>
      </c>
      <c r="S251" s="186" t="s">
        <v>951</v>
      </c>
      <c r="T251" s="129"/>
      <c r="U251" s="129"/>
      <c r="V251" s="129"/>
      <c r="W251" s="129"/>
      <c r="X251" s="129"/>
      <c r="Y251" s="129"/>
      <c r="Z251" s="129"/>
      <c r="AA251" s="129"/>
      <c r="AB251" s="129"/>
      <c r="AC251" s="129"/>
      <c r="AD251" s="129"/>
      <c r="AE251" s="129"/>
      <c r="AF251" s="129"/>
      <c r="AG251" s="129"/>
      <c r="AH251" s="129"/>
      <c r="AI251" s="129"/>
      <c r="AJ251" s="129"/>
      <c r="AK251" s="129"/>
      <c r="AL251" s="129"/>
      <c r="AM251" s="129"/>
      <c r="AN251" s="129"/>
      <c r="AO251" s="129"/>
      <c r="AP251" s="129"/>
      <c r="AQ251" s="129"/>
      <c r="AR251" s="129"/>
      <c r="AS251" s="129"/>
      <c r="AT251" s="129"/>
      <c r="AU251" s="129"/>
      <c r="AV251" s="187"/>
      <c r="AW251" s="187"/>
      <c r="AX251" s="560">
        <v>44520000</v>
      </c>
      <c r="AY251" s="560">
        <v>44520000</v>
      </c>
      <c r="AZ251" s="560">
        <v>9520000</v>
      </c>
      <c r="BA251" s="187"/>
      <c r="BB251" s="187"/>
      <c r="BC251" s="187"/>
      <c r="BD251" s="187"/>
      <c r="BE251" s="187"/>
      <c r="BF251" s="187"/>
      <c r="BG251" s="131">
        <f t="shared" si="72"/>
        <v>44520000</v>
      </c>
      <c r="BH251" s="131">
        <f t="shared" si="72"/>
        <v>44520000</v>
      </c>
      <c r="BI251" s="131">
        <f t="shared" si="72"/>
        <v>9520000</v>
      </c>
    </row>
    <row r="252" spans="1:68" s="561" customFormat="1" ht="101.25" customHeight="1" x14ac:dyDescent="0.2">
      <c r="A252" s="196"/>
      <c r="B252" s="255"/>
      <c r="C252" s="359"/>
      <c r="D252" s="208"/>
      <c r="E252" s="547"/>
      <c r="F252" s="145" t="s">
        <v>952</v>
      </c>
      <c r="G252" s="146" t="s">
        <v>953</v>
      </c>
      <c r="H252" s="185">
        <v>4103050</v>
      </c>
      <c r="I252" s="211" t="s">
        <v>954</v>
      </c>
      <c r="J252" s="146" t="s">
        <v>955</v>
      </c>
      <c r="K252" s="146">
        <v>410305001</v>
      </c>
      <c r="L252" s="320" t="s">
        <v>956</v>
      </c>
      <c r="M252" s="290" t="s">
        <v>109</v>
      </c>
      <c r="N252" s="146">
        <v>12</v>
      </c>
      <c r="O252" s="562">
        <v>12</v>
      </c>
      <c r="P252" s="577"/>
      <c r="Q252" s="149" t="s">
        <v>328</v>
      </c>
      <c r="R252" s="370" t="s">
        <v>923</v>
      </c>
      <c r="S252" s="574" t="s">
        <v>924</v>
      </c>
      <c r="T252" s="129"/>
      <c r="U252" s="129"/>
      <c r="V252" s="129"/>
      <c r="W252" s="129"/>
      <c r="X252" s="129"/>
      <c r="Y252" s="129"/>
      <c r="Z252" s="129"/>
      <c r="AA252" s="129"/>
      <c r="AB252" s="129"/>
      <c r="AC252" s="129"/>
      <c r="AD252" s="129"/>
      <c r="AE252" s="129"/>
      <c r="AF252" s="129"/>
      <c r="AG252" s="129"/>
      <c r="AH252" s="129"/>
      <c r="AI252" s="129"/>
      <c r="AJ252" s="129"/>
      <c r="AK252" s="129"/>
      <c r="AL252" s="129"/>
      <c r="AM252" s="129"/>
      <c r="AN252" s="129"/>
      <c r="AO252" s="129"/>
      <c r="AP252" s="129"/>
      <c r="AQ252" s="129"/>
      <c r="AR252" s="129"/>
      <c r="AS252" s="129"/>
      <c r="AT252" s="129"/>
      <c r="AU252" s="129"/>
      <c r="AV252" s="187"/>
      <c r="AW252" s="187"/>
      <c r="AX252" s="560">
        <v>25000000</v>
      </c>
      <c r="AY252" s="560"/>
      <c r="AZ252" s="560"/>
      <c r="BA252" s="187"/>
      <c r="BB252" s="187"/>
      <c r="BC252" s="187"/>
      <c r="BD252" s="187"/>
      <c r="BE252" s="187"/>
      <c r="BF252" s="187"/>
      <c r="BG252" s="131">
        <f t="shared" si="72"/>
        <v>25000000</v>
      </c>
      <c r="BH252" s="131">
        <f t="shared" si="72"/>
        <v>0</v>
      </c>
      <c r="BI252" s="131">
        <f t="shared" si="72"/>
        <v>0</v>
      </c>
    </row>
    <row r="253" spans="1:68" s="561" customFormat="1" ht="77.25" customHeight="1" x14ac:dyDescent="0.2">
      <c r="A253" s="196"/>
      <c r="B253" s="255"/>
      <c r="C253" s="359"/>
      <c r="D253" s="208"/>
      <c r="E253" s="547"/>
      <c r="F253" s="145" t="s">
        <v>957</v>
      </c>
      <c r="G253" s="146" t="s">
        <v>958</v>
      </c>
      <c r="H253" s="308">
        <v>4103058</v>
      </c>
      <c r="I253" s="186" t="s">
        <v>959</v>
      </c>
      <c r="J253" s="146" t="s">
        <v>960</v>
      </c>
      <c r="K253" s="291">
        <v>410305800</v>
      </c>
      <c r="L253" s="320" t="s">
        <v>961</v>
      </c>
      <c r="M253" s="290" t="s">
        <v>204</v>
      </c>
      <c r="N253" s="146">
        <v>12</v>
      </c>
      <c r="O253" s="146">
        <v>1</v>
      </c>
      <c r="P253" s="319"/>
      <c r="Q253" s="149" t="s">
        <v>357</v>
      </c>
      <c r="R253" s="370" t="s">
        <v>962</v>
      </c>
      <c r="S253" s="186" t="s">
        <v>963</v>
      </c>
      <c r="T253" s="129"/>
      <c r="U253" s="129"/>
      <c r="V253" s="129"/>
      <c r="W253" s="129"/>
      <c r="X253" s="129"/>
      <c r="Y253" s="129"/>
      <c r="Z253" s="129"/>
      <c r="AA253" s="129"/>
      <c r="AB253" s="129"/>
      <c r="AC253" s="129"/>
      <c r="AD253" s="129"/>
      <c r="AE253" s="129"/>
      <c r="AF253" s="129"/>
      <c r="AG253" s="129"/>
      <c r="AH253" s="129"/>
      <c r="AI253" s="129"/>
      <c r="AJ253" s="129"/>
      <c r="AK253" s="129"/>
      <c r="AL253" s="129"/>
      <c r="AM253" s="129"/>
      <c r="AN253" s="129"/>
      <c r="AO253" s="129"/>
      <c r="AP253" s="129"/>
      <c r="AQ253" s="129"/>
      <c r="AR253" s="129"/>
      <c r="AS253" s="129"/>
      <c r="AT253" s="129"/>
      <c r="AU253" s="129"/>
      <c r="AV253" s="187"/>
      <c r="AW253" s="187"/>
      <c r="AX253" s="560">
        <v>27000000</v>
      </c>
      <c r="AY253" s="560"/>
      <c r="AZ253" s="560"/>
      <c r="BA253" s="187"/>
      <c r="BB253" s="187"/>
      <c r="BC253" s="187"/>
      <c r="BD253" s="187"/>
      <c r="BE253" s="187"/>
      <c r="BF253" s="187"/>
      <c r="BG253" s="131">
        <f t="shared" si="72"/>
        <v>27000000</v>
      </c>
      <c r="BH253" s="131">
        <f t="shared" si="72"/>
        <v>0</v>
      </c>
      <c r="BI253" s="131">
        <f t="shared" si="72"/>
        <v>0</v>
      </c>
    </row>
    <row r="254" spans="1:68" s="561" customFormat="1" ht="77.25" customHeight="1" x14ac:dyDescent="0.2">
      <c r="A254" s="196"/>
      <c r="B254" s="255"/>
      <c r="C254" s="359"/>
      <c r="D254" s="208"/>
      <c r="E254" s="721"/>
      <c r="F254" s="305" t="s">
        <v>964</v>
      </c>
      <c r="G254" s="146" t="s">
        <v>965</v>
      </c>
      <c r="H254" s="308" t="s">
        <v>102</v>
      </c>
      <c r="I254" s="186" t="s">
        <v>966</v>
      </c>
      <c r="J254" s="146" t="s">
        <v>967</v>
      </c>
      <c r="K254" s="291" t="s">
        <v>102</v>
      </c>
      <c r="L254" s="320" t="s">
        <v>968</v>
      </c>
      <c r="M254" s="290" t="s">
        <v>204</v>
      </c>
      <c r="N254" s="146">
        <v>17</v>
      </c>
      <c r="O254" s="146">
        <v>2</v>
      </c>
      <c r="P254" s="146"/>
      <c r="Q254" s="892" t="s">
        <v>357</v>
      </c>
      <c r="R254" s="887" t="s">
        <v>969</v>
      </c>
      <c r="S254" s="890" t="s">
        <v>970</v>
      </c>
      <c r="T254" s="129"/>
      <c r="U254" s="129"/>
      <c r="V254" s="129"/>
      <c r="W254" s="129"/>
      <c r="X254" s="129"/>
      <c r="Y254" s="129"/>
      <c r="Z254" s="129"/>
      <c r="AA254" s="129"/>
      <c r="AB254" s="129"/>
      <c r="AC254" s="129"/>
      <c r="AD254" s="129"/>
      <c r="AE254" s="129"/>
      <c r="AF254" s="129"/>
      <c r="AG254" s="129"/>
      <c r="AH254" s="129"/>
      <c r="AI254" s="129"/>
      <c r="AJ254" s="129"/>
      <c r="AK254" s="129"/>
      <c r="AL254" s="129"/>
      <c r="AM254" s="129"/>
      <c r="AN254" s="129"/>
      <c r="AO254" s="129"/>
      <c r="AP254" s="129"/>
      <c r="AQ254" s="129"/>
      <c r="AR254" s="129"/>
      <c r="AS254" s="129"/>
      <c r="AT254" s="129"/>
      <c r="AU254" s="129"/>
      <c r="AV254" s="187"/>
      <c r="AW254" s="187"/>
      <c r="AX254" s="560">
        <v>30000000</v>
      </c>
      <c r="AY254" s="560"/>
      <c r="AZ254" s="560"/>
      <c r="BA254" s="187"/>
      <c r="BB254" s="187"/>
      <c r="BC254" s="187"/>
      <c r="BD254" s="187"/>
      <c r="BE254" s="187"/>
      <c r="BF254" s="187"/>
      <c r="BG254" s="131">
        <f t="shared" si="72"/>
        <v>30000000</v>
      </c>
      <c r="BH254" s="131">
        <f t="shared" si="72"/>
        <v>0</v>
      </c>
      <c r="BI254" s="131">
        <f t="shared" si="72"/>
        <v>0</v>
      </c>
    </row>
    <row r="255" spans="1:68" s="561" customFormat="1" ht="77.25" customHeight="1" x14ac:dyDescent="0.2">
      <c r="A255" s="196"/>
      <c r="B255" s="255"/>
      <c r="C255" s="359"/>
      <c r="D255" s="208"/>
      <c r="E255" s="723"/>
      <c r="F255" s="305" t="s">
        <v>971</v>
      </c>
      <c r="G255" s="127" t="s">
        <v>972</v>
      </c>
      <c r="H255" s="552" t="s">
        <v>102</v>
      </c>
      <c r="I255" s="211" t="s">
        <v>973</v>
      </c>
      <c r="J255" s="127" t="s">
        <v>974</v>
      </c>
      <c r="K255" s="127" t="s">
        <v>102</v>
      </c>
      <c r="L255" s="186" t="s">
        <v>975</v>
      </c>
      <c r="M255" s="290" t="s">
        <v>109</v>
      </c>
      <c r="N255" s="146">
        <v>2</v>
      </c>
      <c r="O255" s="146">
        <v>2</v>
      </c>
      <c r="P255" s="146"/>
      <c r="Q255" s="893"/>
      <c r="R255" s="889"/>
      <c r="S255" s="891"/>
      <c r="T255" s="129"/>
      <c r="U255" s="129"/>
      <c r="V255" s="129"/>
      <c r="W255" s="129"/>
      <c r="X255" s="129"/>
      <c r="Y255" s="129"/>
      <c r="Z255" s="129"/>
      <c r="AA255" s="129"/>
      <c r="AB255" s="129"/>
      <c r="AC255" s="129"/>
      <c r="AD255" s="129"/>
      <c r="AE255" s="129"/>
      <c r="AF255" s="129"/>
      <c r="AG255" s="129"/>
      <c r="AH255" s="129"/>
      <c r="AI255" s="129"/>
      <c r="AJ255" s="129"/>
      <c r="AK255" s="129"/>
      <c r="AL255" s="129"/>
      <c r="AM255" s="129"/>
      <c r="AN255" s="129"/>
      <c r="AO255" s="129"/>
      <c r="AP255" s="129"/>
      <c r="AQ255" s="129"/>
      <c r="AR255" s="129"/>
      <c r="AS255" s="129"/>
      <c r="AT255" s="129"/>
      <c r="AU255" s="129"/>
      <c r="AV255" s="187"/>
      <c r="AW255" s="187"/>
      <c r="AX255" s="560">
        <v>49500000</v>
      </c>
      <c r="AY255" s="560"/>
      <c r="AZ255" s="560"/>
      <c r="BA255" s="187"/>
      <c r="BB255" s="187"/>
      <c r="BC255" s="187"/>
      <c r="BD255" s="187"/>
      <c r="BE255" s="187"/>
      <c r="BF255" s="187"/>
      <c r="BG255" s="131">
        <f t="shared" si="72"/>
        <v>49500000</v>
      </c>
      <c r="BH255" s="131">
        <f t="shared" si="72"/>
        <v>0</v>
      </c>
      <c r="BI255" s="131">
        <f t="shared" si="72"/>
        <v>0</v>
      </c>
    </row>
    <row r="256" spans="1:68" s="561" customFormat="1" ht="102.75" customHeight="1" x14ac:dyDescent="0.2">
      <c r="A256" s="196"/>
      <c r="B256" s="255"/>
      <c r="C256" s="359"/>
      <c r="D256" s="208"/>
      <c r="E256" s="547"/>
      <c r="F256" s="122" t="s">
        <v>976</v>
      </c>
      <c r="G256" s="146" t="s">
        <v>977</v>
      </c>
      <c r="H256" s="308" t="s">
        <v>102</v>
      </c>
      <c r="I256" s="211" t="s">
        <v>978</v>
      </c>
      <c r="J256" s="146" t="s">
        <v>979</v>
      </c>
      <c r="K256" s="291" t="s">
        <v>102</v>
      </c>
      <c r="L256" s="320" t="s">
        <v>980</v>
      </c>
      <c r="M256" s="290" t="s">
        <v>109</v>
      </c>
      <c r="N256" s="146">
        <v>1</v>
      </c>
      <c r="O256" s="146">
        <v>1</v>
      </c>
      <c r="P256" s="319"/>
      <c r="Q256" s="149" t="s">
        <v>357</v>
      </c>
      <c r="R256" s="127" t="s">
        <v>981</v>
      </c>
      <c r="S256" s="211" t="s">
        <v>982</v>
      </c>
      <c r="T256" s="129"/>
      <c r="U256" s="129"/>
      <c r="V256" s="129"/>
      <c r="W256" s="129"/>
      <c r="X256" s="129"/>
      <c r="Y256" s="129"/>
      <c r="Z256" s="129"/>
      <c r="AA256" s="129"/>
      <c r="AB256" s="129"/>
      <c r="AC256" s="129"/>
      <c r="AD256" s="129"/>
      <c r="AE256" s="129"/>
      <c r="AF256" s="129"/>
      <c r="AG256" s="129"/>
      <c r="AH256" s="129"/>
      <c r="AI256" s="129"/>
      <c r="AJ256" s="129"/>
      <c r="AK256" s="129"/>
      <c r="AL256" s="129"/>
      <c r="AM256" s="129"/>
      <c r="AN256" s="129"/>
      <c r="AO256" s="129"/>
      <c r="AP256" s="129"/>
      <c r="AQ256" s="129"/>
      <c r="AR256" s="129"/>
      <c r="AS256" s="129"/>
      <c r="AT256" s="129"/>
      <c r="AU256" s="129"/>
      <c r="AV256" s="187"/>
      <c r="AW256" s="187"/>
      <c r="AX256" s="560">
        <v>70000000</v>
      </c>
      <c r="AY256" s="560"/>
      <c r="AZ256" s="560"/>
      <c r="BA256" s="187"/>
      <c r="BB256" s="187"/>
      <c r="BC256" s="187"/>
      <c r="BD256" s="187"/>
      <c r="BE256" s="187"/>
      <c r="BF256" s="187"/>
      <c r="BG256" s="131">
        <f t="shared" si="72"/>
        <v>70000000</v>
      </c>
      <c r="BH256" s="131">
        <f t="shared" si="72"/>
        <v>0</v>
      </c>
      <c r="BI256" s="131">
        <f t="shared" si="72"/>
        <v>0</v>
      </c>
    </row>
    <row r="257" spans="1:68" s="267" customFormat="1" ht="15.75" x14ac:dyDescent="0.2">
      <c r="A257" s="556"/>
      <c r="B257" s="578"/>
      <c r="C257" s="579">
        <v>38</v>
      </c>
      <c r="D257" s="580">
        <v>4104</v>
      </c>
      <c r="E257" s="175" t="s">
        <v>983</v>
      </c>
      <c r="F257" s="138"/>
      <c r="G257" s="139"/>
      <c r="H257" s="176"/>
      <c r="I257" s="177"/>
      <c r="J257" s="178"/>
      <c r="K257" s="178"/>
      <c r="L257" s="177"/>
      <c r="M257" s="581"/>
      <c r="N257" s="582"/>
      <c r="O257" s="139"/>
      <c r="P257" s="139"/>
      <c r="Q257" s="181"/>
      <c r="R257" s="181"/>
      <c r="S257" s="177"/>
      <c r="T257" s="558">
        <f>SUM(T258:T266)</f>
        <v>4262727592.3899999</v>
      </c>
      <c r="U257" s="558">
        <f>SUM(U258:U266)</f>
        <v>1070402240</v>
      </c>
      <c r="V257" s="558">
        <f>SUM(V258:V266)</f>
        <v>1070402240</v>
      </c>
      <c r="W257" s="558">
        <f>SUM(W258:W266)</f>
        <v>0</v>
      </c>
      <c r="X257" s="558"/>
      <c r="Y257" s="558"/>
      <c r="Z257" s="558">
        <f>SUM(Z258:Z266)</f>
        <v>0</v>
      </c>
      <c r="AA257" s="558"/>
      <c r="AB257" s="558"/>
      <c r="AC257" s="558">
        <f>SUM(AC258:AC266)</f>
        <v>0</v>
      </c>
      <c r="AD257" s="558"/>
      <c r="AE257" s="558"/>
      <c r="AF257" s="558">
        <f>SUM(AF258:AF266)</f>
        <v>0</v>
      </c>
      <c r="AG257" s="558"/>
      <c r="AH257" s="558"/>
      <c r="AI257" s="558">
        <f>SUM(AI258:AI266)</f>
        <v>0</v>
      </c>
      <c r="AJ257" s="558"/>
      <c r="AK257" s="558"/>
      <c r="AL257" s="558">
        <f>SUM(AL258:AL266)</f>
        <v>0</v>
      </c>
      <c r="AM257" s="558"/>
      <c r="AN257" s="558"/>
      <c r="AO257" s="558">
        <f>SUM(AO258:AO266)</f>
        <v>0</v>
      </c>
      <c r="AP257" s="558"/>
      <c r="AQ257" s="558"/>
      <c r="AR257" s="558">
        <f>SUM(AR258:AR266)</f>
        <v>0</v>
      </c>
      <c r="AS257" s="558"/>
      <c r="AT257" s="558"/>
      <c r="AU257" s="558">
        <f>SUM(AU258:AU266)</f>
        <v>0</v>
      </c>
      <c r="AV257" s="558"/>
      <c r="AW257" s="558"/>
      <c r="AX257" s="558">
        <f>SUM(AX258:AX266)</f>
        <v>675546842</v>
      </c>
      <c r="AY257" s="558">
        <f>SUM(AY258:AY266)</f>
        <v>161131666</v>
      </c>
      <c r="AZ257" s="558">
        <f>SUM(AZ258:AZ266)</f>
        <v>161131666</v>
      </c>
      <c r="BA257" s="558">
        <f>SUM(BA258:BA266)</f>
        <v>0</v>
      </c>
      <c r="BB257" s="558"/>
      <c r="BC257" s="558"/>
      <c r="BD257" s="558">
        <f>SUM(BD258:BD266)</f>
        <v>0</v>
      </c>
      <c r="BE257" s="558"/>
      <c r="BF257" s="558"/>
      <c r="BG257" s="559">
        <f>SUM(BG258:BG266)</f>
        <v>4938274434.3899994</v>
      </c>
      <c r="BH257" s="559">
        <f>SUM(BH258:BH266)</f>
        <v>1231533906</v>
      </c>
      <c r="BI257" s="559">
        <f>SUM(BI258:BI266)</f>
        <v>1231533906</v>
      </c>
      <c r="BJ257" s="278"/>
      <c r="BK257" s="278"/>
      <c r="BL257" s="278"/>
      <c r="BM257" s="278"/>
      <c r="BN257" s="278"/>
      <c r="BO257" s="278"/>
      <c r="BP257" s="278"/>
    </row>
    <row r="258" spans="1:68" s="561" customFormat="1" ht="90" x14ac:dyDescent="0.2">
      <c r="A258" s="196"/>
      <c r="B258" s="255"/>
      <c r="C258" s="359"/>
      <c r="D258" s="208"/>
      <c r="E258" s="721"/>
      <c r="F258" s="145" t="s">
        <v>984</v>
      </c>
      <c r="G258" s="317" t="s">
        <v>985</v>
      </c>
      <c r="H258" s="308" t="s">
        <v>986</v>
      </c>
      <c r="I258" s="211" t="s">
        <v>987</v>
      </c>
      <c r="J258" s="317" t="s">
        <v>988</v>
      </c>
      <c r="K258" s="308">
        <v>410403500</v>
      </c>
      <c r="L258" s="186" t="s">
        <v>989</v>
      </c>
      <c r="M258" s="290" t="s">
        <v>204</v>
      </c>
      <c r="N258" s="146">
        <v>500</v>
      </c>
      <c r="O258" s="146">
        <v>20</v>
      </c>
      <c r="P258" s="146"/>
      <c r="Q258" s="892" t="s">
        <v>357</v>
      </c>
      <c r="R258" s="887" t="s">
        <v>962</v>
      </c>
      <c r="S258" s="890" t="s">
        <v>963</v>
      </c>
      <c r="T258" s="129"/>
      <c r="U258" s="129"/>
      <c r="V258" s="129"/>
      <c r="W258" s="129"/>
      <c r="X258" s="129"/>
      <c r="Y258" s="129"/>
      <c r="Z258" s="129"/>
      <c r="AA258" s="129"/>
      <c r="AB258" s="129"/>
      <c r="AC258" s="129"/>
      <c r="AD258" s="129"/>
      <c r="AE258" s="129"/>
      <c r="AF258" s="129"/>
      <c r="AG258" s="129"/>
      <c r="AH258" s="129"/>
      <c r="AI258" s="129"/>
      <c r="AJ258" s="129"/>
      <c r="AK258" s="129"/>
      <c r="AL258" s="129"/>
      <c r="AM258" s="129"/>
      <c r="AN258" s="129"/>
      <c r="AO258" s="129"/>
      <c r="AP258" s="129"/>
      <c r="AQ258" s="129"/>
      <c r="AR258" s="129"/>
      <c r="AS258" s="129"/>
      <c r="AT258" s="129"/>
      <c r="AU258" s="129"/>
      <c r="AV258" s="187"/>
      <c r="AW258" s="187"/>
      <c r="AX258" s="560">
        <v>14000000</v>
      </c>
      <c r="AY258" s="560"/>
      <c r="AZ258" s="560"/>
      <c r="BA258" s="187"/>
      <c r="BB258" s="187"/>
      <c r="BC258" s="187"/>
      <c r="BD258" s="187"/>
      <c r="BE258" s="187"/>
      <c r="BF258" s="187"/>
      <c r="BG258" s="131">
        <f t="shared" ref="BG258:BI266" si="73">+T258+W258+Z258+AC258+AF258+AI258+AL258+AO258+AR258+AU258+AX258+BA258+BD258</f>
        <v>14000000</v>
      </c>
      <c r="BH258" s="131">
        <f t="shared" si="73"/>
        <v>0</v>
      </c>
      <c r="BI258" s="131">
        <f t="shared" si="73"/>
        <v>0</v>
      </c>
    </row>
    <row r="259" spans="1:68" s="561" customFormat="1" ht="68.25" customHeight="1" x14ac:dyDescent="0.2">
      <c r="A259" s="196"/>
      <c r="B259" s="255"/>
      <c r="C259" s="359"/>
      <c r="D259" s="208"/>
      <c r="E259" s="723"/>
      <c r="F259" s="145" t="s">
        <v>984</v>
      </c>
      <c r="G259" s="317" t="s">
        <v>985</v>
      </c>
      <c r="H259" s="308" t="s">
        <v>986</v>
      </c>
      <c r="I259" s="211" t="s">
        <v>987</v>
      </c>
      <c r="J259" s="146" t="s">
        <v>990</v>
      </c>
      <c r="K259" s="291" t="s">
        <v>102</v>
      </c>
      <c r="L259" s="583" t="s">
        <v>991</v>
      </c>
      <c r="M259" s="349" t="s">
        <v>109</v>
      </c>
      <c r="N259" s="185">
        <v>12</v>
      </c>
      <c r="O259" s="562">
        <v>12</v>
      </c>
      <c r="P259" s="584"/>
      <c r="Q259" s="893"/>
      <c r="R259" s="889"/>
      <c r="S259" s="894"/>
      <c r="T259" s="129"/>
      <c r="U259" s="129"/>
      <c r="V259" s="129"/>
      <c r="W259" s="129"/>
      <c r="X259" s="129"/>
      <c r="Y259" s="129"/>
      <c r="Z259" s="129"/>
      <c r="AA259" s="129"/>
      <c r="AB259" s="129"/>
      <c r="AC259" s="129"/>
      <c r="AD259" s="129"/>
      <c r="AE259" s="129"/>
      <c r="AF259" s="129"/>
      <c r="AG259" s="129"/>
      <c r="AH259" s="129"/>
      <c r="AI259" s="129"/>
      <c r="AJ259" s="129"/>
      <c r="AK259" s="129"/>
      <c r="AL259" s="129"/>
      <c r="AM259" s="129"/>
      <c r="AN259" s="129"/>
      <c r="AO259" s="129"/>
      <c r="AP259" s="129"/>
      <c r="AQ259" s="129"/>
      <c r="AR259" s="129"/>
      <c r="AS259" s="129"/>
      <c r="AT259" s="129"/>
      <c r="AU259" s="129"/>
      <c r="AV259" s="187"/>
      <c r="AW259" s="187"/>
      <c r="AX259" s="560">
        <v>25000000</v>
      </c>
      <c r="AY259" s="560"/>
      <c r="AZ259" s="560"/>
      <c r="BA259" s="187"/>
      <c r="BB259" s="187"/>
      <c r="BC259" s="187"/>
      <c r="BD259" s="187"/>
      <c r="BE259" s="187"/>
      <c r="BF259" s="187"/>
      <c r="BG259" s="131">
        <f t="shared" si="73"/>
        <v>25000000</v>
      </c>
      <c r="BH259" s="131">
        <f t="shared" si="73"/>
        <v>0</v>
      </c>
      <c r="BI259" s="131">
        <f t="shared" si="73"/>
        <v>0</v>
      </c>
    </row>
    <row r="260" spans="1:68" s="561" customFormat="1" ht="69.75" customHeight="1" x14ac:dyDescent="0.2">
      <c r="A260" s="196"/>
      <c r="B260" s="255"/>
      <c r="C260" s="359"/>
      <c r="D260" s="208"/>
      <c r="E260" s="547"/>
      <c r="F260" s="145" t="s">
        <v>992</v>
      </c>
      <c r="G260" s="146" t="s">
        <v>993</v>
      </c>
      <c r="H260" s="308" t="s">
        <v>994</v>
      </c>
      <c r="I260" s="186" t="s">
        <v>995</v>
      </c>
      <c r="J260" s="287" t="s">
        <v>996</v>
      </c>
      <c r="K260" s="287" t="s">
        <v>102</v>
      </c>
      <c r="L260" s="186" t="s">
        <v>997</v>
      </c>
      <c r="M260" s="290" t="s">
        <v>109</v>
      </c>
      <c r="N260" s="146">
        <v>12</v>
      </c>
      <c r="O260" s="146">
        <v>12</v>
      </c>
      <c r="P260" s="319"/>
      <c r="Q260" s="149" t="s">
        <v>357</v>
      </c>
      <c r="R260" s="127" t="s">
        <v>998</v>
      </c>
      <c r="S260" s="186" t="s">
        <v>999</v>
      </c>
      <c r="T260" s="129"/>
      <c r="U260" s="129"/>
      <c r="V260" s="129"/>
      <c r="W260" s="129"/>
      <c r="X260" s="129"/>
      <c r="Y260" s="129"/>
      <c r="Z260" s="129"/>
      <c r="AA260" s="129"/>
      <c r="AB260" s="129"/>
      <c r="AC260" s="129"/>
      <c r="AD260" s="129"/>
      <c r="AE260" s="129"/>
      <c r="AF260" s="129"/>
      <c r="AG260" s="129"/>
      <c r="AH260" s="129"/>
      <c r="AI260" s="129"/>
      <c r="AJ260" s="129"/>
      <c r="AK260" s="129"/>
      <c r="AL260" s="129"/>
      <c r="AM260" s="129"/>
      <c r="AN260" s="129"/>
      <c r="AO260" s="129"/>
      <c r="AP260" s="129"/>
      <c r="AQ260" s="129"/>
      <c r="AR260" s="129"/>
      <c r="AS260" s="129"/>
      <c r="AT260" s="129"/>
      <c r="AU260" s="129"/>
      <c r="AV260" s="187"/>
      <c r="AW260" s="187"/>
      <c r="AX260" s="560">
        <v>18000000</v>
      </c>
      <c r="AY260" s="560"/>
      <c r="AZ260" s="560"/>
      <c r="BA260" s="187"/>
      <c r="BB260" s="187"/>
      <c r="BC260" s="187"/>
      <c r="BD260" s="187"/>
      <c r="BE260" s="187"/>
      <c r="BF260" s="187"/>
      <c r="BG260" s="131">
        <f t="shared" si="73"/>
        <v>18000000</v>
      </c>
      <c r="BH260" s="131">
        <f t="shared" si="73"/>
        <v>0</v>
      </c>
      <c r="BI260" s="131">
        <f t="shared" si="73"/>
        <v>0</v>
      </c>
    </row>
    <row r="261" spans="1:68" s="561" customFormat="1" ht="93.75" customHeight="1" x14ac:dyDescent="0.2">
      <c r="A261" s="196"/>
      <c r="B261" s="255"/>
      <c r="C261" s="359"/>
      <c r="D261" s="208"/>
      <c r="E261" s="121"/>
      <c r="F261" s="145" t="s">
        <v>1000</v>
      </c>
      <c r="G261" s="287" t="s">
        <v>1001</v>
      </c>
      <c r="H261" s="584" t="s">
        <v>102</v>
      </c>
      <c r="I261" s="125" t="s">
        <v>1002</v>
      </c>
      <c r="J261" s="291" t="s">
        <v>1003</v>
      </c>
      <c r="K261" s="342" t="s">
        <v>102</v>
      </c>
      <c r="L261" s="343" t="s">
        <v>1004</v>
      </c>
      <c r="M261" s="290" t="s">
        <v>109</v>
      </c>
      <c r="N261" s="146">
        <v>1</v>
      </c>
      <c r="O261" s="146">
        <v>1</v>
      </c>
      <c r="P261" s="319"/>
      <c r="Q261" s="149" t="s">
        <v>357</v>
      </c>
      <c r="R261" s="127" t="s">
        <v>1005</v>
      </c>
      <c r="S261" s="186" t="s">
        <v>1006</v>
      </c>
      <c r="T261" s="129"/>
      <c r="U261" s="129"/>
      <c r="V261" s="129"/>
      <c r="W261" s="129"/>
      <c r="X261" s="129"/>
      <c r="Y261" s="129"/>
      <c r="Z261" s="129"/>
      <c r="AA261" s="129"/>
      <c r="AB261" s="129"/>
      <c r="AC261" s="129"/>
      <c r="AD261" s="129"/>
      <c r="AE261" s="129"/>
      <c r="AF261" s="129"/>
      <c r="AG261" s="129"/>
      <c r="AH261" s="129"/>
      <c r="AI261" s="129"/>
      <c r="AJ261" s="129"/>
      <c r="AK261" s="129"/>
      <c r="AL261" s="129"/>
      <c r="AM261" s="129"/>
      <c r="AN261" s="129"/>
      <c r="AO261" s="129"/>
      <c r="AP261" s="129"/>
      <c r="AQ261" s="129"/>
      <c r="AR261" s="129"/>
      <c r="AS261" s="129"/>
      <c r="AT261" s="129"/>
      <c r="AU261" s="129"/>
      <c r="AV261" s="187"/>
      <c r="AW261" s="187"/>
      <c r="AX261" s="560">
        <v>170000000</v>
      </c>
      <c r="AY261" s="560">
        <v>38980000</v>
      </c>
      <c r="AZ261" s="560">
        <v>38980000</v>
      </c>
      <c r="BA261" s="187"/>
      <c r="BB261" s="187"/>
      <c r="BC261" s="187"/>
      <c r="BD261" s="187"/>
      <c r="BE261" s="187"/>
      <c r="BF261" s="187"/>
      <c r="BG261" s="131">
        <f t="shared" si="73"/>
        <v>170000000</v>
      </c>
      <c r="BH261" s="131">
        <f t="shared" si="73"/>
        <v>38980000</v>
      </c>
      <c r="BI261" s="131">
        <f t="shared" si="73"/>
        <v>38980000</v>
      </c>
    </row>
    <row r="262" spans="1:68" s="561" customFormat="1" ht="99" customHeight="1" x14ac:dyDescent="0.2">
      <c r="A262" s="196"/>
      <c r="B262" s="255"/>
      <c r="C262" s="359"/>
      <c r="D262" s="208"/>
      <c r="E262" s="121"/>
      <c r="F262" s="145" t="s">
        <v>1007</v>
      </c>
      <c r="G262" s="291" t="s">
        <v>1008</v>
      </c>
      <c r="H262" s="584" t="s">
        <v>102</v>
      </c>
      <c r="I262" s="125" t="s">
        <v>1009</v>
      </c>
      <c r="J262" s="291" t="s">
        <v>1010</v>
      </c>
      <c r="K262" s="342" t="s">
        <v>102</v>
      </c>
      <c r="L262" s="343" t="s">
        <v>1011</v>
      </c>
      <c r="M262" s="290" t="s">
        <v>109</v>
      </c>
      <c r="N262" s="146">
        <v>1</v>
      </c>
      <c r="O262" s="146">
        <v>1</v>
      </c>
      <c r="P262" s="319"/>
      <c r="Q262" s="149" t="s">
        <v>125</v>
      </c>
      <c r="R262" s="127" t="s">
        <v>1012</v>
      </c>
      <c r="S262" s="186" t="s">
        <v>1013</v>
      </c>
      <c r="T262" s="129"/>
      <c r="U262" s="129"/>
      <c r="V262" s="129"/>
      <c r="W262" s="129"/>
      <c r="X262" s="129"/>
      <c r="Y262" s="129"/>
      <c r="Z262" s="129"/>
      <c r="AA262" s="129"/>
      <c r="AB262" s="129"/>
      <c r="AC262" s="129"/>
      <c r="AD262" s="129"/>
      <c r="AE262" s="129"/>
      <c r="AF262" s="129"/>
      <c r="AG262" s="129"/>
      <c r="AH262" s="129"/>
      <c r="AI262" s="129"/>
      <c r="AJ262" s="129"/>
      <c r="AK262" s="129"/>
      <c r="AL262" s="129"/>
      <c r="AM262" s="129"/>
      <c r="AN262" s="129"/>
      <c r="AO262" s="129"/>
      <c r="AP262" s="129"/>
      <c r="AQ262" s="129"/>
      <c r="AR262" s="129"/>
      <c r="AS262" s="129"/>
      <c r="AT262" s="129"/>
      <c r="AU262" s="129"/>
      <c r="AV262" s="187"/>
      <c r="AW262" s="187"/>
      <c r="AX262" s="560">
        <v>140000000</v>
      </c>
      <c r="AY262" s="560">
        <v>34725000</v>
      </c>
      <c r="AZ262" s="560">
        <v>34725000</v>
      </c>
      <c r="BA262" s="187"/>
      <c r="BB262" s="187"/>
      <c r="BC262" s="187"/>
      <c r="BD262" s="187"/>
      <c r="BE262" s="187"/>
      <c r="BF262" s="187"/>
      <c r="BG262" s="131">
        <f t="shared" si="73"/>
        <v>140000000</v>
      </c>
      <c r="BH262" s="131">
        <f t="shared" si="73"/>
        <v>34725000</v>
      </c>
      <c r="BI262" s="131">
        <f t="shared" si="73"/>
        <v>34725000</v>
      </c>
    </row>
    <row r="263" spans="1:68" s="561" customFormat="1" ht="112.5" customHeight="1" x14ac:dyDescent="0.2">
      <c r="A263" s="196"/>
      <c r="B263" s="255"/>
      <c r="C263" s="359"/>
      <c r="D263" s="208"/>
      <c r="E263" s="724"/>
      <c r="F263" s="145" t="s">
        <v>1014</v>
      </c>
      <c r="G263" s="291" t="s">
        <v>1015</v>
      </c>
      <c r="H263" s="584" t="s">
        <v>102</v>
      </c>
      <c r="I263" s="576" t="s">
        <v>1016</v>
      </c>
      <c r="J263" s="291" t="s">
        <v>1017</v>
      </c>
      <c r="K263" s="291" t="s">
        <v>102</v>
      </c>
      <c r="L263" s="583" t="s">
        <v>1018</v>
      </c>
      <c r="M263" s="290" t="s">
        <v>109</v>
      </c>
      <c r="N263" s="146">
        <v>1</v>
      </c>
      <c r="O263" s="146">
        <v>1</v>
      </c>
      <c r="P263" s="146"/>
      <c r="Q263" s="887" t="s">
        <v>357</v>
      </c>
      <c r="R263" s="887" t="s">
        <v>1019</v>
      </c>
      <c r="S263" s="890" t="s">
        <v>1020</v>
      </c>
      <c r="T263" s="129"/>
      <c r="U263" s="129"/>
      <c r="V263" s="129"/>
      <c r="W263" s="129"/>
      <c r="X263" s="129"/>
      <c r="Y263" s="129"/>
      <c r="Z263" s="129"/>
      <c r="AA263" s="129"/>
      <c r="AB263" s="129"/>
      <c r="AC263" s="129"/>
      <c r="AD263" s="129"/>
      <c r="AE263" s="129"/>
      <c r="AF263" s="129"/>
      <c r="AG263" s="129"/>
      <c r="AH263" s="129"/>
      <c r="AI263" s="129"/>
      <c r="AJ263" s="129"/>
      <c r="AK263" s="129"/>
      <c r="AL263" s="129"/>
      <c r="AM263" s="129"/>
      <c r="AN263" s="129"/>
      <c r="AO263" s="129"/>
      <c r="AP263" s="187"/>
      <c r="AQ263" s="187"/>
      <c r="AR263" s="187"/>
      <c r="AS263" s="187"/>
      <c r="AT263" s="187"/>
      <c r="AU263" s="187"/>
      <c r="AV263" s="187"/>
      <c r="AW263" s="187"/>
      <c r="AX263" s="560">
        <v>95000000</v>
      </c>
      <c r="AY263" s="560">
        <v>49325333</v>
      </c>
      <c r="AZ263" s="560">
        <v>49325333</v>
      </c>
      <c r="BA263" s="187"/>
      <c r="BB263" s="187"/>
      <c r="BC263" s="187"/>
      <c r="BD263" s="187"/>
      <c r="BE263" s="187"/>
      <c r="BF263" s="187"/>
      <c r="BG263" s="131">
        <f t="shared" si="73"/>
        <v>95000000</v>
      </c>
      <c r="BH263" s="131">
        <f t="shared" si="73"/>
        <v>49325333</v>
      </c>
      <c r="BI263" s="131">
        <f t="shared" si="73"/>
        <v>49325333</v>
      </c>
    </row>
    <row r="264" spans="1:68" s="561" customFormat="1" ht="75" x14ac:dyDescent="0.2">
      <c r="A264" s="196"/>
      <c r="B264" s="255"/>
      <c r="C264" s="359"/>
      <c r="D264" s="208"/>
      <c r="E264" s="726"/>
      <c r="F264" s="145" t="s">
        <v>1021</v>
      </c>
      <c r="G264" s="146" t="s">
        <v>1022</v>
      </c>
      <c r="H264" s="308">
        <v>4104015</v>
      </c>
      <c r="I264" s="576" t="s">
        <v>1023</v>
      </c>
      <c r="J264" s="146" t="s">
        <v>1024</v>
      </c>
      <c r="K264" s="291">
        <v>410401500</v>
      </c>
      <c r="L264" s="320" t="s">
        <v>1025</v>
      </c>
      <c r="M264" s="290" t="s">
        <v>109</v>
      </c>
      <c r="N264" s="290">
        <v>7500</v>
      </c>
      <c r="O264" s="290">
        <v>7500</v>
      </c>
      <c r="P264" s="865">
        <v>3511</v>
      </c>
      <c r="Q264" s="888"/>
      <c r="R264" s="888"/>
      <c r="S264" s="891"/>
      <c r="T264" s="129"/>
      <c r="U264" s="129"/>
      <c r="V264" s="129"/>
      <c r="W264" s="129"/>
      <c r="X264" s="129"/>
      <c r="Y264" s="129"/>
      <c r="Z264" s="129"/>
      <c r="AA264" s="129"/>
      <c r="AB264" s="129"/>
      <c r="AC264" s="129"/>
      <c r="AD264" s="129"/>
      <c r="AE264" s="129"/>
      <c r="AF264" s="129"/>
      <c r="AG264" s="129"/>
      <c r="AH264" s="129"/>
      <c r="AI264" s="129"/>
      <c r="AJ264" s="129"/>
      <c r="AK264" s="129"/>
      <c r="AL264" s="129"/>
      <c r="AM264" s="129"/>
      <c r="AN264" s="129"/>
      <c r="AO264" s="129"/>
      <c r="AP264" s="187"/>
      <c r="AQ264" s="187"/>
      <c r="AR264" s="187"/>
      <c r="AS264" s="187"/>
      <c r="AT264" s="187"/>
      <c r="AU264" s="187"/>
      <c r="AV264" s="187"/>
      <c r="AW264" s="187"/>
      <c r="AX264" s="560">
        <v>25000000</v>
      </c>
      <c r="AY264" s="560">
        <v>6048000</v>
      </c>
      <c r="AZ264" s="560">
        <v>6048000</v>
      </c>
      <c r="BA264" s="187"/>
      <c r="BB264" s="187"/>
      <c r="BC264" s="187"/>
      <c r="BD264" s="187"/>
      <c r="BE264" s="187"/>
      <c r="BF264" s="187"/>
      <c r="BG264" s="131">
        <f t="shared" si="73"/>
        <v>25000000</v>
      </c>
      <c r="BH264" s="131">
        <f t="shared" si="73"/>
        <v>6048000</v>
      </c>
      <c r="BI264" s="131">
        <f t="shared" si="73"/>
        <v>6048000</v>
      </c>
    </row>
    <row r="265" spans="1:68" s="561" customFormat="1" ht="68.25" customHeight="1" x14ac:dyDescent="0.2">
      <c r="A265" s="196"/>
      <c r="B265" s="255"/>
      <c r="C265" s="359"/>
      <c r="D265" s="208"/>
      <c r="E265" s="725"/>
      <c r="F265" s="145" t="s">
        <v>1026</v>
      </c>
      <c r="G265" s="146" t="s">
        <v>1027</v>
      </c>
      <c r="H265" s="123" t="s">
        <v>102</v>
      </c>
      <c r="I265" s="576" t="s">
        <v>1028</v>
      </c>
      <c r="J265" s="146" t="s">
        <v>1029</v>
      </c>
      <c r="K265" s="291" t="s">
        <v>102</v>
      </c>
      <c r="L265" s="583" t="s">
        <v>1030</v>
      </c>
      <c r="M265" s="127" t="s">
        <v>109</v>
      </c>
      <c r="N265" s="124">
        <v>12</v>
      </c>
      <c r="O265" s="464">
        <v>12</v>
      </c>
      <c r="P265" s="464">
        <v>12</v>
      </c>
      <c r="Q265" s="888"/>
      <c r="R265" s="888"/>
      <c r="S265" s="891"/>
      <c r="T265" s="585">
        <v>4262727592.3899999</v>
      </c>
      <c r="U265" s="585">
        <v>1070402240</v>
      </c>
      <c r="V265" s="585">
        <v>1070402240</v>
      </c>
      <c r="W265" s="586"/>
      <c r="X265" s="586"/>
      <c r="Y265" s="586"/>
      <c r="Z265" s="129"/>
      <c r="AA265" s="129"/>
      <c r="AB265" s="129"/>
      <c r="AC265" s="129"/>
      <c r="AD265" s="129"/>
      <c r="AE265" s="129"/>
      <c r="AF265" s="129"/>
      <c r="AG265" s="129"/>
      <c r="AH265" s="129"/>
      <c r="AI265" s="129"/>
      <c r="AJ265" s="129"/>
      <c r="AK265" s="129"/>
      <c r="AL265" s="129"/>
      <c r="AM265" s="129"/>
      <c r="AN265" s="129"/>
      <c r="AO265" s="129"/>
      <c r="AP265" s="129"/>
      <c r="AQ265" s="129"/>
      <c r="AR265" s="129"/>
      <c r="AS265" s="129"/>
      <c r="AT265" s="129"/>
      <c r="AU265" s="129"/>
      <c r="AV265" s="187"/>
      <c r="AW265" s="187"/>
      <c r="AX265" s="560"/>
      <c r="AY265" s="560"/>
      <c r="AZ265" s="560"/>
      <c r="BA265" s="187"/>
      <c r="BB265" s="187"/>
      <c r="BC265" s="187"/>
      <c r="BD265" s="187"/>
      <c r="BE265" s="187"/>
      <c r="BF265" s="187"/>
      <c r="BG265" s="131">
        <f t="shared" si="73"/>
        <v>4262727592.3899999</v>
      </c>
      <c r="BH265" s="131">
        <f t="shared" si="73"/>
        <v>1070402240</v>
      </c>
      <c r="BI265" s="131">
        <f t="shared" si="73"/>
        <v>1070402240</v>
      </c>
    </row>
    <row r="266" spans="1:68" s="561" customFormat="1" ht="105" x14ac:dyDescent="0.2">
      <c r="A266" s="196"/>
      <c r="B266" s="255"/>
      <c r="C266" s="360"/>
      <c r="D266" s="361"/>
      <c r="E266" s="121"/>
      <c r="F266" s="145" t="s">
        <v>1031</v>
      </c>
      <c r="G266" s="146" t="s">
        <v>1032</v>
      </c>
      <c r="H266" s="587" t="s">
        <v>102</v>
      </c>
      <c r="I266" s="574" t="s">
        <v>1033</v>
      </c>
      <c r="J266" s="146" t="s">
        <v>1034</v>
      </c>
      <c r="K266" s="342" t="s">
        <v>102</v>
      </c>
      <c r="L266" s="343" t="s">
        <v>1035</v>
      </c>
      <c r="M266" s="127" t="s">
        <v>109</v>
      </c>
      <c r="N266" s="124">
        <v>1</v>
      </c>
      <c r="O266" s="464">
        <v>1</v>
      </c>
      <c r="P266" s="588"/>
      <c r="Q266" s="149" t="s">
        <v>357</v>
      </c>
      <c r="R266" s="127" t="s">
        <v>1036</v>
      </c>
      <c r="S266" s="186" t="s">
        <v>1037</v>
      </c>
      <c r="T266" s="129"/>
      <c r="U266" s="129"/>
      <c r="V266" s="129"/>
      <c r="W266" s="129"/>
      <c r="X266" s="129"/>
      <c r="Y266" s="129"/>
      <c r="Z266" s="129"/>
      <c r="AA266" s="129"/>
      <c r="AB266" s="129"/>
      <c r="AC266" s="129"/>
      <c r="AD266" s="129"/>
      <c r="AE266" s="129"/>
      <c r="AF266" s="129"/>
      <c r="AG266" s="129"/>
      <c r="AH266" s="129"/>
      <c r="AI266" s="129"/>
      <c r="AJ266" s="129"/>
      <c r="AK266" s="129"/>
      <c r="AL266" s="129"/>
      <c r="AM266" s="129"/>
      <c r="AN266" s="129"/>
      <c r="AO266" s="129"/>
      <c r="AP266" s="129"/>
      <c r="AQ266" s="129"/>
      <c r="AR266" s="129"/>
      <c r="AS266" s="129"/>
      <c r="AT266" s="129"/>
      <c r="AU266" s="129"/>
      <c r="AV266" s="187"/>
      <c r="AW266" s="187"/>
      <c r="AX266" s="560">
        <v>188546842</v>
      </c>
      <c r="AY266" s="560">
        <v>32053333</v>
      </c>
      <c r="AZ266" s="560">
        <v>32053333</v>
      </c>
      <c r="BA266" s="187"/>
      <c r="BB266" s="187"/>
      <c r="BC266" s="187"/>
      <c r="BD266" s="187"/>
      <c r="BE266" s="187"/>
      <c r="BF266" s="187"/>
      <c r="BG266" s="131">
        <f t="shared" si="73"/>
        <v>188546842</v>
      </c>
      <c r="BH266" s="131">
        <f t="shared" si="73"/>
        <v>32053333</v>
      </c>
      <c r="BI266" s="131">
        <f t="shared" si="73"/>
        <v>32053333</v>
      </c>
    </row>
    <row r="267" spans="1:68" s="267" customFormat="1" ht="15.75" customHeight="1" x14ac:dyDescent="0.2">
      <c r="A267" s="556"/>
      <c r="B267" s="134"/>
      <c r="C267" s="403">
        <v>41</v>
      </c>
      <c r="D267" s="347">
        <v>4501</v>
      </c>
      <c r="E267" s="175" t="s">
        <v>386</v>
      </c>
      <c r="F267" s="138"/>
      <c r="G267" s="176"/>
      <c r="H267" s="176"/>
      <c r="I267" s="177"/>
      <c r="J267" s="178"/>
      <c r="K267" s="178"/>
      <c r="L267" s="177"/>
      <c r="M267" s="589"/>
      <c r="N267" s="590"/>
      <c r="O267" s="139"/>
      <c r="P267" s="139"/>
      <c r="Q267" s="181"/>
      <c r="R267" s="181"/>
      <c r="S267" s="177"/>
      <c r="T267" s="558">
        <f>SUM(T268:T269)</f>
        <v>0</v>
      </c>
      <c r="U267" s="558"/>
      <c r="V267" s="558"/>
      <c r="W267" s="558">
        <f>SUM(W268:W269)</f>
        <v>0</v>
      </c>
      <c r="X267" s="558"/>
      <c r="Y267" s="558"/>
      <c r="Z267" s="558">
        <f>SUM(Z268:Z269)</f>
        <v>0</v>
      </c>
      <c r="AA267" s="558"/>
      <c r="AB267" s="558"/>
      <c r="AC267" s="558">
        <f>SUM(AC268:AC269)</f>
        <v>0</v>
      </c>
      <c r="AD267" s="558"/>
      <c r="AE267" s="558"/>
      <c r="AF267" s="558">
        <f>SUM(AF268:AF269)</f>
        <v>0</v>
      </c>
      <c r="AG267" s="558"/>
      <c r="AH267" s="558"/>
      <c r="AI267" s="558">
        <f>SUM(AI268:AI269)</f>
        <v>0</v>
      </c>
      <c r="AJ267" s="558"/>
      <c r="AK267" s="558"/>
      <c r="AL267" s="558">
        <f>SUM(AL268:AL269)</f>
        <v>0</v>
      </c>
      <c r="AM267" s="558"/>
      <c r="AN267" s="558"/>
      <c r="AO267" s="558">
        <f>SUM(AO268:AO269)</f>
        <v>0</v>
      </c>
      <c r="AP267" s="558"/>
      <c r="AQ267" s="558"/>
      <c r="AR267" s="558">
        <f>SUM(AR268:AR269)</f>
        <v>0</v>
      </c>
      <c r="AS267" s="558"/>
      <c r="AT267" s="558"/>
      <c r="AU267" s="558">
        <f>SUM(AU268:AU269)</f>
        <v>0</v>
      </c>
      <c r="AV267" s="558"/>
      <c r="AW267" s="558"/>
      <c r="AX267" s="558">
        <f>SUM(AX268:AX269)</f>
        <v>80000000</v>
      </c>
      <c r="AY267" s="558">
        <f>SUM(AY268:AY269)</f>
        <v>0</v>
      </c>
      <c r="AZ267" s="558">
        <f>SUM(AZ268:AZ269)</f>
        <v>0</v>
      </c>
      <c r="BA267" s="558">
        <f>SUM(BA268:BA269)</f>
        <v>0</v>
      </c>
      <c r="BB267" s="558"/>
      <c r="BC267" s="558"/>
      <c r="BD267" s="558">
        <f>SUM(BD268:BD269)</f>
        <v>0</v>
      </c>
      <c r="BE267" s="558"/>
      <c r="BF267" s="558"/>
      <c r="BG267" s="559">
        <f>SUM(BG268:BG269)</f>
        <v>80000000</v>
      </c>
      <c r="BH267" s="559">
        <f>SUM(BH268:BH269)</f>
        <v>0</v>
      </c>
      <c r="BI267" s="559">
        <f>SUM(BI268:BI269)</f>
        <v>0</v>
      </c>
      <c r="BJ267" s="278"/>
      <c r="BK267" s="278"/>
      <c r="BL267" s="278"/>
      <c r="BM267" s="278"/>
      <c r="BN267" s="278"/>
      <c r="BO267" s="278"/>
      <c r="BP267" s="278"/>
    </row>
    <row r="268" spans="1:68" s="561" customFormat="1" ht="90" customHeight="1" x14ac:dyDescent="0.2">
      <c r="A268" s="196"/>
      <c r="B268" s="255"/>
      <c r="C268" s="358"/>
      <c r="D268" s="190"/>
      <c r="E268" s="547"/>
      <c r="F268" s="145" t="s">
        <v>1038</v>
      </c>
      <c r="G268" s="287" t="s">
        <v>392</v>
      </c>
      <c r="H268" s="308">
        <v>4501024</v>
      </c>
      <c r="I268" s="186" t="s">
        <v>393</v>
      </c>
      <c r="J268" s="287" t="s">
        <v>1039</v>
      </c>
      <c r="K268" s="287" t="s">
        <v>102</v>
      </c>
      <c r="L268" s="186" t="s">
        <v>1040</v>
      </c>
      <c r="M268" s="290" t="s">
        <v>109</v>
      </c>
      <c r="N268" s="146">
        <v>1</v>
      </c>
      <c r="O268" s="146">
        <v>1</v>
      </c>
      <c r="P268" s="319"/>
      <c r="Q268" s="149" t="s">
        <v>125</v>
      </c>
      <c r="R268" s="370" t="s">
        <v>1041</v>
      </c>
      <c r="S268" s="312" t="s">
        <v>1042</v>
      </c>
      <c r="T268" s="129"/>
      <c r="U268" s="129"/>
      <c r="V268" s="129"/>
      <c r="W268" s="129"/>
      <c r="X268" s="129"/>
      <c r="Y268" s="129"/>
      <c r="Z268" s="129"/>
      <c r="AA268" s="129"/>
      <c r="AB268" s="129"/>
      <c r="AC268" s="129"/>
      <c r="AD268" s="129"/>
      <c r="AE268" s="129"/>
      <c r="AF268" s="129"/>
      <c r="AG268" s="129"/>
      <c r="AH268" s="129"/>
      <c r="AI268" s="129"/>
      <c r="AJ268" s="129"/>
      <c r="AK268" s="129"/>
      <c r="AL268" s="129"/>
      <c r="AM268" s="129"/>
      <c r="AN268" s="129"/>
      <c r="AO268" s="129"/>
      <c r="AP268" s="129"/>
      <c r="AQ268" s="129"/>
      <c r="AR268" s="129"/>
      <c r="AS268" s="129"/>
      <c r="AT268" s="129"/>
      <c r="AU268" s="129"/>
      <c r="AV268" s="187"/>
      <c r="AW268" s="187"/>
      <c r="AX268" s="560">
        <v>40000000</v>
      </c>
      <c r="AY268" s="560"/>
      <c r="AZ268" s="560"/>
      <c r="BA268" s="187"/>
      <c r="BB268" s="187"/>
      <c r="BC268" s="187"/>
      <c r="BD268" s="187"/>
      <c r="BE268" s="187"/>
      <c r="BF268" s="187"/>
      <c r="BG268" s="131">
        <f t="shared" ref="BG268:BI269" si="74">+T268+W268+Z268+AC268+AF268+AI268+AL268+AO268+AR268+AU268+AX268+BA268+BD268</f>
        <v>40000000</v>
      </c>
      <c r="BH268" s="131">
        <f t="shared" si="74"/>
        <v>0</v>
      </c>
      <c r="BI268" s="131">
        <f t="shared" si="74"/>
        <v>0</v>
      </c>
    </row>
    <row r="269" spans="1:68" s="561" customFormat="1" ht="60" x14ac:dyDescent="0.2">
      <c r="A269" s="196"/>
      <c r="B269" s="263"/>
      <c r="C269" s="360"/>
      <c r="D269" s="361"/>
      <c r="E269" s="547"/>
      <c r="F269" s="145" t="s">
        <v>1038</v>
      </c>
      <c r="G269" s="287" t="s">
        <v>392</v>
      </c>
      <c r="H269" s="308">
        <v>4501024</v>
      </c>
      <c r="I269" s="186" t="s">
        <v>393</v>
      </c>
      <c r="J269" s="287" t="s">
        <v>1043</v>
      </c>
      <c r="K269" s="287" t="s">
        <v>102</v>
      </c>
      <c r="L269" s="186" t="s">
        <v>1044</v>
      </c>
      <c r="M269" s="290" t="s">
        <v>109</v>
      </c>
      <c r="N269" s="146">
        <v>1</v>
      </c>
      <c r="O269" s="146">
        <v>1</v>
      </c>
      <c r="P269" s="319"/>
      <c r="Q269" s="149" t="s">
        <v>125</v>
      </c>
      <c r="R269" s="127" t="s">
        <v>1045</v>
      </c>
      <c r="S269" s="145" t="s">
        <v>1046</v>
      </c>
      <c r="T269" s="129"/>
      <c r="U269" s="129"/>
      <c r="V269" s="129"/>
      <c r="W269" s="129"/>
      <c r="X269" s="129"/>
      <c r="Y269" s="129"/>
      <c r="Z269" s="129"/>
      <c r="AA269" s="129"/>
      <c r="AB269" s="129"/>
      <c r="AC269" s="129"/>
      <c r="AD269" s="129"/>
      <c r="AE269" s="129"/>
      <c r="AF269" s="129"/>
      <c r="AG269" s="129"/>
      <c r="AH269" s="129"/>
      <c r="AI269" s="129"/>
      <c r="AJ269" s="129"/>
      <c r="AK269" s="129"/>
      <c r="AL269" s="129"/>
      <c r="AM269" s="129"/>
      <c r="AN269" s="129"/>
      <c r="AO269" s="129"/>
      <c r="AP269" s="129"/>
      <c r="AQ269" s="129"/>
      <c r="AR269" s="129"/>
      <c r="AS269" s="129"/>
      <c r="AT269" s="129"/>
      <c r="AU269" s="129"/>
      <c r="AV269" s="187"/>
      <c r="AW269" s="187"/>
      <c r="AX269" s="560">
        <v>40000000</v>
      </c>
      <c r="AY269" s="560"/>
      <c r="AZ269" s="560"/>
      <c r="BA269" s="187"/>
      <c r="BB269" s="187"/>
      <c r="BC269" s="187"/>
      <c r="BD269" s="187"/>
      <c r="BE269" s="187"/>
      <c r="BF269" s="187"/>
      <c r="BG269" s="131">
        <f t="shared" si="74"/>
        <v>40000000</v>
      </c>
      <c r="BH269" s="131">
        <f t="shared" si="74"/>
        <v>0</v>
      </c>
      <c r="BI269" s="131">
        <f t="shared" si="74"/>
        <v>0</v>
      </c>
    </row>
    <row r="270" spans="1:68" s="267" customFormat="1" ht="15.75" customHeight="1" x14ac:dyDescent="0.2">
      <c r="A270" s="556"/>
      <c r="B270" s="307">
        <v>2</v>
      </c>
      <c r="C270" s="327" t="s">
        <v>2</v>
      </c>
      <c r="D270" s="328"/>
      <c r="E270" s="165"/>
      <c r="F270" s="166"/>
      <c r="G270" s="167"/>
      <c r="H270" s="168"/>
      <c r="I270" s="169"/>
      <c r="J270" s="170"/>
      <c r="K270" s="170"/>
      <c r="L270" s="169"/>
      <c r="M270" s="171"/>
      <c r="N270" s="172"/>
      <c r="O270" s="167"/>
      <c r="P270" s="167"/>
      <c r="Q270" s="165"/>
      <c r="R270" s="165"/>
      <c r="S270" s="166"/>
      <c r="T270" s="103">
        <f>T271+T273</f>
        <v>0</v>
      </c>
      <c r="U270" s="103"/>
      <c r="V270" s="103"/>
      <c r="W270" s="103">
        <f>W271+W273</f>
        <v>0</v>
      </c>
      <c r="X270" s="103"/>
      <c r="Y270" s="103"/>
      <c r="Z270" s="103">
        <f>Z271+Z273</f>
        <v>0</v>
      </c>
      <c r="AA270" s="103"/>
      <c r="AB270" s="103"/>
      <c r="AC270" s="103">
        <f>AC271+AC273</f>
        <v>0</v>
      </c>
      <c r="AD270" s="103"/>
      <c r="AE270" s="103"/>
      <c r="AF270" s="103">
        <f>AF271+AF273</f>
        <v>0</v>
      </c>
      <c r="AG270" s="103"/>
      <c r="AH270" s="103"/>
      <c r="AI270" s="103">
        <f>AI271+AI273</f>
        <v>0</v>
      </c>
      <c r="AJ270" s="103"/>
      <c r="AK270" s="103"/>
      <c r="AL270" s="103">
        <f>AL271+AL273</f>
        <v>0</v>
      </c>
      <c r="AM270" s="103"/>
      <c r="AN270" s="103"/>
      <c r="AO270" s="103">
        <f>AO271+AO273</f>
        <v>0</v>
      </c>
      <c r="AP270" s="103"/>
      <c r="AQ270" s="103"/>
      <c r="AR270" s="103">
        <f>AR271+AR273</f>
        <v>0</v>
      </c>
      <c r="AS270" s="103"/>
      <c r="AT270" s="103"/>
      <c r="AU270" s="103">
        <f>AU271+AU273</f>
        <v>0</v>
      </c>
      <c r="AV270" s="103"/>
      <c r="AW270" s="103"/>
      <c r="AX270" s="103">
        <f>AX271+AX273</f>
        <v>52000000</v>
      </c>
      <c r="AY270" s="103">
        <f>AY271+AY273</f>
        <v>0</v>
      </c>
      <c r="AZ270" s="103">
        <f>AZ271+AZ273</f>
        <v>0</v>
      </c>
      <c r="BA270" s="103">
        <f>BA271+BA273</f>
        <v>0</v>
      </c>
      <c r="BB270" s="103"/>
      <c r="BC270" s="103"/>
      <c r="BD270" s="103">
        <f>BD271+BD273</f>
        <v>0</v>
      </c>
      <c r="BE270" s="103"/>
      <c r="BF270" s="103"/>
      <c r="BG270" s="103">
        <f>BG271+BG273</f>
        <v>52000000</v>
      </c>
      <c r="BH270" s="103">
        <f>BH271+BH273</f>
        <v>0</v>
      </c>
      <c r="BI270" s="103">
        <f>BI271+BI273</f>
        <v>0</v>
      </c>
      <c r="BJ270" s="278"/>
      <c r="BK270" s="278"/>
      <c r="BL270" s="278"/>
      <c r="BM270" s="278"/>
      <c r="BN270" s="278"/>
      <c r="BO270" s="278"/>
      <c r="BP270" s="278"/>
    </row>
    <row r="271" spans="1:68" s="267" customFormat="1" ht="15.75" customHeight="1" x14ac:dyDescent="0.2">
      <c r="A271" s="556"/>
      <c r="B271" s="105"/>
      <c r="C271" s="388">
        <v>4</v>
      </c>
      <c r="D271" s="253">
        <v>1702</v>
      </c>
      <c r="E271" s="175" t="s">
        <v>561</v>
      </c>
      <c r="F271" s="138"/>
      <c r="G271" s="139"/>
      <c r="H271" s="176"/>
      <c r="I271" s="177"/>
      <c r="J271" s="178"/>
      <c r="K271" s="178"/>
      <c r="L271" s="177"/>
      <c r="M271" s="179"/>
      <c r="N271" s="180"/>
      <c r="O271" s="139"/>
      <c r="P271" s="139"/>
      <c r="Q271" s="181"/>
      <c r="R271" s="181"/>
      <c r="S271" s="138"/>
      <c r="T271" s="558">
        <f>+T272</f>
        <v>0</v>
      </c>
      <c r="U271" s="558"/>
      <c r="V271" s="558"/>
      <c r="W271" s="558">
        <f>+W272</f>
        <v>0</v>
      </c>
      <c r="X271" s="558"/>
      <c r="Y271" s="558"/>
      <c r="Z271" s="558">
        <f>+Z272</f>
        <v>0</v>
      </c>
      <c r="AA271" s="558"/>
      <c r="AB271" s="558"/>
      <c r="AC271" s="558">
        <f>+AC272</f>
        <v>0</v>
      </c>
      <c r="AD271" s="558"/>
      <c r="AE271" s="558"/>
      <c r="AF271" s="558">
        <f>+AF272</f>
        <v>0</v>
      </c>
      <c r="AG271" s="558"/>
      <c r="AH271" s="558"/>
      <c r="AI271" s="558">
        <f>+AI272</f>
        <v>0</v>
      </c>
      <c r="AJ271" s="558"/>
      <c r="AK271" s="558"/>
      <c r="AL271" s="558">
        <f>+AL272</f>
        <v>0</v>
      </c>
      <c r="AM271" s="558"/>
      <c r="AN271" s="558"/>
      <c r="AO271" s="558">
        <f>+AO272</f>
        <v>0</v>
      </c>
      <c r="AP271" s="558"/>
      <c r="AQ271" s="558"/>
      <c r="AR271" s="558">
        <f>+AR272</f>
        <v>0</v>
      </c>
      <c r="AS271" s="558"/>
      <c r="AT271" s="558"/>
      <c r="AU271" s="558">
        <f>+AU272</f>
        <v>0</v>
      </c>
      <c r="AV271" s="558"/>
      <c r="AW271" s="558"/>
      <c r="AX271" s="558">
        <f>+AX272</f>
        <v>27000000</v>
      </c>
      <c r="AY271" s="558">
        <f>+AY272</f>
        <v>0</v>
      </c>
      <c r="AZ271" s="558">
        <f>+AZ272</f>
        <v>0</v>
      </c>
      <c r="BA271" s="558">
        <f>+BA272</f>
        <v>0</v>
      </c>
      <c r="BB271" s="558"/>
      <c r="BC271" s="558"/>
      <c r="BD271" s="558">
        <f>+BD272</f>
        <v>0</v>
      </c>
      <c r="BE271" s="558"/>
      <c r="BF271" s="558"/>
      <c r="BG271" s="559">
        <f>+BG272</f>
        <v>27000000</v>
      </c>
      <c r="BH271" s="559">
        <f>+BH272</f>
        <v>0</v>
      </c>
      <c r="BI271" s="559">
        <f>+BI272</f>
        <v>0</v>
      </c>
      <c r="BJ271" s="278"/>
      <c r="BK271" s="278"/>
      <c r="BL271" s="278"/>
      <c r="BM271" s="278"/>
      <c r="BN271" s="278"/>
      <c r="BO271" s="278"/>
      <c r="BP271" s="278"/>
    </row>
    <row r="272" spans="1:68" s="561" customFormat="1" ht="90" customHeight="1" x14ac:dyDescent="0.2">
      <c r="A272" s="196"/>
      <c r="B272" s="255"/>
      <c r="C272" s="365"/>
      <c r="D272" s="184"/>
      <c r="E272" s="547"/>
      <c r="F272" s="122" t="s">
        <v>1047</v>
      </c>
      <c r="G272" s="518" t="s">
        <v>562</v>
      </c>
      <c r="H272" s="591">
        <v>1702011</v>
      </c>
      <c r="I272" s="125" t="s">
        <v>1048</v>
      </c>
      <c r="J272" s="518" t="s">
        <v>1049</v>
      </c>
      <c r="K272" s="592" t="s">
        <v>1050</v>
      </c>
      <c r="L272" s="343" t="s">
        <v>1051</v>
      </c>
      <c r="M272" s="349" t="s">
        <v>204</v>
      </c>
      <c r="N272" s="124">
        <v>24</v>
      </c>
      <c r="O272" s="464">
        <v>2</v>
      </c>
      <c r="P272" s="588"/>
      <c r="Q272" s="149" t="s">
        <v>125</v>
      </c>
      <c r="R272" s="370" t="s">
        <v>1041</v>
      </c>
      <c r="S272" s="312" t="s">
        <v>1042</v>
      </c>
      <c r="T272" s="129"/>
      <c r="U272" s="129"/>
      <c r="V272" s="129"/>
      <c r="W272" s="129"/>
      <c r="X272" s="129"/>
      <c r="Y272" s="129"/>
      <c r="Z272" s="129"/>
      <c r="AA272" s="129"/>
      <c r="AB272" s="129"/>
      <c r="AC272" s="129"/>
      <c r="AD272" s="129"/>
      <c r="AE272" s="129"/>
      <c r="AF272" s="129"/>
      <c r="AG272" s="129"/>
      <c r="AH272" s="129"/>
      <c r="AI272" s="129"/>
      <c r="AJ272" s="129"/>
      <c r="AK272" s="129"/>
      <c r="AL272" s="129"/>
      <c r="AM272" s="129"/>
      <c r="AN272" s="129"/>
      <c r="AO272" s="129"/>
      <c r="AP272" s="129"/>
      <c r="AQ272" s="129"/>
      <c r="AR272" s="129"/>
      <c r="AS272" s="129"/>
      <c r="AT272" s="129"/>
      <c r="AU272" s="129"/>
      <c r="AV272" s="187"/>
      <c r="AW272" s="187"/>
      <c r="AX272" s="560">
        <v>27000000</v>
      </c>
      <c r="AY272" s="560"/>
      <c r="AZ272" s="560"/>
      <c r="BA272" s="187"/>
      <c r="BB272" s="187"/>
      <c r="BC272" s="187"/>
      <c r="BD272" s="187"/>
      <c r="BE272" s="187"/>
      <c r="BF272" s="187"/>
      <c r="BG272" s="131">
        <f>+T272+W272+Z272+AC272+AF272+AI272+AL272+AO272+AR272+AU272+AX272+BA272+BD272</f>
        <v>27000000</v>
      </c>
      <c r="BH272" s="131">
        <f>+U272+X272+AA272+AD272+AG272+AJ272+AM272+AP272+AS272+AV272+AY272+BB272+BE272</f>
        <v>0</v>
      </c>
      <c r="BI272" s="131">
        <f>+V272+Y272+AB272+AE272+AH272+AK272+AN272+AQ272+AT272+AW272+AZ272+BC272+BF272</f>
        <v>0</v>
      </c>
    </row>
    <row r="273" spans="1:68" s="267" customFormat="1" ht="15.75" x14ac:dyDescent="0.2">
      <c r="A273" s="556"/>
      <c r="B273" s="134"/>
      <c r="C273" s="403">
        <v>29</v>
      </c>
      <c r="D273" s="347">
        <v>3604</v>
      </c>
      <c r="E273" s="175" t="s">
        <v>1052</v>
      </c>
      <c r="F273" s="138"/>
      <c r="G273" s="139"/>
      <c r="H273" s="176"/>
      <c r="I273" s="177"/>
      <c r="J273" s="178"/>
      <c r="K273" s="178"/>
      <c r="L273" s="177"/>
      <c r="M273" s="179"/>
      <c r="N273" s="180"/>
      <c r="O273" s="139"/>
      <c r="P273" s="139"/>
      <c r="Q273" s="181"/>
      <c r="R273" s="181"/>
      <c r="S273" s="138"/>
      <c r="T273" s="558">
        <f>+T274</f>
        <v>0</v>
      </c>
      <c r="U273" s="558"/>
      <c r="V273" s="558"/>
      <c r="W273" s="558">
        <f>+W274</f>
        <v>0</v>
      </c>
      <c r="X273" s="558"/>
      <c r="Y273" s="558"/>
      <c r="Z273" s="558">
        <f>+Z274</f>
        <v>0</v>
      </c>
      <c r="AA273" s="558"/>
      <c r="AB273" s="558"/>
      <c r="AC273" s="558">
        <f>+AC274</f>
        <v>0</v>
      </c>
      <c r="AD273" s="558"/>
      <c r="AE273" s="558"/>
      <c r="AF273" s="558">
        <f>+AF274</f>
        <v>0</v>
      </c>
      <c r="AG273" s="558"/>
      <c r="AH273" s="558"/>
      <c r="AI273" s="558">
        <f>+AI274</f>
        <v>0</v>
      </c>
      <c r="AJ273" s="558"/>
      <c r="AK273" s="558"/>
      <c r="AL273" s="558">
        <f>+AL274</f>
        <v>0</v>
      </c>
      <c r="AM273" s="558"/>
      <c r="AN273" s="558"/>
      <c r="AO273" s="558">
        <f>+AO274</f>
        <v>0</v>
      </c>
      <c r="AP273" s="558"/>
      <c r="AQ273" s="558"/>
      <c r="AR273" s="558">
        <f>+AR274</f>
        <v>0</v>
      </c>
      <c r="AS273" s="558"/>
      <c r="AT273" s="558"/>
      <c r="AU273" s="558">
        <f>+AU274</f>
        <v>0</v>
      </c>
      <c r="AV273" s="558"/>
      <c r="AW273" s="558"/>
      <c r="AX273" s="558">
        <f>+AX274</f>
        <v>25000000</v>
      </c>
      <c r="AY273" s="558">
        <f>+AY274</f>
        <v>0</v>
      </c>
      <c r="AZ273" s="558">
        <f>+AZ274</f>
        <v>0</v>
      </c>
      <c r="BA273" s="558">
        <f>+BA274</f>
        <v>0</v>
      </c>
      <c r="BB273" s="558"/>
      <c r="BC273" s="558"/>
      <c r="BD273" s="558">
        <f>+BD274</f>
        <v>0</v>
      </c>
      <c r="BE273" s="558"/>
      <c r="BF273" s="558"/>
      <c r="BG273" s="559">
        <f>+BG274</f>
        <v>25000000</v>
      </c>
      <c r="BH273" s="559">
        <f>+BH274</f>
        <v>0</v>
      </c>
      <c r="BI273" s="559">
        <f>+BI274</f>
        <v>0</v>
      </c>
      <c r="BJ273" s="278"/>
      <c r="BK273" s="278"/>
      <c r="BL273" s="278"/>
      <c r="BM273" s="278"/>
      <c r="BN273" s="278"/>
      <c r="BO273" s="278"/>
      <c r="BP273" s="278"/>
    </row>
    <row r="274" spans="1:68" s="561" customFormat="1" ht="75.75" customHeight="1" x14ac:dyDescent="0.2">
      <c r="A274" s="196"/>
      <c r="B274" s="263"/>
      <c r="C274" s="365"/>
      <c r="D274" s="184"/>
      <c r="E274" s="547"/>
      <c r="F274" s="122" t="s">
        <v>1053</v>
      </c>
      <c r="G274" s="146" t="s">
        <v>1054</v>
      </c>
      <c r="H274" s="123">
        <v>3604006</v>
      </c>
      <c r="I274" s="125" t="s">
        <v>1055</v>
      </c>
      <c r="J274" s="146" t="s">
        <v>1056</v>
      </c>
      <c r="K274" s="291" t="s">
        <v>1057</v>
      </c>
      <c r="L274" s="147" t="s">
        <v>415</v>
      </c>
      <c r="M274" s="487" t="s">
        <v>204</v>
      </c>
      <c r="N274" s="487">
        <v>800</v>
      </c>
      <c r="O274" s="487">
        <v>50</v>
      </c>
      <c r="P274" s="593"/>
      <c r="Q274" s="149" t="s">
        <v>357</v>
      </c>
      <c r="R274" s="202" t="s">
        <v>931</v>
      </c>
      <c r="S274" s="594" t="s">
        <v>1058</v>
      </c>
      <c r="T274" s="129"/>
      <c r="U274" s="129"/>
      <c r="V274" s="129"/>
      <c r="W274" s="129"/>
      <c r="X274" s="129"/>
      <c r="Y274" s="129"/>
      <c r="Z274" s="129"/>
      <c r="AA274" s="129"/>
      <c r="AB274" s="129"/>
      <c r="AC274" s="129"/>
      <c r="AD274" s="129"/>
      <c r="AE274" s="129"/>
      <c r="AF274" s="129"/>
      <c r="AG274" s="129"/>
      <c r="AH274" s="129"/>
      <c r="AI274" s="129"/>
      <c r="AJ274" s="129"/>
      <c r="AK274" s="129"/>
      <c r="AL274" s="129"/>
      <c r="AM274" s="129"/>
      <c r="AN274" s="129"/>
      <c r="AO274" s="129"/>
      <c r="AP274" s="129"/>
      <c r="AQ274" s="129"/>
      <c r="AR274" s="129"/>
      <c r="AS274" s="129"/>
      <c r="AT274" s="129"/>
      <c r="AU274" s="129"/>
      <c r="AV274" s="187"/>
      <c r="AW274" s="187"/>
      <c r="AX274" s="560">
        <v>25000000</v>
      </c>
      <c r="AY274" s="560"/>
      <c r="AZ274" s="560"/>
      <c r="BA274" s="187"/>
      <c r="BB274" s="187"/>
      <c r="BC274" s="187"/>
      <c r="BD274" s="187"/>
      <c r="BE274" s="187"/>
      <c r="BF274" s="187"/>
      <c r="BG274" s="131">
        <f>+T274+W274+Z274+AC274+AF274+AI274+AL274+AO274+AR274+AU274+AX274+BA274+BD274</f>
        <v>25000000</v>
      </c>
      <c r="BH274" s="131">
        <f>+U274+X274+AA274+AD274+AG274+AJ274+AM274+AP274+AS274+AV274+AY274+BB274+BE274</f>
        <v>0</v>
      </c>
      <c r="BI274" s="131">
        <f>+V274+Y274+AB274+AE274+AH274+AK274+AN274+AQ274+AT274+AW274+AZ274+BC274+BF274</f>
        <v>0</v>
      </c>
    </row>
    <row r="275" spans="1:68" s="267" customFormat="1" ht="15.75" x14ac:dyDescent="0.2">
      <c r="A275" s="556"/>
      <c r="B275" s="373">
        <v>4</v>
      </c>
      <c r="C275" s="327" t="s">
        <v>128</v>
      </c>
      <c r="D275" s="328"/>
      <c r="E275" s="165"/>
      <c r="F275" s="166"/>
      <c r="G275" s="167"/>
      <c r="H275" s="168"/>
      <c r="I275" s="169"/>
      <c r="J275" s="170"/>
      <c r="K275" s="170"/>
      <c r="L275" s="169"/>
      <c r="M275" s="171"/>
      <c r="N275" s="172"/>
      <c r="O275" s="167"/>
      <c r="P275" s="167"/>
      <c r="Q275" s="165"/>
      <c r="R275" s="165"/>
      <c r="S275" s="166"/>
      <c r="T275" s="595">
        <f>T276</f>
        <v>0</v>
      </c>
      <c r="U275" s="595"/>
      <c r="V275" s="595"/>
      <c r="W275" s="595">
        <f>W276</f>
        <v>0</v>
      </c>
      <c r="X275" s="595"/>
      <c r="Y275" s="595"/>
      <c r="Z275" s="595">
        <f>Z276</f>
        <v>0</v>
      </c>
      <c r="AA275" s="595"/>
      <c r="AB275" s="595"/>
      <c r="AC275" s="595">
        <f>AC276</f>
        <v>0</v>
      </c>
      <c r="AD275" s="595"/>
      <c r="AE275" s="595"/>
      <c r="AF275" s="595">
        <f>AF276</f>
        <v>0</v>
      </c>
      <c r="AG275" s="595"/>
      <c r="AH275" s="595"/>
      <c r="AI275" s="595">
        <f>AI276</f>
        <v>0</v>
      </c>
      <c r="AJ275" s="595"/>
      <c r="AK275" s="595"/>
      <c r="AL275" s="595">
        <f>AL276</f>
        <v>0</v>
      </c>
      <c r="AM275" s="595"/>
      <c r="AN275" s="595"/>
      <c r="AO275" s="595">
        <f>AO276</f>
        <v>0</v>
      </c>
      <c r="AP275" s="595"/>
      <c r="AQ275" s="595"/>
      <c r="AR275" s="595">
        <f>AR276</f>
        <v>0</v>
      </c>
      <c r="AS275" s="595"/>
      <c r="AT275" s="595"/>
      <c r="AU275" s="595">
        <f>AU276</f>
        <v>0</v>
      </c>
      <c r="AV275" s="595"/>
      <c r="AW275" s="595"/>
      <c r="AX275" s="595">
        <f>AX276</f>
        <v>15000000</v>
      </c>
      <c r="AY275" s="595">
        <f>AY276</f>
        <v>0</v>
      </c>
      <c r="AZ275" s="595">
        <f>AZ276</f>
        <v>0</v>
      </c>
      <c r="BA275" s="595">
        <f>BA276</f>
        <v>0</v>
      </c>
      <c r="BB275" s="595"/>
      <c r="BC275" s="595"/>
      <c r="BD275" s="595">
        <f>BD276</f>
        <v>0</v>
      </c>
      <c r="BE275" s="595"/>
      <c r="BF275" s="595"/>
      <c r="BG275" s="596">
        <f>BG276</f>
        <v>15000000</v>
      </c>
      <c r="BH275" s="596">
        <f>BH276</f>
        <v>0</v>
      </c>
      <c r="BI275" s="596">
        <f>BI276</f>
        <v>0</v>
      </c>
      <c r="BJ275" s="278"/>
      <c r="BK275" s="278"/>
      <c r="BL275" s="278"/>
      <c r="BM275" s="278"/>
      <c r="BN275" s="278"/>
      <c r="BO275" s="278"/>
      <c r="BP275" s="278"/>
    </row>
    <row r="276" spans="1:68" s="267" customFormat="1" ht="15.75" x14ac:dyDescent="0.2">
      <c r="A276" s="556"/>
      <c r="B276" s="105"/>
      <c r="C276" s="388">
        <v>42</v>
      </c>
      <c r="D276" s="253">
        <v>4502</v>
      </c>
      <c r="E276" s="175" t="s">
        <v>119</v>
      </c>
      <c r="F276" s="138"/>
      <c r="G276" s="139"/>
      <c r="H276" s="176"/>
      <c r="I276" s="177"/>
      <c r="J276" s="178"/>
      <c r="K276" s="178"/>
      <c r="L276" s="177"/>
      <c r="M276" s="179"/>
      <c r="N276" s="180"/>
      <c r="O276" s="139"/>
      <c r="P276" s="139"/>
      <c r="Q276" s="181"/>
      <c r="R276" s="181"/>
      <c r="S276" s="138"/>
      <c r="T276" s="558">
        <f>+T277</f>
        <v>0</v>
      </c>
      <c r="U276" s="558"/>
      <c r="V276" s="558"/>
      <c r="W276" s="558">
        <f>+W277</f>
        <v>0</v>
      </c>
      <c r="X276" s="558"/>
      <c r="Y276" s="558"/>
      <c r="Z276" s="558">
        <f>+Z277</f>
        <v>0</v>
      </c>
      <c r="AA276" s="558"/>
      <c r="AB276" s="558"/>
      <c r="AC276" s="558">
        <f>+AC277</f>
        <v>0</v>
      </c>
      <c r="AD276" s="558"/>
      <c r="AE276" s="558"/>
      <c r="AF276" s="558">
        <f>+AF277</f>
        <v>0</v>
      </c>
      <c r="AG276" s="558"/>
      <c r="AH276" s="558"/>
      <c r="AI276" s="558">
        <f>+AI277</f>
        <v>0</v>
      </c>
      <c r="AJ276" s="558"/>
      <c r="AK276" s="558"/>
      <c r="AL276" s="558">
        <f>+AL277</f>
        <v>0</v>
      </c>
      <c r="AM276" s="558"/>
      <c r="AN276" s="558"/>
      <c r="AO276" s="558">
        <f>+AO277</f>
        <v>0</v>
      </c>
      <c r="AP276" s="558"/>
      <c r="AQ276" s="558"/>
      <c r="AR276" s="558">
        <f>+AR277</f>
        <v>0</v>
      </c>
      <c r="AS276" s="558"/>
      <c r="AT276" s="558"/>
      <c r="AU276" s="558">
        <f>+AU277</f>
        <v>0</v>
      </c>
      <c r="AV276" s="558"/>
      <c r="AW276" s="558"/>
      <c r="AX276" s="558">
        <f>+AX277</f>
        <v>15000000</v>
      </c>
      <c r="AY276" s="558">
        <f>+AY277</f>
        <v>0</v>
      </c>
      <c r="AZ276" s="558">
        <f>+AZ277</f>
        <v>0</v>
      </c>
      <c r="BA276" s="558">
        <f>+BA277</f>
        <v>0</v>
      </c>
      <c r="BB276" s="558"/>
      <c r="BC276" s="558"/>
      <c r="BD276" s="558">
        <f>+BD277</f>
        <v>0</v>
      </c>
      <c r="BE276" s="558"/>
      <c r="BF276" s="558"/>
      <c r="BG276" s="559">
        <f>+BG277</f>
        <v>15000000</v>
      </c>
      <c r="BH276" s="559">
        <f>+BH277</f>
        <v>0</v>
      </c>
      <c r="BI276" s="559">
        <f>+BI277</f>
        <v>0</v>
      </c>
      <c r="BJ276" s="278"/>
      <c r="BK276" s="278"/>
      <c r="BL276" s="278"/>
      <c r="BM276" s="278"/>
      <c r="BN276" s="278"/>
      <c r="BO276" s="278"/>
      <c r="BP276" s="278"/>
    </row>
    <row r="277" spans="1:68" s="561" customFormat="1" ht="111" customHeight="1" x14ac:dyDescent="0.2">
      <c r="A277" s="597"/>
      <c r="B277" s="263"/>
      <c r="C277" s="365"/>
      <c r="D277" s="184"/>
      <c r="E277" s="547"/>
      <c r="F277" s="145" t="s">
        <v>1059</v>
      </c>
      <c r="G277" s="216" t="s">
        <v>426</v>
      </c>
      <c r="H277" s="308">
        <v>4502001</v>
      </c>
      <c r="I277" s="125" t="s">
        <v>427</v>
      </c>
      <c r="J277" s="216" t="s">
        <v>1060</v>
      </c>
      <c r="K277" s="598" t="s">
        <v>102</v>
      </c>
      <c r="L277" s="320" t="s">
        <v>1061</v>
      </c>
      <c r="M277" s="146" t="s">
        <v>204</v>
      </c>
      <c r="N277" s="599">
        <v>4</v>
      </c>
      <c r="O277" s="146">
        <v>1</v>
      </c>
      <c r="P277" s="319"/>
      <c r="Q277" s="149" t="s">
        <v>125</v>
      </c>
      <c r="R277" s="370" t="s">
        <v>1041</v>
      </c>
      <c r="S277" s="145" t="s">
        <v>1042</v>
      </c>
      <c r="T277" s="129"/>
      <c r="U277" s="129"/>
      <c r="V277" s="129"/>
      <c r="W277" s="129"/>
      <c r="X277" s="129"/>
      <c r="Y277" s="129"/>
      <c r="Z277" s="129"/>
      <c r="AA277" s="129"/>
      <c r="AB277" s="129"/>
      <c r="AC277" s="129"/>
      <c r="AD277" s="129"/>
      <c r="AE277" s="129"/>
      <c r="AF277" s="129"/>
      <c r="AG277" s="129"/>
      <c r="AH277" s="129"/>
      <c r="AI277" s="129"/>
      <c r="AJ277" s="129"/>
      <c r="AK277" s="129"/>
      <c r="AL277" s="129"/>
      <c r="AM277" s="129"/>
      <c r="AN277" s="129"/>
      <c r="AO277" s="129"/>
      <c r="AP277" s="129"/>
      <c r="AQ277" s="129"/>
      <c r="AR277" s="129"/>
      <c r="AS277" s="129"/>
      <c r="AT277" s="129"/>
      <c r="AU277" s="129"/>
      <c r="AV277" s="187"/>
      <c r="AW277" s="187"/>
      <c r="AX277" s="560">
        <v>15000000</v>
      </c>
      <c r="AY277" s="560"/>
      <c r="AZ277" s="560"/>
      <c r="BA277" s="187"/>
      <c r="BB277" s="187"/>
      <c r="BC277" s="187"/>
      <c r="BD277" s="187"/>
      <c r="BE277" s="187"/>
      <c r="BF277" s="187"/>
      <c r="BG277" s="131">
        <f>+T277+W277+Z277+AC277+AF277+AI277+AL277+AO277+AR277+AU277+AX277+BA277+BD277</f>
        <v>15000000</v>
      </c>
      <c r="BH277" s="131">
        <f>+U277+X277+AA277+AD277+AG277+AJ277+AM277+AP277+AS277+AV277+AY277+BB277+BE277</f>
        <v>0</v>
      </c>
      <c r="BI277" s="131">
        <f>+V277+Y277+AB277+AE277+AH277+AK277+AN277+AQ277+AT277+AW277+AZ277+BC277+BF277</f>
        <v>0</v>
      </c>
    </row>
    <row r="278" spans="1:68" ht="30" customHeight="1" x14ac:dyDescent="0.2">
      <c r="BG278" s="441"/>
      <c r="BH278" s="441"/>
      <c r="BI278" s="441"/>
    </row>
    <row r="279" spans="1:68" s="414" customFormat="1" ht="15.75" x14ac:dyDescent="0.2">
      <c r="A279" s="76" t="s">
        <v>1062</v>
      </c>
      <c r="B279" s="77"/>
      <c r="C279" s="78"/>
      <c r="D279" s="79"/>
      <c r="E279" s="80"/>
      <c r="F279" s="81"/>
      <c r="G279" s="82"/>
      <c r="H279" s="83"/>
      <c r="I279" s="84"/>
      <c r="J279" s="85"/>
      <c r="K279" s="85"/>
      <c r="L279" s="84"/>
      <c r="M279" s="160"/>
      <c r="N279" s="83"/>
      <c r="O279" s="82"/>
      <c r="P279" s="82"/>
      <c r="Q279" s="80"/>
      <c r="R279" s="80"/>
      <c r="S279" s="84"/>
      <c r="T279" s="336">
        <f t="shared" ref="T279:BI279" si="75">+T280</f>
        <v>0</v>
      </c>
      <c r="U279" s="336">
        <f t="shared" si="75"/>
        <v>0</v>
      </c>
      <c r="V279" s="336">
        <f t="shared" si="75"/>
        <v>0</v>
      </c>
      <c r="W279" s="336">
        <f t="shared" si="75"/>
        <v>0</v>
      </c>
      <c r="X279" s="336">
        <f t="shared" si="75"/>
        <v>0</v>
      </c>
      <c r="Y279" s="336">
        <f t="shared" si="75"/>
        <v>0</v>
      </c>
      <c r="Z279" s="336">
        <f t="shared" si="75"/>
        <v>0</v>
      </c>
      <c r="AA279" s="336">
        <f t="shared" si="75"/>
        <v>0</v>
      </c>
      <c r="AB279" s="336">
        <f t="shared" si="75"/>
        <v>0</v>
      </c>
      <c r="AC279" s="336">
        <f t="shared" si="75"/>
        <v>0</v>
      </c>
      <c r="AD279" s="336">
        <f t="shared" si="75"/>
        <v>0</v>
      </c>
      <c r="AE279" s="336">
        <f t="shared" si="75"/>
        <v>0</v>
      </c>
      <c r="AF279" s="336">
        <f t="shared" si="75"/>
        <v>6854735768.5</v>
      </c>
      <c r="AG279" s="336">
        <f t="shared" si="75"/>
        <v>806885671</v>
      </c>
      <c r="AH279" s="336">
        <f t="shared" si="75"/>
        <v>350706072</v>
      </c>
      <c r="AI279" s="336">
        <f t="shared" si="75"/>
        <v>27403553738.380001</v>
      </c>
      <c r="AJ279" s="336">
        <f t="shared" si="75"/>
        <v>19991224041</v>
      </c>
      <c r="AK279" s="336">
        <f t="shared" si="75"/>
        <v>86042562</v>
      </c>
      <c r="AL279" s="336">
        <f t="shared" si="75"/>
        <v>0</v>
      </c>
      <c r="AM279" s="336">
        <f t="shared" si="75"/>
        <v>0</v>
      </c>
      <c r="AN279" s="336">
        <f t="shared" si="75"/>
        <v>0</v>
      </c>
      <c r="AO279" s="336">
        <f t="shared" si="75"/>
        <v>0</v>
      </c>
      <c r="AP279" s="336">
        <f t="shared" si="75"/>
        <v>0</v>
      </c>
      <c r="AQ279" s="336">
        <f t="shared" si="75"/>
        <v>0</v>
      </c>
      <c r="AR279" s="336">
        <f t="shared" si="75"/>
        <v>0</v>
      </c>
      <c r="AS279" s="336">
        <f t="shared" si="75"/>
        <v>0</v>
      </c>
      <c r="AT279" s="336">
        <f t="shared" si="75"/>
        <v>0</v>
      </c>
      <c r="AU279" s="336">
        <f t="shared" si="75"/>
        <v>0</v>
      </c>
      <c r="AV279" s="336">
        <f t="shared" si="75"/>
        <v>0</v>
      </c>
      <c r="AW279" s="336">
        <f t="shared" si="75"/>
        <v>0</v>
      </c>
      <c r="AX279" s="336">
        <f t="shared" si="75"/>
        <v>3683050740</v>
      </c>
      <c r="AY279" s="336">
        <f t="shared" si="75"/>
        <v>1284938931</v>
      </c>
      <c r="AZ279" s="336">
        <f t="shared" si="75"/>
        <v>744968354</v>
      </c>
      <c r="BA279" s="336">
        <f t="shared" si="75"/>
        <v>0</v>
      </c>
      <c r="BB279" s="336">
        <f t="shared" si="75"/>
        <v>0</v>
      </c>
      <c r="BC279" s="336">
        <f t="shared" si="75"/>
        <v>0</v>
      </c>
      <c r="BD279" s="336">
        <f t="shared" si="75"/>
        <v>2605598673.3000002</v>
      </c>
      <c r="BE279" s="336">
        <f t="shared" si="75"/>
        <v>59118933</v>
      </c>
      <c r="BF279" s="336">
        <f t="shared" si="75"/>
        <v>59118933</v>
      </c>
      <c r="BG279" s="336">
        <f t="shared" si="75"/>
        <v>40546938920.18</v>
      </c>
      <c r="BH279" s="336">
        <f t="shared" si="75"/>
        <v>22142167576</v>
      </c>
      <c r="BI279" s="336">
        <f t="shared" si="75"/>
        <v>1240835921</v>
      </c>
      <c r="BJ279" s="415"/>
      <c r="BK279" s="415"/>
      <c r="BL279" s="415"/>
      <c r="BM279" s="415"/>
      <c r="BN279" s="415"/>
      <c r="BO279" s="415"/>
      <c r="BP279" s="415"/>
    </row>
    <row r="280" spans="1:68" s="414" customFormat="1" ht="15.75" x14ac:dyDescent="0.2">
      <c r="A280" s="600"/>
      <c r="B280" s="162">
        <v>1</v>
      </c>
      <c r="C280" s="163" t="s">
        <v>1063</v>
      </c>
      <c r="D280" s="164"/>
      <c r="E280" s="165"/>
      <c r="F280" s="166"/>
      <c r="G280" s="167"/>
      <c r="H280" s="168"/>
      <c r="I280" s="169"/>
      <c r="J280" s="170"/>
      <c r="K280" s="170"/>
      <c r="L280" s="169"/>
      <c r="M280" s="171"/>
      <c r="N280" s="172"/>
      <c r="O280" s="167"/>
      <c r="P280" s="167"/>
      <c r="Q280" s="165"/>
      <c r="R280" s="165"/>
      <c r="S280" s="169"/>
      <c r="T280" s="338">
        <f t="shared" ref="T280:BI280" si="76">+T281+T307+T338</f>
        <v>0</v>
      </c>
      <c r="U280" s="338">
        <f t="shared" si="76"/>
        <v>0</v>
      </c>
      <c r="V280" s="338">
        <f t="shared" si="76"/>
        <v>0</v>
      </c>
      <c r="W280" s="338">
        <f t="shared" si="76"/>
        <v>0</v>
      </c>
      <c r="X280" s="338">
        <f t="shared" si="76"/>
        <v>0</v>
      </c>
      <c r="Y280" s="338">
        <f t="shared" si="76"/>
        <v>0</v>
      </c>
      <c r="Z280" s="338">
        <f t="shared" si="76"/>
        <v>0</v>
      </c>
      <c r="AA280" s="338">
        <f t="shared" si="76"/>
        <v>0</v>
      </c>
      <c r="AB280" s="338">
        <f t="shared" si="76"/>
        <v>0</v>
      </c>
      <c r="AC280" s="338">
        <f t="shared" si="76"/>
        <v>0</v>
      </c>
      <c r="AD280" s="338">
        <f t="shared" si="76"/>
        <v>0</v>
      </c>
      <c r="AE280" s="338">
        <f t="shared" si="76"/>
        <v>0</v>
      </c>
      <c r="AF280" s="338">
        <f t="shared" si="76"/>
        <v>6854735768.5</v>
      </c>
      <c r="AG280" s="338">
        <f t="shared" si="76"/>
        <v>806885671</v>
      </c>
      <c r="AH280" s="338">
        <f t="shared" si="76"/>
        <v>350706072</v>
      </c>
      <c r="AI280" s="338">
        <f t="shared" si="76"/>
        <v>27403553738.380001</v>
      </c>
      <c r="AJ280" s="338">
        <f t="shared" si="76"/>
        <v>19991224041</v>
      </c>
      <c r="AK280" s="338">
        <f t="shared" si="76"/>
        <v>86042562</v>
      </c>
      <c r="AL280" s="338">
        <f t="shared" si="76"/>
        <v>0</v>
      </c>
      <c r="AM280" s="338">
        <f t="shared" si="76"/>
        <v>0</v>
      </c>
      <c r="AN280" s="338">
        <f t="shared" si="76"/>
        <v>0</v>
      </c>
      <c r="AO280" s="338">
        <f t="shared" si="76"/>
        <v>0</v>
      </c>
      <c r="AP280" s="338">
        <f t="shared" si="76"/>
        <v>0</v>
      </c>
      <c r="AQ280" s="338">
        <f t="shared" si="76"/>
        <v>0</v>
      </c>
      <c r="AR280" s="338">
        <f t="shared" si="76"/>
        <v>0</v>
      </c>
      <c r="AS280" s="338">
        <f t="shared" si="76"/>
        <v>0</v>
      </c>
      <c r="AT280" s="338">
        <f t="shared" si="76"/>
        <v>0</v>
      </c>
      <c r="AU280" s="338">
        <f t="shared" si="76"/>
        <v>0</v>
      </c>
      <c r="AV280" s="338">
        <f t="shared" si="76"/>
        <v>0</v>
      </c>
      <c r="AW280" s="338">
        <f t="shared" si="76"/>
        <v>0</v>
      </c>
      <c r="AX280" s="338">
        <f t="shared" si="76"/>
        <v>3683050740</v>
      </c>
      <c r="AY280" s="338">
        <f t="shared" si="76"/>
        <v>1284938931</v>
      </c>
      <c r="AZ280" s="338">
        <f t="shared" si="76"/>
        <v>744968354</v>
      </c>
      <c r="BA280" s="338">
        <f t="shared" si="76"/>
        <v>0</v>
      </c>
      <c r="BB280" s="338">
        <f t="shared" si="76"/>
        <v>0</v>
      </c>
      <c r="BC280" s="338">
        <f t="shared" si="76"/>
        <v>0</v>
      </c>
      <c r="BD280" s="338">
        <f t="shared" si="76"/>
        <v>2605598673.3000002</v>
      </c>
      <c r="BE280" s="338">
        <f t="shared" si="76"/>
        <v>59118933</v>
      </c>
      <c r="BF280" s="338">
        <f t="shared" si="76"/>
        <v>59118933</v>
      </c>
      <c r="BG280" s="338">
        <f t="shared" si="76"/>
        <v>40546938920.18</v>
      </c>
      <c r="BH280" s="338">
        <f t="shared" si="76"/>
        <v>22142167576</v>
      </c>
      <c r="BI280" s="338">
        <f t="shared" si="76"/>
        <v>1240835921</v>
      </c>
      <c r="BJ280" s="415"/>
      <c r="BK280" s="415"/>
      <c r="BL280" s="415"/>
      <c r="BM280" s="415"/>
      <c r="BN280" s="415"/>
      <c r="BO280" s="415"/>
      <c r="BP280" s="415"/>
    </row>
    <row r="281" spans="1:68" s="414" customFormat="1" ht="15.75" x14ac:dyDescent="0.2">
      <c r="A281" s="600"/>
      <c r="B281" s="105"/>
      <c r="C281" s="388">
        <v>11</v>
      </c>
      <c r="D281" s="253">
        <v>1903</v>
      </c>
      <c r="E281" s="175" t="s">
        <v>1064</v>
      </c>
      <c r="F281" s="138"/>
      <c r="G281" s="139"/>
      <c r="H281" s="176"/>
      <c r="I281" s="177"/>
      <c r="J281" s="178"/>
      <c r="K281" s="178"/>
      <c r="L281" s="177"/>
      <c r="M281" s="179"/>
      <c r="N281" s="180"/>
      <c r="O281" s="139"/>
      <c r="P281" s="139"/>
      <c r="Q281" s="181"/>
      <c r="R281" s="181"/>
      <c r="S281" s="177"/>
      <c r="T281" s="357">
        <f t="shared" ref="T281:BI281" si="77">SUM(T282:T306)</f>
        <v>0</v>
      </c>
      <c r="U281" s="357">
        <f t="shared" si="77"/>
        <v>0</v>
      </c>
      <c r="V281" s="357">
        <f t="shared" si="77"/>
        <v>0</v>
      </c>
      <c r="W281" s="357">
        <f t="shared" si="77"/>
        <v>0</v>
      </c>
      <c r="X281" s="357">
        <f t="shared" si="77"/>
        <v>0</v>
      </c>
      <c r="Y281" s="357">
        <f t="shared" si="77"/>
        <v>0</v>
      </c>
      <c r="Z281" s="357">
        <f t="shared" si="77"/>
        <v>0</v>
      </c>
      <c r="AA281" s="357">
        <f t="shared" si="77"/>
        <v>0</v>
      </c>
      <c r="AB281" s="357">
        <f t="shared" si="77"/>
        <v>0</v>
      </c>
      <c r="AC281" s="357">
        <f t="shared" si="77"/>
        <v>0</v>
      </c>
      <c r="AD281" s="357">
        <f t="shared" si="77"/>
        <v>0</v>
      </c>
      <c r="AE281" s="357">
        <f t="shared" si="77"/>
        <v>0</v>
      </c>
      <c r="AF281" s="357">
        <f t="shared" si="77"/>
        <v>1930971477</v>
      </c>
      <c r="AG281" s="357">
        <f t="shared" si="77"/>
        <v>234913675</v>
      </c>
      <c r="AH281" s="357">
        <f t="shared" si="77"/>
        <v>211246743</v>
      </c>
      <c r="AI281" s="357">
        <f t="shared" si="77"/>
        <v>1306328216.8600001</v>
      </c>
      <c r="AJ281" s="357">
        <f t="shared" si="77"/>
        <v>90909229</v>
      </c>
      <c r="AK281" s="357">
        <f t="shared" si="77"/>
        <v>86042562</v>
      </c>
      <c r="AL281" s="357">
        <f t="shared" si="77"/>
        <v>0</v>
      </c>
      <c r="AM281" s="357">
        <f t="shared" si="77"/>
        <v>0</v>
      </c>
      <c r="AN281" s="357">
        <f t="shared" si="77"/>
        <v>0</v>
      </c>
      <c r="AO281" s="357">
        <f t="shared" si="77"/>
        <v>0</v>
      </c>
      <c r="AP281" s="357">
        <f t="shared" si="77"/>
        <v>0</v>
      </c>
      <c r="AQ281" s="357">
        <f t="shared" si="77"/>
        <v>0</v>
      </c>
      <c r="AR281" s="357">
        <f t="shared" si="77"/>
        <v>0</v>
      </c>
      <c r="AS281" s="357">
        <f t="shared" si="77"/>
        <v>0</v>
      </c>
      <c r="AT281" s="357">
        <f t="shared" si="77"/>
        <v>0</v>
      </c>
      <c r="AU281" s="357">
        <f t="shared" si="77"/>
        <v>0</v>
      </c>
      <c r="AV281" s="357">
        <f t="shared" si="77"/>
        <v>0</v>
      </c>
      <c r="AW281" s="357">
        <f t="shared" si="77"/>
        <v>0</v>
      </c>
      <c r="AX281" s="357">
        <f t="shared" si="77"/>
        <v>161590000</v>
      </c>
      <c r="AY281" s="357">
        <f t="shared" si="77"/>
        <v>56160000</v>
      </c>
      <c r="AZ281" s="357">
        <f t="shared" si="77"/>
        <v>41514666</v>
      </c>
      <c r="BA281" s="357">
        <f t="shared" si="77"/>
        <v>0</v>
      </c>
      <c r="BB281" s="357">
        <f t="shared" si="77"/>
        <v>0</v>
      </c>
      <c r="BC281" s="357">
        <f t="shared" si="77"/>
        <v>0</v>
      </c>
      <c r="BD281" s="357">
        <f t="shared" si="77"/>
        <v>351200000</v>
      </c>
      <c r="BE281" s="357">
        <f t="shared" si="77"/>
        <v>0</v>
      </c>
      <c r="BF281" s="357">
        <f t="shared" si="77"/>
        <v>0</v>
      </c>
      <c r="BG281" s="357">
        <f t="shared" si="77"/>
        <v>3750089693.8600001</v>
      </c>
      <c r="BH281" s="357">
        <f t="shared" si="77"/>
        <v>381982904</v>
      </c>
      <c r="BI281" s="357">
        <f t="shared" si="77"/>
        <v>338803971</v>
      </c>
      <c r="BJ281" s="415"/>
      <c r="BK281" s="415"/>
      <c r="BL281" s="415"/>
      <c r="BM281" s="415"/>
      <c r="BN281" s="415"/>
      <c r="BO281" s="415"/>
      <c r="BP281" s="415"/>
    </row>
    <row r="282" spans="1:68" s="238" customFormat="1" ht="92.25" customHeight="1" x14ac:dyDescent="0.2">
      <c r="A282" s="104"/>
      <c r="B282" s="601"/>
      <c r="C282" s="189"/>
      <c r="D282" s="190"/>
      <c r="E282" s="121"/>
      <c r="F282" s="122" t="s">
        <v>1065</v>
      </c>
      <c r="G282" s="602" t="s">
        <v>1066</v>
      </c>
      <c r="H282" s="184" t="s">
        <v>102</v>
      </c>
      <c r="I282" s="186" t="s">
        <v>1067</v>
      </c>
      <c r="J282" s="602" t="s">
        <v>1068</v>
      </c>
      <c r="K282" s="146" t="s">
        <v>102</v>
      </c>
      <c r="L282" s="320" t="s">
        <v>1069</v>
      </c>
      <c r="M282" s="290" t="s">
        <v>109</v>
      </c>
      <c r="N282" s="146">
        <v>1</v>
      </c>
      <c r="O282" s="146">
        <v>1</v>
      </c>
      <c r="P282" s="146"/>
      <c r="Q282" s="149" t="s">
        <v>214</v>
      </c>
      <c r="R282" s="192" t="s">
        <v>1070</v>
      </c>
      <c r="S282" s="186" t="s">
        <v>10</v>
      </c>
      <c r="T282" s="129"/>
      <c r="U282" s="129"/>
      <c r="V282" s="129"/>
      <c r="W282" s="129"/>
      <c r="X282" s="129"/>
      <c r="Y282" s="129"/>
      <c r="Z282" s="129"/>
      <c r="AA282" s="129"/>
      <c r="AB282" s="129"/>
      <c r="AC282" s="129"/>
      <c r="AD282" s="129"/>
      <c r="AE282" s="129"/>
      <c r="AF282" s="129">
        <v>50000000</v>
      </c>
      <c r="AG282" s="129"/>
      <c r="AH282" s="129"/>
      <c r="AI282" s="129"/>
      <c r="AJ282" s="129"/>
      <c r="AK282" s="129"/>
      <c r="AL282" s="129"/>
      <c r="AM282" s="129"/>
      <c r="AN282" s="129"/>
      <c r="AO282" s="129"/>
      <c r="AP282" s="129"/>
      <c r="AQ282" s="129"/>
      <c r="AR282" s="129"/>
      <c r="AS282" s="129"/>
      <c r="AT282" s="129"/>
      <c r="AU282" s="129"/>
      <c r="AV282" s="187"/>
      <c r="AW282" s="187"/>
      <c r="AX282" s="560"/>
      <c r="AY282" s="560"/>
      <c r="AZ282" s="560"/>
      <c r="BA282" s="187"/>
      <c r="BB282" s="187"/>
      <c r="BC282" s="187"/>
      <c r="BD282" s="187"/>
      <c r="BE282" s="187"/>
      <c r="BF282" s="187"/>
      <c r="BG282" s="131">
        <f t="shared" ref="BG282:BI301" si="78">+T282+W282+Z282+AC282+AF282+AI282+AL282+AO282+AR282+AU282+AX282+BA282+BD282</f>
        <v>50000000</v>
      </c>
      <c r="BH282" s="131">
        <f t="shared" si="78"/>
        <v>0</v>
      </c>
      <c r="BI282" s="131">
        <f t="shared" si="78"/>
        <v>0</v>
      </c>
    </row>
    <row r="283" spans="1:68" s="238" customFormat="1" ht="66" customHeight="1" x14ac:dyDescent="0.2">
      <c r="A283" s="104"/>
      <c r="B283" s="118"/>
      <c r="C283" s="282"/>
      <c r="D283" s="323"/>
      <c r="E283" s="535"/>
      <c r="F283" s="122" t="s">
        <v>1065</v>
      </c>
      <c r="G283" s="127" t="s">
        <v>1071</v>
      </c>
      <c r="H283" s="124">
        <v>1903009</v>
      </c>
      <c r="I283" s="186" t="s">
        <v>1072</v>
      </c>
      <c r="J283" s="127" t="s">
        <v>1073</v>
      </c>
      <c r="K283" s="146">
        <v>190300900</v>
      </c>
      <c r="L283" s="320" t="s">
        <v>1074</v>
      </c>
      <c r="M283" s="290" t="s">
        <v>109</v>
      </c>
      <c r="N283" s="146">
        <v>2900</v>
      </c>
      <c r="O283" s="146">
        <v>2900</v>
      </c>
      <c r="P283" s="146">
        <v>260</v>
      </c>
      <c r="Q283" s="887" t="s">
        <v>214</v>
      </c>
      <c r="R283" s="887" t="s">
        <v>1075</v>
      </c>
      <c r="S283" s="890" t="s">
        <v>1076</v>
      </c>
      <c r="T283" s="129"/>
      <c r="U283" s="129"/>
      <c r="V283" s="129"/>
      <c r="W283" s="129"/>
      <c r="X283" s="543"/>
      <c r="Y283" s="543"/>
      <c r="Z283" s="543"/>
      <c r="AA283" s="543"/>
      <c r="AB283" s="543"/>
      <c r="AC283" s="543"/>
      <c r="AD283" s="543"/>
      <c r="AE283" s="543"/>
      <c r="AF283" s="543">
        <v>70000000</v>
      </c>
      <c r="AG283" s="129">
        <v>20253333</v>
      </c>
      <c r="AH283" s="129">
        <v>14000000</v>
      </c>
      <c r="AI283" s="129"/>
      <c r="AJ283" s="129"/>
      <c r="AK283" s="129"/>
      <c r="AL283" s="129"/>
      <c r="AM283" s="129"/>
      <c r="AN283" s="129"/>
      <c r="AO283" s="129"/>
      <c r="AP283" s="129"/>
      <c r="AQ283" s="129"/>
      <c r="AR283" s="129"/>
      <c r="AS283" s="129"/>
      <c r="AT283" s="129"/>
      <c r="AU283" s="129"/>
      <c r="AV283" s="129"/>
      <c r="AW283" s="129"/>
      <c r="AX283" s="321">
        <f>40000000-40000000</f>
        <v>0</v>
      </c>
      <c r="AY283" s="321"/>
      <c r="AZ283" s="321"/>
      <c r="BA283" s="129"/>
      <c r="BB283" s="129"/>
      <c r="BC283" s="129"/>
      <c r="BD283" s="129"/>
      <c r="BE283" s="129"/>
      <c r="BF283" s="129"/>
      <c r="BG283" s="131">
        <f t="shared" si="78"/>
        <v>70000000</v>
      </c>
      <c r="BH283" s="131">
        <f t="shared" si="78"/>
        <v>20253333</v>
      </c>
      <c r="BI283" s="131">
        <f t="shared" si="78"/>
        <v>14000000</v>
      </c>
    </row>
    <row r="284" spans="1:68" s="238" customFormat="1" ht="69" customHeight="1" x14ac:dyDescent="0.2">
      <c r="A284" s="104"/>
      <c r="B284" s="118"/>
      <c r="C284" s="282"/>
      <c r="D284" s="323"/>
      <c r="E284" s="537"/>
      <c r="F284" s="122" t="s">
        <v>1077</v>
      </c>
      <c r="G284" s="127" t="s">
        <v>1078</v>
      </c>
      <c r="H284" s="124">
        <v>1903023</v>
      </c>
      <c r="I284" s="186" t="s">
        <v>1079</v>
      </c>
      <c r="J284" s="127" t="s">
        <v>1080</v>
      </c>
      <c r="K284" s="146">
        <v>190302300</v>
      </c>
      <c r="L284" s="320" t="s">
        <v>1081</v>
      </c>
      <c r="M284" s="290" t="s">
        <v>109</v>
      </c>
      <c r="N284" s="146">
        <v>12</v>
      </c>
      <c r="O284" s="146">
        <v>12</v>
      </c>
      <c r="P284" s="146">
        <v>3</v>
      </c>
      <c r="Q284" s="888"/>
      <c r="R284" s="888"/>
      <c r="S284" s="891"/>
      <c r="T284" s="129"/>
      <c r="U284" s="129"/>
      <c r="V284" s="129"/>
      <c r="W284" s="129"/>
      <c r="X284" s="129"/>
      <c r="Y284" s="129"/>
      <c r="Z284" s="129"/>
      <c r="AA284" s="129"/>
      <c r="AB284" s="129"/>
      <c r="AC284" s="129"/>
      <c r="AD284" s="129"/>
      <c r="AE284" s="129"/>
      <c r="AF284" s="129"/>
      <c r="AG284" s="543"/>
      <c r="AH284" s="543"/>
      <c r="AI284" s="543">
        <f>2800528+79027689-0.14</f>
        <v>81828216.859999999</v>
      </c>
      <c r="AJ284" s="543"/>
      <c r="AK284" s="543"/>
      <c r="AL284" s="129"/>
      <c r="AM284" s="129"/>
      <c r="AN284" s="129"/>
      <c r="AO284" s="129"/>
      <c r="AP284" s="129"/>
      <c r="AQ284" s="129"/>
      <c r="AR284" s="129"/>
      <c r="AS284" s="129"/>
      <c r="AT284" s="129"/>
      <c r="AU284" s="129"/>
      <c r="AV284" s="129"/>
      <c r="AW284" s="129"/>
      <c r="AX284" s="604"/>
      <c r="AY284" s="605"/>
      <c r="AZ284" s="605"/>
      <c r="BA284" s="187"/>
      <c r="BB284" s="187"/>
      <c r="BC284" s="187"/>
      <c r="BD284" s="187"/>
      <c r="BE284" s="187"/>
      <c r="BF284" s="187"/>
      <c r="BG284" s="131">
        <f t="shared" si="78"/>
        <v>81828216.859999999</v>
      </c>
      <c r="BH284" s="131">
        <f t="shared" si="78"/>
        <v>0</v>
      </c>
      <c r="BI284" s="131">
        <f t="shared" si="78"/>
        <v>0</v>
      </c>
    </row>
    <row r="285" spans="1:68" s="238" customFormat="1" ht="127.5" customHeight="1" x14ac:dyDescent="0.2">
      <c r="A285" s="104"/>
      <c r="B285" s="118"/>
      <c r="C285" s="282"/>
      <c r="D285" s="323"/>
      <c r="E285" s="537"/>
      <c r="F285" s="122" t="s">
        <v>1082</v>
      </c>
      <c r="G285" s="602" t="s">
        <v>1083</v>
      </c>
      <c r="H285" s="184" t="s">
        <v>102</v>
      </c>
      <c r="I285" s="186" t="s">
        <v>1084</v>
      </c>
      <c r="J285" s="602" t="s">
        <v>1085</v>
      </c>
      <c r="K285" s="146" t="s">
        <v>102</v>
      </c>
      <c r="L285" s="320" t="s">
        <v>1086</v>
      </c>
      <c r="M285" s="290" t="s">
        <v>109</v>
      </c>
      <c r="N285" s="146">
        <v>12</v>
      </c>
      <c r="O285" s="146">
        <v>12</v>
      </c>
      <c r="P285" s="146"/>
      <c r="Q285" s="888"/>
      <c r="R285" s="888"/>
      <c r="S285" s="891"/>
      <c r="T285" s="129"/>
      <c r="U285" s="129"/>
      <c r="V285" s="129"/>
      <c r="W285" s="129"/>
      <c r="X285" s="129"/>
      <c r="Y285" s="129"/>
      <c r="Z285" s="129"/>
      <c r="AA285" s="129"/>
      <c r="AB285" s="129"/>
      <c r="AC285" s="129"/>
      <c r="AD285" s="129"/>
      <c r="AE285" s="129"/>
      <c r="AF285" s="129">
        <v>70000000</v>
      </c>
      <c r="AG285" s="129"/>
      <c r="AH285" s="129"/>
      <c r="AI285" s="606"/>
      <c r="AJ285" s="606"/>
      <c r="AK285" s="606"/>
      <c r="AL285" s="129"/>
      <c r="AM285" s="129"/>
      <c r="AN285" s="129"/>
      <c r="AO285" s="129"/>
      <c r="AP285" s="129"/>
      <c r="AQ285" s="129"/>
      <c r="AR285" s="129"/>
      <c r="AS285" s="129"/>
      <c r="AT285" s="129"/>
      <c r="AU285" s="129"/>
      <c r="AV285" s="187"/>
      <c r="AW285" s="187"/>
      <c r="AX285" s="605"/>
      <c r="AY285" s="605"/>
      <c r="AZ285" s="605"/>
      <c r="BA285" s="187"/>
      <c r="BB285" s="187"/>
      <c r="BC285" s="187"/>
      <c r="BD285" s="187"/>
      <c r="BE285" s="187"/>
      <c r="BF285" s="187"/>
      <c r="BG285" s="131">
        <f t="shared" si="78"/>
        <v>70000000</v>
      </c>
      <c r="BH285" s="131">
        <f t="shared" si="78"/>
        <v>0</v>
      </c>
      <c r="BI285" s="131">
        <f t="shared" si="78"/>
        <v>0</v>
      </c>
    </row>
    <row r="286" spans="1:68" s="238" customFormat="1" ht="69.75" customHeight="1" x14ac:dyDescent="0.2">
      <c r="A286" s="104"/>
      <c r="B286" s="118"/>
      <c r="C286" s="282"/>
      <c r="D286" s="323"/>
      <c r="E286" s="537"/>
      <c r="F286" s="122" t="s">
        <v>1065</v>
      </c>
      <c r="G286" s="212" t="s">
        <v>1066</v>
      </c>
      <c r="H286" s="185" t="s">
        <v>102</v>
      </c>
      <c r="I286" s="211" t="s">
        <v>1087</v>
      </c>
      <c r="J286" s="212" t="s">
        <v>1068</v>
      </c>
      <c r="K286" s="212" t="s">
        <v>102</v>
      </c>
      <c r="L286" s="186" t="s">
        <v>1069</v>
      </c>
      <c r="M286" s="290" t="s">
        <v>109</v>
      </c>
      <c r="N286" s="146">
        <v>1</v>
      </c>
      <c r="O286" s="124">
        <v>1</v>
      </c>
      <c r="P286" s="124"/>
      <c r="Q286" s="888"/>
      <c r="R286" s="888"/>
      <c r="S286" s="891"/>
      <c r="T286" s="129"/>
      <c r="U286" s="129"/>
      <c r="V286" s="129"/>
      <c r="W286" s="129"/>
      <c r="X286" s="129"/>
      <c r="Y286" s="129"/>
      <c r="Z286" s="129"/>
      <c r="AA286" s="129"/>
      <c r="AB286" s="129"/>
      <c r="AC286" s="129"/>
      <c r="AD286" s="129"/>
      <c r="AE286" s="129"/>
      <c r="AF286" s="129"/>
      <c r="AG286" s="187"/>
      <c r="AH286" s="187"/>
      <c r="AI286" s="187">
        <v>824500000</v>
      </c>
      <c r="AJ286" s="187">
        <v>53042562</v>
      </c>
      <c r="AK286" s="187">
        <v>52842562</v>
      </c>
      <c r="AL286" s="129"/>
      <c r="AM286" s="129"/>
      <c r="AN286" s="129"/>
      <c r="AO286" s="129"/>
      <c r="AP286" s="129"/>
      <c r="AQ286" s="129"/>
      <c r="AR286" s="129"/>
      <c r="AS286" s="129"/>
      <c r="AT286" s="129"/>
      <c r="AU286" s="129"/>
      <c r="AV286" s="187"/>
      <c r="AW286" s="187"/>
      <c r="AX286" s="605"/>
      <c r="AY286" s="605"/>
      <c r="AZ286" s="605"/>
      <c r="BA286" s="187"/>
      <c r="BB286" s="187"/>
      <c r="BC286" s="187"/>
      <c r="BD286" s="228"/>
      <c r="BE286" s="228"/>
      <c r="BF286" s="228"/>
      <c r="BG286" s="131">
        <f t="shared" si="78"/>
        <v>824500000</v>
      </c>
      <c r="BH286" s="131">
        <f t="shared" si="78"/>
        <v>53042562</v>
      </c>
      <c r="BI286" s="131">
        <f t="shared" si="78"/>
        <v>52842562</v>
      </c>
    </row>
    <row r="287" spans="1:68" s="238" customFormat="1" ht="138.75" customHeight="1" x14ac:dyDescent="0.2">
      <c r="A287" s="104"/>
      <c r="B287" s="118"/>
      <c r="C287" s="282"/>
      <c r="D287" s="323"/>
      <c r="E287" s="537"/>
      <c r="F287" s="122" t="s">
        <v>1088</v>
      </c>
      <c r="G287" s="127" t="s">
        <v>1089</v>
      </c>
      <c r="H287" s="124">
        <v>1903038</v>
      </c>
      <c r="I287" s="186" t="s">
        <v>1090</v>
      </c>
      <c r="J287" s="127" t="s">
        <v>1091</v>
      </c>
      <c r="K287" s="146">
        <v>190303801</v>
      </c>
      <c r="L287" s="186" t="s">
        <v>1092</v>
      </c>
      <c r="M287" s="290" t="s">
        <v>109</v>
      </c>
      <c r="N287" s="146">
        <v>11</v>
      </c>
      <c r="O287" s="146">
        <v>11</v>
      </c>
      <c r="P287" s="146">
        <v>5</v>
      </c>
      <c r="Q287" s="888"/>
      <c r="R287" s="888"/>
      <c r="S287" s="891"/>
      <c r="T287" s="129"/>
      <c r="U287" s="129"/>
      <c r="V287" s="129"/>
      <c r="W287" s="129"/>
      <c r="X287" s="129"/>
      <c r="Y287" s="129"/>
      <c r="Z287" s="129"/>
      <c r="AA287" s="129"/>
      <c r="AB287" s="129"/>
      <c r="AC287" s="129"/>
      <c r="AD287" s="129"/>
      <c r="AE287" s="129"/>
      <c r="AF287" s="228"/>
      <c r="AG287" s="228"/>
      <c r="AH287" s="228"/>
      <c r="AI287" s="129">
        <v>50000000</v>
      </c>
      <c r="AJ287" s="129"/>
      <c r="AK287" s="129"/>
      <c r="AL287" s="129"/>
      <c r="AM287" s="129"/>
      <c r="AN287" s="129"/>
      <c r="AO287" s="129"/>
      <c r="AP287" s="129"/>
      <c r="AQ287" s="129"/>
      <c r="AR287" s="129"/>
      <c r="AS287" s="129"/>
      <c r="AT287" s="129"/>
      <c r="AU287" s="129"/>
      <c r="AV287" s="187"/>
      <c r="AW287" s="187"/>
      <c r="AX287" s="605"/>
      <c r="AY287" s="605"/>
      <c r="AZ287" s="605"/>
      <c r="BA287" s="187"/>
      <c r="BB287" s="187"/>
      <c r="BC287" s="187"/>
      <c r="BD287" s="187"/>
      <c r="BE287" s="187"/>
      <c r="BF287" s="187"/>
      <c r="BG287" s="131">
        <f t="shared" si="78"/>
        <v>50000000</v>
      </c>
      <c r="BH287" s="131">
        <f t="shared" si="78"/>
        <v>0</v>
      </c>
      <c r="BI287" s="131">
        <f t="shared" si="78"/>
        <v>0</v>
      </c>
    </row>
    <row r="288" spans="1:68" s="238" customFormat="1" ht="80.25" customHeight="1" x14ac:dyDescent="0.2">
      <c r="A288" s="104"/>
      <c r="B288" s="118"/>
      <c r="C288" s="282"/>
      <c r="D288" s="323"/>
      <c r="E288" s="537"/>
      <c r="F288" s="122" t="s">
        <v>1093</v>
      </c>
      <c r="G288" s="602" t="s">
        <v>1094</v>
      </c>
      <c r="H288" s="124">
        <v>1903027</v>
      </c>
      <c r="I288" s="186" t="s">
        <v>1095</v>
      </c>
      <c r="J288" s="602" t="s">
        <v>1096</v>
      </c>
      <c r="K288" s="146">
        <v>190302700</v>
      </c>
      <c r="L288" s="343" t="s">
        <v>1097</v>
      </c>
      <c r="M288" s="290" t="s">
        <v>109</v>
      </c>
      <c r="N288" s="146">
        <v>5</v>
      </c>
      <c r="O288" s="146">
        <v>5</v>
      </c>
      <c r="P288" s="146"/>
      <c r="Q288" s="888"/>
      <c r="R288" s="888"/>
      <c r="S288" s="891"/>
      <c r="T288" s="129"/>
      <c r="U288" s="129"/>
      <c r="V288" s="129"/>
      <c r="W288" s="129"/>
      <c r="X288" s="129"/>
      <c r="Y288" s="129"/>
      <c r="Z288" s="129"/>
      <c r="AA288" s="129"/>
      <c r="AB288" s="129"/>
      <c r="AC288" s="129"/>
      <c r="AD288" s="129"/>
      <c r="AE288" s="129"/>
      <c r="AF288" s="228"/>
      <c r="AG288" s="228"/>
      <c r="AH288" s="228"/>
      <c r="AI288" s="129">
        <v>200000000</v>
      </c>
      <c r="AJ288" s="129"/>
      <c r="AK288" s="129"/>
      <c r="AL288" s="129"/>
      <c r="AM288" s="129"/>
      <c r="AN288" s="129"/>
      <c r="AO288" s="129"/>
      <c r="AP288" s="129"/>
      <c r="AQ288" s="129"/>
      <c r="AR288" s="129"/>
      <c r="AS288" s="129"/>
      <c r="AT288" s="129"/>
      <c r="AU288" s="129"/>
      <c r="AV288" s="187"/>
      <c r="AW288" s="187"/>
      <c r="AX288" s="605"/>
      <c r="AY288" s="605"/>
      <c r="AZ288" s="605"/>
      <c r="BA288" s="187"/>
      <c r="BB288" s="187"/>
      <c r="BC288" s="187"/>
      <c r="BD288" s="187"/>
      <c r="BE288" s="187"/>
      <c r="BF288" s="187"/>
      <c r="BG288" s="131">
        <f t="shared" si="78"/>
        <v>200000000</v>
      </c>
      <c r="BH288" s="131">
        <f t="shared" si="78"/>
        <v>0</v>
      </c>
      <c r="BI288" s="131">
        <f t="shared" si="78"/>
        <v>0</v>
      </c>
    </row>
    <row r="289" spans="1:61" s="238" customFormat="1" ht="62.25" customHeight="1" x14ac:dyDescent="0.2">
      <c r="A289" s="104"/>
      <c r="B289" s="118"/>
      <c r="C289" s="282"/>
      <c r="D289" s="323"/>
      <c r="E289" s="542"/>
      <c r="F289" s="607" t="s">
        <v>1098</v>
      </c>
      <c r="G289" s="608" t="s">
        <v>1099</v>
      </c>
      <c r="H289" s="185">
        <v>1903011</v>
      </c>
      <c r="I289" s="211" t="s">
        <v>1100</v>
      </c>
      <c r="J289" s="609" t="s">
        <v>1101</v>
      </c>
      <c r="K289" s="146">
        <v>190301100</v>
      </c>
      <c r="L289" s="343" t="s">
        <v>1102</v>
      </c>
      <c r="M289" s="290" t="s">
        <v>109</v>
      </c>
      <c r="N289" s="146">
        <v>140</v>
      </c>
      <c r="O289" s="146">
        <v>140</v>
      </c>
      <c r="P289" s="146">
        <v>51</v>
      </c>
      <c r="Q289" s="888"/>
      <c r="R289" s="888"/>
      <c r="S289" s="891"/>
      <c r="T289" s="129"/>
      <c r="U289" s="129"/>
      <c r="V289" s="129"/>
      <c r="W289" s="129"/>
      <c r="X289" s="129"/>
      <c r="Y289" s="129"/>
      <c r="Z289" s="129"/>
      <c r="AA289" s="129"/>
      <c r="AB289" s="129"/>
      <c r="AC289" s="129"/>
      <c r="AD289" s="129"/>
      <c r="AE289" s="129"/>
      <c r="AF289" s="129">
        <v>20000000</v>
      </c>
      <c r="AG289" s="129"/>
      <c r="AH289" s="129"/>
      <c r="AI289" s="129"/>
      <c r="AJ289" s="129"/>
      <c r="AK289" s="129"/>
      <c r="AL289" s="129"/>
      <c r="AM289" s="129"/>
      <c r="AN289" s="129"/>
      <c r="AO289" s="129"/>
      <c r="AP289" s="129"/>
      <c r="AQ289" s="129"/>
      <c r="AR289" s="129"/>
      <c r="AS289" s="129"/>
      <c r="AT289" s="129"/>
      <c r="AU289" s="129"/>
      <c r="AV289" s="187"/>
      <c r="AW289" s="187"/>
      <c r="AX289" s="605"/>
      <c r="AY289" s="605"/>
      <c r="AZ289" s="605"/>
      <c r="BA289" s="187"/>
      <c r="BB289" s="187"/>
      <c r="BC289" s="187"/>
      <c r="BD289" s="187"/>
      <c r="BE289" s="187"/>
      <c r="BF289" s="187"/>
      <c r="BG289" s="131">
        <f t="shared" si="78"/>
        <v>20000000</v>
      </c>
      <c r="BH289" s="131">
        <f t="shared" si="78"/>
        <v>0</v>
      </c>
      <c r="BI289" s="131">
        <f t="shared" si="78"/>
        <v>0</v>
      </c>
    </row>
    <row r="290" spans="1:61" s="238" customFormat="1" ht="77.25" customHeight="1" x14ac:dyDescent="0.2">
      <c r="A290" s="104"/>
      <c r="B290" s="118"/>
      <c r="C290" s="282"/>
      <c r="D290" s="323"/>
      <c r="E290" s="724"/>
      <c r="F290" s="122" t="s">
        <v>1103</v>
      </c>
      <c r="G290" s="609" t="s">
        <v>1104</v>
      </c>
      <c r="H290" s="219">
        <v>1903001</v>
      </c>
      <c r="I290" s="368" t="s">
        <v>635</v>
      </c>
      <c r="J290" s="609" t="s">
        <v>1105</v>
      </c>
      <c r="K290" s="146">
        <v>190300100</v>
      </c>
      <c r="L290" s="320" t="s">
        <v>1106</v>
      </c>
      <c r="M290" s="290" t="s">
        <v>109</v>
      </c>
      <c r="N290" s="146">
        <v>1</v>
      </c>
      <c r="O290" s="146">
        <v>1</v>
      </c>
      <c r="P290" s="146">
        <v>2</v>
      </c>
      <c r="Q290" s="915" t="s">
        <v>214</v>
      </c>
      <c r="R290" s="887" t="s">
        <v>1107</v>
      </c>
      <c r="S290" s="890" t="s">
        <v>1108</v>
      </c>
      <c r="T290" s="129"/>
      <c r="U290" s="129"/>
      <c r="V290" s="129"/>
      <c r="W290" s="129"/>
      <c r="X290" s="129"/>
      <c r="Y290" s="129"/>
      <c r="Z290" s="129"/>
      <c r="AA290" s="129"/>
      <c r="AB290" s="129"/>
      <c r="AC290" s="129"/>
      <c r="AD290" s="129"/>
      <c r="AE290" s="129"/>
      <c r="AF290" s="129">
        <v>81470000</v>
      </c>
      <c r="AG290" s="129"/>
      <c r="AH290" s="129"/>
      <c r="AI290" s="129"/>
      <c r="AJ290" s="129"/>
      <c r="AK290" s="129"/>
      <c r="AL290" s="129"/>
      <c r="AM290" s="129"/>
      <c r="AN290" s="129"/>
      <c r="AO290" s="129"/>
      <c r="AP290" s="129"/>
      <c r="AQ290" s="129"/>
      <c r="AR290" s="129"/>
      <c r="AS290" s="129"/>
      <c r="AT290" s="129"/>
      <c r="AU290" s="129"/>
      <c r="AV290" s="187"/>
      <c r="AW290" s="187"/>
      <c r="AX290" s="560"/>
      <c r="AY290" s="560"/>
      <c r="AZ290" s="560"/>
      <c r="BA290" s="187"/>
      <c r="BB290" s="187"/>
      <c r="BC290" s="187"/>
      <c r="BD290" s="187"/>
      <c r="BE290" s="187"/>
      <c r="BF290" s="187"/>
      <c r="BG290" s="131">
        <f t="shared" si="78"/>
        <v>81470000</v>
      </c>
      <c r="BH290" s="131">
        <f t="shared" si="78"/>
        <v>0</v>
      </c>
      <c r="BI290" s="131">
        <f t="shared" si="78"/>
        <v>0</v>
      </c>
    </row>
    <row r="291" spans="1:61" s="238" customFormat="1" ht="54.75" customHeight="1" x14ac:dyDescent="0.2">
      <c r="A291" s="104"/>
      <c r="B291" s="118"/>
      <c r="C291" s="282"/>
      <c r="D291" s="323"/>
      <c r="E291" s="725"/>
      <c r="F291" s="122" t="s">
        <v>1109</v>
      </c>
      <c r="G291" s="212" t="s">
        <v>1110</v>
      </c>
      <c r="H291" s="185">
        <v>1903015</v>
      </c>
      <c r="I291" s="211" t="s">
        <v>1111</v>
      </c>
      <c r="J291" s="212" t="s">
        <v>1112</v>
      </c>
      <c r="K291" s="146">
        <v>190301500</v>
      </c>
      <c r="L291" s="186" t="s">
        <v>1113</v>
      </c>
      <c r="M291" s="290" t="s">
        <v>109</v>
      </c>
      <c r="N291" s="146">
        <v>12</v>
      </c>
      <c r="O291" s="146">
        <v>12</v>
      </c>
      <c r="P291" s="146">
        <v>3</v>
      </c>
      <c r="Q291" s="929"/>
      <c r="R291" s="888"/>
      <c r="S291" s="891"/>
      <c r="T291" s="129"/>
      <c r="U291" s="129"/>
      <c r="V291" s="129"/>
      <c r="W291" s="129"/>
      <c r="X291" s="129"/>
      <c r="Y291" s="129"/>
      <c r="Z291" s="129"/>
      <c r="AA291" s="129"/>
      <c r="AB291" s="129"/>
      <c r="AC291" s="129"/>
      <c r="AD291" s="129"/>
      <c r="AE291" s="129"/>
      <c r="AF291" s="129">
        <v>236000000</v>
      </c>
      <c r="AG291" s="129">
        <v>50213333</v>
      </c>
      <c r="AH291" s="129">
        <v>50213333</v>
      </c>
      <c r="AI291" s="129"/>
      <c r="AJ291" s="129"/>
      <c r="AK291" s="129"/>
      <c r="AL291" s="129"/>
      <c r="AM291" s="129"/>
      <c r="AN291" s="129"/>
      <c r="AO291" s="129"/>
      <c r="AP291" s="129"/>
      <c r="AQ291" s="129"/>
      <c r="AR291" s="129"/>
      <c r="AS291" s="129"/>
      <c r="AT291" s="129"/>
      <c r="AU291" s="129"/>
      <c r="AV291" s="187"/>
      <c r="AW291" s="187"/>
      <c r="AX291" s="560"/>
      <c r="AY291" s="560"/>
      <c r="AZ291" s="560"/>
      <c r="BA291" s="187"/>
      <c r="BB291" s="187"/>
      <c r="BC291" s="187"/>
      <c r="BD291" s="187"/>
      <c r="BE291" s="187"/>
      <c r="BF291" s="187"/>
      <c r="BG291" s="131">
        <f t="shared" si="78"/>
        <v>236000000</v>
      </c>
      <c r="BH291" s="131">
        <f t="shared" si="78"/>
        <v>50213333</v>
      </c>
      <c r="BI291" s="131">
        <f t="shared" si="78"/>
        <v>50213333</v>
      </c>
    </row>
    <row r="292" spans="1:61" s="238" customFormat="1" ht="90" x14ac:dyDescent="0.2">
      <c r="A292" s="104"/>
      <c r="B292" s="118"/>
      <c r="C292" s="282"/>
      <c r="D292" s="323"/>
      <c r="E292" s="724"/>
      <c r="F292" s="122" t="s">
        <v>1114</v>
      </c>
      <c r="G292" s="127" t="s">
        <v>1115</v>
      </c>
      <c r="H292" s="124">
        <v>1903012</v>
      </c>
      <c r="I292" s="186" t="s">
        <v>1116</v>
      </c>
      <c r="J292" s="127" t="s">
        <v>1117</v>
      </c>
      <c r="K292" s="146">
        <v>190301200</v>
      </c>
      <c r="L292" s="211" t="s">
        <v>1118</v>
      </c>
      <c r="M292" s="290" t="s">
        <v>109</v>
      </c>
      <c r="N292" s="146">
        <v>4000</v>
      </c>
      <c r="O292" s="146">
        <v>4000</v>
      </c>
      <c r="P292" s="146">
        <v>773</v>
      </c>
      <c r="Q292" s="892" t="s">
        <v>214</v>
      </c>
      <c r="R292" s="887" t="s">
        <v>1119</v>
      </c>
      <c r="S292" s="887" t="s">
        <v>1120</v>
      </c>
      <c r="T292" s="129"/>
      <c r="U292" s="129"/>
      <c r="V292" s="129"/>
      <c r="W292" s="129"/>
      <c r="X292" s="129"/>
      <c r="Y292" s="129"/>
      <c r="Z292" s="129"/>
      <c r="AA292" s="129"/>
      <c r="AB292" s="129"/>
      <c r="AC292" s="129"/>
      <c r="AD292" s="129"/>
      <c r="AE292" s="129"/>
      <c r="AF292" s="610">
        <v>803501477</v>
      </c>
      <c r="AG292" s="610"/>
      <c r="AH292" s="610"/>
      <c r="AI292" s="611"/>
      <c r="AJ292" s="611"/>
      <c r="AK292" s="611"/>
      <c r="AL292" s="129"/>
      <c r="AM292" s="129"/>
      <c r="AN292" s="129"/>
      <c r="AO292" s="129"/>
      <c r="AP292" s="129"/>
      <c r="AQ292" s="129"/>
      <c r="AR292" s="129"/>
      <c r="AS292" s="129"/>
      <c r="AT292" s="129"/>
      <c r="AU292" s="129"/>
      <c r="AV292" s="187"/>
      <c r="AW292" s="187"/>
      <c r="AX292" s="560">
        <f>243062000-243062000</f>
        <v>0</v>
      </c>
      <c r="AY292" s="560"/>
      <c r="AZ292" s="560"/>
      <c r="BA292" s="187"/>
      <c r="BB292" s="187"/>
      <c r="BC292" s="187"/>
      <c r="BD292" s="187">
        <v>95200000</v>
      </c>
      <c r="BE292" s="187"/>
      <c r="BF292" s="187"/>
      <c r="BG292" s="131">
        <f t="shared" si="78"/>
        <v>898701477</v>
      </c>
      <c r="BH292" s="131">
        <f t="shared" si="78"/>
        <v>0</v>
      </c>
      <c r="BI292" s="131">
        <f t="shared" si="78"/>
        <v>0</v>
      </c>
    </row>
    <row r="293" spans="1:61" s="238" customFormat="1" ht="47.25" customHeight="1" x14ac:dyDescent="0.2">
      <c r="A293" s="104"/>
      <c r="B293" s="118"/>
      <c r="C293" s="282"/>
      <c r="D293" s="323"/>
      <c r="E293" s="726"/>
      <c r="F293" s="122" t="s">
        <v>1121</v>
      </c>
      <c r="G293" s="127" t="s">
        <v>1122</v>
      </c>
      <c r="H293" s="124">
        <v>1903016</v>
      </c>
      <c r="I293" s="186" t="s">
        <v>1123</v>
      </c>
      <c r="J293" s="127" t="s">
        <v>1124</v>
      </c>
      <c r="K293" s="146">
        <v>190301600</v>
      </c>
      <c r="L293" s="320" t="s">
        <v>1125</v>
      </c>
      <c r="M293" s="290" t="s">
        <v>109</v>
      </c>
      <c r="N293" s="146">
        <v>240</v>
      </c>
      <c r="O293" s="146">
        <v>240</v>
      </c>
      <c r="P293" s="146">
        <v>50</v>
      </c>
      <c r="Q293" s="895"/>
      <c r="R293" s="888"/>
      <c r="S293" s="888"/>
      <c r="T293" s="129"/>
      <c r="U293" s="129"/>
      <c r="V293" s="129"/>
      <c r="W293" s="129"/>
      <c r="X293" s="129"/>
      <c r="Y293" s="129"/>
      <c r="Z293" s="129"/>
      <c r="AA293" s="129"/>
      <c r="AB293" s="129"/>
      <c r="AC293" s="129"/>
      <c r="AD293" s="129"/>
      <c r="AE293" s="129"/>
      <c r="AF293" s="610">
        <v>100000000</v>
      </c>
      <c r="AG293" s="610">
        <v>89428679</v>
      </c>
      <c r="AH293" s="610">
        <v>77600079</v>
      </c>
      <c r="AI293" s="129"/>
      <c r="AJ293" s="129"/>
      <c r="AK293" s="129"/>
      <c r="AL293" s="129"/>
      <c r="AM293" s="129"/>
      <c r="AN293" s="129"/>
      <c r="AO293" s="129"/>
      <c r="AP293" s="129"/>
      <c r="AQ293" s="129"/>
      <c r="AR293" s="129"/>
      <c r="AS293" s="129"/>
      <c r="AT293" s="129"/>
      <c r="AU293" s="129"/>
      <c r="AV293" s="187"/>
      <c r="AW293" s="187"/>
      <c r="AX293" s="560"/>
      <c r="AY293" s="560"/>
      <c r="AZ293" s="560"/>
      <c r="BA293" s="187"/>
      <c r="BB293" s="187"/>
      <c r="BC293" s="187"/>
      <c r="BD293" s="187"/>
      <c r="BE293" s="187"/>
      <c r="BF293" s="187"/>
      <c r="BG293" s="131">
        <f t="shared" si="78"/>
        <v>100000000</v>
      </c>
      <c r="BH293" s="131">
        <f t="shared" si="78"/>
        <v>89428679</v>
      </c>
      <c r="BI293" s="131">
        <f t="shared" si="78"/>
        <v>77600079</v>
      </c>
    </row>
    <row r="294" spans="1:61" s="238" customFormat="1" ht="47.25" customHeight="1" x14ac:dyDescent="0.2">
      <c r="A294" s="104"/>
      <c r="B294" s="118"/>
      <c r="C294" s="282"/>
      <c r="D294" s="323"/>
      <c r="E294" s="726"/>
      <c r="F294" s="917" t="s">
        <v>1098</v>
      </c>
      <c r="G294" s="934" t="s">
        <v>1099</v>
      </c>
      <c r="H294" s="921">
        <v>1903011</v>
      </c>
      <c r="I294" s="890" t="s">
        <v>1100</v>
      </c>
      <c r="J294" s="612" t="s">
        <v>1101</v>
      </c>
      <c r="K294" s="146">
        <v>190301100</v>
      </c>
      <c r="L294" s="343" t="s">
        <v>1102</v>
      </c>
      <c r="M294" s="290" t="s">
        <v>109</v>
      </c>
      <c r="N294" s="146">
        <v>140</v>
      </c>
      <c r="O294" s="146">
        <v>140</v>
      </c>
      <c r="P294" s="146">
        <v>30</v>
      </c>
      <c r="Q294" s="895"/>
      <c r="R294" s="888"/>
      <c r="S294" s="888"/>
      <c r="T294" s="129"/>
      <c r="U294" s="129"/>
      <c r="V294" s="129"/>
      <c r="W294" s="129"/>
      <c r="X294" s="129"/>
      <c r="Y294" s="129"/>
      <c r="Z294" s="129"/>
      <c r="AA294" s="129"/>
      <c r="AB294" s="129"/>
      <c r="AC294" s="129"/>
      <c r="AD294" s="129"/>
      <c r="AE294" s="129"/>
      <c r="AF294" s="613">
        <v>45330077</v>
      </c>
      <c r="AG294" s="613"/>
      <c r="AH294" s="610"/>
      <c r="AI294" s="129"/>
      <c r="AJ294" s="129"/>
      <c r="AK294" s="129"/>
      <c r="AL294" s="129"/>
      <c r="AM294" s="129"/>
      <c r="AN294" s="129"/>
      <c r="AO294" s="129"/>
      <c r="AP294" s="129"/>
      <c r="AQ294" s="129"/>
      <c r="AR294" s="129"/>
      <c r="AS294" s="129"/>
      <c r="AT294" s="129"/>
      <c r="AU294" s="129"/>
      <c r="AV294" s="187"/>
      <c r="AW294" s="187"/>
      <c r="AX294" s="560"/>
      <c r="AY294" s="560"/>
      <c r="AZ294" s="560"/>
      <c r="BA294" s="187"/>
      <c r="BB294" s="187"/>
      <c r="BC294" s="187"/>
      <c r="BD294" s="187"/>
      <c r="BE294" s="187"/>
      <c r="BF294" s="187"/>
      <c r="BG294" s="131">
        <f t="shared" si="78"/>
        <v>45330077</v>
      </c>
      <c r="BH294" s="131">
        <f t="shared" si="78"/>
        <v>0</v>
      </c>
      <c r="BI294" s="131">
        <f t="shared" si="78"/>
        <v>0</v>
      </c>
    </row>
    <row r="295" spans="1:61" s="238" customFormat="1" ht="47.25" customHeight="1" x14ac:dyDescent="0.2">
      <c r="A295" s="104"/>
      <c r="B295" s="118"/>
      <c r="C295" s="282"/>
      <c r="D295" s="323"/>
      <c r="E295" s="725"/>
      <c r="F295" s="918"/>
      <c r="G295" s="935"/>
      <c r="H295" s="922"/>
      <c r="I295" s="894"/>
      <c r="J295" s="609" t="s">
        <v>1126</v>
      </c>
      <c r="K295" s="146">
        <v>190301101</v>
      </c>
      <c r="L295" s="186" t="s">
        <v>1127</v>
      </c>
      <c r="M295" s="290" t="s">
        <v>109</v>
      </c>
      <c r="N295" s="146">
        <v>12</v>
      </c>
      <c r="O295" s="146">
        <v>12</v>
      </c>
      <c r="P295" s="146">
        <v>6</v>
      </c>
      <c r="Q295" s="614"/>
      <c r="R295" s="202"/>
      <c r="S295" s="202"/>
      <c r="T295" s="129"/>
      <c r="U295" s="129"/>
      <c r="V295" s="129"/>
      <c r="W295" s="129"/>
      <c r="X295" s="129"/>
      <c r="Y295" s="129"/>
      <c r="Z295" s="129"/>
      <c r="AA295" s="129"/>
      <c r="AB295" s="129"/>
      <c r="AC295" s="129"/>
      <c r="AD295" s="129"/>
      <c r="AE295" s="129"/>
      <c r="AF295" s="615">
        <v>54669923</v>
      </c>
      <c r="AG295" s="476"/>
      <c r="AH295" s="610"/>
      <c r="AI295" s="129"/>
      <c r="AJ295" s="129"/>
      <c r="AK295" s="129"/>
      <c r="AL295" s="129"/>
      <c r="AM295" s="129"/>
      <c r="AN295" s="129"/>
      <c r="AO295" s="129"/>
      <c r="AP295" s="129"/>
      <c r="AQ295" s="129"/>
      <c r="AR295" s="129"/>
      <c r="AS295" s="129"/>
      <c r="AT295" s="129"/>
      <c r="AU295" s="129"/>
      <c r="AV295" s="187"/>
      <c r="AW295" s="187"/>
      <c r="AX295" s="560"/>
      <c r="AY295" s="560"/>
      <c r="AZ295" s="560"/>
      <c r="BA295" s="187"/>
      <c r="BB295" s="187"/>
      <c r="BC295" s="187"/>
      <c r="BD295" s="187"/>
      <c r="BE295" s="187"/>
      <c r="BF295" s="187"/>
      <c r="BG295" s="131">
        <f t="shared" si="78"/>
        <v>54669923</v>
      </c>
      <c r="BH295" s="131">
        <f t="shared" si="78"/>
        <v>0</v>
      </c>
      <c r="BI295" s="131">
        <f t="shared" si="78"/>
        <v>0</v>
      </c>
    </row>
    <row r="296" spans="1:61" s="238" customFormat="1" ht="47.25" customHeight="1" x14ac:dyDescent="0.2">
      <c r="A296" s="104"/>
      <c r="B296" s="118"/>
      <c r="C296" s="282"/>
      <c r="D296" s="323"/>
      <c r="E296" s="603"/>
      <c r="F296" s="122" t="s">
        <v>1093</v>
      </c>
      <c r="G296" s="602" t="s">
        <v>1128</v>
      </c>
      <c r="H296" s="124">
        <v>1903031</v>
      </c>
      <c r="I296" s="186" t="s">
        <v>1129</v>
      </c>
      <c r="J296" s="602" t="s">
        <v>1130</v>
      </c>
      <c r="K296" s="146">
        <v>190303100</v>
      </c>
      <c r="L296" s="343" t="s">
        <v>1131</v>
      </c>
      <c r="M296" s="290" t="s">
        <v>109</v>
      </c>
      <c r="N296" s="146">
        <v>12</v>
      </c>
      <c r="O296" s="146">
        <v>12</v>
      </c>
      <c r="P296" s="146">
        <v>5</v>
      </c>
      <c r="Q296" s="149" t="s">
        <v>214</v>
      </c>
      <c r="R296" s="212" t="s">
        <v>1132</v>
      </c>
      <c r="S296" s="211" t="s">
        <v>1133</v>
      </c>
      <c r="T296" s="129"/>
      <c r="U296" s="129"/>
      <c r="V296" s="129"/>
      <c r="W296" s="129"/>
      <c r="X296" s="129"/>
      <c r="Y296" s="129"/>
      <c r="Z296" s="129"/>
      <c r="AA296" s="129"/>
      <c r="AB296" s="129"/>
      <c r="AC296" s="129"/>
      <c r="AD296" s="129"/>
      <c r="AE296" s="129"/>
      <c r="AF296" s="610">
        <f>400000000</f>
        <v>400000000</v>
      </c>
      <c r="AG296" s="610">
        <v>75018330</v>
      </c>
      <c r="AH296" s="610">
        <v>69433331</v>
      </c>
      <c r="AI296" s="129"/>
      <c r="AJ296" s="129"/>
      <c r="AK296" s="129"/>
      <c r="AL296" s="129"/>
      <c r="AM296" s="129"/>
      <c r="AN296" s="129"/>
      <c r="AO296" s="129"/>
      <c r="AP296" s="129"/>
      <c r="AQ296" s="129"/>
      <c r="AR296" s="129"/>
      <c r="AS296" s="129"/>
      <c r="AT296" s="129"/>
      <c r="AU296" s="129"/>
      <c r="AV296" s="187"/>
      <c r="AW296" s="187"/>
      <c r="AX296" s="560"/>
      <c r="AY296" s="560"/>
      <c r="AZ296" s="560"/>
      <c r="BA296" s="187"/>
      <c r="BB296" s="187"/>
      <c r="BC296" s="187"/>
      <c r="BD296" s="187">
        <v>256000000</v>
      </c>
      <c r="BE296" s="187"/>
      <c r="BF296" s="187"/>
      <c r="BG296" s="131">
        <f t="shared" si="78"/>
        <v>656000000</v>
      </c>
      <c r="BH296" s="131">
        <f t="shared" si="78"/>
        <v>75018330</v>
      </c>
      <c r="BI296" s="131">
        <f t="shared" si="78"/>
        <v>69433331</v>
      </c>
    </row>
    <row r="297" spans="1:61" s="238" customFormat="1" ht="68.25" customHeight="1" x14ac:dyDescent="0.2">
      <c r="A297" s="104"/>
      <c r="B297" s="118"/>
      <c r="C297" s="207"/>
      <c r="D297" s="208"/>
      <c r="E297" s="121"/>
      <c r="F297" s="122" t="s">
        <v>1098</v>
      </c>
      <c r="G297" s="287" t="s">
        <v>1134</v>
      </c>
      <c r="H297" s="124">
        <v>1903034</v>
      </c>
      <c r="I297" s="186" t="s">
        <v>397</v>
      </c>
      <c r="J297" s="287" t="s">
        <v>1135</v>
      </c>
      <c r="K297" s="146">
        <v>190303400</v>
      </c>
      <c r="L297" s="316" t="s">
        <v>1136</v>
      </c>
      <c r="M297" s="146" t="s">
        <v>109</v>
      </c>
      <c r="N297" s="146">
        <v>12</v>
      </c>
      <c r="O297" s="146">
        <v>12</v>
      </c>
      <c r="P297" s="146">
        <v>6</v>
      </c>
      <c r="Q297" s="149" t="s">
        <v>214</v>
      </c>
      <c r="R297" s="127" t="s">
        <v>1137</v>
      </c>
      <c r="S297" s="186" t="s">
        <v>1138</v>
      </c>
      <c r="T297" s="129"/>
      <c r="U297" s="129"/>
      <c r="V297" s="129"/>
      <c r="W297" s="129"/>
      <c r="X297" s="129"/>
      <c r="Y297" s="129"/>
      <c r="Z297" s="129"/>
      <c r="AA297" s="129"/>
      <c r="AB297" s="129"/>
      <c r="AC297" s="129"/>
      <c r="AD297" s="129"/>
      <c r="AE297" s="129"/>
      <c r="AF297" s="129"/>
      <c r="AG297" s="129"/>
      <c r="AH297" s="129"/>
      <c r="AI297" s="610"/>
      <c r="AJ297" s="610"/>
      <c r="AK297" s="610"/>
      <c r="AL297" s="129"/>
      <c r="AM297" s="129"/>
      <c r="AN297" s="129"/>
      <c r="AO297" s="129"/>
      <c r="AP297" s="129"/>
      <c r="AQ297" s="129"/>
      <c r="AR297" s="129"/>
      <c r="AS297" s="129"/>
      <c r="AT297" s="129"/>
      <c r="AU297" s="129"/>
      <c r="AV297" s="187"/>
      <c r="AW297" s="187"/>
      <c r="AX297" s="560">
        <v>96954000</v>
      </c>
      <c r="AY297" s="560">
        <v>22400000</v>
      </c>
      <c r="AZ297" s="560">
        <v>19600000</v>
      </c>
      <c r="BA297" s="187"/>
      <c r="BB297" s="187"/>
      <c r="BC297" s="187"/>
      <c r="BD297" s="187"/>
      <c r="BE297" s="187"/>
      <c r="BF297" s="187"/>
      <c r="BG297" s="131">
        <f t="shared" si="78"/>
        <v>96954000</v>
      </c>
      <c r="BH297" s="131">
        <f t="shared" si="78"/>
        <v>22400000</v>
      </c>
      <c r="BI297" s="131">
        <f t="shared" si="78"/>
        <v>19600000</v>
      </c>
    </row>
    <row r="298" spans="1:61" s="238" customFormat="1" ht="75" customHeight="1" x14ac:dyDescent="0.2">
      <c r="A298" s="104"/>
      <c r="B298" s="118"/>
      <c r="C298" s="207"/>
      <c r="D298" s="208"/>
      <c r="E298" s="724"/>
      <c r="F298" s="122" t="s">
        <v>1139</v>
      </c>
      <c r="G298" s="602" t="s">
        <v>1140</v>
      </c>
      <c r="H298" s="124">
        <v>1903045</v>
      </c>
      <c r="I298" s="186" t="s">
        <v>1141</v>
      </c>
      <c r="J298" s="602" t="s">
        <v>1142</v>
      </c>
      <c r="K298" s="146">
        <v>190304500</v>
      </c>
      <c r="L298" s="320" t="s">
        <v>1143</v>
      </c>
      <c r="M298" s="290" t="s">
        <v>204</v>
      </c>
      <c r="N298" s="146">
        <v>2900</v>
      </c>
      <c r="O298" s="146">
        <v>725</v>
      </c>
      <c r="P298" s="146"/>
      <c r="Q298" s="892" t="s">
        <v>214</v>
      </c>
      <c r="R298" s="901" t="s">
        <v>1144</v>
      </c>
      <c r="S298" s="904" t="s">
        <v>1145</v>
      </c>
      <c r="T298" s="129"/>
      <c r="U298" s="129"/>
      <c r="V298" s="129"/>
      <c r="W298" s="129"/>
      <c r="X298" s="129"/>
      <c r="Y298" s="129"/>
      <c r="Z298" s="129"/>
      <c r="AA298" s="129"/>
      <c r="AB298" s="129"/>
      <c r="AC298" s="129"/>
      <c r="AD298" s="129"/>
      <c r="AE298" s="129"/>
      <c r="AF298" s="129"/>
      <c r="AG298" s="129"/>
      <c r="AH298" s="129"/>
      <c r="AI298" s="610"/>
      <c r="AJ298" s="610"/>
      <c r="AK298" s="610"/>
      <c r="AL298" s="129"/>
      <c r="AM298" s="129"/>
      <c r="AN298" s="129"/>
      <c r="AO298" s="129"/>
      <c r="AP298" s="129"/>
      <c r="AQ298" s="129"/>
      <c r="AR298" s="129"/>
      <c r="AS298" s="129"/>
      <c r="AT298" s="129"/>
      <c r="AU298" s="129"/>
      <c r="AV298" s="187"/>
      <c r="AW298" s="187"/>
      <c r="AX298" s="560">
        <v>19636000</v>
      </c>
      <c r="AY298" s="560">
        <v>7560000</v>
      </c>
      <c r="AZ298" s="560"/>
      <c r="BA298" s="187"/>
      <c r="BB298" s="187"/>
      <c r="BC298" s="187"/>
      <c r="BD298" s="187"/>
      <c r="BE298" s="187"/>
      <c r="BF298" s="187"/>
      <c r="BG298" s="131">
        <f t="shared" si="78"/>
        <v>19636000</v>
      </c>
      <c r="BH298" s="131">
        <f t="shared" si="78"/>
        <v>7560000</v>
      </c>
      <c r="BI298" s="131">
        <f t="shared" si="78"/>
        <v>0</v>
      </c>
    </row>
    <row r="299" spans="1:61" s="238" customFormat="1" ht="71.25" customHeight="1" x14ac:dyDescent="0.2">
      <c r="A299" s="104"/>
      <c r="B299" s="118"/>
      <c r="C299" s="207"/>
      <c r="D299" s="208"/>
      <c r="E299" s="726"/>
      <c r="F299" s="122" t="s">
        <v>1103</v>
      </c>
      <c r="G299" s="609" t="s">
        <v>1104</v>
      </c>
      <c r="H299" s="124">
        <v>1903001</v>
      </c>
      <c r="I299" s="186" t="s">
        <v>635</v>
      </c>
      <c r="J299" s="609" t="s">
        <v>1105</v>
      </c>
      <c r="K299" s="146">
        <v>190300100</v>
      </c>
      <c r="L299" s="320" t="s">
        <v>1106</v>
      </c>
      <c r="M299" s="290" t="s">
        <v>109</v>
      </c>
      <c r="N299" s="146">
        <v>1</v>
      </c>
      <c r="O299" s="124">
        <v>1</v>
      </c>
      <c r="P299" s="124"/>
      <c r="Q299" s="895"/>
      <c r="R299" s="902"/>
      <c r="S299" s="905"/>
      <c r="T299" s="129"/>
      <c r="U299" s="129"/>
      <c r="V299" s="129"/>
      <c r="W299" s="129"/>
      <c r="X299" s="129"/>
      <c r="Y299" s="129"/>
      <c r="Z299" s="129"/>
      <c r="AA299" s="129"/>
      <c r="AB299" s="129"/>
      <c r="AC299" s="129"/>
      <c r="AD299" s="129"/>
      <c r="AE299" s="129"/>
      <c r="AF299" s="129"/>
      <c r="AG299" s="129"/>
      <c r="AH299" s="129"/>
      <c r="AI299" s="610"/>
      <c r="AJ299" s="610"/>
      <c r="AK299" s="610"/>
      <c r="AL299" s="129"/>
      <c r="AM299" s="129"/>
      <c r="AN299" s="129"/>
      <c r="AO299" s="129"/>
      <c r="AP299" s="129"/>
      <c r="AQ299" s="129"/>
      <c r="AR299" s="129"/>
      <c r="AS299" s="129"/>
      <c r="AT299" s="129"/>
      <c r="AU299" s="129"/>
      <c r="AV299" s="187"/>
      <c r="AW299" s="187"/>
      <c r="AX299" s="560">
        <v>15000000</v>
      </c>
      <c r="AY299" s="560">
        <v>15000000</v>
      </c>
      <c r="AZ299" s="560">
        <v>10714666</v>
      </c>
      <c r="BA299" s="187"/>
      <c r="BB299" s="187"/>
      <c r="BC299" s="187"/>
      <c r="BD299" s="187"/>
      <c r="BE299" s="187"/>
      <c r="BF299" s="187"/>
      <c r="BG299" s="131">
        <f t="shared" si="78"/>
        <v>15000000</v>
      </c>
      <c r="BH299" s="131">
        <f t="shared" si="78"/>
        <v>15000000</v>
      </c>
      <c r="BI299" s="131">
        <f t="shared" si="78"/>
        <v>10714666</v>
      </c>
    </row>
    <row r="300" spans="1:61" s="238" customFormat="1" ht="71.25" customHeight="1" x14ac:dyDescent="0.2">
      <c r="A300" s="104"/>
      <c r="B300" s="118"/>
      <c r="C300" s="207"/>
      <c r="D300" s="208"/>
      <c r="E300" s="726"/>
      <c r="F300" s="343" t="s">
        <v>1146</v>
      </c>
      <c r="G300" s="616" t="s">
        <v>1147</v>
      </c>
      <c r="H300" s="146">
        <v>1903010</v>
      </c>
      <c r="I300" s="343" t="s">
        <v>1148</v>
      </c>
      <c r="J300" s="609" t="s">
        <v>1149</v>
      </c>
      <c r="K300" s="146">
        <v>190301000</v>
      </c>
      <c r="L300" s="343" t="s">
        <v>1150</v>
      </c>
      <c r="M300" s="290" t="s">
        <v>109</v>
      </c>
      <c r="N300" s="146">
        <v>12</v>
      </c>
      <c r="O300" s="146">
        <v>12</v>
      </c>
      <c r="P300" s="146"/>
      <c r="Q300" s="895"/>
      <c r="R300" s="902"/>
      <c r="S300" s="905"/>
      <c r="T300" s="129"/>
      <c r="U300" s="129"/>
      <c r="V300" s="129"/>
      <c r="W300" s="129"/>
      <c r="X300" s="129"/>
      <c r="Y300" s="129"/>
      <c r="Z300" s="129"/>
      <c r="AA300" s="129"/>
      <c r="AB300" s="129"/>
      <c r="AC300" s="129"/>
      <c r="AD300" s="129"/>
      <c r="AE300" s="129"/>
      <c r="AF300" s="129"/>
      <c r="AG300" s="129"/>
      <c r="AH300" s="129"/>
      <c r="AI300" s="610"/>
      <c r="AJ300" s="610"/>
      <c r="AK300" s="610"/>
      <c r="AL300" s="129"/>
      <c r="AM300" s="129"/>
      <c r="AN300" s="129"/>
      <c r="AO300" s="129"/>
      <c r="AP300" s="129"/>
      <c r="AQ300" s="129"/>
      <c r="AR300" s="129"/>
      <c r="AS300" s="129"/>
      <c r="AT300" s="129"/>
      <c r="AU300" s="129"/>
      <c r="AV300" s="187"/>
      <c r="AW300" s="187"/>
      <c r="AX300" s="560">
        <v>15000000</v>
      </c>
      <c r="AY300" s="560">
        <v>7200000</v>
      </c>
      <c r="AZ300" s="560">
        <v>7200000</v>
      </c>
      <c r="BA300" s="187"/>
      <c r="BB300" s="187"/>
      <c r="BC300" s="187"/>
      <c r="BD300" s="187"/>
      <c r="BE300" s="187"/>
      <c r="BF300" s="187"/>
      <c r="BG300" s="131">
        <f t="shared" si="78"/>
        <v>15000000</v>
      </c>
      <c r="BH300" s="131">
        <f t="shared" si="78"/>
        <v>7200000</v>
      </c>
      <c r="BI300" s="131">
        <f t="shared" si="78"/>
        <v>7200000</v>
      </c>
    </row>
    <row r="301" spans="1:61" s="238" customFormat="1" ht="71.25" customHeight="1" x14ac:dyDescent="0.2">
      <c r="A301" s="104"/>
      <c r="B301" s="118"/>
      <c r="C301" s="207"/>
      <c r="D301" s="208"/>
      <c r="E301" s="726"/>
      <c r="F301" s="917" t="s">
        <v>1151</v>
      </c>
      <c r="G301" s="934" t="s">
        <v>1099</v>
      </c>
      <c r="H301" s="921">
        <v>1903011</v>
      </c>
      <c r="I301" s="890" t="s">
        <v>1100</v>
      </c>
      <c r="J301" s="612" t="s">
        <v>1101</v>
      </c>
      <c r="K301" s="146">
        <v>190301100</v>
      </c>
      <c r="L301" s="343" t="s">
        <v>1102</v>
      </c>
      <c r="M301" s="290" t="s">
        <v>109</v>
      </c>
      <c r="N301" s="146">
        <v>140</v>
      </c>
      <c r="O301" s="146">
        <v>140</v>
      </c>
      <c r="P301" s="146"/>
      <c r="Q301" s="895"/>
      <c r="R301" s="902"/>
      <c r="S301" s="905"/>
      <c r="T301" s="129"/>
      <c r="U301" s="129"/>
      <c r="V301" s="129"/>
      <c r="W301" s="129"/>
      <c r="X301" s="129"/>
      <c r="Y301" s="129"/>
      <c r="Z301" s="129"/>
      <c r="AA301" s="129"/>
      <c r="AB301" s="129"/>
      <c r="AC301" s="129"/>
      <c r="AD301" s="129"/>
      <c r="AE301" s="129"/>
      <c r="AF301" s="129"/>
      <c r="AG301" s="129"/>
      <c r="AH301" s="129"/>
      <c r="AI301" s="610"/>
      <c r="AJ301" s="610"/>
      <c r="AK301" s="610"/>
      <c r="AL301" s="129"/>
      <c r="AM301" s="129"/>
      <c r="AN301" s="129"/>
      <c r="AO301" s="129"/>
      <c r="AP301" s="129"/>
      <c r="AQ301" s="129"/>
      <c r="AR301" s="129"/>
      <c r="AS301" s="129"/>
      <c r="AT301" s="129"/>
      <c r="AU301" s="129"/>
      <c r="AV301" s="187"/>
      <c r="AW301" s="187"/>
      <c r="AX301" s="560">
        <v>7500000</v>
      </c>
      <c r="AY301" s="560"/>
      <c r="AZ301" s="560"/>
      <c r="BA301" s="187"/>
      <c r="BB301" s="187"/>
      <c r="BC301" s="187"/>
      <c r="BD301" s="187"/>
      <c r="BE301" s="187"/>
      <c r="BF301" s="187"/>
      <c r="BG301" s="131">
        <f t="shared" ref="BG301:BI306" si="79">+T301+W301+Z301+AC301+AF301+AI301+AL301+AO301+AR301+AU301+AX301+BA301+BD301</f>
        <v>7500000</v>
      </c>
      <c r="BH301" s="131">
        <f t="shared" si="78"/>
        <v>0</v>
      </c>
      <c r="BI301" s="131">
        <f t="shared" si="78"/>
        <v>0</v>
      </c>
    </row>
    <row r="302" spans="1:61" s="238" customFormat="1" ht="71.25" customHeight="1" x14ac:dyDescent="0.2">
      <c r="A302" s="104"/>
      <c r="B302" s="118"/>
      <c r="C302" s="207"/>
      <c r="D302" s="208"/>
      <c r="E302" s="725"/>
      <c r="F302" s="918"/>
      <c r="G302" s="935"/>
      <c r="H302" s="922"/>
      <c r="I302" s="894"/>
      <c r="J302" s="609" t="s">
        <v>1126</v>
      </c>
      <c r="K302" s="146">
        <v>190301101</v>
      </c>
      <c r="L302" s="186" t="s">
        <v>1127</v>
      </c>
      <c r="M302" s="290" t="s">
        <v>109</v>
      </c>
      <c r="N302" s="146">
        <v>12</v>
      </c>
      <c r="O302" s="146">
        <v>12</v>
      </c>
      <c r="P302" s="146"/>
      <c r="Q302" s="895"/>
      <c r="R302" s="902"/>
      <c r="S302" s="905"/>
      <c r="T302" s="129"/>
      <c r="U302" s="129"/>
      <c r="V302" s="129"/>
      <c r="W302" s="129"/>
      <c r="X302" s="129"/>
      <c r="Y302" s="129"/>
      <c r="Z302" s="129"/>
      <c r="AA302" s="129"/>
      <c r="AB302" s="129"/>
      <c r="AC302" s="129"/>
      <c r="AD302" s="129"/>
      <c r="AE302" s="129"/>
      <c r="AF302" s="129"/>
      <c r="AG302" s="129"/>
      <c r="AH302" s="129"/>
      <c r="AI302" s="610"/>
      <c r="AJ302" s="610"/>
      <c r="AK302" s="610"/>
      <c r="AL302" s="129"/>
      <c r="AM302" s="129"/>
      <c r="AN302" s="129"/>
      <c r="AO302" s="129"/>
      <c r="AP302" s="129"/>
      <c r="AQ302" s="129"/>
      <c r="AR302" s="129"/>
      <c r="AS302" s="129"/>
      <c r="AT302" s="129"/>
      <c r="AU302" s="129"/>
      <c r="AV302" s="187"/>
      <c r="AW302" s="187"/>
      <c r="AX302" s="560">
        <v>7500000</v>
      </c>
      <c r="AY302" s="560">
        <v>4000000</v>
      </c>
      <c r="AZ302" s="560">
        <v>4000000</v>
      </c>
      <c r="BA302" s="187"/>
      <c r="BB302" s="187"/>
      <c r="BC302" s="187"/>
      <c r="BD302" s="187"/>
      <c r="BE302" s="187"/>
      <c r="BF302" s="187"/>
      <c r="BG302" s="131">
        <f t="shared" si="79"/>
        <v>7500000</v>
      </c>
      <c r="BH302" s="131">
        <f t="shared" si="79"/>
        <v>4000000</v>
      </c>
      <c r="BI302" s="131">
        <f t="shared" si="79"/>
        <v>4000000</v>
      </c>
    </row>
    <row r="303" spans="1:61" s="238" customFormat="1" ht="47.25" customHeight="1" x14ac:dyDescent="0.2">
      <c r="A303" s="104"/>
      <c r="B303" s="118"/>
      <c r="C303" s="207"/>
      <c r="D303" s="208"/>
      <c r="E303" s="724"/>
      <c r="F303" s="122" t="s">
        <v>1152</v>
      </c>
      <c r="G303" s="602" t="s">
        <v>1153</v>
      </c>
      <c r="H303" s="124">
        <v>1903047</v>
      </c>
      <c r="I303" s="186" t="s">
        <v>1154</v>
      </c>
      <c r="J303" s="602" t="s">
        <v>1155</v>
      </c>
      <c r="K303" s="146">
        <v>190304701</v>
      </c>
      <c r="L303" s="320" t="s">
        <v>1156</v>
      </c>
      <c r="M303" s="290" t="s">
        <v>109</v>
      </c>
      <c r="N303" s="146">
        <v>1</v>
      </c>
      <c r="O303" s="146">
        <v>1</v>
      </c>
      <c r="P303" s="146"/>
      <c r="Q303" s="892" t="s">
        <v>214</v>
      </c>
      <c r="R303" s="887" t="s">
        <v>1157</v>
      </c>
      <c r="S303" s="890" t="s">
        <v>1158</v>
      </c>
      <c r="T303" s="129"/>
      <c r="U303" s="129"/>
      <c r="V303" s="129"/>
      <c r="W303" s="129"/>
      <c r="X303" s="129"/>
      <c r="Y303" s="129"/>
      <c r="Z303" s="129"/>
      <c r="AA303" s="129"/>
      <c r="AB303" s="129"/>
      <c r="AC303" s="129"/>
      <c r="AD303" s="129"/>
      <c r="AE303" s="129"/>
      <c r="AF303" s="129"/>
      <c r="AG303" s="129"/>
      <c r="AH303" s="129"/>
      <c r="AI303" s="617">
        <v>20000000</v>
      </c>
      <c r="AJ303" s="617"/>
      <c r="AK303" s="617"/>
      <c r="AL303" s="129"/>
      <c r="AM303" s="129"/>
      <c r="AN303" s="129"/>
      <c r="AO303" s="129"/>
      <c r="AP303" s="129"/>
      <c r="AQ303" s="129"/>
      <c r="AR303" s="129"/>
      <c r="AS303" s="129"/>
      <c r="AT303" s="129"/>
      <c r="AU303" s="129"/>
      <c r="AV303" s="129"/>
      <c r="AW303" s="129"/>
      <c r="AX303" s="321"/>
      <c r="AY303" s="560"/>
      <c r="AZ303" s="560"/>
      <c r="BA303" s="187"/>
      <c r="BB303" s="187"/>
      <c r="BC303" s="187"/>
      <c r="BD303" s="187"/>
      <c r="BE303" s="187"/>
      <c r="BF303" s="187"/>
      <c r="BG303" s="131">
        <f t="shared" si="79"/>
        <v>20000000</v>
      </c>
      <c r="BH303" s="131">
        <f t="shared" si="79"/>
        <v>0</v>
      </c>
      <c r="BI303" s="131">
        <f t="shared" si="79"/>
        <v>0</v>
      </c>
    </row>
    <row r="304" spans="1:61" s="238" customFormat="1" ht="90.75" customHeight="1" x14ac:dyDescent="0.2">
      <c r="A304" s="104"/>
      <c r="B304" s="118"/>
      <c r="C304" s="207"/>
      <c r="D304" s="208"/>
      <c r="E304" s="726"/>
      <c r="F304" s="122" t="s">
        <v>1159</v>
      </c>
      <c r="G304" s="609" t="s">
        <v>1160</v>
      </c>
      <c r="H304" s="124">
        <v>1903019</v>
      </c>
      <c r="I304" s="186" t="s">
        <v>1161</v>
      </c>
      <c r="J304" s="609" t="s">
        <v>1162</v>
      </c>
      <c r="K304" s="146">
        <v>190301900</v>
      </c>
      <c r="L304" s="343" t="s">
        <v>1163</v>
      </c>
      <c r="M304" s="290" t="s">
        <v>109</v>
      </c>
      <c r="N304" s="146">
        <v>75</v>
      </c>
      <c r="O304" s="146">
        <v>75</v>
      </c>
      <c r="P304" s="146"/>
      <c r="Q304" s="895"/>
      <c r="R304" s="888"/>
      <c r="S304" s="891"/>
      <c r="T304" s="129"/>
      <c r="U304" s="129"/>
      <c r="V304" s="129"/>
      <c r="W304" s="129"/>
      <c r="X304" s="129"/>
      <c r="Y304" s="129"/>
      <c r="Z304" s="129"/>
      <c r="AA304" s="129"/>
      <c r="AB304" s="129"/>
      <c r="AC304" s="129"/>
      <c r="AD304" s="129"/>
      <c r="AE304" s="129"/>
      <c r="AF304" s="129"/>
      <c r="AG304" s="129"/>
      <c r="AH304" s="129"/>
      <c r="AI304" s="617">
        <v>90000000</v>
      </c>
      <c r="AJ304" s="617">
        <v>37866667</v>
      </c>
      <c r="AK304" s="617">
        <v>33200000</v>
      </c>
      <c r="AL304" s="129"/>
      <c r="AM304" s="129"/>
      <c r="AN304" s="129"/>
      <c r="AO304" s="129"/>
      <c r="AP304" s="129"/>
      <c r="AQ304" s="129"/>
      <c r="AR304" s="129"/>
      <c r="AS304" s="129"/>
      <c r="AT304" s="129"/>
      <c r="AU304" s="129"/>
      <c r="AV304" s="129"/>
      <c r="AW304" s="129"/>
      <c r="AX304" s="321"/>
      <c r="AY304" s="560"/>
      <c r="AZ304" s="560"/>
      <c r="BA304" s="187"/>
      <c r="BB304" s="187"/>
      <c r="BC304" s="187"/>
      <c r="BD304" s="187"/>
      <c r="BE304" s="187"/>
      <c r="BF304" s="187"/>
      <c r="BG304" s="131">
        <f t="shared" si="79"/>
        <v>90000000</v>
      </c>
      <c r="BH304" s="131">
        <f t="shared" si="79"/>
        <v>37866667</v>
      </c>
      <c r="BI304" s="131">
        <f t="shared" si="79"/>
        <v>33200000</v>
      </c>
    </row>
    <row r="305" spans="1:68" s="238" customFormat="1" ht="47.25" customHeight="1" x14ac:dyDescent="0.2">
      <c r="A305" s="104"/>
      <c r="B305" s="118"/>
      <c r="C305" s="207"/>
      <c r="D305" s="208"/>
      <c r="E305" s="726"/>
      <c r="F305" s="122" t="s">
        <v>1164</v>
      </c>
      <c r="G305" s="127" t="s">
        <v>1165</v>
      </c>
      <c r="H305" s="124">
        <v>1903028</v>
      </c>
      <c r="I305" s="186" t="s">
        <v>1166</v>
      </c>
      <c r="J305" s="127" t="s">
        <v>1167</v>
      </c>
      <c r="K305" s="146">
        <v>190302800</v>
      </c>
      <c r="L305" s="186" t="s">
        <v>1168</v>
      </c>
      <c r="M305" s="290" t="s">
        <v>109</v>
      </c>
      <c r="N305" s="146">
        <v>250</v>
      </c>
      <c r="O305" s="146">
        <v>250</v>
      </c>
      <c r="P305" s="146">
        <v>125</v>
      </c>
      <c r="Q305" s="895"/>
      <c r="R305" s="888"/>
      <c r="S305" s="891"/>
      <c r="T305" s="129"/>
      <c r="U305" s="129"/>
      <c r="V305" s="129"/>
      <c r="W305" s="129"/>
      <c r="X305" s="129"/>
      <c r="Y305" s="129"/>
      <c r="Z305" s="129"/>
      <c r="AA305" s="129"/>
      <c r="AB305" s="129"/>
      <c r="AC305" s="129"/>
      <c r="AD305" s="129"/>
      <c r="AE305" s="129"/>
      <c r="AF305" s="129"/>
      <c r="AG305" s="129"/>
      <c r="AH305" s="129"/>
      <c r="AI305" s="617">
        <v>20000000</v>
      </c>
      <c r="AJ305" s="617"/>
      <c r="AK305" s="617"/>
      <c r="AL305" s="129"/>
      <c r="AM305" s="129"/>
      <c r="AN305" s="129"/>
      <c r="AO305" s="129"/>
      <c r="AP305" s="129"/>
      <c r="AQ305" s="129"/>
      <c r="AR305" s="129"/>
      <c r="AS305" s="129"/>
      <c r="AT305" s="129"/>
      <c r="AU305" s="129"/>
      <c r="AV305" s="129"/>
      <c r="AW305" s="129"/>
      <c r="AX305" s="321"/>
      <c r="AY305" s="560"/>
      <c r="AZ305" s="560"/>
      <c r="BA305" s="187"/>
      <c r="BB305" s="187"/>
      <c r="BC305" s="187"/>
      <c r="BD305" s="187"/>
      <c r="BE305" s="187"/>
      <c r="BF305" s="187"/>
      <c r="BG305" s="131">
        <f t="shared" si="79"/>
        <v>20000000</v>
      </c>
      <c r="BH305" s="131">
        <f t="shared" si="79"/>
        <v>0</v>
      </c>
      <c r="BI305" s="131">
        <f t="shared" si="79"/>
        <v>0</v>
      </c>
    </row>
    <row r="306" spans="1:68" s="238" customFormat="1" ht="85.5" customHeight="1" x14ac:dyDescent="0.2">
      <c r="A306" s="104"/>
      <c r="B306" s="118"/>
      <c r="C306" s="618"/>
      <c r="D306" s="361"/>
      <c r="E306" s="725"/>
      <c r="F306" s="122" t="s">
        <v>1109</v>
      </c>
      <c r="G306" s="602" t="s">
        <v>1169</v>
      </c>
      <c r="H306" s="124">
        <v>1903025</v>
      </c>
      <c r="I306" s="186" t="s">
        <v>1170</v>
      </c>
      <c r="J306" s="602" t="s">
        <v>1171</v>
      </c>
      <c r="K306" s="146">
        <v>190302500</v>
      </c>
      <c r="L306" s="320" t="s">
        <v>1172</v>
      </c>
      <c r="M306" s="349" t="s">
        <v>109</v>
      </c>
      <c r="N306" s="124">
        <v>12</v>
      </c>
      <c r="O306" s="124">
        <v>12</v>
      </c>
      <c r="P306" s="124">
        <v>8</v>
      </c>
      <c r="Q306" s="893"/>
      <c r="R306" s="889"/>
      <c r="S306" s="894"/>
      <c r="T306" s="129"/>
      <c r="U306" s="129"/>
      <c r="V306" s="129"/>
      <c r="W306" s="129"/>
      <c r="X306" s="129"/>
      <c r="Y306" s="129"/>
      <c r="Z306" s="129"/>
      <c r="AA306" s="129"/>
      <c r="AB306" s="129"/>
      <c r="AC306" s="129"/>
      <c r="AD306" s="129"/>
      <c r="AE306" s="129"/>
      <c r="AF306" s="129"/>
      <c r="AG306" s="129"/>
      <c r="AH306" s="129"/>
      <c r="AI306" s="617">
        <v>20000000</v>
      </c>
      <c r="AJ306" s="617"/>
      <c r="AK306" s="617"/>
      <c r="AL306" s="129"/>
      <c r="AM306" s="129"/>
      <c r="AN306" s="129"/>
      <c r="AO306" s="129"/>
      <c r="AP306" s="129"/>
      <c r="AQ306" s="129"/>
      <c r="AR306" s="129"/>
      <c r="AS306" s="129"/>
      <c r="AT306" s="129"/>
      <c r="AU306" s="129"/>
      <c r="AV306" s="129"/>
      <c r="AW306" s="129"/>
      <c r="AX306" s="321"/>
      <c r="AY306" s="560"/>
      <c r="AZ306" s="560"/>
      <c r="BA306" s="187"/>
      <c r="BB306" s="187"/>
      <c r="BC306" s="187"/>
      <c r="BD306" s="187"/>
      <c r="BE306" s="187"/>
      <c r="BF306" s="187"/>
      <c r="BG306" s="131">
        <f t="shared" si="79"/>
        <v>20000000</v>
      </c>
      <c r="BH306" s="131">
        <f t="shared" si="79"/>
        <v>0</v>
      </c>
      <c r="BI306" s="131">
        <f t="shared" si="79"/>
        <v>0</v>
      </c>
    </row>
    <row r="307" spans="1:68" s="414" customFormat="1" ht="20.25" customHeight="1" x14ac:dyDescent="0.2">
      <c r="A307" s="600"/>
      <c r="B307" s="134"/>
      <c r="C307" s="294">
        <v>12</v>
      </c>
      <c r="D307" s="253">
        <v>1905</v>
      </c>
      <c r="E307" s="175" t="s">
        <v>866</v>
      </c>
      <c r="F307" s="138"/>
      <c r="G307" s="139"/>
      <c r="H307" s="176"/>
      <c r="I307" s="177"/>
      <c r="J307" s="178"/>
      <c r="K307" s="178"/>
      <c r="L307" s="177"/>
      <c r="M307" s="179"/>
      <c r="N307" s="180"/>
      <c r="O307" s="139"/>
      <c r="P307" s="139"/>
      <c r="Q307" s="181"/>
      <c r="R307" s="181"/>
      <c r="S307" s="177"/>
      <c r="T307" s="619">
        <f>SUM(T308:T337)</f>
        <v>0</v>
      </c>
      <c r="U307" s="619"/>
      <c r="V307" s="619"/>
      <c r="W307" s="619">
        <f>SUM(W308:W337)</f>
        <v>0</v>
      </c>
      <c r="X307" s="619"/>
      <c r="Y307" s="619"/>
      <c r="Z307" s="619">
        <f>SUM(Z308:Z337)</f>
        <v>0</v>
      </c>
      <c r="AA307" s="619"/>
      <c r="AB307" s="619"/>
      <c r="AC307" s="619">
        <f>SUM(AC308:AC337)</f>
        <v>0</v>
      </c>
      <c r="AD307" s="619"/>
      <c r="AE307" s="619"/>
      <c r="AF307" s="619">
        <f t="shared" ref="AF307:BI307" si="80">SUM(AF308:AF337)</f>
        <v>2729252214.6300001</v>
      </c>
      <c r="AG307" s="619">
        <f t="shared" si="80"/>
        <v>571971996</v>
      </c>
      <c r="AH307" s="619">
        <f t="shared" si="80"/>
        <v>139459329</v>
      </c>
      <c r="AI307" s="619">
        <f t="shared" si="80"/>
        <v>0</v>
      </c>
      <c r="AJ307" s="619">
        <f t="shared" si="80"/>
        <v>0</v>
      </c>
      <c r="AK307" s="619">
        <f t="shared" si="80"/>
        <v>0</v>
      </c>
      <c r="AL307" s="619">
        <f t="shared" si="80"/>
        <v>0</v>
      </c>
      <c r="AM307" s="619">
        <f t="shared" si="80"/>
        <v>0</v>
      </c>
      <c r="AN307" s="619">
        <f t="shared" si="80"/>
        <v>0</v>
      </c>
      <c r="AO307" s="619">
        <f t="shared" si="80"/>
        <v>0</v>
      </c>
      <c r="AP307" s="619">
        <f t="shared" si="80"/>
        <v>0</v>
      </c>
      <c r="AQ307" s="619">
        <f t="shared" si="80"/>
        <v>0</v>
      </c>
      <c r="AR307" s="619">
        <f t="shared" si="80"/>
        <v>0</v>
      </c>
      <c r="AS307" s="619">
        <f t="shared" si="80"/>
        <v>0</v>
      </c>
      <c r="AT307" s="619">
        <f t="shared" si="80"/>
        <v>0</v>
      </c>
      <c r="AU307" s="619">
        <f t="shared" si="80"/>
        <v>0</v>
      </c>
      <c r="AV307" s="619">
        <f t="shared" si="80"/>
        <v>0</v>
      </c>
      <c r="AW307" s="619">
        <f t="shared" si="80"/>
        <v>0</v>
      </c>
      <c r="AX307" s="619">
        <f t="shared" si="80"/>
        <v>3359870740</v>
      </c>
      <c r="AY307" s="619">
        <f t="shared" si="80"/>
        <v>1211978931</v>
      </c>
      <c r="AZ307" s="619">
        <f t="shared" si="80"/>
        <v>686653688</v>
      </c>
      <c r="BA307" s="619">
        <f t="shared" si="80"/>
        <v>0</v>
      </c>
      <c r="BB307" s="619">
        <f t="shared" si="80"/>
        <v>0</v>
      </c>
      <c r="BC307" s="619">
        <f t="shared" si="80"/>
        <v>0</v>
      </c>
      <c r="BD307" s="619">
        <f t="shared" si="80"/>
        <v>607607091.61000001</v>
      </c>
      <c r="BE307" s="619">
        <f t="shared" si="80"/>
        <v>59118933</v>
      </c>
      <c r="BF307" s="619">
        <f t="shared" si="80"/>
        <v>59118933</v>
      </c>
      <c r="BG307" s="619">
        <f t="shared" si="80"/>
        <v>6696730046.2400007</v>
      </c>
      <c r="BH307" s="619">
        <f t="shared" si="80"/>
        <v>1843069860</v>
      </c>
      <c r="BI307" s="619">
        <f t="shared" si="80"/>
        <v>885231950</v>
      </c>
      <c r="BJ307" s="415"/>
      <c r="BK307" s="415"/>
      <c r="BL307" s="415"/>
      <c r="BM307" s="415"/>
      <c r="BN307" s="415"/>
      <c r="BO307" s="415"/>
      <c r="BP307" s="415"/>
    </row>
    <row r="308" spans="1:68" s="238" customFormat="1" ht="120" customHeight="1" x14ac:dyDescent="0.2">
      <c r="A308" s="104"/>
      <c r="B308" s="118"/>
      <c r="C308" s="119"/>
      <c r="D308" s="120"/>
      <c r="E308" s="724"/>
      <c r="F308" s="122" t="s">
        <v>1077</v>
      </c>
      <c r="G308" s="127" t="s">
        <v>1173</v>
      </c>
      <c r="H308" s="184">
        <v>1905028</v>
      </c>
      <c r="I308" s="186" t="s">
        <v>1174</v>
      </c>
      <c r="J308" s="127" t="s">
        <v>1175</v>
      </c>
      <c r="K308" s="146">
        <v>190502800</v>
      </c>
      <c r="L308" s="186" t="s">
        <v>1176</v>
      </c>
      <c r="M308" s="127" t="s">
        <v>109</v>
      </c>
      <c r="N308" s="124">
        <v>12</v>
      </c>
      <c r="O308" s="124">
        <v>12</v>
      </c>
      <c r="P308" s="124">
        <v>2</v>
      </c>
      <c r="Q308" s="887" t="s">
        <v>214</v>
      </c>
      <c r="R308" s="887" t="s">
        <v>1070</v>
      </c>
      <c r="S308" s="890" t="s">
        <v>10</v>
      </c>
      <c r="T308" s="129"/>
      <c r="U308" s="129"/>
      <c r="V308" s="129"/>
      <c r="W308" s="129"/>
      <c r="X308" s="129"/>
      <c r="Y308" s="129"/>
      <c r="Z308" s="129"/>
      <c r="AA308" s="129"/>
      <c r="AB308" s="129"/>
      <c r="AC308" s="129"/>
      <c r="AD308" s="129"/>
      <c r="AE308" s="129"/>
      <c r="AF308" s="129">
        <v>40000000</v>
      </c>
      <c r="AG308" s="129">
        <v>11866667</v>
      </c>
      <c r="AH308" s="129">
        <v>11866667</v>
      </c>
      <c r="AI308" s="129"/>
      <c r="AJ308" s="129"/>
      <c r="AK308" s="129"/>
      <c r="AL308" s="129"/>
      <c r="AM308" s="129"/>
      <c r="AN308" s="129"/>
      <c r="AO308" s="129"/>
      <c r="AP308" s="129"/>
      <c r="AQ308" s="129"/>
      <c r="AR308" s="129"/>
      <c r="AS308" s="129"/>
      <c r="AT308" s="129"/>
      <c r="AU308" s="129"/>
      <c r="AV308" s="187"/>
      <c r="AW308" s="187"/>
      <c r="AX308" s="560"/>
      <c r="AY308" s="560"/>
      <c r="AZ308" s="560"/>
      <c r="BA308" s="187"/>
      <c r="BB308" s="187"/>
      <c r="BC308" s="187"/>
      <c r="BD308" s="187"/>
      <c r="BE308" s="187"/>
      <c r="BF308" s="187"/>
      <c r="BG308" s="131">
        <f t="shared" ref="BG308:BI337" si="81">+T308+W308+Z308+AC308+AF308+AI308+AL308+AO308+AR308+AU308+AX308+BA308+BD308</f>
        <v>40000000</v>
      </c>
      <c r="BH308" s="131">
        <f t="shared" si="81"/>
        <v>11866667</v>
      </c>
      <c r="BI308" s="131">
        <f t="shared" si="81"/>
        <v>11866667</v>
      </c>
    </row>
    <row r="309" spans="1:68" s="238" customFormat="1" ht="114.75" customHeight="1" x14ac:dyDescent="0.2">
      <c r="A309" s="104"/>
      <c r="B309" s="118"/>
      <c r="C309" s="282"/>
      <c r="D309" s="323"/>
      <c r="E309" s="725"/>
      <c r="F309" s="122" t="s">
        <v>1077</v>
      </c>
      <c r="G309" s="127" t="s">
        <v>1177</v>
      </c>
      <c r="H309" s="184">
        <v>1905031</v>
      </c>
      <c r="I309" s="186" t="s">
        <v>1178</v>
      </c>
      <c r="J309" s="127" t="s">
        <v>1179</v>
      </c>
      <c r="K309" s="124">
        <v>190503100</v>
      </c>
      <c r="L309" s="186" t="s">
        <v>1180</v>
      </c>
      <c r="M309" s="290" t="s">
        <v>109</v>
      </c>
      <c r="N309" s="146">
        <v>12</v>
      </c>
      <c r="O309" s="146">
        <v>12</v>
      </c>
      <c r="P309" s="146">
        <v>2</v>
      </c>
      <c r="Q309" s="889"/>
      <c r="R309" s="888"/>
      <c r="S309" s="891"/>
      <c r="T309" s="129"/>
      <c r="U309" s="129"/>
      <c r="V309" s="129"/>
      <c r="W309" s="129"/>
      <c r="X309" s="129"/>
      <c r="Y309" s="129"/>
      <c r="Z309" s="129"/>
      <c r="AA309" s="129"/>
      <c r="AB309" s="129"/>
      <c r="AC309" s="129"/>
      <c r="AD309" s="129"/>
      <c r="AE309" s="129"/>
      <c r="AF309" s="129">
        <v>40000000</v>
      </c>
      <c r="AG309" s="129"/>
      <c r="AH309" s="129"/>
      <c r="AI309" s="129"/>
      <c r="AJ309" s="129"/>
      <c r="AK309" s="129"/>
      <c r="AL309" s="129"/>
      <c r="AM309" s="129"/>
      <c r="AN309" s="129"/>
      <c r="AO309" s="129"/>
      <c r="AP309" s="129"/>
      <c r="AQ309" s="129"/>
      <c r="AR309" s="129"/>
      <c r="AS309" s="129"/>
      <c r="AT309" s="129"/>
      <c r="AU309" s="129"/>
      <c r="AV309" s="187"/>
      <c r="AW309" s="187"/>
      <c r="AX309" s="560"/>
      <c r="AY309" s="560"/>
      <c r="AZ309" s="560"/>
      <c r="BA309" s="187"/>
      <c r="BB309" s="187"/>
      <c r="BC309" s="187"/>
      <c r="BD309" s="187"/>
      <c r="BE309" s="187"/>
      <c r="BF309" s="187"/>
      <c r="BG309" s="131">
        <f t="shared" si="81"/>
        <v>40000000</v>
      </c>
      <c r="BH309" s="131">
        <f t="shared" si="81"/>
        <v>0</v>
      </c>
      <c r="BI309" s="131">
        <f t="shared" si="81"/>
        <v>0</v>
      </c>
    </row>
    <row r="310" spans="1:68" s="238" customFormat="1" ht="63.75" customHeight="1" x14ac:dyDescent="0.2">
      <c r="A310" s="104"/>
      <c r="B310" s="118"/>
      <c r="C310" s="282"/>
      <c r="D310" s="323"/>
      <c r="E310" s="724"/>
      <c r="F310" s="122" t="s">
        <v>1181</v>
      </c>
      <c r="G310" s="127" t="s">
        <v>1182</v>
      </c>
      <c r="H310" s="124">
        <v>1905019</v>
      </c>
      <c r="I310" s="186" t="s">
        <v>1183</v>
      </c>
      <c r="J310" s="127" t="s">
        <v>1184</v>
      </c>
      <c r="K310" s="124">
        <v>190501900</v>
      </c>
      <c r="L310" s="186" t="s">
        <v>415</v>
      </c>
      <c r="M310" s="290" t="s">
        <v>109</v>
      </c>
      <c r="N310" s="146">
        <v>60</v>
      </c>
      <c r="O310" s="146">
        <v>60</v>
      </c>
      <c r="P310" s="146">
        <v>25</v>
      </c>
      <c r="Q310" s="901" t="s">
        <v>214</v>
      </c>
      <c r="R310" s="936" t="s">
        <v>1185</v>
      </c>
      <c r="S310" s="897" t="s">
        <v>1186</v>
      </c>
      <c r="T310" s="129"/>
      <c r="U310" s="129"/>
      <c r="V310" s="129"/>
      <c r="W310" s="129"/>
      <c r="X310" s="129"/>
      <c r="Y310" s="129"/>
      <c r="Z310" s="129"/>
      <c r="AA310" s="129"/>
      <c r="AB310" s="129"/>
      <c r="AC310" s="129"/>
      <c r="AD310" s="129"/>
      <c r="AE310" s="129"/>
      <c r="AF310" s="620">
        <v>20000000</v>
      </c>
      <c r="AG310" s="620"/>
      <c r="AH310" s="620"/>
      <c r="AI310" s="129"/>
      <c r="AJ310" s="129"/>
      <c r="AK310" s="129"/>
      <c r="AL310" s="129"/>
      <c r="AM310" s="129"/>
      <c r="AN310" s="129"/>
      <c r="AO310" s="129"/>
      <c r="AP310" s="129"/>
      <c r="AQ310" s="129"/>
      <c r="AR310" s="129"/>
      <c r="AS310" s="129"/>
      <c r="AT310" s="129"/>
      <c r="AU310" s="129"/>
      <c r="AV310" s="187"/>
      <c r="AW310" s="187"/>
      <c r="AX310" s="560"/>
      <c r="AY310" s="560"/>
      <c r="AZ310" s="560"/>
      <c r="BA310" s="187"/>
      <c r="BB310" s="187"/>
      <c r="BC310" s="187"/>
      <c r="BD310" s="187"/>
      <c r="BE310" s="187"/>
      <c r="BF310" s="187"/>
      <c r="BG310" s="131">
        <f t="shared" si="81"/>
        <v>20000000</v>
      </c>
      <c r="BH310" s="131">
        <f t="shared" si="81"/>
        <v>0</v>
      </c>
      <c r="BI310" s="131">
        <f t="shared" si="81"/>
        <v>0</v>
      </c>
    </row>
    <row r="311" spans="1:68" s="238" customFormat="1" ht="125.25" customHeight="1" x14ac:dyDescent="0.2">
      <c r="A311" s="104"/>
      <c r="B311" s="118"/>
      <c r="C311" s="282"/>
      <c r="D311" s="323"/>
      <c r="E311" s="726"/>
      <c r="F311" s="145" t="s">
        <v>1187</v>
      </c>
      <c r="G311" s="127" t="s">
        <v>1188</v>
      </c>
      <c r="H311" s="184" t="s">
        <v>102</v>
      </c>
      <c r="I311" s="186" t="s">
        <v>1189</v>
      </c>
      <c r="J311" s="127" t="s">
        <v>1190</v>
      </c>
      <c r="K311" s="127" t="s">
        <v>102</v>
      </c>
      <c r="L311" s="186" t="s">
        <v>1191</v>
      </c>
      <c r="M311" s="127" t="s">
        <v>109</v>
      </c>
      <c r="N311" s="124">
        <v>11</v>
      </c>
      <c r="O311" s="464">
        <v>11</v>
      </c>
      <c r="P311" s="464"/>
      <c r="Q311" s="902"/>
      <c r="R311" s="936"/>
      <c r="S311" s="897"/>
      <c r="T311" s="129"/>
      <c r="U311" s="129"/>
      <c r="V311" s="129"/>
      <c r="W311" s="129"/>
      <c r="X311" s="129"/>
      <c r="Y311" s="129"/>
      <c r="Z311" s="129"/>
      <c r="AA311" s="129"/>
      <c r="AB311" s="129"/>
      <c r="AC311" s="129"/>
      <c r="AD311" s="129"/>
      <c r="AE311" s="129"/>
      <c r="AF311" s="620">
        <v>20000000</v>
      </c>
      <c r="AG311" s="620"/>
      <c r="AH311" s="620"/>
      <c r="AI311" s="129"/>
      <c r="AJ311" s="129"/>
      <c r="AK311" s="129"/>
      <c r="AL311" s="129"/>
      <c r="AM311" s="129"/>
      <c r="AN311" s="129"/>
      <c r="AO311" s="129"/>
      <c r="AP311" s="129"/>
      <c r="AQ311" s="129"/>
      <c r="AR311" s="129"/>
      <c r="AS311" s="129"/>
      <c r="AT311" s="129"/>
      <c r="AU311" s="129"/>
      <c r="AV311" s="187"/>
      <c r="AW311" s="187"/>
      <c r="AX311" s="560"/>
      <c r="AY311" s="560"/>
      <c r="AZ311" s="560"/>
      <c r="BA311" s="187"/>
      <c r="BB311" s="187"/>
      <c r="BC311" s="187"/>
      <c r="BD311" s="187"/>
      <c r="BE311" s="187"/>
      <c r="BF311" s="187"/>
      <c r="BG311" s="131">
        <f t="shared" si="81"/>
        <v>20000000</v>
      </c>
      <c r="BH311" s="131">
        <f t="shared" si="81"/>
        <v>0</v>
      </c>
      <c r="BI311" s="131">
        <f t="shared" si="81"/>
        <v>0</v>
      </c>
    </row>
    <row r="312" spans="1:68" s="238" customFormat="1" ht="93.75" customHeight="1" x14ac:dyDescent="0.2">
      <c r="A312" s="104"/>
      <c r="B312" s="118"/>
      <c r="C312" s="282"/>
      <c r="D312" s="323"/>
      <c r="E312" s="726"/>
      <c r="F312" s="145" t="s">
        <v>1192</v>
      </c>
      <c r="G312" s="518" t="s">
        <v>1193</v>
      </c>
      <c r="H312" s="124" t="s">
        <v>102</v>
      </c>
      <c r="I312" s="186" t="s">
        <v>1194</v>
      </c>
      <c r="J312" s="518" t="s">
        <v>1195</v>
      </c>
      <c r="K312" s="146" t="s">
        <v>102</v>
      </c>
      <c r="L312" s="320" t="s">
        <v>1196</v>
      </c>
      <c r="M312" s="290" t="s">
        <v>109</v>
      </c>
      <c r="N312" s="146">
        <v>1</v>
      </c>
      <c r="O312" s="146">
        <v>1</v>
      </c>
      <c r="P312" s="146"/>
      <c r="Q312" s="902"/>
      <c r="R312" s="936"/>
      <c r="S312" s="897"/>
      <c r="T312" s="129"/>
      <c r="U312" s="129"/>
      <c r="V312" s="129"/>
      <c r="W312" s="129"/>
      <c r="X312" s="129"/>
      <c r="Y312" s="129"/>
      <c r="Z312" s="129"/>
      <c r="AA312" s="129"/>
      <c r="AB312" s="129"/>
      <c r="AC312" s="129"/>
      <c r="AD312" s="129"/>
      <c r="AE312" s="129"/>
      <c r="AF312" s="620">
        <v>20000000</v>
      </c>
      <c r="AG312" s="620"/>
      <c r="AH312" s="620"/>
      <c r="AI312" s="129"/>
      <c r="AJ312" s="129"/>
      <c r="AK312" s="129"/>
      <c r="AL312" s="129"/>
      <c r="AM312" s="129"/>
      <c r="AN312" s="129"/>
      <c r="AO312" s="129"/>
      <c r="AP312" s="129"/>
      <c r="AQ312" s="129"/>
      <c r="AR312" s="129"/>
      <c r="AS312" s="129"/>
      <c r="AT312" s="129"/>
      <c r="AU312" s="129"/>
      <c r="AV312" s="187"/>
      <c r="AW312" s="187"/>
      <c r="AX312" s="560"/>
      <c r="AY312" s="560"/>
      <c r="AZ312" s="560"/>
      <c r="BA312" s="187"/>
      <c r="BB312" s="187"/>
      <c r="BC312" s="187"/>
      <c r="BD312" s="187"/>
      <c r="BE312" s="187"/>
      <c r="BF312" s="187"/>
      <c r="BG312" s="131">
        <f t="shared" si="81"/>
        <v>20000000</v>
      </c>
      <c r="BH312" s="131">
        <f t="shared" si="81"/>
        <v>0</v>
      </c>
      <c r="BI312" s="131">
        <f t="shared" si="81"/>
        <v>0</v>
      </c>
    </row>
    <row r="313" spans="1:68" s="238" customFormat="1" ht="93.75" customHeight="1" x14ac:dyDescent="0.2">
      <c r="A313" s="104"/>
      <c r="B313" s="118"/>
      <c r="C313" s="282"/>
      <c r="D313" s="323"/>
      <c r="E313" s="726"/>
      <c r="F313" s="122" t="s">
        <v>1082</v>
      </c>
      <c r="G313" s="518" t="s">
        <v>1197</v>
      </c>
      <c r="H313" s="124" t="s">
        <v>102</v>
      </c>
      <c r="I313" s="186" t="s">
        <v>1198</v>
      </c>
      <c r="J313" s="518" t="s">
        <v>1199</v>
      </c>
      <c r="K313" s="146" t="s">
        <v>102</v>
      </c>
      <c r="L313" s="320" t="s">
        <v>1200</v>
      </c>
      <c r="M313" s="290" t="s">
        <v>204</v>
      </c>
      <c r="N313" s="146">
        <v>11</v>
      </c>
      <c r="O313" s="146">
        <v>1</v>
      </c>
      <c r="P313" s="146"/>
      <c r="Q313" s="902"/>
      <c r="R313" s="936"/>
      <c r="S313" s="897"/>
      <c r="T313" s="129"/>
      <c r="U313" s="129"/>
      <c r="V313" s="129"/>
      <c r="W313" s="129"/>
      <c r="X313" s="129"/>
      <c r="Y313" s="129"/>
      <c r="Z313" s="129"/>
      <c r="AA313" s="129"/>
      <c r="AB313" s="129"/>
      <c r="AC313" s="129"/>
      <c r="AD313" s="129"/>
      <c r="AE313" s="129"/>
      <c r="AF313" s="620">
        <v>70000000</v>
      </c>
      <c r="AG313" s="620"/>
      <c r="AH313" s="620"/>
      <c r="AI313" s="129"/>
      <c r="AJ313" s="129"/>
      <c r="AK313" s="129"/>
      <c r="AL313" s="129"/>
      <c r="AM313" s="129"/>
      <c r="AN313" s="129"/>
      <c r="AO313" s="129"/>
      <c r="AP313" s="129"/>
      <c r="AQ313" s="129"/>
      <c r="AR313" s="129"/>
      <c r="AS313" s="129"/>
      <c r="AT313" s="129"/>
      <c r="AU313" s="129"/>
      <c r="AV313" s="187"/>
      <c r="AW313" s="187"/>
      <c r="AX313" s="560"/>
      <c r="AY313" s="560"/>
      <c r="AZ313" s="560"/>
      <c r="BA313" s="187"/>
      <c r="BB313" s="187"/>
      <c r="BC313" s="187"/>
      <c r="BD313" s="187"/>
      <c r="BE313" s="187"/>
      <c r="BF313" s="187"/>
      <c r="BG313" s="131">
        <f t="shared" si="81"/>
        <v>70000000</v>
      </c>
      <c r="BH313" s="131">
        <f t="shared" si="81"/>
        <v>0</v>
      </c>
      <c r="BI313" s="131">
        <f t="shared" si="81"/>
        <v>0</v>
      </c>
    </row>
    <row r="314" spans="1:68" s="238" customFormat="1" ht="93.75" customHeight="1" x14ac:dyDescent="0.2">
      <c r="A314" s="104"/>
      <c r="B314" s="118"/>
      <c r="C314" s="282"/>
      <c r="D314" s="323"/>
      <c r="E314" s="726"/>
      <c r="F314" s="122" t="s">
        <v>1201</v>
      </c>
      <c r="G314" s="518" t="s">
        <v>1202</v>
      </c>
      <c r="H314" s="124" t="s">
        <v>102</v>
      </c>
      <c r="I314" s="186" t="s">
        <v>1203</v>
      </c>
      <c r="J314" s="518" t="s">
        <v>1204</v>
      </c>
      <c r="K314" s="146" t="s">
        <v>102</v>
      </c>
      <c r="L314" s="320" t="s">
        <v>1205</v>
      </c>
      <c r="M314" s="127" t="s">
        <v>204</v>
      </c>
      <c r="N314" s="124">
        <v>12</v>
      </c>
      <c r="O314" s="621">
        <v>2</v>
      </c>
      <c r="P314" s="621"/>
      <c r="Q314" s="902"/>
      <c r="R314" s="936"/>
      <c r="S314" s="897"/>
      <c r="T314" s="129"/>
      <c r="U314" s="129"/>
      <c r="V314" s="129"/>
      <c r="W314" s="129"/>
      <c r="X314" s="129"/>
      <c r="Y314" s="129"/>
      <c r="Z314" s="129"/>
      <c r="AA314" s="129"/>
      <c r="AB314" s="129"/>
      <c r="AC314" s="129"/>
      <c r="AD314" s="129"/>
      <c r="AE314" s="129"/>
      <c r="AF314" s="620">
        <v>20000000</v>
      </c>
      <c r="AG314" s="620">
        <v>11200000</v>
      </c>
      <c r="AH314" s="620">
        <v>8400000</v>
      </c>
      <c r="AI314" s="129"/>
      <c r="AJ314" s="129"/>
      <c r="AK314" s="129"/>
      <c r="AL314" s="129"/>
      <c r="AM314" s="129"/>
      <c r="AN314" s="129"/>
      <c r="AO314" s="129"/>
      <c r="AP314" s="129"/>
      <c r="AQ314" s="129"/>
      <c r="AR314" s="129"/>
      <c r="AS314" s="129"/>
      <c r="AT314" s="129"/>
      <c r="AU314" s="129"/>
      <c r="AV314" s="187"/>
      <c r="AW314" s="187"/>
      <c r="AX314" s="560"/>
      <c r="AY314" s="560"/>
      <c r="AZ314" s="560"/>
      <c r="BA314" s="187"/>
      <c r="BB314" s="187"/>
      <c r="BC314" s="187"/>
      <c r="BD314" s="187"/>
      <c r="BE314" s="187"/>
      <c r="BF314" s="187"/>
      <c r="BG314" s="131">
        <f t="shared" si="81"/>
        <v>20000000</v>
      </c>
      <c r="BH314" s="131">
        <f t="shared" si="81"/>
        <v>11200000</v>
      </c>
      <c r="BI314" s="131">
        <f t="shared" si="81"/>
        <v>8400000</v>
      </c>
    </row>
    <row r="315" spans="1:68" s="238" customFormat="1" ht="93.75" customHeight="1" x14ac:dyDescent="0.2">
      <c r="A315" s="104"/>
      <c r="B315" s="118"/>
      <c r="C315" s="282"/>
      <c r="D315" s="323"/>
      <c r="E315" s="726"/>
      <c r="F315" s="122" t="s">
        <v>1082</v>
      </c>
      <c r="G315" s="518" t="s">
        <v>1206</v>
      </c>
      <c r="H315" s="124" t="s">
        <v>102</v>
      </c>
      <c r="I315" s="186" t="s">
        <v>1207</v>
      </c>
      <c r="J315" s="518" t="s">
        <v>1208</v>
      </c>
      <c r="K315" s="146" t="s">
        <v>102</v>
      </c>
      <c r="L315" s="320" t="s">
        <v>1209</v>
      </c>
      <c r="M315" s="290" t="s">
        <v>204</v>
      </c>
      <c r="N315" s="146">
        <v>12</v>
      </c>
      <c r="O315" s="146">
        <v>2</v>
      </c>
      <c r="P315" s="146"/>
      <c r="Q315" s="902"/>
      <c r="R315" s="936"/>
      <c r="S315" s="897"/>
      <c r="T315" s="129"/>
      <c r="U315" s="129"/>
      <c r="V315" s="129"/>
      <c r="W315" s="129"/>
      <c r="X315" s="129"/>
      <c r="Y315" s="129"/>
      <c r="Z315" s="129"/>
      <c r="AA315" s="129"/>
      <c r="AB315" s="129"/>
      <c r="AC315" s="129"/>
      <c r="AD315" s="129"/>
      <c r="AE315" s="129"/>
      <c r="AF315" s="620">
        <v>30000000</v>
      </c>
      <c r="AG315" s="620"/>
      <c r="AH315" s="620"/>
      <c r="AI315" s="129"/>
      <c r="AJ315" s="129"/>
      <c r="AK315" s="129"/>
      <c r="AL315" s="129"/>
      <c r="AM315" s="129"/>
      <c r="AN315" s="129"/>
      <c r="AO315" s="129"/>
      <c r="AP315" s="129"/>
      <c r="AQ315" s="129"/>
      <c r="AR315" s="129"/>
      <c r="AS315" s="129"/>
      <c r="AT315" s="129"/>
      <c r="AU315" s="129"/>
      <c r="AV315" s="187"/>
      <c r="AW315" s="187"/>
      <c r="AX315" s="560"/>
      <c r="AY315" s="560"/>
      <c r="AZ315" s="560"/>
      <c r="BA315" s="187"/>
      <c r="BB315" s="187"/>
      <c r="BC315" s="187"/>
      <c r="BD315" s="187"/>
      <c r="BE315" s="187"/>
      <c r="BF315" s="187"/>
      <c r="BG315" s="131">
        <f t="shared" si="81"/>
        <v>30000000</v>
      </c>
      <c r="BH315" s="131">
        <f t="shared" si="81"/>
        <v>0</v>
      </c>
      <c r="BI315" s="131">
        <f t="shared" si="81"/>
        <v>0</v>
      </c>
    </row>
    <row r="316" spans="1:68" s="238" customFormat="1" ht="93.75" customHeight="1" x14ac:dyDescent="0.2">
      <c r="A316" s="104"/>
      <c r="B316" s="118"/>
      <c r="C316" s="282"/>
      <c r="D316" s="323"/>
      <c r="E316" s="725"/>
      <c r="F316" s="122" t="s">
        <v>1139</v>
      </c>
      <c r="G316" s="518" t="s">
        <v>1210</v>
      </c>
      <c r="H316" s="124" t="s">
        <v>102</v>
      </c>
      <c r="I316" s="186" t="s">
        <v>1211</v>
      </c>
      <c r="J316" s="518" t="s">
        <v>1212</v>
      </c>
      <c r="K316" s="146" t="s">
        <v>102</v>
      </c>
      <c r="L316" s="320" t="s">
        <v>1213</v>
      </c>
      <c r="M316" s="290" t="s">
        <v>204</v>
      </c>
      <c r="N316" s="146">
        <v>12</v>
      </c>
      <c r="O316" s="146">
        <v>2</v>
      </c>
      <c r="P316" s="146"/>
      <c r="Q316" s="903"/>
      <c r="R316" s="936"/>
      <c r="S316" s="897"/>
      <c r="T316" s="129"/>
      <c r="U316" s="129"/>
      <c r="V316" s="129"/>
      <c r="W316" s="129"/>
      <c r="X316" s="129"/>
      <c r="Y316" s="129"/>
      <c r="Z316" s="129"/>
      <c r="AA316" s="129"/>
      <c r="AB316" s="129"/>
      <c r="AC316" s="129"/>
      <c r="AD316" s="129"/>
      <c r="AE316" s="129"/>
      <c r="AF316" s="620">
        <v>30000000</v>
      </c>
      <c r="AG316" s="620"/>
      <c r="AH316" s="620"/>
      <c r="AI316" s="129"/>
      <c r="AJ316" s="129"/>
      <c r="AK316" s="129"/>
      <c r="AL316" s="129"/>
      <c r="AM316" s="129"/>
      <c r="AN316" s="129"/>
      <c r="AO316" s="129"/>
      <c r="AP316" s="129"/>
      <c r="AQ316" s="129"/>
      <c r="AR316" s="129"/>
      <c r="AS316" s="129"/>
      <c r="AT316" s="129"/>
      <c r="AU316" s="129"/>
      <c r="AV316" s="187"/>
      <c r="AW316" s="187"/>
      <c r="AX316" s="560"/>
      <c r="AY316" s="560"/>
      <c r="AZ316" s="560"/>
      <c r="BA316" s="187"/>
      <c r="BB316" s="187"/>
      <c r="BC316" s="187"/>
      <c r="BD316" s="187"/>
      <c r="BE316" s="187"/>
      <c r="BF316" s="187"/>
      <c r="BG316" s="131">
        <f t="shared" si="81"/>
        <v>30000000</v>
      </c>
      <c r="BH316" s="131">
        <f t="shared" si="81"/>
        <v>0</v>
      </c>
      <c r="BI316" s="131">
        <f t="shared" si="81"/>
        <v>0</v>
      </c>
    </row>
    <row r="317" spans="1:68" s="238" customFormat="1" ht="180" x14ac:dyDescent="0.2">
      <c r="A317" s="104"/>
      <c r="B317" s="118"/>
      <c r="C317" s="282"/>
      <c r="D317" s="323"/>
      <c r="E317" s="721"/>
      <c r="F317" s="622" t="s">
        <v>867</v>
      </c>
      <c r="G317" s="146" t="s">
        <v>868</v>
      </c>
      <c r="H317" s="184">
        <v>1905021</v>
      </c>
      <c r="I317" s="186" t="s">
        <v>869</v>
      </c>
      <c r="J317" s="146" t="s">
        <v>870</v>
      </c>
      <c r="K317" s="146">
        <v>190502100</v>
      </c>
      <c r="L317" s="320" t="s">
        <v>871</v>
      </c>
      <c r="M317" s="127" t="s">
        <v>109</v>
      </c>
      <c r="N317" s="124">
        <v>12</v>
      </c>
      <c r="O317" s="464">
        <v>12</v>
      </c>
      <c r="P317" s="464">
        <v>1</v>
      </c>
      <c r="Q317" s="892" t="s">
        <v>214</v>
      </c>
      <c r="R317" s="887" t="s">
        <v>1214</v>
      </c>
      <c r="S317" s="890" t="s">
        <v>1215</v>
      </c>
      <c r="T317" s="129"/>
      <c r="U317" s="129"/>
      <c r="V317" s="129"/>
      <c r="W317" s="129"/>
      <c r="X317" s="129"/>
      <c r="Y317" s="129"/>
      <c r="Z317" s="129"/>
      <c r="AA317" s="129"/>
      <c r="AB317" s="129"/>
      <c r="AC317" s="129"/>
      <c r="AD317" s="129"/>
      <c r="AE317" s="129"/>
      <c r="AF317" s="620">
        <v>88000000</v>
      </c>
      <c r="AG317" s="620"/>
      <c r="AH317" s="620"/>
      <c r="AI317" s="129"/>
      <c r="AJ317" s="129"/>
      <c r="AK317" s="129"/>
      <c r="AL317" s="129"/>
      <c r="AM317" s="129"/>
      <c r="AN317" s="129"/>
      <c r="AO317" s="129"/>
      <c r="AP317" s="129"/>
      <c r="AQ317" s="129"/>
      <c r="AR317" s="129"/>
      <c r="AS317" s="129"/>
      <c r="AT317" s="129"/>
      <c r="AU317" s="129"/>
      <c r="AV317" s="187"/>
      <c r="AW317" s="187"/>
      <c r="AX317" s="560"/>
      <c r="AY317" s="560"/>
      <c r="AZ317" s="560"/>
      <c r="BA317" s="187"/>
      <c r="BB317" s="187"/>
      <c r="BC317" s="187"/>
      <c r="BD317" s="187"/>
      <c r="BE317" s="187"/>
      <c r="BF317" s="187"/>
      <c r="BG317" s="131">
        <f t="shared" si="81"/>
        <v>88000000</v>
      </c>
      <c r="BH317" s="131">
        <f t="shared" si="81"/>
        <v>0</v>
      </c>
      <c r="BI317" s="131">
        <f t="shared" si="81"/>
        <v>0</v>
      </c>
    </row>
    <row r="318" spans="1:68" s="238" customFormat="1" ht="129" customHeight="1" x14ac:dyDescent="0.2">
      <c r="A318" s="104"/>
      <c r="B318" s="118"/>
      <c r="C318" s="282"/>
      <c r="D318" s="323"/>
      <c r="E318" s="725"/>
      <c r="F318" s="145" t="s">
        <v>1187</v>
      </c>
      <c r="G318" s="127" t="s">
        <v>1188</v>
      </c>
      <c r="H318" s="124" t="s">
        <v>102</v>
      </c>
      <c r="I318" s="186" t="s">
        <v>1216</v>
      </c>
      <c r="J318" s="127" t="s">
        <v>1190</v>
      </c>
      <c r="K318" s="127" t="s">
        <v>102</v>
      </c>
      <c r="L318" s="186" t="s">
        <v>1191</v>
      </c>
      <c r="M318" s="127" t="s">
        <v>109</v>
      </c>
      <c r="N318" s="124">
        <v>11</v>
      </c>
      <c r="O318" s="464">
        <v>11</v>
      </c>
      <c r="P318" s="464"/>
      <c r="Q318" s="893"/>
      <c r="R318" s="889"/>
      <c r="S318" s="894"/>
      <c r="T318" s="129"/>
      <c r="U318" s="129"/>
      <c r="V318" s="129"/>
      <c r="W318" s="129"/>
      <c r="X318" s="129"/>
      <c r="Y318" s="129"/>
      <c r="Z318" s="129"/>
      <c r="AA318" s="129"/>
      <c r="AB318" s="129"/>
      <c r="AC318" s="129"/>
      <c r="AD318" s="129"/>
      <c r="AE318" s="129"/>
      <c r="AF318" s="620">
        <v>60000000</v>
      </c>
      <c r="AG318" s="620"/>
      <c r="AH318" s="620"/>
      <c r="AI318" s="129"/>
      <c r="AJ318" s="129"/>
      <c r="AK318" s="129"/>
      <c r="AL318" s="129"/>
      <c r="AM318" s="129"/>
      <c r="AN318" s="129"/>
      <c r="AO318" s="129"/>
      <c r="AP318" s="129"/>
      <c r="AQ318" s="129"/>
      <c r="AR318" s="129"/>
      <c r="AS318" s="129"/>
      <c r="AT318" s="129"/>
      <c r="AU318" s="129"/>
      <c r="AV318" s="187"/>
      <c r="AW318" s="187"/>
      <c r="AX318" s="560"/>
      <c r="AY318" s="560"/>
      <c r="AZ318" s="560"/>
      <c r="BA318" s="187"/>
      <c r="BB318" s="187"/>
      <c r="BC318" s="187"/>
      <c r="BD318" s="187"/>
      <c r="BE318" s="187"/>
      <c r="BF318" s="187"/>
      <c r="BG318" s="131">
        <f t="shared" si="81"/>
        <v>60000000</v>
      </c>
      <c r="BH318" s="131">
        <f t="shared" si="81"/>
        <v>0</v>
      </c>
      <c r="BI318" s="131">
        <f t="shared" si="81"/>
        <v>0</v>
      </c>
    </row>
    <row r="319" spans="1:68" s="238" customFormat="1" ht="103.5" customHeight="1" x14ac:dyDescent="0.2">
      <c r="A319" s="104"/>
      <c r="B319" s="118"/>
      <c r="C319" s="282"/>
      <c r="D319" s="323"/>
      <c r="E319" s="724"/>
      <c r="F319" s="122" t="s">
        <v>1109</v>
      </c>
      <c r="G319" s="146" t="s">
        <v>1217</v>
      </c>
      <c r="H319" s="193">
        <v>1905020</v>
      </c>
      <c r="I319" s="186" t="s">
        <v>1218</v>
      </c>
      <c r="J319" s="146" t="s">
        <v>1219</v>
      </c>
      <c r="K319" s="146">
        <v>190502000</v>
      </c>
      <c r="L319" s="320" t="s">
        <v>1220</v>
      </c>
      <c r="M319" s="290" t="s">
        <v>109</v>
      </c>
      <c r="N319" s="146">
        <v>12</v>
      </c>
      <c r="O319" s="146">
        <v>12</v>
      </c>
      <c r="P319" s="146">
        <v>1</v>
      </c>
      <c r="Q319" s="892" t="s">
        <v>214</v>
      </c>
      <c r="R319" s="901" t="s">
        <v>1221</v>
      </c>
      <c r="S319" s="904" t="s">
        <v>1222</v>
      </c>
      <c r="T319" s="129"/>
      <c r="U319" s="129"/>
      <c r="V319" s="129"/>
      <c r="W319" s="129"/>
      <c r="X319" s="129"/>
      <c r="Y319" s="129"/>
      <c r="Z319" s="129"/>
      <c r="AA319" s="129"/>
      <c r="AB319" s="129"/>
      <c r="AC319" s="129"/>
      <c r="AD319" s="129"/>
      <c r="AE319" s="129"/>
      <c r="AF319" s="623">
        <v>40000000</v>
      </c>
      <c r="AG319" s="623">
        <v>12320000</v>
      </c>
      <c r="AH319" s="623">
        <v>9893333</v>
      </c>
      <c r="AI319" s="129"/>
      <c r="AJ319" s="129"/>
      <c r="AK319" s="129"/>
      <c r="AL319" s="129"/>
      <c r="AM319" s="129"/>
      <c r="AN319" s="129"/>
      <c r="AO319" s="129"/>
      <c r="AP319" s="129"/>
      <c r="AQ319" s="129"/>
      <c r="AR319" s="129"/>
      <c r="AS319" s="129"/>
      <c r="AT319" s="129"/>
      <c r="AU319" s="129"/>
      <c r="AV319" s="187"/>
      <c r="AW319" s="187"/>
      <c r="AX319" s="560"/>
      <c r="AY319" s="560"/>
      <c r="AZ319" s="560"/>
      <c r="BA319" s="187"/>
      <c r="BB319" s="187"/>
      <c r="BC319" s="187"/>
      <c r="BD319" s="187"/>
      <c r="BE319" s="187"/>
      <c r="BF319" s="187"/>
      <c r="BG319" s="131">
        <f t="shared" si="81"/>
        <v>40000000</v>
      </c>
      <c r="BH319" s="131">
        <f t="shared" si="81"/>
        <v>12320000</v>
      </c>
      <c r="BI319" s="131">
        <f t="shared" si="81"/>
        <v>9893333</v>
      </c>
    </row>
    <row r="320" spans="1:68" s="238" customFormat="1" ht="73.5" customHeight="1" x14ac:dyDescent="0.2">
      <c r="A320" s="104"/>
      <c r="B320" s="118"/>
      <c r="C320" s="282"/>
      <c r="D320" s="323"/>
      <c r="E320" s="722"/>
      <c r="F320" s="145" t="s">
        <v>874</v>
      </c>
      <c r="G320" s="146">
        <v>12.7</v>
      </c>
      <c r="H320" s="193">
        <v>1905022</v>
      </c>
      <c r="I320" s="186" t="s">
        <v>876</v>
      </c>
      <c r="J320" s="146" t="s">
        <v>877</v>
      </c>
      <c r="K320" s="146">
        <v>190502200</v>
      </c>
      <c r="L320" s="320" t="s">
        <v>878</v>
      </c>
      <c r="M320" s="290" t="s">
        <v>109</v>
      </c>
      <c r="N320" s="146">
        <v>12</v>
      </c>
      <c r="O320" s="146">
        <v>12</v>
      </c>
      <c r="P320" s="146">
        <v>1</v>
      </c>
      <c r="Q320" s="895"/>
      <c r="R320" s="902"/>
      <c r="S320" s="905"/>
      <c r="T320" s="129"/>
      <c r="U320" s="129"/>
      <c r="V320" s="129"/>
      <c r="W320" s="129"/>
      <c r="X320" s="129"/>
      <c r="Y320" s="129"/>
      <c r="Z320" s="129"/>
      <c r="AA320" s="129"/>
      <c r="AB320" s="129"/>
      <c r="AC320" s="129"/>
      <c r="AD320" s="129"/>
      <c r="AE320" s="129"/>
      <c r="AF320" s="623">
        <v>60000000</v>
      </c>
      <c r="AG320" s="623">
        <v>8120000</v>
      </c>
      <c r="AH320" s="623">
        <v>8120000</v>
      </c>
      <c r="AI320" s="129"/>
      <c r="AJ320" s="129"/>
      <c r="AK320" s="129"/>
      <c r="AL320" s="129"/>
      <c r="AM320" s="129"/>
      <c r="AN320" s="129"/>
      <c r="AO320" s="129"/>
      <c r="AP320" s="129"/>
      <c r="AQ320" s="129"/>
      <c r="AR320" s="129"/>
      <c r="AS320" s="129"/>
      <c r="AT320" s="129"/>
      <c r="AU320" s="129"/>
      <c r="AV320" s="187"/>
      <c r="AW320" s="187"/>
      <c r="AX320" s="560"/>
      <c r="AY320" s="560"/>
      <c r="AZ320" s="560"/>
      <c r="BA320" s="187"/>
      <c r="BB320" s="187"/>
      <c r="BC320" s="187"/>
      <c r="BD320" s="187"/>
      <c r="BE320" s="187"/>
      <c r="BF320" s="187"/>
      <c r="BG320" s="131">
        <f t="shared" si="81"/>
        <v>60000000</v>
      </c>
      <c r="BH320" s="131">
        <f t="shared" si="81"/>
        <v>8120000</v>
      </c>
      <c r="BI320" s="131">
        <f t="shared" si="81"/>
        <v>8120000</v>
      </c>
    </row>
    <row r="321" spans="1:61" s="238" customFormat="1" ht="96" customHeight="1" x14ac:dyDescent="0.2">
      <c r="A321" s="104"/>
      <c r="B321" s="118"/>
      <c r="C321" s="282"/>
      <c r="D321" s="323"/>
      <c r="E321" s="723"/>
      <c r="F321" s="122" t="s">
        <v>1109</v>
      </c>
      <c r="G321" s="518" t="s">
        <v>1223</v>
      </c>
      <c r="H321" s="124" t="s">
        <v>102</v>
      </c>
      <c r="I321" s="186" t="s">
        <v>1224</v>
      </c>
      <c r="J321" s="518" t="s">
        <v>1225</v>
      </c>
      <c r="K321" s="146" t="s">
        <v>102</v>
      </c>
      <c r="L321" s="320" t="s">
        <v>1226</v>
      </c>
      <c r="M321" s="290" t="s">
        <v>109</v>
      </c>
      <c r="N321" s="146">
        <v>1</v>
      </c>
      <c r="O321" s="146">
        <v>1</v>
      </c>
      <c r="P321" s="146"/>
      <c r="Q321" s="893"/>
      <c r="R321" s="903"/>
      <c r="S321" s="906"/>
      <c r="T321" s="129"/>
      <c r="U321" s="129"/>
      <c r="V321" s="129"/>
      <c r="W321" s="129"/>
      <c r="X321" s="129"/>
      <c r="Y321" s="129"/>
      <c r="Z321" s="129"/>
      <c r="AA321" s="129"/>
      <c r="AB321" s="129"/>
      <c r="AC321" s="129"/>
      <c r="AD321" s="129"/>
      <c r="AE321" s="129"/>
      <c r="AF321" s="623">
        <v>40000000</v>
      </c>
      <c r="AG321" s="623"/>
      <c r="AH321" s="623"/>
      <c r="AI321" s="129"/>
      <c r="AJ321" s="129"/>
      <c r="AK321" s="129"/>
      <c r="AL321" s="129"/>
      <c r="AM321" s="129"/>
      <c r="AN321" s="129"/>
      <c r="AO321" s="129"/>
      <c r="AP321" s="129"/>
      <c r="AQ321" s="129"/>
      <c r="AR321" s="129"/>
      <c r="AS321" s="129"/>
      <c r="AT321" s="129"/>
      <c r="AU321" s="129"/>
      <c r="AV321" s="187"/>
      <c r="AW321" s="187"/>
      <c r="AX321" s="560"/>
      <c r="AY321" s="560"/>
      <c r="AZ321" s="560"/>
      <c r="BA321" s="187"/>
      <c r="BB321" s="187"/>
      <c r="BC321" s="187"/>
      <c r="BD321" s="187"/>
      <c r="BE321" s="187"/>
      <c r="BF321" s="187"/>
      <c r="BG321" s="131">
        <f t="shared" si="81"/>
        <v>40000000</v>
      </c>
      <c r="BH321" s="131">
        <f t="shared" si="81"/>
        <v>0</v>
      </c>
      <c r="BI321" s="131">
        <f t="shared" si="81"/>
        <v>0</v>
      </c>
    </row>
    <row r="322" spans="1:61" s="238" customFormat="1" ht="102.75" customHeight="1" x14ac:dyDescent="0.2">
      <c r="A322" s="104"/>
      <c r="B322" s="118"/>
      <c r="C322" s="282"/>
      <c r="D322" s="323"/>
      <c r="E322" s="721"/>
      <c r="F322" s="145" t="s">
        <v>1227</v>
      </c>
      <c r="G322" s="624" t="s">
        <v>1228</v>
      </c>
      <c r="H322" s="124">
        <v>1905023</v>
      </c>
      <c r="I322" s="186" t="s">
        <v>1229</v>
      </c>
      <c r="J322" s="624" t="s">
        <v>1230</v>
      </c>
      <c r="K322" s="146">
        <v>190502300</v>
      </c>
      <c r="L322" s="320" t="s">
        <v>1231</v>
      </c>
      <c r="M322" s="290" t="s">
        <v>109</v>
      </c>
      <c r="N322" s="146">
        <v>12</v>
      </c>
      <c r="O322" s="146">
        <v>12</v>
      </c>
      <c r="P322" s="146">
        <v>3</v>
      </c>
      <c r="Q322" s="892" t="s">
        <v>214</v>
      </c>
      <c r="R322" s="887" t="s">
        <v>1232</v>
      </c>
      <c r="S322" s="890" t="s">
        <v>1233</v>
      </c>
      <c r="T322" s="129"/>
      <c r="U322" s="129"/>
      <c r="V322" s="129"/>
      <c r="W322" s="129"/>
      <c r="X322" s="129"/>
      <c r="Y322" s="129"/>
      <c r="Z322" s="129"/>
      <c r="AA322" s="129"/>
      <c r="AB322" s="129"/>
      <c r="AC322" s="129"/>
      <c r="AD322" s="129"/>
      <c r="AE322" s="129"/>
      <c r="AF322" s="623">
        <v>110000000</v>
      </c>
      <c r="AG322" s="623">
        <v>16333333</v>
      </c>
      <c r="AH322" s="623">
        <v>13533333</v>
      </c>
      <c r="AI322" s="129"/>
      <c r="AJ322" s="129"/>
      <c r="AK322" s="129"/>
      <c r="AL322" s="129"/>
      <c r="AM322" s="129"/>
      <c r="AN322" s="129"/>
      <c r="AO322" s="129"/>
      <c r="AP322" s="129"/>
      <c r="AQ322" s="129"/>
      <c r="AR322" s="129"/>
      <c r="AS322" s="129"/>
      <c r="AT322" s="129"/>
      <c r="AU322" s="129"/>
      <c r="AV322" s="187"/>
      <c r="AW322" s="187"/>
      <c r="AX322" s="560"/>
      <c r="AY322" s="560"/>
      <c r="AZ322" s="560"/>
      <c r="BA322" s="187"/>
      <c r="BB322" s="187"/>
      <c r="BC322" s="187"/>
      <c r="BD322" s="187"/>
      <c r="BE322" s="187"/>
      <c r="BF322" s="187"/>
      <c r="BG322" s="131">
        <f t="shared" si="81"/>
        <v>110000000</v>
      </c>
      <c r="BH322" s="131">
        <f t="shared" si="81"/>
        <v>16333333</v>
      </c>
      <c r="BI322" s="131">
        <f t="shared" si="81"/>
        <v>13533333</v>
      </c>
    </row>
    <row r="323" spans="1:61" s="238" customFormat="1" ht="77.25" customHeight="1" x14ac:dyDescent="0.2">
      <c r="A323" s="104"/>
      <c r="B323" s="118"/>
      <c r="C323" s="282"/>
      <c r="D323" s="323"/>
      <c r="E323" s="542"/>
      <c r="F323" s="122" t="s">
        <v>1077</v>
      </c>
      <c r="G323" s="127" t="s">
        <v>1177</v>
      </c>
      <c r="H323" s="184">
        <v>1905031</v>
      </c>
      <c r="I323" s="186" t="s">
        <v>1178</v>
      </c>
      <c r="J323" s="127" t="s">
        <v>1179</v>
      </c>
      <c r="K323" s="124">
        <v>190503100</v>
      </c>
      <c r="L323" s="186" t="s">
        <v>1180</v>
      </c>
      <c r="M323" s="290" t="s">
        <v>109</v>
      </c>
      <c r="N323" s="146">
        <v>12</v>
      </c>
      <c r="O323" s="146">
        <v>12</v>
      </c>
      <c r="P323" s="146">
        <v>3</v>
      </c>
      <c r="Q323" s="893"/>
      <c r="R323" s="888"/>
      <c r="S323" s="891"/>
      <c r="T323" s="129"/>
      <c r="U323" s="129"/>
      <c r="V323" s="129"/>
      <c r="W323" s="129"/>
      <c r="X323" s="129"/>
      <c r="Y323" s="129"/>
      <c r="Z323" s="129"/>
      <c r="AA323" s="129"/>
      <c r="AB323" s="129"/>
      <c r="AC323" s="129"/>
      <c r="AD323" s="129"/>
      <c r="AE323" s="129"/>
      <c r="AF323" s="623">
        <v>60000000</v>
      </c>
      <c r="AG323" s="623"/>
      <c r="AH323" s="623"/>
      <c r="AI323" s="129"/>
      <c r="AJ323" s="129"/>
      <c r="AK323" s="129"/>
      <c r="AL323" s="129"/>
      <c r="AM323" s="129"/>
      <c r="AN323" s="129"/>
      <c r="AO323" s="129"/>
      <c r="AP323" s="129"/>
      <c r="AQ323" s="129"/>
      <c r="AR323" s="129"/>
      <c r="AS323" s="129"/>
      <c r="AT323" s="129"/>
      <c r="AU323" s="129"/>
      <c r="AV323" s="187"/>
      <c r="AW323" s="187"/>
      <c r="AX323" s="560"/>
      <c r="AY323" s="560"/>
      <c r="AZ323" s="560"/>
      <c r="BA323" s="187"/>
      <c r="BB323" s="187"/>
      <c r="BC323" s="187"/>
      <c r="BD323" s="187"/>
      <c r="BE323" s="187"/>
      <c r="BF323" s="187"/>
      <c r="BG323" s="131">
        <f t="shared" si="81"/>
        <v>60000000</v>
      </c>
      <c r="BH323" s="131">
        <f t="shared" si="81"/>
        <v>0</v>
      </c>
      <c r="BI323" s="131">
        <f t="shared" si="81"/>
        <v>0</v>
      </c>
    </row>
    <row r="324" spans="1:61" s="238" customFormat="1" ht="129" customHeight="1" x14ac:dyDescent="0.2">
      <c r="A324" s="104"/>
      <c r="B324" s="118"/>
      <c r="C324" s="282"/>
      <c r="D324" s="323"/>
      <c r="E324" s="721"/>
      <c r="F324" s="312" t="s">
        <v>1234</v>
      </c>
      <c r="G324" s="146" t="s">
        <v>1235</v>
      </c>
      <c r="H324" s="184">
        <v>1905012</v>
      </c>
      <c r="I324" s="211" t="s">
        <v>1236</v>
      </c>
      <c r="J324" s="146" t="s">
        <v>1237</v>
      </c>
      <c r="K324" s="146">
        <v>190501200</v>
      </c>
      <c r="L324" s="320" t="s">
        <v>1236</v>
      </c>
      <c r="M324" s="290" t="s">
        <v>109</v>
      </c>
      <c r="N324" s="146">
        <v>1</v>
      </c>
      <c r="O324" s="146">
        <v>1</v>
      </c>
      <c r="P324" s="146"/>
      <c r="Q324" s="892" t="s">
        <v>214</v>
      </c>
      <c r="R324" s="901" t="s">
        <v>1238</v>
      </c>
      <c r="S324" s="904" t="s">
        <v>1239</v>
      </c>
      <c r="T324" s="129"/>
      <c r="U324" s="129"/>
      <c r="V324" s="129"/>
      <c r="W324" s="129"/>
      <c r="X324" s="129"/>
      <c r="Y324" s="129"/>
      <c r="Z324" s="129"/>
      <c r="AA324" s="129"/>
      <c r="AB324" s="129"/>
      <c r="AC324" s="129"/>
      <c r="AD324" s="129"/>
      <c r="AE324" s="129"/>
      <c r="AF324" s="129">
        <v>20000000</v>
      </c>
      <c r="AG324" s="129"/>
      <c r="AH324" s="129"/>
      <c r="AI324" s="129"/>
      <c r="AJ324" s="129"/>
      <c r="AK324" s="129"/>
      <c r="AL324" s="129"/>
      <c r="AM324" s="129"/>
      <c r="AN324" s="129"/>
      <c r="AO324" s="129"/>
      <c r="AP324" s="129"/>
      <c r="AQ324" s="129"/>
      <c r="AR324" s="129"/>
      <c r="AS324" s="129"/>
      <c r="AT324" s="129"/>
      <c r="AU324" s="129"/>
      <c r="AV324" s="187"/>
      <c r="AW324" s="187"/>
      <c r="AX324" s="560"/>
      <c r="AY324" s="560"/>
      <c r="AZ324" s="560"/>
      <c r="BA324" s="187"/>
      <c r="BB324" s="187"/>
      <c r="BC324" s="187"/>
      <c r="BD324" s="351"/>
      <c r="BE324" s="351"/>
      <c r="BF324" s="351"/>
      <c r="BG324" s="131">
        <f t="shared" si="81"/>
        <v>20000000</v>
      </c>
      <c r="BH324" s="131">
        <f t="shared" si="81"/>
        <v>0</v>
      </c>
      <c r="BI324" s="131">
        <f t="shared" si="81"/>
        <v>0</v>
      </c>
    </row>
    <row r="325" spans="1:61" s="238" customFormat="1" ht="147" customHeight="1" x14ac:dyDescent="0.2">
      <c r="A325" s="104"/>
      <c r="B325" s="118"/>
      <c r="C325" s="282"/>
      <c r="D325" s="323"/>
      <c r="E325" s="722"/>
      <c r="F325" s="312" t="s">
        <v>1240</v>
      </c>
      <c r="G325" s="518" t="s">
        <v>1241</v>
      </c>
      <c r="H325" s="184">
        <v>1905026</v>
      </c>
      <c r="I325" s="186" t="s">
        <v>1242</v>
      </c>
      <c r="J325" s="518" t="s">
        <v>1243</v>
      </c>
      <c r="K325" s="146">
        <v>190502600</v>
      </c>
      <c r="L325" s="320" t="s">
        <v>1244</v>
      </c>
      <c r="M325" s="127" t="s">
        <v>109</v>
      </c>
      <c r="N325" s="184">
        <v>12</v>
      </c>
      <c r="O325" s="184">
        <v>12</v>
      </c>
      <c r="P325" s="124">
        <v>2</v>
      </c>
      <c r="Q325" s="895"/>
      <c r="R325" s="902"/>
      <c r="S325" s="905"/>
      <c r="T325" s="129"/>
      <c r="U325" s="129"/>
      <c r="V325" s="129"/>
      <c r="W325" s="129"/>
      <c r="X325" s="129"/>
      <c r="Y325" s="129"/>
      <c r="Z325" s="129"/>
      <c r="AA325" s="129"/>
      <c r="AB325" s="129"/>
      <c r="AC325" s="129"/>
      <c r="AD325" s="129"/>
      <c r="AE325" s="129"/>
      <c r="AF325" s="129">
        <v>60000000</v>
      </c>
      <c r="AG325" s="129">
        <v>21799999</v>
      </c>
      <c r="AH325" s="129">
        <v>21799999</v>
      </c>
      <c r="AI325" s="129"/>
      <c r="AJ325" s="129"/>
      <c r="AK325" s="129"/>
      <c r="AL325" s="129"/>
      <c r="AM325" s="129"/>
      <c r="AN325" s="129"/>
      <c r="AO325" s="129"/>
      <c r="AP325" s="129"/>
      <c r="AQ325" s="129"/>
      <c r="AR325" s="129"/>
      <c r="AS325" s="129"/>
      <c r="AT325" s="129"/>
      <c r="AU325" s="129"/>
      <c r="AV325" s="187"/>
      <c r="AW325" s="187"/>
      <c r="AX325" s="560"/>
      <c r="AY325" s="560"/>
      <c r="AZ325" s="560"/>
      <c r="BA325" s="187"/>
      <c r="BB325" s="187"/>
      <c r="BC325" s="187"/>
      <c r="BD325" s="351"/>
      <c r="BE325" s="351"/>
      <c r="BF325" s="351"/>
      <c r="BG325" s="131">
        <f t="shared" si="81"/>
        <v>60000000</v>
      </c>
      <c r="BH325" s="131">
        <f t="shared" si="81"/>
        <v>21799999</v>
      </c>
      <c r="BI325" s="131">
        <f t="shared" si="81"/>
        <v>21799999</v>
      </c>
    </row>
    <row r="326" spans="1:61" s="238" customFormat="1" ht="140.25" customHeight="1" x14ac:dyDescent="0.2">
      <c r="A326" s="104"/>
      <c r="B326" s="118"/>
      <c r="C326" s="282"/>
      <c r="D326" s="323"/>
      <c r="E326" s="725"/>
      <c r="F326" s="145" t="s">
        <v>1234</v>
      </c>
      <c r="G326" s="127" t="s">
        <v>1245</v>
      </c>
      <c r="H326" s="184">
        <v>1905027</v>
      </c>
      <c r="I326" s="186" t="s">
        <v>1246</v>
      </c>
      <c r="J326" s="127" t="s">
        <v>1247</v>
      </c>
      <c r="K326" s="146">
        <v>190502700</v>
      </c>
      <c r="L326" s="186" t="s">
        <v>1248</v>
      </c>
      <c r="M326" s="290" t="s">
        <v>109</v>
      </c>
      <c r="N326" s="146">
        <v>12</v>
      </c>
      <c r="O326" s="146">
        <v>12</v>
      </c>
      <c r="P326" s="146">
        <v>2</v>
      </c>
      <c r="Q326" s="893"/>
      <c r="R326" s="903"/>
      <c r="S326" s="906"/>
      <c r="T326" s="129"/>
      <c r="U326" s="129"/>
      <c r="V326" s="129"/>
      <c r="W326" s="129"/>
      <c r="X326" s="129"/>
      <c r="Y326" s="129"/>
      <c r="Z326" s="129"/>
      <c r="AA326" s="129"/>
      <c r="AB326" s="129"/>
      <c r="AC326" s="129"/>
      <c r="AD326" s="129"/>
      <c r="AE326" s="129"/>
      <c r="AF326" s="129">
        <v>60000000</v>
      </c>
      <c r="AG326" s="129"/>
      <c r="AH326" s="129"/>
      <c r="AI326" s="228"/>
      <c r="AJ326" s="228"/>
      <c r="AK326" s="228"/>
      <c r="AL326" s="129"/>
      <c r="AM326" s="129"/>
      <c r="AN326" s="129"/>
      <c r="AO326" s="129"/>
      <c r="AP326" s="129"/>
      <c r="AQ326" s="129"/>
      <c r="AR326" s="129"/>
      <c r="AS326" s="129"/>
      <c r="AT326" s="129"/>
      <c r="AU326" s="129"/>
      <c r="AV326" s="129"/>
      <c r="AW326" s="187"/>
      <c r="AX326" s="560">
        <f>20000000-13438000-6562000</f>
        <v>0</v>
      </c>
      <c r="AY326" s="560"/>
      <c r="AZ326" s="560"/>
      <c r="BA326" s="187"/>
      <c r="BB326" s="187"/>
      <c r="BC326" s="187"/>
      <c r="BD326" s="187"/>
      <c r="BE326" s="187"/>
      <c r="BF326" s="187"/>
      <c r="BG326" s="131">
        <f t="shared" si="81"/>
        <v>60000000</v>
      </c>
      <c r="BH326" s="131">
        <f t="shared" si="81"/>
        <v>0</v>
      </c>
      <c r="BI326" s="131">
        <f t="shared" si="81"/>
        <v>0</v>
      </c>
    </row>
    <row r="327" spans="1:61" s="238" customFormat="1" ht="84.75" customHeight="1" x14ac:dyDescent="0.2">
      <c r="A327" s="104"/>
      <c r="B327" s="118"/>
      <c r="C327" s="282"/>
      <c r="D327" s="323"/>
      <c r="E327" s="721"/>
      <c r="F327" s="122" t="s">
        <v>1249</v>
      </c>
      <c r="G327" s="518" t="s">
        <v>1202</v>
      </c>
      <c r="H327" s="124" t="s">
        <v>102</v>
      </c>
      <c r="I327" s="186" t="s">
        <v>1250</v>
      </c>
      <c r="J327" s="518" t="s">
        <v>1204</v>
      </c>
      <c r="K327" s="146" t="s">
        <v>102</v>
      </c>
      <c r="L327" s="320" t="s">
        <v>1205</v>
      </c>
      <c r="M327" s="127" t="s">
        <v>204</v>
      </c>
      <c r="N327" s="124">
        <v>12</v>
      </c>
      <c r="O327" s="621">
        <v>2</v>
      </c>
      <c r="P327" s="621">
        <v>0</v>
      </c>
      <c r="Q327" s="892" t="s">
        <v>214</v>
      </c>
      <c r="R327" s="887" t="s">
        <v>1251</v>
      </c>
      <c r="S327" s="891" t="s">
        <v>1252</v>
      </c>
      <c r="T327" s="129"/>
      <c r="U327" s="129"/>
      <c r="V327" s="129"/>
      <c r="W327" s="129"/>
      <c r="X327" s="129"/>
      <c r="Y327" s="129"/>
      <c r="Z327" s="129"/>
      <c r="AA327" s="129"/>
      <c r="AB327" s="129"/>
      <c r="AC327" s="129"/>
      <c r="AD327" s="129"/>
      <c r="AE327" s="129"/>
      <c r="AF327" s="129">
        <v>100000000</v>
      </c>
      <c r="AG327" s="129">
        <v>17240000</v>
      </c>
      <c r="AH327" s="129">
        <v>17240000</v>
      </c>
      <c r="AI327" s="129"/>
      <c r="AJ327" s="129"/>
      <c r="AK327" s="129"/>
      <c r="AL327" s="129"/>
      <c r="AM327" s="129"/>
      <c r="AN327" s="129"/>
      <c r="AO327" s="129"/>
      <c r="AP327" s="129"/>
      <c r="AQ327" s="129"/>
      <c r="AR327" s="129"/>
      <c r="AS327" s="129"/>
      <c r="AT327" s="129"/>
      <c r="AU327" s="129"/>
      <c r="AV327" s="129"/>
      <c r="AW327" s="129"/>
      <c r="AX327" s="321">
        <f>75000000+55000000</f>
        <v>130000000</v>
      </c>
      <c r="AY327" s="321">
        <v>60146487</v>
      </c>
      <c r="AZ327" s="321">
        <v>52679821</v>
      </c>
      <c r="BA327" s="129"/>
      <c r="BB327" s="129"/>
      <c r="BC327" s="129"/>
      <c r="BD327" s="129">
        <f>200991312+59118933</f>
        <v>260110245</v>
      </c>
      <c r="BE327" s="129">
        <v>59118933</v>
      </c>
      <c r="BF327" s="129">
        <v>59118933</v>
      </c>
      <c r="BG327" s="131">
        <f t="shared" si="81"/>
        <v>490110245</v>
      </c>
      <c r="BH327" s="131">
        <f t="shared" si="81"/>
        <v>136505420</v>
      </c>
      <c r="BI327" s="131">
        <f t="shared" si="81"/>
        <v>129038754</v>
      </c>
    </row>
    <row r="328" spans="1:61" s="238" customFormat="1" ht="156" customHeight="1" x14ac:dyDescent="0.2">
      <c r="A328" s="104"/>
      <c r="B328" s="118"/>
      <c r="C328" s="282"/>
      <c r="D328" s="323"/>
      <c r="E328" s="725"/>
      <c r="F328" s="145" t="s">
        <v>1240</v>
      </c>
      <c r="G328" s="518" t="s">
        <v>1241</v>
      </c>
      <c r="H328" s="184">
        <v>1905026</v>
      </c>
      <c r="I328" s="186" t="s">
        <v>1242</v>
      </c>
      <c r="J328" s="518" t="s">
        <v>1243</v>
      </c>
      <c r="K328" s="146">
        <v>190502600</v>
      </c>
      <c r="L328" s="320" t="s">
        <v>1244</v>
      </c>
      <c r="M328" s="127" t="s">
        <v>109</v>
      </c>
      <c r="N328" s="184">
        <v>12</v>
      </c>
      <c r="O328" s="184">
        <v>12</v>
      </c>
      <c r="P328" s="124">
        <v>2</v>
      </c>
      <c r="Q328" s="893"/>
      <c r="R328" s="889"/>
      <c r="S328" s="894"/>
      <c r="T328" s="129"/>
      <c r="U328" s="129"/>
      <c r="V328" s="129"/>
      <c r="W328" s="129"/>
      <c r="X328" s="129"/>
      <c r="Y328" s="129"/>
      <c r="Z328" s="129"/>
      <c r="AA328" s="129"/>
      <c r="AB328" s="129"/>
      <c r="AC328" s="129"/>
      <c r="AD328" s="129"/>
      <c r="AE328" s="129"/>
      <c r="AF328" s="129">
        <v>100000000</v>
      </c>
      <c r="AG328" s="129"/>
      <c r="AH328" s="129"/>
      <c r="AI328" s="129"/>
      <c r="AJ328" s="129"/>
      <c r="AK328" s="129"/>
      <c r="AL328" s="228"/>
      <c r="AM328" s="228"/>
      <c r="AN328" s="228"/>
      <c r="AO328" s="129"/>
      <c r="AP328" s="129"/>
      <c r="AQ328" s="129"/>
      <c r="AR328" s="129"/>
      <c r="AS328" s="129"/>
      <c r="AT328" s="129"/>
      <c r="AU328" s="129"/>
      <c r="AV328" s="129"/>
      <c r="AW328" s="129"/>
      <c r="AX328" s="129"/>
      <c r="AY328" s="187"/>
      <c r="AZ328" s="187"/>
      <c r="BA328" s="187"/>
      <c r="BB328" s="187"/>
      <c r="BC328" s="187"/>
      <c r="BD328" s="129">
        <f>340860.61+168116148+662000+158045</f>
        <v>169277053.61000001</v>
      </c>
      <c r="BE328" s="129"/>
      <c r="BF328" s="129"/>
      <c r="BG328" s="131">
        <f t="shared" si="81"/>
        <v>269277053.61000001</v>
      </c>
      <c r="BH328" s="131">
        <f t="shared" si="81"/>
        <v>0</v>
      </c>
      <c r="BI328" s="131">
        <f t="shared" si="81"/>
        <v>0</v>
      </c>
    </row>
    <row r="329" spans="1:61" s="238" customFormat="1" ht="88.5" customHeight="1" x14ac:dyDescent="0.2">
      <c r="A329" s="104"/>
      <c r="B329" s="118"/>
      <c r="C329" s="282"/>
      <c r="D329" s="323"/>
      <c r="E329" s="724"/>
      <c r="F329" s="122" t="s">
        <v>1082</v>
      </c>
      <c r="G329" s="127" t="s">
        <v>1253</v>
      </c>
      <c r="H329" s="184">
        <v>1905014</v>
      </c>
      <c r="I329" s="186" t="s">
        <v>635</v>
      </c>
      <c r="J329" s="127" t="s">
        <v>1254</v>
      </c>
      <c r="K329" s="184">
        <v>190501400</v>
      </c>
      <c r="L329" s="186" t="s">
        <v>662</v>
      </c>
      <c r="M329" s="290" t="s">
        <v>109</v>
      </c>
      <c r="N329" s="146">
        <v>12</v>
      </c>
      <c r="O329" s="146">
        <v>12</v>
      </c>
      <c r="P329" s="146">
        <v>4</v>
      </c>
      <c r="Q329" s="892" t="s">
        <v>214</v>
      </c>
      <c r="R329" s="887" t="s">
        <v>1255</v>
      </c>
      <c r="S329" s="890" t="s">
        <v>1256</v>
      </c>
      <c r="T329" s="129"/>
      <c r="U329" s="129"/>
      <c r="V329" s="129"/>
      <c r="W329" s="129"/>
      <c r="X329" s="129"/>
      <c r="Y329" s="129"/>
      <c r="Z329" s="129"/>
      <c r="AA329" s="129"/>
      <c r="AB329" s="129"/>
      <c r="AC329" s="129"/>
      <c r="AD329" s="129"/>
      <c r="AE329" s="129"/>
      <c r="AF329" s="129">
        <v>45000000</v>
      </c>
      <c r="AG329" s="129">
        <v>26100000</v>
      </c>
      <c r="AH329" s="129">
        <v>18800000</v>
      </c>
      <c r="AI329" s="129"/>
      <c r="AJ329" s="129"/>
      <c r="AK329" s="129"/>
      <c r="AL329" s="129"/>
      <c r="AM329" s="129"/>
      <c r="AN329" s="129"/>
      <c r="AO329" s="129"/>
      <c r="AP329" s="129"/>
      <c r="AQ329" s="129"/>
      <c r="AR329" s="129"/>
      <c r="AS329" s="129"/>
      <c r="AT329" s="129"/>
      <c r="AU329" s="129"/>
      <c r="AV329" s="129"/>
      <c r="AW329" s="129"/>
      <c r="AX329" s="321"/>
      <c r="AY329" s="560"/>
      <c r="AZ329" s="560"/>
      <c r="BA329" s="187"/>
      <c r="BB329" s="187"/>
      <c r="BC329" s="187"/>
      <c r="BD329" s="187"/>
      <c r="BE329" s="187"/>
      <c r="BF329" s="187"/>
      <c r="BG329" s="131">
        <f t="shared" si="81"/>
        <v>45000000</v>
      </c>
      <c r="BH329" s="131">
        <f t="shared" si="81"/>
        <v>26100000</v>
      </c>
      <c r="BI329" s="131">
        <f t="shared" si="81"/>
        <v>18800000</v>
      </c>
    </row>
    <row r="330" spans="1:61" s="238" customFormat="1" ht="150" customHeight="1" x14ac:dyDescent="0.2">
      <c r="A330" s="104"/>
      <c r="B330" s="118"/>
      <c r="C330" s="282"/>
      <c r="D330" s="323"/>
      <c r="E330" s="725"/>
      <c r="F330" s="122" t="s">
        <v>1240</v>
      </c>
      <c r="G330" s="518" t="s">
        <v>1241</v>
      </c>
      <c r="H330" s="124">
        <v>1905026</v>
      </c>
      <c r="I330" s="186" t="s">
        <v>1257</v>
      </c>
      <c r="J330" s="518" t="s">
        <v>1243</v>
      </c>
      <c r="K330" s="146">
        <v>190502600</v>
      </c>
      <c r="L330" s="320" t="s">
        <v>1244</v>
      </c>
      <c r="M330" s="127" t="s">
        <v>109</v>
      </c>
      <c r="N330" s="184">
        <v>12</v>
      </c>
      <c r="O330" s="184">
        <v>12</v>
      </c>
      <c r="P330" s="124">
        <v>4</v>
      </c>
      <c r="Q330" s="893"/>
      <c r="R330" s="889"/>
      <c r="S330" s="894"/>
      <c r="T330" s="129"/>
      <c r="U330" s="129"/>
      <c r="V330" s="129"/>
      <c r="W330" s="129"/>
      <c r="X330" s="129"/>
      <c r="Y330" s="129"/>
      <c r="Z330" s="129"/>
      <c r="AA330" s="129"/>
      <c r="AB330" s="129"/>
      <c r="AC330" s="129"/>
      <c r="AD330" s="129"/>
      <c r="AE330" s="129"/>
      <c r="AF330" s="129"/>
      <c r="AG330" s="129"/>
      <c r="AH330" s="129"/>
      <c r="AI330" s="129"/>
      <c r="AJ330" s="129"/>
      <c r="AK330" s="129"/>
      <c r="AL330" s="129"/>
      <c r="AM330" s="129"/>
      <c r="AN330" s="129"/>
      <c r="AO330" s="129"/>
      <c r="AP330" s="129"/>
      <c r="AQ330" s="129"/>
      <c r="AR330" s="129"/>
      <c r="AS330" s="129"/>
      <c r="AT330" s="129"/>
      <c r="AU330" s="129"/>
      <c r="AV330" s="129"/>
      <c r="AW330" s="129"/>
      <c r="AX330" s="321"/>
      <c r="AY330" s="321"/>
      <c r="AZ330" s="321"/>
      <c r="BA330" s="129"/>
      <c r="BB330" s="129"/>
      <c r="BC330" s="129"/>
      <c r="BD330" s="321">
        <f>155911553+22308240</f>
        <v>178219793</v>
      </c>
      <c r="BE330" s="321"/>
      <c r="BF330" s="321"/>
      <c r="BG330" s="131">
        <f t="shared" si="81"/>
        <v>178219793</v>
      </c>
      <c r="BH330" s="131">
        <f t="shared" si="81"/>
        <v>0</v>
      </c>
      <c r="BI330" s="131">
        <f t="shared" si="81"/>
        <v>0</v>
      </c>
    </row>
    <row r="331" spans="1:61" s="238" customFormat="1" ht="105" x14ac:dyDescent="0.2">
      <c r="A331" s="104"/>
      <c r="B331" s="118"/>
      <c r="C331" s="282"/>
      <c r="D331" s="323"/>
      <c r="E331" s="603"/>
      <c r="F331" s="122" t="s">
        <v>1240</v>
      </c>
      <c r="G331" s="518" t="s">
        <v>1241</v>
      </c>
      <c r="H331" s="124">
        <v>1905026</v>
      </c>
      <c r="I331" s="186" t="s">
        <v>1242</v>
      </c>
      <c r="J331" s="518" t="s">
        <v>1243</v>
      </c>
      <c r="K331" s="146">
        <v>190502600</v>
      </c>
      <c r="L331" s="320" t="s">
        <v>1244</v>
      </c>
      <c r="M331" s="127" t="s">
        <v>109</v>
      </c>
      <c r="N331" s="184">
        <v>12</v>
      </c>
      <c r="O331" s="184">
        <v>12</v>
      </c>
      <c r="P331" s="124">
        <v>6</v>
      </c>
      <c r="Q331" s="149" t="s">
        <v>214</v>
      </c>
      <c r="R331" s="127" t="s">
        <v>1258</v>
      </c>
      <c r="S331" s="186" t="s">
        <v>1259</v>
      </c>
      <c r="T331" s="129"/>
      <c r="U331" s="129"/>
      <c r="V331" s="129"/>
      <c r="W331" s="129"/>
      <c r="X331" s="129"/>
      <c r="Y331" s="129"/>
      <c r="Z331" s="129"/>
      <c r="AA331" s="129"/>
      <c r="AB331" s="129"/>
      <c r="AC331" s="129"/>
      <c r="AD331" s="129"/>
      <c r="AE331" s="129"/>
      <c r="AF331" s="129"/>
      <c r="AG331" s="129"/>
      <c r="AH331" s="129"/>
      <c r="AI331" s="617"/>
      <c r="AJ331" s="617"/>
      <c r="AK331" s="617"/>
      <c r="AL331" s="129"/>
      <c r="AM331" s="129"/>
      <c r="AN331" s="129"/>
      <c r="AO331" s="129"/>
      <c r="AP331" s="129"/>
      <c r="AQ331" s="129"/>
      <c r="AR331" s="129"/>
      <c r="AS331" s="129"/>
      <c r="AT331" s="129"/>
      <c r="AU331" s="129"/>
      <c r="AV331" s="129"/>
      <c r="AW331" s="129"/>
      <c r="AX331" s="321">
        <v>2929870740</v>
      </c>
      <c r="AY331" s="560">
        <v>1040213960</v>
      </c>
      <c r="AZ331" s="560">
        <v>559983825</v>
      </c>
      <c r="BA331" s="187"/>
      <c r="BB331" s="187"/>
      <c r="BC331" s="187"/>
      <c r="BD331" s="187">
        <v>0</v>
      </c>
      <c r="BE331" s="187"/>
      <c r="BF331" s="187"/>
      <c r="BG331" s="131">
        <f t="shared" si="81"/>
        <v>2929870740</v>
      </c>
      <c r="BH331" s="131">
        <f t="shared" si="81"/>
        <v>1040213960</v>
      </c>
      <c r="BI331" s="131">
        <f t="shared" si="81"/>
        <v>559983825</v>
      </c>
    </row>
    <row r="332" spans="1:61" s="238" customFormat="1" ht="69" customHeight="1" x14ac:dyDescent="0.2">
      <c r="A332" s="104"/>
      <c r="B332" s="118"/>
      <c r="C332" s="282"/>
      <c r="D332" s="323"/>
      <c r="E332" s="887"/>
      <c r="F332" s="607" t="s">
        <v>1088</v>
      </c>
      <c r="G332" s="518" t="s">
        <v>1260</v>
      </c>
      <c r="H332" s="185">
        <v>1905029</v>
      </c>
      <c r="I332" s="211" t="s">
        <v>1261</v>
      </c>
      <c r="J332" s="518" t="s">
        <v>1262</v>
      </c>
      <c r="K332" s="146">
        <v>190502900</v>
      </c>
      <c r="L332" s="320" t="s">
        <v>1263</v>
      </c>
      <c r="M332" s="290" t="s">
        <v>109</v>
      </c>
      <c r="N332" s="146">
        <v>60</v>
      </c>
      <c r="O332" s="146">
        <v>60</v>
      </c>
      <c r="P332" s="146"/>
      <c r="Q332" s="892" t="s">
        <v>214</v>
      </c>
      <c r="R332" s="887" t="s">
        <v>1264</v>
      </c>
      <c r="S332" s="211" t="s">
        <v>1265</v>
      </c>
      <c r="T332" s="129"/>
      <c r="U332" s="129"/>
      <c r="V332" s="129"/>
      <c r="W332" s="129"/>
      <c r="X332" s="129"/>
      <c r="Y332" s="129"/>
      <c r="Z332" s="129"/>
      <c r="AA332" s="129"/>
      <c r="AB332" s="129"/>
      <c r="AC332" s="129"/>
      <c r="AD332" s="129"/>
      <c r="AE332" s="129"/>
      <c r="AF332" s="129">
        <v>10000000</v>
      </c>
      <c r="AG332" s="129"/>
      <c r="AH332" s="129"/>
      <c r="AI332" s="129"/>
      <c r="AJ332" s="129"/>
      <c r="AK332" s="129"/>
      <c r="AL332" s="129"/>
      <c r="AM332" s="129"/>
      <c r="AN332" s="129"/>
      <c r="AO332" s="129"/>
      <c r="AP332" s="129"/>
      <c r="AQ332" s="129"/>
      <c r="AR332" s="129"/>
      <c r="AS332" s="129"/>
      <c r="AT332" s="129"/>
      <c r="AU332" s="129"/>
      <c r="AV332" s="187"/>
      <c r="AW332" s="187"/>
      <c r="AX332" s="560"/>
      <c r="AY332" s="560"/>
      <c r="AZ332" s="560"/>
      <c r="BA332" s="187"/>
      <c r="BB332" s="187"/>
      <c r="BC332" s="187"/>
      <c r="BD332" s="187"/>
      <c r="BE332" s="187"/>
      <c r="BF332" s="187"/>
      <c r="BG332" s="131">
        <f t="shared" si="81"/>
        <v>10000000</v>
      </c>
      <c r="BH332" s="131">
        <f t="shared" si="81"/>
        <v>0</v>
      </c>
      <c r="BI332" s="131">
        <f t="shared" si="81"/>
        <v>0</v>
      </c>
    </row>
    <row r="333" spans="1:61" s="238" customFormat="1" ht="69" customHeight="1" x14ac:dyDescent="0.2">
      <c r="A333" s="104"/>
      <c r="B333" s="118"/>
      <c r="C333" s="282"/>
      <c r="D333" s="323"/>
      <c r="E333" s="889"/>
      <c r="F333" s="122" t="s">
        <v>1240</v>
      </c>
      <c r="G333" s="518" t="s">
        <v>1241</v>
      </c>
      <c r="H333" s="124">
        <v>1905026</v>
      </c>
      <c r="I333" s="186" t="s">
        <v>1242</v>
      </c>
      <c r="J333" s="518" t="s">
        <v>1243</v>
      </c>
      <c r="K333" s="146">
        <v>190502600</v>
      </c>
      <c r="L333" s="320" t="s">
        <v>1244</v>
      </c>
      <c r="M333" s="127" t="s">
        <v>109</v>
      </c>
      <c r="N333" s="184">
        <v>12</v>
      </c>
      <c r="O333" s="184">
        <v>12</v>
      </c>
      <c r="P333" s="146">
        <v>0</v>
      </c>
      <c r="Q333" s="893"/>
      <c r="R333" s="889"/>
      <c r="S333" s="211"/>
      <c r="T333" s="129"/>
      <c r="U333" s="129"/>
      <c r="V333" s="129"/>
      <c r="W333" s="129"/>
      <c r="X333" s="129"/>
      <c r="Y333" s="129"/>
      <c r="Z333" s="129"/>
      <c r="AA333" s="129"/>
      <c r="AB333" s="129"/>
      <c r="AC333" s="129"/>
      <c r="AD333" s="129"/>
      <c r="AE333" s="129"/>
      <c r="AF333" s="129">
        <v>10000000</v>
      </c>
      <c r="AG333" s="129"/>
      <c r="AH333" s="129"/>
      <c r="AI333" s="129"/>
      <c r="AJ333" s="129"/>
      <c r="AK333" s="129"/>
      <c r="AL333" s="129"/>
      <c r="AM333" s="129"/>
      <c r="AN333" s="129"/>
      <c r="AO333" s="129"/>
      <c r="AP333" s="129"/>
      <c r="AQ333" s="129"/>
      <c r="AR333" s="129"/>
      <c r="AS333" s="129"/>
      <c r="AT333" s="129"/>
      <c r="AU333" s="129"/>
      <c r="AV333" s="187"/>
      <c r="AW333" s="187"/>
      <c r="AX333" s="560"/>
      <c r="AY333" s="560"/>
      <c r="AZ333" s="560"/>
      <c r="BA333" s="187"/>
      <c r="BB333" s="187"/>
      <c r="BC333" s="187"/>
      <c r="BD333" s="187"/>
      <c r="BE333" s="187"/>
      <c r="BF333" s="187"/>
      <c r="BG333" s="131">
        <f t="shared" si="81"/>
        <v>10000000</v>
      </c>
      <c r="BH333" s="131">
        <f t="shared" si="81"/>
        <v>0</v>
      </c>
      <c r="BI333" s="131">
        <f t="shared" si="81"/>
        <v>0</v>
      </c>
    </row>
    <row r="334" spans="1:61" s="238" customFormat="1" ht="93.75" customHeight="1" x14ac:dyDescent="0.2">
      <c r="A334" s="104"/>
      <c r="B334" s="118"/>
      <c r="C334" s="282"/>
      <c r="D334" s="323"/>
      <c r="E334" s="322"/>
      <c r="F334" s="122" t="s">
        <v>1152</v>
      </c>
      <c r="G334" s="518" t="s">
        <v>1266</v>
      </c>
      <c r="H334" s="124">
        <v>1905025</v>
      </c>
      <c r="I334" s="186" t="s">
        <v>1267</v>
      </c>
      <c r="J334" s="518" t="s">
        <v>1268</v>
      </c>
      <c r="K334" s="146">
        <v>190502500</v>
      </c>
      <c r="L334" s="320" t="s">
        <v>1269</v>
      </c>
      <c r="M334" s="290" t="s">
        <v>109</v>
      </c>
      <c r="N334" s="146">
        <v>12</v>
      </c>
      <c r="O334" s="146">
        <v>12</v>
      </c>
      <c r="P334" s="146">
        <v>6</v>
      </c>
      <c r="Q334" s="149" t="s">
        <v>214</v>
      </c>
      <c r="R334" s="212" t="s">
        <v>1270</v>
      </c>
      <c r="S334" s="211" t="s">
        <v>1271</v>
      </c>
      <c r="T334" s="129"/>
      <c r="U334" s="129"/>
      <c r="V334" s="129"/>
      <c r="W334" s="129"/>
      <c r="X334" s="129"/>
      <c r="Y334" s="129"/>
      <c r="Z334" s="129"/>
      <c r="AA334" s="129"/>
      <c r="AB334" s="129"/>
      <c r="AC334" s="129"/>
      <c r="AD334" s="129"/>
      <c r="AE334" s="129"/>
      <c r="AF334" s="129">
        <v>76000000</v>
      </c>
      <c r="AG334" s="129">
        <v>10173331</v>
      </c>
      <c r="AH334" s="129">
        <v>10173331</v>
      </c>
      <c r="AI334" s="129"/>
      <c r="AJ334" s="129"/>
      <c r="AK334" s="129"/>
      <c r="AL334" s="129"/>
      <c r="AM334" s="129"/>
      <c r="AN334" s="129"/>
      <c r="AO334" s="129"/>
      <c r="AP334" s="129"/>
      <c r="AQ334" s="129"/>
      <c r="AR334" s="129"/>
      <c r="AS334" s="129"/>
      <c r="AT334" s="129"/>
      <c r="AU334" s="129"/>
      <c r="AV334" s="187"/>
      <c r="AW334" s="187"/>
      <c r="AX334" s="560"/>
      <c r="AY334" s="560"/>
      <c r="AZ334" s="560"/>
      <c r="BA334" s="187"/>
      <c r="BB334" s="187"/>
      <c r="BC334" s="187"/>
      <c r="BD334" s="187"/>
      <c r="BE334" s="187"/>
      <c r="BF334" s="187"/>
      <c r="BG334" s="131">
        <f t="shared" si="81"/>
        <v>76000000</v>
      </c>
      <c r="BH334" s="131">
        <f t="shared" si="81"/>
        <v>10173331</v>
      </c>
      <c r="BI334" s="131">
        <f t="shared" si="81"/>
        <v>10173331</v>
      </c>
    </row>
    <row r="335" spans="1:61" s="238" customFormat="1" ht="86.25" customHeight="1" x14ac:dyDescent="0.2">
      <c r="A335" s="104"/>
      <c r="B335" s="118"/>
      <c r="C335" s="282"/>
      <c r="D335" s="323"/>
      <c r="E335" s="603"/>
      <c r="F335" s="122" t="s">
        <v>1098</v>
      </c>
      <c r="G335" s="367" t="s">
        <v>1272</v>
      </c>
      <c r="H335" s="219">
        <v>1905015</v>
      </c>
      <c r="I335" s="368" t="s">
        <v>519</v>
      </c>
      <c r="J335" s="367" t="s">
        <v>1273</v>
      </c>
      <c r="K335" s="219">
        <v>190501503</v>
      </c>
      <c r="L335" s="186" t="s">
        <v>1274</v>
      </c>
      <c r="M335" s="290" t="s">
        <v>109</v>
      </c>
      <c r="N335" s="146">
        <v>15</v>
      </c>
      <c r="O335" s="146">
        <v>15</v>
      </c>
      <c r="P335" s="146">
        <v>6</v>
      </c>
      <c r="Q335" s="149" t="s">
        <v>214</v>
      </c>
      <c r="R335" s="212" t="s">
        <v>1132</v>
      </c>
      <c r="S335" s="211" t="s">
        <v>1133</v>
      </c>
      <c r="T335" s="129"/>
      <c r="U335" s="129"/>
      <c r="V335" s="129"/>
      <c r="W335" s="129"/>
      <c r="X335" s="129"/>
      <c r="Y335" s="129"/>
      <c r="Z335" s="129"/>
      <c r="AA335" s="129"/>
      <c r="AB335" s="129"/>
      <c r="AC335" s="129"/>
      <c r="AD335" s="129"/>
      <c r="AE335" s="129"/>
      <c r="AF335" s="610">
        <f>100126107.49-0.35</f>
        <v>100126107.14</v>
      </c>
      <c r="AG335" s="610"/>
      <c r="AH335" s="610"/>
      <c r="AI335" s="129"/>
      <c r="AJ335" s="129"/>
      <c r="AK335" s="129"/>
      <c r="AL335" s="129"/>
      <c r="AM335" s="129"/>
      <c r="AN335" s="129"/>
      <c r="AO335" s="129"/>
      <c r="AP335" s="129"/>
      <c r="AQ335" s="129"/>
      <c r="AR335" s="129"/>
      <c r="AS335" s="129"/>
      <c r="AT335" s="129"/>
      <c r="AU335" s="129"/>
      <c r="AV335" s="187"/>
      <c r="AW335" s="187"/>
      <c r="AX335" s="560"/>
      <c r="AY335" s="560"/>
      <c r="AZ335" s="560"/>
      <c r="BA335" s="187"/>
      <c r="BB335" s="187"/>
      <c r="BC335" s="187"/>
      <c r="BD335" s="187"/>
      <c r="BE335" s="187"/>
      <c r="BF335" s="187"/>
      <c r="BG335" s="131">
        <f t="shared" si="81"/>
        <v>100126107.14</v>
      </c>
      <c r="BH335" s="131">
        <f t="shared" si="81"/>
        <v>0</v>
      </c>
      <c r="BI335" s="131">
        <f t="shared" si="81"/>
        <v>0</v>
      </c>
    </row>
    <row r="336" spans="1:61" s="238" customFormat="1" ht="63.75" customHeight="1" x14ac:dyDescent="0.2">
      <c r="A336" s="104"/>
      <c r="B336" s="118"/>
      <c r="C336" s="207"/>
      <c r="D336" s="208"/>
      <c r="E336" s="121"/>
      <c r="F336" s="122" t="s">
        <v>1275</v>
      </c>
      <c r="G336" s="149" t="s">
        <v>1276</v>
      </c>
      <c r="H336" s="124" t="s">
        <v>102</v>
      </c>
      <c r="I336" s="125" t="s">
        <v>1277</v>
      </c>
      <c r="J336" s="149" t="s">
        <v>1278</v>
      </c>
      <c r="K336" s="149" t="s">
        <v>102</v>
      </c>
      <c r="L336" s="125" t="s">
        <v>1279</v>
      </c>
      <c r="M336" s="290" t="s">
        <v>109</v>
      </c>
      <c r="N336" s="146">
        <v>1</v>
      </c>
      <c r="O336" s="146">
        <v>1</v>
      </c>
      <c r="P336" s="146"/>
      <c r="Q336" s="149" t="s">
        <v>214</v>
      </c>
      <c r="R336" s="127" t="s">
        <v>1280</v>
      </c>
      <c r="S336" s="186" t="s">
        <v>1281</v>
      </c>
      <c r="T336" s="129"/>
      <c r="U336" s="129"/>
      <c r="V336" s="129"/>
      <c r="W336" s="129"/>
      <c r="X336" s="129"/>
      <c r="Y336" s="129"/>
      <c r="Z336" s="129"/>
      <c r="AA336" s="129"/>
      <c r="AB336" s="129"/>
      <c r="AC336" s="129"/>
      <c r="AD336" s="129"/>
      <c r="AE336" s="129"/>
      <c r="AF336" s="129"/>
      <c r="AG336" s="129"/>
      <c r="AH336" s="129"/>
      <c r="AI336" s="620"/>
      <c r="AJ336" s="620"/>
      <c r="AK336" s="620"/>
      <c r="AL336" s="129"/>
      <c r="AM336" s="129"/>
      <c r="AN336" s="129"/>
      <c r="AO336" s="129"/>
      <c r="AP336" s="129"/>
      <c r="AQ336" s="129"/>
      <c r="AR336" s="129"/>
      <c r="AS336" s="129"/>
      <c r="AT336" s="129"/>
      <c r="AU336" s="129"/>
      <c r="AV336" s="187"/>
      <c r="AW336" s="187"/>
      <c r="AX336" s="560">
        <f>161000000+139000000</f>
        <v>300000000</v>
      </c>
      <c r="AY336" s="560">
        <v>111618484</v>
      </c>
      <c r="AZ336" s="560">
        <v>73990042</v>
      </c>
      <c r="BA336" s="187"/>
      <c r="BB336" s="187"/>
      <c r="BC336" s="187"/>
      <c r="BD336" s="187"/>
      <c r="BE336" s="187"/>
      <c r="BF336" s="187"/>
      <c r="BG336" s="131">
        <f t="shared" si="81"/>
        <v>300000000</v>
      </c>
      <c r="BH336" s="131">
        <f t="shared" si="81"/>
        <v>111618484</v>
      </c>
      <c r="BI336" s="131">
        <f t="shared" si="81"/>
        <v>73990042</v>
      </c>
    </row>
    <row r="337" spans="1:68" s="238" customFormat="1" ht="61.5" customHeight="1" x14ac:dyDescent="0.2">
      <c r="A337" s="104"/>
      <c r="B337" s="118"/>
      <c r="C337" s="64"/>
      <c r="D337" s="132"/>
      <c r="E337" s="322"/>
      <c r="F337" s="122" t="s">
        <v>1093</v>
      </c>
      <c r="G337" s="127" t="s">
        <v>1177</v>
      </c>
      <c r="H337" s="193">
        <v>1905031</v>
      </c>
      <c r="I337" s="186" t="s">
        <v>1178</v>
      </c>
      <c r="J337" s="127" t="s">
        <v>1179</v>
      </c>
      <c r="K337" s="124">
        <v>190503100</v>
      </c>
      <c r="L337" s="186" t="s">
        <v>1180</v>
      </c>
      <c r="M337" s="290" t="s">
        <v>109</v>
      </c>
      <c r="N337" s="146">
        <v>12</v>
      </c>
      <c r="O337" s="146">
        <v>12</v>
      </c>
      <c r="P337" s="146">
        <v>9</v>
      </c>
      <c r="Q337" s="149" t="s">
        <v>214</v>
      </c>
      <c r="R337" s="212" t="s">
        <v>1282</v>
      </c>
      <c r="S337" s="211" t="s">
        <v>11</v>
      </c>
      <c r="T337" s="129"/>
      <c r="U337" s="129"/>
      <c r="V337" s="129"/>
      <c r="W337" s="129"/>
      <c r="X337" s="129"/>
      <c r="Y337" s="129"/>
      <c r="Z337" s="129"/>
      <c r="AA337" s="129"/>
      <c r="AB337" s="129"/>
      <c r="AC337" s="129"/>
      <c r="AD337" s="129"/>
      <c r="AE337" s="129"/>
      <c r="AF337" s="129">
        <f>1300000000+100126107.49</f>
        <v>1400126107.49</v>
      </c>
      <c r="AG337" s="129">
        <v>436818666</v>
      </c>
      <c r="AH337" s="129">
        <v>19632666</v>
      </c>
      <c r="AI337" s="129"/>
      <c r="AJ337" s="129"/>
      <c r="AK337" s="129"/>
      <c r="AL337" s="835"/>
      <c r="AM337" s="835"/>
      <c r="AN337" s="835"/>
      <c r="AO337" s="129"/>
      <c r="AP337" s="129"/>
      <c r="AQ337" s="129"/>
      <c r="AR337" s="129"/>
      <c r="AS337" s="129"/>
      <c r="AT337" s="129"/>
      <c r="AU337" s="129"/>
      <c r="AV337" s="187"/>
      <c r="AW337" s="187"/>
      <c r="AX337" s="560"/>
      <c r="AY337" s="560"/>
      <c r="AZ337" s="560"/>
      <c r="BA337" s="187"/>
      <c r="BB337" s="187"/>
      <c r="BC337" s="187"/>
      <c r="BD337" s="187"/>
      <c r="BE337" s="187"/>
      <c r="BF337" s="187"/>
      <c r="BG337" s="131">
        <f t="shared" si="81"/>
        <v>1400126107.49</v>
      </c>
      <c r="BH337" s="131">
        <f t="shared" si="81"/>
        <v>436818666</v>
      </c>
      <c r="BI337" s="131">
        <f t="shared" si="81"/>
        <v>19632666</v>
      </c>
    </row>
    <row r="338" spans="1:68" s="414" customFormat="1" ht="21" customHeight="1" x14ac:dyDescent="0.2">
      <c r="A338" s="600"/>
      <c r="B338" s="134"/>
      <c r="C338" s="388">
        <v>13</v>
      </c>
      <c r="D338" s="253">
        <v>1906</v>
      </c>
      <c r="E338" s="175" t="s">
        <v>208</v>
      </c>
      <c r="F338" s="138"/>
      <c r="G338" s="139"/>
      <c r="H338" s="176"/>
      <c r="I338" s="177"/>
      <c r="J338" s="178"/>
      <c r="K338" s="178"/>
      <c r="L338" s="177"/>
      <c r="M338" s="179"/>
      <c r="N338" s="180"/>
      <c r="O338" s="139"/>
      <c r="P338" s="139"/>
      <c r="Q338" s="181"/>
      <c r="R338" s="181"/>
      <c r="S338" s="177"/>
      <c r="T338" s="348">
        <f>SUM(T339:T345)</f>
        <v>0</v>
      </c>
      <c r="U338" s="348"/>
      <c r="V338" s="348"/>
      <c r="W338" s="348">
        <f>SUM(W339:W345)</f>
        <v>0</v>
      </c>
      <c r="X338" s="348"/>
      <c r="Y338" s="348"/>
      <c r="Z338" s="348">
        <f>SUM(Z339:Z345)</f>
        <v>0</v>
      </c>
      <c r="AA338" s="348"/>
      <c r="AB338" s="348"/>
      <c r="AC338" s="348">
        <f>SUM(AC339:AC345)</f>
        <v>0</v>
      </c>
      <c r="AD338" s="348"/>
      <c r="AE338" s="348"/>
      <c r="AF338" s="348">
        <f t="shared" ref="AF338:BI338" si="82">SUM(AF339:AF345)</f>
        <v>2194512076.8699999</v>
      </c>
      <c r="AG338" s="348">
        <f t="shared" si="82"/>
        <v>0</v>
      </c>
      <c r="AH338" s="348">
        <f t="shared" si="82"/>
        <v>0</v>
      </c>
      <c r="AI338" s="348">
        <f t="shared" si="82"/>
        <v>26097225521.52</v>
      </c>
      <c r="AJ338" s="348">
        <f t="shared" si="82"/>
        <v>19900314812</v>
      </c>
      <c r="AK338" s="348">
        <f t="shared" si="82"/>
        <v>0</v>
      </c>
      <c r="AL338" s="348">
        <f t="shared" si="82"/>
        <v>0</v>
      </c>
      <c r="AM338" s="348">
        <f t="shared" si="82"/>
        <v>0</v>
      </c>
      <c r="AN338" s="348">
        <f t="shared" si="82"/>
        <v>0</v>
      </c>
      <c r="AO338" s="348">
        <f t="shared" si="82"/>
        <v>0</v>
      </c>
      <c r="AP338" s="348">
        <f t="shared" si="82"/>
        <v>0</v>
      </c>
      <c r="AQ338" s="348">
        <f t="shared" si="82"/>
        <v>0</v>
      </c>
      <c r="AR338" s="348">
        <f t="shared" si="82"/>
        <v>0</v>
      </c>
      <c r="AS338" s="348">
        <f t="shared" si="82"/>
        <v>0</v>
      </c>
      <c r="AT338" s="348">
        <f t="shared" si="82"/>
        <v>0</v>
      </c>
      <c r="AU338" s="348">
        <f t="shared" si="82"/>
        <v>0</v>
      </c>
      <c r="AV338" s="348">
        <f t="shared" si="82"/>
        <v>0</v>
      </c>
      <c r="AW338" s="348">
        <f t="shared" si="82"/>
        <v>0</v>
      </c>
      <c r="AX338" s="348">
        <f t="shared" si="82"/>
        <v>161590000</v>
      </c>
      <c r="AY338" s="348">
        <f t="shared" si="82"/>
        <v>16800000</v>
      </c>
      <c r="AZ338" s="348">
        <f t="shared" si="82"/>
        <v>16800000</v>
      </c>
      <c r="BA338" s="348">
        <f t="shared" si="82"/>
        <v>0</v>
      </c>
      <c r="BB338" s="348">
        <f t="shared" si="82"/>
        <v>0</v>
      </c>
      <c r="BC338" s="348">
        <f t="shared" si="82"/>
        <v>0</v>
      </c>
      <c r="BD338" s="348">
        <f t="shared" si="82"/>
        <v>1646791581.6900001</v>
      </c>
      <c r="BE338" s="348">
        <f t="shared" si="82"/>
        <v>0</v>
      </c>
      <c r="BF338" s="348">
        <f t="shared" si="82"/>
        <v>0</v>
      </c>
      <c r="BG338" s="348">
        <f t="shared" si="82"/>
        <v>30100119180.079998</v>
      </c>
      <c r="BH338" s="348">
        <f t="shared" si="82"/>
        <v>19917114812</v>
      </c>
      <c r="BI338" s="348">
        <f t="shared" si="82"/>
        <v>16800000</v>
      </c>
      <c r="BJ338" s="415"/>
      <c r="BK338" s="415"/>
      <c r="BL338" s="415"/>
      <c r="BM338" s="415"/>
      <c r="BN338" s="415"/>
      <c r="BO338" s="415"/>
      <c r="BP338" s="415"/>
    </row>
    <row r="339" spans="1:68" s="238" customFormat="1" ht="76.5" customHeight="1" x14ac:dyDescent="0.2">
      <c r="A339" s="104"/>
      <c r="B339" s="255"/>
      <c r="C339" s="256"/>
      <c r="D339" s="120"/>
      <c r="E339" s="724"/>
      <c r="F339" s="122" t="s">
        <v>1152</v>
      </c>
      <c r="G339" s="127" t="s">
        <v>1283</v>
      </c>
      <c r="H339" s="219">
        <v>1906032</v>
      </c>
      <c r="I339" s="368" t="s">
        <v>1284</v>
      </c>
      <c r="J339" s="127" t="s">
        <v>1285</v>
      </c>
      <c r="K339" s="146">
        <v>190603200</v>
      </c>
      <c r="L339" s="186" t="s">
        <v>1286</v>
      </c>
      <c r="M339" s="290" t="s">
        <v>204</v>
      </c>
      <c r="N339" s="146">
        <v>3000</v>
      </c>
      <c r="O339" s="146">
        <v>1500</v>
      </c>
      <c r="P339" s="146">
        <v>750</v>
      </c>
      <c r="Q339" s="892" t="s">
        <v>214</v>
      </c>
      <c r="R339" s="887" t="s">
        <v>1287</v>
      </c>
      <c r="S339" s="890" t="s">
        <v>1288</v>
      </c>
      <c r="T339" s="129"/>
      <c r="U339" s="129"/>
      <c r="V339" s="129"/>
      <c r="W339" s="129"/>
      <c r="X339" s="129"/>
      <c r="Y339" s="129"/>
      <c r="Z339" s="129"/>
      <c r="AA339" s="129"/>
      <c r="AB339" s="129"/>
      <c r="AC339" s="129"/>
      <c r="AD339" s="129"/>
      <c r="AE339" s="129"/>
      <c r="AF339" s="129"/>
      <c r="AG339" s="129"/>
      <c r="AH339" s="129"/>
      <c r="AI339" s="610"/>
      <c r="AJ339" s="610"/>
      <c r="AK339" s="610"/>
      <c r="AL339" s="129"/>
      <c r="AM339" s="129"/>
      <c r="AN339" s="129"/>
      <c r="AO339" s="129"/>
      <c r="AP339" s="129"/>
      <c r="AQ339" s="129"/>
      <c r="AR339" s="129"/>
      <c r="AS339" s="129"/>
      <c r="AT339" s="129"/>
      <c r="AU339" s="129"/>
      <c r="AV339" s="187"/>
      <c r="AW339" s="187"/>
      <c r="AX339" s="560"/>
      <c r="AY339" s="560"/>
      <c r="AZ339" s="560"/>
      <c r="BA339" s="187"/>
      <c r="BB339" s="187"/>
      <c r="BC339" s="187"/>
      <c r="BD339" s="187"/>
      <c r="BE339" s="187"/>
      <c r="BF339" s="187"/>
      <c r="BG339" s="131">
        <f t="shared" ref="BG339:BI341" si="83">+T339+W339+Z339+AC339+AF339+AI339+AL339+AO339+AR339+AU339+AX339+BA339+BD339</f>
        <v>0</v>
      </c>
      <c r="BH339" s="131">
        <f t="shared" si="83"/>
        <v>0</v>
      </c>
      <c r="BI339" s="131">
        <f t="shared" si="83"/>
        <v>0</v>
      </c>
    </row>
    <row r="340" spans="1:68" s="238" customFormat="1" ht="71.25" customHeight="1" x14ac:dyDescent="0.2">
      <c r="A340" s="104"/>
      <c r="B340" s="255"/>
      <c r="C340" s="255"/>
      <c r="D340" s="323"/>
      <c r="E340" s="725"/>
      <c r="F340" s="122" t="s">
        <v>1289</v>
      </c>
      <c r="G340" s="127" t="s">
        <v>1290</v>
      </c>
      <c r="H340" s="124" t="s">
        <v>102</v>
      </c>
      <c r="I340" s="186" t="s">
        <v>1291</v>
      </c>
      <c r="J340" s="127" t="s">
        <v>1292</v>
      </c>
      <c r="K340" s="127" t="s">
        <v>102</v>
      </c>
      <c r="L340" s="186" t="s">
        <v>1293</v>
      </c>
      <c r="M340" s="290" t="s">
        <v>109</v>
      </c>
      <c r="N340" s="146">
        <v>19899</v>
      </c>
      <c r="O340" s="146">
        <v>19899</v>
      </c>
      <c r="P340" s="146">
        <v>10000</v>
      </c>
      <c r="Q340" s="893"/>
      <c r="R340" s="889"/>
      <c r="S340" s="894"/>
      <c r="T340" s="129"/>
      <c r="U340" s="129"/>
      <c r="V340" s="129"/>
      <c r="W340" s="129"/>
      <c r="X340" s="129"/>
      <c r="Y340" s="129"/>
      <c r="Z340" s="129"/>
      <c r="AA340" s="129"/>
      <c r="AB340" s="129"/>
      <c r="AC340" s="129"/>
      <c r="AD340" s="129"/>
      <c r="AE340" s="129"/>
      <c r="AF340" s="129"/>
      <c r="AG340" s="129"/>
      <c r="AH340" s="129"/>
      <c r="AI340" s="129">
        <f>21634597197+14825685-3.96</f>
        <v>21649422878.040001</v>
      </c>
      <c r="AJ340" s="129">
        <v>19900314812</v>
      </c>
      <c r="AK340" s="129"/>
      <c r="AL340" s="129"/>
      <c r="AM340" s="129"/>
      <c r="AN340" s="129"/>
      <c r="AO340" s="129"/>
      <c r="AP340" s="129"/>
      <c r="AQ340" s="129"/>
      <c r="AR340" s="129"/>
      <c r="AS340" s="129"/>
      <c r="AT340" s="129"/>
      <c r="AU340" s="129"/>
      <c r="AV340" s="187"/>
      <c r="AW340" s="187"/>
      <c r="AX340" s="560">
        <v>11200000</v>
      </c>
      <c r="AY340" s="560">
        <v>11200000</v>
      </c>
      <c r="AZ340" s="560">
        <v>11200000</v>
      </c>
      <c r="BA340" s="187"/>
      <c r="BB340" s="187"/>
      <c r="BC340" s="187"/>
      <c r="BD340" s="187"/>
      <c r="BE340" s="187"/>
      <c r="BF340" s="187"/>
      <c r="BG340" s="131">
        <f t="shared" si="83"/>
        <v>21660622878.040001</v>
      </c>
      <c r="BH340" s="131">
        <f t="shared" si="83"/>
        <v>19911514812</v>
      </c>
      <c r="BI340" s="131">
        <f t="shared" si="83"/>
        <v>11200000</v>
      </c>
    </row>
    <row r="341" spans="1:68" s="238" customFormat="1" ht="60" customHeight="1" x14ac:dyDescent="0.2">
      <c r="A341" s="104"/>
      <c r="B341" s="255"/>
      <c r="C341" s="359"/>
      <c r="D341" s="208"/>
      <c r="E341" s="887"/>
      <c r="F341" s="941" t="s">
        <v>1289</v>
      </c>
      <c r="G341" s="943" t="s">
        <v>1294</v>
      </c>
      <c r="H341" s="921" t="s">
        <v>102</v>
      </c>
      <c r="I341" s="890" t="s">
        <v>1295</v>
      </c>
      <c r="J341" s="290" t="s">
        <v>1296</v>
      </c>
      <c r="K341" s="146" t="s">
        <v>102</v>
      </c>
      <c r="L341" s="320" t="s">
        <v>1297</v>
      </c>
      <c r="M341" s="290" t="s">
        <v>109</v>
      </c>
      <c r="N341" s="146">
        <v>60</v>
      </c>
      <c r="O341" s="124">
        <v>60</v>
      </c>
      <c r="P341" s="124">
        <v>27</v>
      </c>
      <c r="Q341" s="892" t="s">
        <v>214</v>
      </c>
      <c r="R341" s="887" t="s">
        <v>1298</v>
      </c>
      <c r="S341" s="890" t="s">
        <v>1299</v>
      </c>
      <c r="T341" s="129"/>
      <c r="U341" s="129"/>
      <c r="V341" s="129"/>
      <c r="W341" s="129"/>
      <c r="X341" s="129"/>
      <c r="Y341" s="129"/>
      <c r="Z341" s="129"/>
      <c r="AA341" s="129"/>
      <c r="AB341" s="129"/>
      <c r="AC341" s="129"/>
      <c r="AD341" s="129"/>
      <c r="AE341" s="129"/>
      <c r="AF341" s="129"/>
      <c r="AG341" s="129"/>
      <c r="AH341" s="129"/>
      <c r="AI341" s="129"/>
      <c r="AJ341" s="129"/>
      <c r="AK341" s="129"/>
      <c r="AL341" s="129"/>
      <c r="AM341" s="129"/>
      <c r="AN341" s="129"/>
      <c r="AO341" s="129"/>
      <c r="AP341" s="129"/>
      <c r="AQ341" s="129"/>
      <c r="AR341" s="129"/>
      <c r="AS341" s="129"/>
      <c r="AT341" s="129"/>
      <c r="AU341" s="129"/>
      <c r="AV341" s="187"/>
      <c r="AW341" s="187"/>
      <c r="AX341" s="560"/>
      <c r="AY341" s="560"/>
      <c r="AZ341" s="560"/>
      <c r="BA341" s="187"/>
      <c r="BB341" s="187"/>
      <c r="BC341" s="187"/>
      <c r="BD341" s="187">
        <f>1530716729+39149969</f>
        <v>1569866698</v>
      </c>
      <c r="BE341" s="187"/>
      <c r="BF341" s="187"/>
      <c r="BG341" s="131">
        <f t="shared" si="83"/>
        <v>1569866698</v>
      </c>
      <c r="BH341" s="131">
        <f t="shared" si="83"/>
        <v>0</v>
      </c>
      <c r="BI341" s="131">
        <f t="shared" si="83"/>
        <v>0</v>
      </c>
    </row>
    <row r="342" spans="1:68" s="238" customFormat="1" ht="60" customHeight="1" x14ac:dyDescent="0.2">
      <c r="A342" s="104"/>
      <c r="B342" s="255"/>
      <c r="C342" s="359"/>
      <c r="D342" s="208"/>
      <c r="E342" s="888"/>
      <c r="F342" s="942"/>
      <c r="G342" s="944"/>
      <c r="H342" s="922"/>
      <c r="I342" s="894"/>
      <c r="J342" s="290" t="s">
        <v>1300</v>
      </c>
      <c r="K342" s="342" t="s">
        <v>102</v>
      </c>
      <c r="L342" s="320" t="s">
        <v>1301</v>
      </c>
      <c r="M342" s="290" t="s">
        <v>109</v>
      </c>
      <c r="N342" s="146">
        <v>40</v>
      </c>
      <c r="O342" s="124">
        <v>40</v>
      </c>
      <c r="P342" s="124"/>
      <c r="Q342" s="895"/>
      <c r="R342" s="888"/>
      <c r="S342" s="891"/>
      <c r="T342" s="129"/>
      <c r="U342" s="129"/>
      <c r="V342" s="129"/>
      <c r="W342" s="129"/>
      <c r="X342" s="129"/>
      <c r="Y342" s="129"/>
      <c r="Z342" s="129"/>
      <c r="AA342" s="129"/>
      <c r="AB342" s="129"/>
      <c r="AC342" s="129"/>
      <c r="AD342" s="129"/>
      <c r="AE342" s="129"/>
      <c r="AF342" s="129"/>
      <c r="AG342" s="129"/>
      <c r="AH342" s="129"/>
      <c r="AI342" s="129"/>
      <c r="AJ342" s="129"/>
      <c r="AK342" s="129"/>
      <c r="AL342" s="129"/>
      <c r="AM342" s="129"/>
      <c r="AN342" s="129"/>
      <c r="AO342" s="129"/>
      <c r="AP342" s="129"/>
      <c r="AQ342" s="129"/>
      <c r="AR342" s="129"/>
      <c r="AS342" s="129"/>
      <c r="AT342" s="129"/>
      <c r="AU342" s="129"/>
      <c r="AV342" s="187"/>
      <c r="AW342" s="187"/>
      <c r="AX342" s="560"/>
      <c r="AY342" s="560"/>
      <c r="AZ342" s="560"/>
      <c r="BA342" s="187"/>
      <c r="BB342" s="187"/>
      <c r="BC342" s="187"/>
      <c r="BD342" s="187"/>
      <c r="BE342" s="187"/>
      <c r="BF342" s="187"/>
      <c r="BG342" s="131"/>
      <c r="BH342" s="131"/>
      <c r="BI342" s="131"/>
    </row>
    <row r="343" spans="1:68" s="238" customFormat="1" ht="84" customHeight="1" x14ac:dyDescent="0.2">
      <c r="A343" s="104"/>
      <c r="B343" s="255"/>
      <c r="C343" s="359"/>
      <c r="D343" s="208"/>
      <c r="E343" s="726"/>
      <c r="F343" s="122" t="s">
        <v>1289</v>
      </c>
      <c r="G343" s="290" t="s">
        <v>1302</v>
      </c>
      <c r="H343" s="124" t="s">
        <v>102</v>
      </c>
      <c r="I343" s="625" t="s">
        <v>1303</v>
      </c>
      <c r="J343" s="290" t="s">
        <v>1304</v>
      </c>
      <c r="K343" s="342" t="s">
        <v>102</v>
      </c>
      <c r="L343" s="320" t="s">
        <v>1305</v>
      </c>
      <c r="M343" s="290" t="s">
        <v>109</v>
      </c>
      <c r="N343" s="146">
        <v>100</v>
      </c>
      <c r="O343" s="124">
        <v>100</v>
      </c>
      <c r="P343" s="124"/>
      <c r="Q343" s="895"/>
      <c r="R343" s="888"/>
      <c r="S343" s="891"/>
      <c r="T343" s="129"/>
      <c r="U343" s="129"/>
      <c r="V343" s="129"/>
      <c r="W343" s="129"/>
      <c r="X343" s="129"/>
      <c r="Y343" s="129"/>
      <c r="Z343" s="129"/>
      <c r="AA343" s="129"/>
      <c r="AB343" s="129"/>
      <c r="AC343" s="129"/>
      <c r="AD343" s="129"/>
      <c r="AE343" s="129"/>
      <c r="AF343" s="129">
        <f>1514260580-1496346983-0.13</f>
        <v>17913596.870000001</v>
      </c>
      <c r="AG343" s="129"/>
      <c r="AH343" s="129"/>
      <c r="AI343" s="549"/>
      <c r="AJ343" s="549"/>
      <c r="AK343" s="549"/>
      <c r="AL343" s="129"/>
      <c r="AM343" s="129"/>
      <c r="AN343" s="129"/>
      <c r="AO343" s="129"/>
      <c r="AP343" s="129"/>
      <c r="AQ343" s="129"/>
      <c r="AR343" s="129"/>
      <c r="AS343" s="129"/>
      <c r="AT343" s="129"/>
      <c r="AU343" s="129"/>
      <c r="AV343" s="187"/>
      <c r="AW343" s="187"/>
      <c r="AX343" s="560"/>
      <c r="AY343" s="560"/>
      <c r="AZ343" s="560"/>
      <c r="BA343" s="187"/>
      <c r="BB343" s="187"/>
      <c r="BC343" s="187"/>
      <c r="BD343" s="187"/>
      <c r="BE343" s="187"/>
      <c r="BF343" s="187"/>
      <c r="BG343" s="131">
        <f t="shared" ref="BG343:BI345" si="84">+T343+W343+Z343+AC343+AF343+AI343+AL343+AO343+AR343+AU343+AX343+BA343+BD343</f>
        <v>17913596.870000001</v>
      </c>
      <c r="BH343" s="131">
        <f t="shared" si="84"/>
        <v>0</v>
      </c>
      <c r="BI343" s="131">
        <f t="shared" si="84"/>
        <v>0</v>
      </c>
    </row>
    <row r="344" spans="1:68" s="238" customFormat="1" ht="63.75" customHeight="1" x14ac:dyDescent="0.2">
      <c r="A344" s="104"/>
      <c r="B344" s="255"/>
      <c r="C344" s="359"/>
      <c r="D344" s="208"/>
      <c r="E344" s="725"/>
      <c r="F344" s="122" t="s">
        <v>1289</v>
      </c>
      <c r="G344" s="626" t="s">
        <v>1306</v>
      </c>
      <c r="H344" s="124" t="s">
        <v>102</v>
      </c>
      <c r="I344" s="186" t="s">
        <v>1307</v>
      </c>
      <c r="J344" s="626" t="s">
        <v>1308</v>
      </c>
      <c r="K344" s="342" t="s">
        <v>102</v>
      </c>
      <c r="L344" s="320" t="s">
        <v>1309</v>
      </c>
      <c r="M344" s="290" t="s">
        <v>109</v>
      </c>
      <c r="N344" s="146">
        <v>100</v>
      </c>
      <c r="O344" s="146">
        <v>100</v>
      </c>
      <c r="P344" s="146"/>
      <c r="Q344" s="893"/>
      <c r="R344" s="889"/>
      <c r="S344" s="894"/>
      <c r="T344" s="129"/>
      <c r="U344" s="129"/>
      <c r="V344" s="129"/>
      <c r="W344" s="129"/>
      <c r="X344" s="129"/>
      <c r="Y344" s="129"/>
      <c r="Z344" s="129"/>
      <c r="AA344" s="129"/>
      <c r="AB344" s="129"/>
      <c r="AC344" s="129"/>
      <c r="AD344" s="129"/>
      <c r="AE344" s="129"/>
      <c r="AF344" s="129">
        <v>680251497</v>
      </c>
      <c r="AG344" s="129"/>
      <c r="AH344" s="129"/>
      <c r="AI344" s="129">
        <f>1200096.53+4427083.08+6409080.2+3298588097+241539752.22+428092534.45</f>
        <v>3980256643.4799995</v>
      </c>
      <c r="AJ344" s="129"/>
      <c r="AK344" s="129"/>
      <c r="AL344" s="129"/>
      <c r="AM344" s="129"/>
      <c r="AN344" s="129"/>
      <c r="AO344" s="129"/>
      <c r="AP344" s="129"/>
      <c r="AQ344" s="129"/>
      <c r="AR344" s="129"/>
      <c r="AS344" s="129"/>
      <c r="AT344" s="129"/>
      <c r="AU344" s="129"/>
      <c r="AV344" s="187"/>
      <c r="AW344" s="187"/>
      <c r="AX344" s="560"/>
      <c r="AY344" s="560"/>
      <c r="AZ344" s="560"/>
      <c r="BA344" s="187"/>
      <c r="BB344" s="187"/>
      <c r="BC344" s="187"/>
      <c r="BD344" s="187">
        <f>68256639+7852620.44+815624.25</f>
        <v>76924883.689999998</v>
      </c>
      <c r="BE344" s="187"/>
      <c r="BF344" s="187"/>
      <c r="BG344" s="131">
        <f t="shared" si="84"/>
        <v>4737433024.1699991</v>
      </c>
      <c r="BH344" s="131">
        <f t="shared" si="84"/>
        <v>0</v>
      </c>
      <c r="BI344" s="131">
        <f t="shared" si="84"/>
        <v>0</v>
      </c>
    </row>
    <row r="345" spans="1:68" s="238" customFormat="1" ht="69" customHeight="1" x14ac:dyDescent="0.2">
      <c r="A345" s="141"/>
      <c r="B345" s="263"/>
      <c r="C345" s="360"/>
      <c r="D345" s="361"/>
      <c r="E345" s="121"/>
      <c r="F345" s="122" t="s">
        <v>1310</v>
      </c>
      <c r="G345" s="290" t="s">
        <v>1311</v>
      </c>
      <c r="H345" s="124">
        <v>1906029</v>
      </c>
      <c r="I345" s="186" t="s">
        <v>1312</v>
      </c>
      <c r="J345" s="290" t="s">
        <v>1313</v>
      </c>
      <c r="K345" s="146">
        <v>190602900</v>
      </c>
      <c r="L345" s="320" t="s">
        <v>1314</v>
      </c>
      <c r="M345" s="290" t="s">
        <v>109</v>
      </c>
      <c r="N345" s="146">
        <v>40</v>
      </c>
      <c r="O345" s="146">
        <v>40</v>
      </c>
      <c r="P345" s="146">
        <v>20</v>
      </c>
      <c r="Q345" s="149" t="s">
        <v>214</v>
      </c>
      <c r="R345" s="127" t="s">
        <v>1315</v>
      </c>
      <c r="S345" s="186" t="s">
        <v>1316</v>
      </c>
      <c r="T345" s="129"/>
      <c r="U345" s="129"/>
      <c r="V345" s="129"/>
      <c r="W345" s="129"/>
      <c r="X345" s="129"/>
      <c r="Y345" s="129"/>
      <c r="Z345" s="129"/>
      <c r="AA345" s="129"/>
      <c r="AB345" s="129"/>
      <c r="AC345" s="129"/>
      <c r="AD345" s="129"/>
      <c r="AE345" s="129"/>
      <c r="AF345" s="129">
        <v>1496346983</v>
      </c>
      <c r="AG345" s="129"/>
      <c r="AH345" s="129"/>
      <c r="AI345" s="610">
        <v>467546000</v>
      </c>
      <c r="AJ345" s="610"/>
      <c r="AK345" s="610"/>
      <c r="AL345" s="129"/>
      <c r="AM345" s="129"/>
      <c r="AN345" s="129"/>
      <c r="AO345" s="129"/>
      <c r="AP345" s="129"/>
      <c r="AQ345" s="129"/>
      <c r="AR345" s="129"/>
      <c r="AS345" s="129"/>
      <c r="AT345" s="129"/>
      <c r="AU345" s="129"/>
      <c r="AV345" s="187"/>
      <c r="AW345" s="187"/>
      <c r="AX345" s="560">
        <f>161590000-11200000</f>
        <v>150390000</v>
      </c>
      <c r="AY345" s="560">
        <v>5600000</v>
      </c>
      <c r="AZ345" s="560">
        <v>5600000</v>
      </c>
      <c r="BA345" s="187"/>
      <c r="BB345" s="187"/>
      <c r="BC345" s="187"/>
      <c r="BD345" s="187"/>
      <c r="BE345" s="187"/>
      <c r="BF345" s="187"/>
      <c r="BG345" s="131">
        <f t="shared" si="84"/>
        <v>2114282983</v>
      </c>
      <c r="BH345" s="131">
        <f t="shared" si="84"/>
        <v>5600000</v>
      </c>
      <c r="BI345" s="131">
        <f t="shared" si="84"/>
        <v>5600000</v>
      </c>
    </row>
    <row r="346" spans="1:68" ht="33.75" customHeight="1" x14ac:dyDescent="0.2">
      <c r="B346" s="627"/>
      <c r="O346" s="411"/>
      <c r="AL346" s="628"/>
      <c r="AM346" s="628"/>
      <c r="AN346" s="628"/>
      <c r="BG346" s="441"/>
      <c r="BH346" s="441"/>
      <c r="BI346" s="441"/>
    </row>
    <row r="347" spans="1:68" s="90" customFormat="1" ht="15.75" x14ac:dyDescent="0.25">
      <c r="A347" s="76" t="s">
        <v>1317</v>
      </c>
      <c r="B347" s="629"/>
      <c r="C347" s="78"/>
      <c r="D347" s="79"/>
      <c r="E347" s="80"/>
      <c r="F347" s="81"/>
      <c r="G347" s="82"/>
      <c r="H347" s="83"/>
      <c r="I347" s="84"/>
      <c r="J347" s="85"/>
      <c r="K347" s="85"/>
      <c r="L347" s="84"/>
      <c r="M347" s="160"/>
      <c r="N347" s="83"/>
      <c r="O347" s="82"/>
      <c r="P347" s="82"/>
      <c r="Q347" s="80"/>
      <c r="R347" s="80"/>
      <c r="S347" s="84"/>
      <c r="T347" s="336">
        <f>+T348+T354+T359</f>
        <v>0</v>
      </c>
      <c r="U347" s="336"/>
      <c r="V347" s="336"/>
      <c r="W347" s="336">
        <f>+W348+W354+W359</f>
        <v>0</v>
      </c>
      <c r="X347" s="336"/>
      <c r="Y347" s="336"/>
      <c r="Z347" s="336">
        <f>+Z348+Z354+Z359</f>
        <v>0</v>
      </c>
      <c r="AA347" s="336"/>
      <c r="AB347" s="336"/>
      <c r="AC347" s="336">
        <f>+AC348+AC354+AC359</f>
        <v>0</v>
      </c>
      <c r="AD347" s="336"/>
      <c r="AE347" s="336"/>
      <c r="AF347" s="336">
        <f>+AF348+AF354+AF359</f>
        <v>0</v>
      </c>
      <c r="AG347" s="336"/>
      <c r="AH347" s="336"/>
      <c r="AI347" s="336">
        <f>+AI348+AI354+AI359</f>
        <v>0</v>
      </c>
      <c r="AJ347" s="336"/>
      <c r="AK347" s="336"/>
      <c r="AL347" s="336">
        <f>+AL348+AL354+AL359</f>
        <v>0</v>
      </c>
      <c r="AM347" s="336"/>
      <c r="AN347" s="336"/>
      <c r="AO347" s="336">
        <f>+AO348+AO354+AO359</f>
        <v>0</v>
      </c>
      <c r="AP347" s="336"/>
      <c r="AQ347" s="336"/>
      <c r="AR347" s="336">
        <f>+AR348+AR354+AR359</f>
        <v>0</v>
      </c>
      <c r="AS347" s="336"/>
      <c r="AT347" s="336"/>
      <c r="AU347" s="336">
        <f>+AU348+AU354+AU359</f>
        <v>0</v>
      </c>
      <c r="AV347" s="336"/>
      <c r="AW347" s="336"/>
      <c r="AX347" s="336">
        <f>+AX348+AX354+AX359</f>
        <v>491885000</v>
      </c>
      <c r="AY347" s="336"/>
      <c r="AZ347" s="336"/>
      <c r="BA347" s="336">
        <f>+BA348+BA354+BA359</f>
        <v>0</v>
      </c>
      <c r="BB347" s="336"/>
      <c r="BC347" s="336"/>
      <c r="BD347" s="336">
        <f>+BD348+BD354+BD359</f>
        <v>0</v>
      </c>
      <c r="BE347" s="336"/>
      <c r="BF347" s="336"/>
      <c r="BG347" s="336">
        <f>+BG348+BG354+BG359</f>
        <v>491885000</v>
      </c>
      <c r="BH347" s="336">
        <f>+BH348+BH354+BH359</f>
        <v>146689132</v>
      </c>
      <c r="BI347" s="336">
        <f>+BI348+BI354+BI359</f>
        <v>134611132</v>
      </c>
      <c r="BJ347" s="89"/>
      <c r="BK347" s="89"/>
      <c r="BL347" s="89"/>
      <c r="BM347" s="89"/>
      <c r="BN347" s="89"/>
      <c r="BO347" s="89"/>
      <c r="BP347" s="89"/>
    </row>
    <row r="348" spans="1:68" s="90" customFormat="1" ht="15.75" x14ac:dyDescent="0.25">
      <c r="A348" s="91"/>
      <c r="B348" s="162">
        <v>1</v>
      </c>
      <c r="C348" s="163" t="s">
        <v>1</v>
      </c>
      <c r="D348" s="164"/>
      <c r="E348" s="165"/>
      <c r="F348" s="166"/>
      <c r="G348" s="167"/>
      <c r="H348" s="168"/>
      <c r="I348" s="169"/>
      <c r="J348" s="170"/>
      <c r="K348" s="170"/>
      <c r="L348" s="169"/>
      <c r="M348" s="171"/>
      <c r="N348" s="172"/>
      <c r="O348" s="167"/>
      <c r="P348" s="167"/>
      <c r="Q348" s="165"/>
      <c r="R348" s="165"/>
      <c r="S348" s="169"/>
      <c r="T348" s="630">
        <f>+T349+T352</f>
        <v>0</v>
      </c>
      <c r="U348" s="630"/>
      <c r="V348" s="630"/>
      <c r="W348" s="630">
        <f>+W349+W352</f>
        <v>0</v>
      </c>
      <c r="X348" s="630"/>
      <c r="Y348" s="630"/>
      <c r="Z348" s="630">
        <f>+Z349+Z352</f>
        <v>0</v>
      </c>
      <c r="AA348" s="630"/>
      <c r="AB348" s="630"/>
      <c r="AC348" s="630">
        <f>+AC349+AC352</f>
        <v>0</v>
      </c>
      <c r="AD348" s="630"/>
      <c r="AE348" s="630"/>
      <c r="AF348" s="630">
        <f>+AF349+AF352</f>
        <v>0</v>
      </c>
      <c r="AG348" s="630"/>
      <c r="AH348" s="630"/>
      <c r="AI348" s="630">
        <f>+AI349+AI352</f>
        <v>0</v>
      </c>
      <c r="AJ348" s="630"/>
      <c r="AK348" s="630"/>
      <c r="AL348" s="630">
        <f>+AL349+AL352</f>
        <v>0</v>
      </c>
      <c r="AM348" s="630"/>
      <c r="AN348" s="630"/>
      <c r="AO348" s="630">
        <f>+AO349+AO352</f>
        <v>0</v>
      </c>
      <c r="AP348" s="630"/>
      <c r="AQ348" s="630"/>
      <c r="AR348" s="630">
        <f>+AR349+AR352</f>
        <v>0</v>
      </c>
      <c r="AS348" s="630"/>
      <c r="AT348" s="630"/>
      <c r="AU348" s="630">
        <f>+AU349+AU352</f>
        <v>0</v>
      </c>
      <c r="AV348" s="630"/>
      <c r="AW348" s="630"/>
      <c r="AX348" s="630">
        <f>+AX349+AX352</f>
        <v>207164000</v>
      </c>
      <c r="AY348" s="630"/>
      <c r="AZ348" s="630"/>
      <c r="BA348" s="630">
        <f>+BA349+BA352</f>
        <v>0</v>
      </c>
      <c r="BB348" s="630"/>
      <c r="BC348" s="630"/>
      <c r="BD348" s="630">
        <f>+BD349+BD352</f>
        <v>0</v>
      </c>
      <c r="BE348" s="630"/>
      <c r="BF348" s="630"/>
      <c r="BG348" s="630">
        <f>+BG349+BG352</f>
        <v>207164000</v>
      </c>
      <c r="BH348" s="630">
        <f>+BH349+BH352</f>
        <v>0</v>
      </c>
      <c r="BI348" s="630">
        <f>+BI349+BI352</f>
        <v>0</v>
      </c>
      <c r="BJ348" s="89"/>
      <c r="BK348" s="89"/>
      <c r="BL348" s="89"/>
      <c r="BM348" s="89"/>
      <c r="BN348" s="89"/>
      <c r="BO348" s="89"/>
      <c r="BP348" s="89"/>
    </row>
    <row r="349" spans="1:68" s="90" customFormat="1" ht="15.75" x14ac:dyDescent="0.25">
      <c r="A349" s="91"/>
      <c r="B349" s="937"/>
      <c r="C349" s="631">
        <v>16</v>
      </c>
      <c r="D349" s="174">
        <v>2301</v>
      </c>
      <c r="E349" s="175" t="s">
        <v>1318</v>
      </c>
      <c r="F349" s="138"/>
      <c r="G349" s="139"/>
      <c r="H349" s="176"/>
      <c r="I349" s="177"/>
      <c r="J349" s="178"/>
      <c r="K349" s="178"/>
      <c r="L349" s="177"/>
      <c r="M349" s="179"/>
      <c r="N349" s="180"/>
      <c r="O349" s="139"/>
      <c r="P349" s="139"/>
      <c r="Q349" s="181"/>
      <c r="R349" s="181"/>
      <c r="S349" s="177"/>
      <c r="T349" s="357">
        <f>SUM(T350:T351)</f>
        <v>0</v>
      </c>
      <c r="U349" s="357"/>
      <c r="V349" s="357"/>
      <c r="W349" s="357">
        <f>SUM(W350:W351)</f>
        <v>0</v>
      </c>
      <c r="X349" s="357"/>
      <c r="Y349" s="357"/>
      <c r="Z349" s="357">
        <f>SUM(Z350:Z351)</f>
        <v>0</v>
      </c>
      <c r="AA349" s="357"/>
      <c r="AB349" s="357"/>
      <c r="AC349" s="357">
        <f>SUM(AC350:AC351)</f>
        <v>0</v>
      </c>
      <c r="AD349" s="357"/>
      <c r="AE349" s="357"/>
      <c r="AF349" s="357">
        <f>SUM(AF350:AF351)</f>
        <v>0</v>
      </c>
      <c r="AG349" s="357"/>
      <c r="AH349" s="357"/>
      <c r="AI349" s="357">
        <f>SUM(AI350:AI351)</f>
        <v>0</v>
      </c>
      <c r="AJ349" s="357"/>
      <c r="AK349" s="357"/>
      <c r="AL349" s="357">
        <f>SUM(AL350:AL351)</f>
        <v>0</v>
      </c>
      <c r="AM349" s="357"/>
      <c r="AN349" s="357"/>
      <c r="AO349" s="357">
        <f>SUM(AO350:AO351)</f>
        <v>0</v>
      </c>
      <c r="AP349" s="357"/>
      <c r="AQ349" s="357"/>
      <c r="AR349" s="357">
        <f>SUM(AR350:AR351)</f>
        <v>0</v>
      </c>
      <c r="AS349" s="357"/>
      <c r="AT349" s="357"/>
      <c r="AU349" s="357">
        <f>SUM(AU350:AU351)</f>
        <v>0</v>
      </c>
      <c r="AV349" s="357"/>
      <c r="AW349" s="357"/>
      <c r="AX349" s="357">
        <f>SUM(AX350:AX351)</f>
        <v>200000000</v>
      </c>
      <c r="AY349" s="357"/>
      <c r="AZ349" s="357"/>
      <c r="BA349" s="357">
        <f>SUM(BA350:BA351)</f>
        <v>0</v>
      </c>
      <c r="BB349" s="357"/>
      <c r="BC349" s="357"/>
      <c r="BD349" s="357">
        <f>SUM(BD350:BD351)</f>
        <v>0</v>
      </c>
      <c r="BE349" s="357"/>
      <c r="BF349" s="357"/>
      <c r="BG349" s="357">
        <f>SUM(BG350:BG351)</f>
        <v>200000000</v>
      </c>
      <c r="BH349" s="357">
        <f>SUM(BH350:BH351)</f>
        <v>0</v>
      </c>
      <c r="BI349" s="357">
        <f>SUM(BI350:BI351)</f>
        <v>0</v>
      </c>
      <c r="BJ349" s="89"/>
      <c r="BK349" s="89"/>
      <c r="BL349" s="89"/>
      <c r="BM349" s="89"/>
      <c r="BN349" s="89"/>
      <c r="BO349" s="89"/>
      <c r="BP349" s="89"/>
    </row>
    <row r="350" spans="1:68" ht="75" customHeight="1" x14ac:dyDescent="0.2">
      <c r="A350" s="104"/>
      <c r="B350" s="938"/>
      <c r="C350" s="939"/>
      <c r="D350" s="120"/>
      <c r="E350" s="724"/>
      <c r="F350" s="312" t="s">
        <v>1319</v>
      </c>
      <c r="G350" s="212" t="s">
        <v>1320</v>
      </c>
      <c r="H350" s="185">
        <v>2301024</v>
      </c>
      <c r="I350" s="211" t="s">
        <v>1321</v>
      </c>
      <c r="J350" s="127" t="s">
        <v>1322</v>
      </c>
      <c r="K350" s="146">
        <v>230102404</v>
      </c>
      <c r="L350" s="186" t="s">
        <v>1323</v>
      </c>
      <c r="M350" s="730" t="s">
        <v>204</v>
      </c>
      <c r="N350" s="733">
        <v>12</v>
      </c>
      <c r="O350" s="733">
        <v>1</v>
      </c>
      <c r="P350" s="732"/>
      <c r="Q350" s="892" t="s">
        <v>252</v>
      </c>
      <c r="R350" s="915" t="s">
        <v>1324</v>
      </c>
      <c r="S350" s="890" t="s">
        <v>1325</v>
      </c>
      <c r="T350" s="129"/>
      <c r="U350" s="129"/>
      <c r="V350" s="129"/>
      <c r="W350" s="129"/>
      <c r="X350" s="187"/>
      <c r="Y350" s="187"/>
      <c r="Z350" s="187"/>
      <c r="AA350" s="187"/>
      <c r="AB350" s="187"/>
      <c r="AC350" s="131"/>
      <c r="AD350" s="131"/>
      <c r="AE350" s="131"/>
      <c r="AF350" s="131"/>
      <c r="AG350" s="131"/>
      <c r="AH350" s="131"/>
      <c r="AI350" s="131"/>
      <c r="AJ350" s="131"/>
      <c r="AK350" s="131"/>
      <c r="AL350" s="131"/>
      <c r="AM350" s="131"/>
      <c r="AN350" s="131"/>
      <c r="AO350" s="131"/>
      <c r="AP350" s="131"/>
      <c r="AQ350" s="131"/>
      <c r="AR350" s="131"/>
      <c r="AS350" s="131"/>
      <c r="AT350" s="131"/>
      <c r="AU350" s="131"/>
      <c r="AV350" s="131"/>
      <c r="AW350" s="131"/>
      <c r="AX350" s="131">
        <v>152024000</v>
      </c>
      <c r="AY350" s="131"/>
      <c r="AZ350" s="131"/>
      <c r="BA350" s="131"/>
      <c r="BB350" s="131"/>
      <c r="BC350" s="131"/>
      <c r="BD350" s="131"/>
      <c r="BE350" s="131"/>
      <c r="BF350" s="131"/>
      <c r="BG350" s="131">
        <f t="shared" ref="BG350:BI351" si="85">+T350+W350+Z350+AC350+AF350+AI350+AL350+AO350+AR350+AU350+AX350+BA350+BD350</f>
        <v>152024000</v>
      </c>
      <c r="BH350" s="131">
        <f t="shared" si="85"/>
        <v>0</v>
      </c>
      <c r="BI350" s="131">
        <f t="shared" si="85"/>
        <v>0</v>
      </c>
      <c r="BJ350" s="314"/>
      <c r="BK350" s="55"/>
      <c r="BL350" s="55"/>
      <c r="BM350" s="55"/>
      <c r="BN350" s="55"/>
      <c r="BO350" s="55"/>
      <c r="BP350" s="55"/>
    </row>
    <row r="351" spans="1:68" ht="75" customHeight="1" x14ac:dyDescent="0.2">
      <c r="A351" s="104"/>
      <c r="B351" s="938"/>
      <c r="C351" s="940"/>
      <c r="D351" s="132"/>
      <c r="E351" s="725"/>
      <c r="F351" s="145" t="s">
        <v>1326</v>
      </c>
      <c r="G351" s="127" t="s">
        <v>1327</v>
      </c>
      <c r="H351" s="124">
        <v>2301030</v>
      </c>
      <c r="I351" s="186" t="s">
        <v>1328</v>
      </c>
      <c r="J351" s="127" t="s">
        <v>1329</v>
      </c>
      <c r="K351" s="146">
        <v>230103000</v>
      </c>
      <c r="L351" s="186" t="s">
        <v>1330</v>
      </c>
      <c r="M351" s="127" t="s">
        <v>204</v>
      </c>
      <c r="N351" s="124">
        <v>17000</v>
      </c>
      <c r="O351" s="124">
        <v>500</v>
      </c>
      <c r="P351" s="219"/>
      <c r="Q351" s="893"/>
      <c r="R351" s="916"/>
      <c r="S351" s="894"/>
      <c r="T351" s="129"/>
      <c r="U351" s="129"/>
      <c r="V351" s="129"/>
      <c r="W351" s="129"/>
      <c r="X351" s="187"/>
      <c r="Y351" s="187"/>
      <c r="Z351" s="187"/>
      <c r="AA351" s="187"/>
      <c r="AB351" s="187"/>
      <c r="AC351" s="131"/>
      <c r="AD351" s="131"/>
      <c r="AE351" s="131"/>
      <c r="AF351" s="131"/>
      <c r="AG351" s="131"/>
      <c r="AH351" s="131"/>
      <c r="AI351" s="131"/>
      <c r="AJ351" s="131"/>
      <c r="AK351" s="131"/>
      <c r="AL351" s="131"/>
      <c r="AM351" s="131"/>
      <c r="AN351" s="131"/>
      <c r="AO351" s="131"/>
      <c r="AP351" s="131"/>
      <c r="AQ351" s="131"/>
      <c r="AR351" s="131"/>
      <c r="AS351" s="131"/>
      <c r="AT351" s="131"/>
      <c r="AU351" s="131"/>
      <c r="AV351" s="131"/>
      <c r="AW351" s="131"/>
      <c r="AX351" s="131">
        <v>47976000</v>
      </c>
      <c r="AY351" s="131"/>
      <c r="AZ351" s="131"/>
      <c r="BA351" s="131"/>
      <c r="BB351" s="131"/>
      <c r="BC351" s="131"/>
      <c r="BD351" s="131"/>
      <c r="BE351" s="131"/>
      <c r="BF351" s="131"/>
      <c r="BG351" s="131">
        <f t="shared" si="85"/>
        <v>47976000</v>
      </c>
      <c r="BH351" s="131">
        <f t="shared" si="85"/>
        <v>0</v>
      </c>
      <c r="BI351" s="131">
        <f t="shared" si="85"/>
        <v>0</v>
      </c>
      <c r="BJ351" s="55"/>
      <c r="BK351" s="55"/>
      <c r="BL351" s="55"/>
      <c r="BM351" s="55"/>
      <c r="BN351" s="55"/>
      <c r="BO351" s="55"/>
      <c r="BP351" s="55"/>
    </row>
    <row r="352" spans="1:68" s="90" customFormat="1" ht="23.25" customHeight="1" x14ac:dyDescent="0.25">
      <c r="A352" s="91"/>
      <c r="B352" s="134"/>
      <c r="C352" s="631">
        <v>17</v>
      </c>
      <c r="D352" s="136">
        <v>2302</v>
      </c>
      <c r="E352" s="175" t="s">
        <v>1331</v>
      </c>
      <c r="F352" s="138"/>
      <c r="G352" s="139"/>
      <c r="H352" s="176"/>
      <c r="I352" s="177"/>
      <c r="J352" s="178"/>
      <c r="K352" s="178"/>
      <c r="L352" s="177"/>
      <c r="M352" s="179"/>
      <c r="N352" s="180"/>
      <c r="O352" s="139"/>
      <c r="P352" s="139"/>
      <c r="Q352" s="181"/>
      <c r="R352" s="181"/>
      <c r="S352" s="177"/>
      <c r="T352" s="357">
        <f>+T353</f>
        <v>0</v>
      </c>
      <c r="U352" s="357"/>
      <c r="V352" s="357"/>
      <c r="W352" s="357">
        <f>+W353</f>
        <v>0</v>
      </c>
      <c r="X352" s="357"/>
      <c r="Y352" s="357"/>
      <c r="Z352" s="357">
        <f>+Z353</f>
        <v>0</v>
      </c>
      <c r="AA352" s="357"/>
      <c r="AB352" s="357"/>
      <c r="AC352" s="357">
        <f>+AC353</f>
        <v>0</v>
      </c>
      <c r="AD352" s="357"/>
      <c r="AE352" s="357"/>
      <c r="AF352" s="357">
        <f>+AF353</f>
        <v>0</v>
      </c>
      <c r="AG352" s="357"/>
      <c r="AH352" s="357"/>
      <c r="AI352" s="357">
        <f>+AI353</f>
        <v>0</v>
      </c>
      <c r="AJ352" s="357"/>
      <c r="AK352" s="357"/>
      <c r="AL352" s="357">
        <f>+AL353</f>
        <v>0</v>
      </c>
      <c r="AM352" s="357"/>
      <c r="AN352" s="357"/>
      <c r="AO352" s="357">
        <f>+AO353</f>
        <v>0</v>
      </c>
      <c r="AP352" s="357"/>
      <c r="AQ352" s="357"/>
      <c r="AR352" s="357">
        <f>+AR353</f>
        <v>0</v>
      </c>
      <c r="AS352" s="357"/>
      <c r="AT352" s="357"/>
      <c r="AU352" s="357">
        <f>+AU353</f>
        <v>0</v>
      </c>
      <c r="AV352" s="357"/>
      <c r="AW352" s="357"/>
      <c r="AX352" s="357">
        <f>+AX353</f>
        <v>7164000</v>
      </c>
      <c r="AY352" s="357"/>
      <c r="AZ352" s="357"/>
      <c r="BA352" s="357">
        <f>+BA353</f>
        <v>0</v>
      </c>
      <c r="BB352" s="357"/>
      <c r="BC352" s="357"/>
      <c r="BD352" s="357">
        <f>+BD353</f>
        <v>0</v>
      </c>
      <c r="BE352" s="357"/>
      <c r="BF352" s="357"/>
      <c r="BG352" s="357">
        <f>+BG353</f>
        <v>7164000</v>
      </c>
      <c r="BH352" s="357">
        <f>+BH353</f>
        <v>0</v>
      </c>
      <c r="BI352" s="357">
        <f>+BI353</f>
        <v>0</v>
      </c>
      <c r="BJ352" s="89"/>
      <c r="BK352" s="89"/>
      <c r="BL352" s="89"/>
      <c r="BM352" s="89"/>
      <c r="BN352" s="89"/>
      <c r="BO352" s="89"/>
      <c r="BP352" s="89"/>
    </row>
    <row r="353" spans="1:73" ht="84" customHeight="1" x14ac:dyDescent="0.2">
      <c r="A353" s="104"/>
      <c r="B353" s="263"/>
      <c r="C353" s="295"/>
      <c r="D353" s="144"/>
      <c r="E353" s="121"/>
      <c r="F353" s="145" t="s">
        <v>1319</v>
      </c>
      <c r="G353" s="287" t="s">
        <v>1332</v>
      </c>
      <c r="H353" s="124">
        <v>2302042</v>
      </c>
      <c r="I353" s="186" t="s">
        <v>1333</v>
      </c>
      <c r="J353" s="287" t="s">
        <v>1334</v>
      </c>
      <c r="K353" s="146">
        <v>230204200</v>
      </c>
      <c r="L353" s="316" t="s">
        <v>1335</v>
      </c>
      <c r="M353" s="730" t="s">
        <v>204</v>
      </c>
      <c r="N353" s="733">
        <v>3</v>
      </c>
      <c r="O353" s="733">
        <v>1</v>
      </c>
      <c r="P353" s="148"/>
      <c r="Q353" s="149" t="s">
        <v>252</v>
      </c>
      <c r="R353" s="192" t="s">
        <v>1336</v>
      </c>
      <c r="S353" s="186" t="s">
        <v>1337</v>
      </c>
      <c r="T353" s="129"/>
      <c r="U353" s="129"/>
      <c r="V353" s="129"/>
      <c r="W353" s="129"/>
      <c r="X353" s="187"/>
      <c r="Y353" s="187"/>
      <c r="Z353" s="187"/>
      <c r="AA353" s="187"/>
      <c r="AB353" s="187"/>
      <c r="AC353" s="131"/>
      <c r="AD353" s="131"/>
      <c r="AE353" s="131"/>
      <c r="AF353" s="131"/>
      <c r="AG353" s="131"/>
      <c r="AH353" s="131"/>
      <c r="AI353" s="131"/>
      <c r="AJ353" s="131"/>
      <c r="AK353" s="131"/>
      <c r="AL353" s="131"/>
      <c r="AM353" s="131"/>
      <c r="AN353" s="131"/>
      <c r="AO353" s="131"/>
      <c r="AP353" s="131"/>
      <c r="AQ353" s="131"/>
      <c r="AR353" s="131"/>
      <c r="AS353" s="131"/>
      <c r="AT353" s="131"/>
      <c r="AU353" s="131"/>
      <c r="AV353" s="131"/>
      <c r="AW353" s="131"/>
      <c r="AX353" s="131">
        <v>7164000</v>
      </c>
      <c r="AY353" s="131"/>
      <c r="AZ353" s="131"/>
      <c r="BA353" s="131"/>
      <c r="BB353" s="131"/>
      <c r="BC353" s="131"/>
      <c r="BD353" s="131"/>
      <c r="BE353" s="131"/>
      <c r="BF353" s="131"/>
      <c r="BG353" s="131">
        <f>+T353+W353+Z353+AC353+AF353+AI353+AL353+AO353+AR353+AU353+AX353+BA353+BD353</f>
        <v>7164000</v>
      </c>
      <c r="BH353" s="131">
        <f>+U353+X353+AA353+AD353+AG353+AJ353+AM353+AP353+AS353+AV353+AY353+BB353+BE353</f>
        <v>0</v>
      </c>
      <c r="BI353" s="131">
        <f>+V353+Y353+AB353+AE353+AH353+AK353+AN353+AQ353+AT353+AW353+AZ353+BC353+BF353</f>
        <v>0</v>
      </c>
      <c r="BJ353" s="55"/>
      <c r="BK353" s="55"/>
      <c r="BL353" s="55"/>
      <c r="BM353" s="55"/>
      <c r="BN353" s="55"/>
      <c r="BO353" s="55"/>
      <c r="BP353" s="55"/>
    </row>
    <row r="354" spans="1:73" s="90" customFormat="1" ht="15.75" x14ac:dyDescent="0.25">
      <c r="A354" s="91"/>
      <c r="B354" s="307">
        <v>2</v>
      </c>
      <c r="C354" s="327" t="s">
        <v>1338</v>
      </c>
      <c r="D354" s="328"/>
      <c r="E354" s="165"/>
      <c r="F354" s="166"/>
      <c r="G354" s="167"/>
      <c r="H354" s="168"/>
      <c r="I354" s="169"/>
      <c r="J354" s="170"/>
      <c r="K354" s="170"/>
      <c r="L354" s="169"/>
      <c r="M354" s="171"/>
      <c r="N354" s="172"/>
      <c r="O354" s="167"/>
      <c r="P354" s="167"/>
      <c r="Q354" s="165"/>
      <c r="R354" s="165"/>
      <c r="S354" s="169"/>
      <c r="T354" s="630">
        <f>+T355+T357</f>
        <v>0</v>
      </c>
      <c r="U354" s="630"/>
      <c r="V354" s="630"/>
      <c r="W354" s="630">
        <f>+W355+W357</f>
        <v>0</v>
      </c>
      <c r="X354" s="630"/>
      <c r="Y354" s="630"/>
      <c r="Z354" s="630">
        <f>+Z355+Z357</f>
        <v>0</v>
      </c>
      <c r="AA354" s="630"/>
      <c r="AB354" s="630"/>
      <c r="AC354" s="630">
        <f>+AC355+AC357</f>
        <v>0</v>
      </c>
      <c r="AD354" s="630"/>
      <c r="AE354" s="630"/>
      <c r="AF354" s="630">
        <f>+AF355+AF357</f>
        <v>0</v>
      </c>
      <c r="AG354" s="630"/>
      <c r="AH354" s="630"/>
      <c r="AI354" s="630">
        <f>+AI355+AI357</f>
        <v>0</v>
      </c>
      <c r="AJ354" s="630"/>
      <c r="AK354" s="630"/>
      <c r="AL354" s="630">
        <f>+AL355+AL357</f>
        <v>0</v>
      </c>
      <c r="AM354" s="630"/>
      <c r="AN354" s="630"/>
      <c r="AO354" s="630">
        <f>+AO355+AO357</f>
        <v>0</v>
      </c>
      <c r="AP354" s="630"/>
      <c r="AQ354" s="630"/>
      <c r="AR354" s="630">
        <f>+AR355+AR357</f>
        <v>0</v>
      </c>
      <c r="AS354" s="630"/>
      <c r="AT354" s="630"/>
      <c r="AU354" s="630">
        <f>+AU355+AU357</f>
        <v>0</v>
      </c>
      <c r="AV354" s="630"/>
      <c r="AW354" s="630"/>
      <c r="AX354" s="630">
        <f>+AX355+AX357</f>
        <v>81000000</v>
      </c>
      <c r="AY354" s="630"/>
      <c r="AZ354" s="630"/>
      <c r="BA354" s="630">
        <f>+BA355+BA357</f>
        <v>0</v>
      </c>
      <c r="BB354" s="630"/>
      <c r="BC354" s="630"/>
      <c r="BD354" s="630">
        <f>+BD355+BD357</f>
        <v>0</v>
      </c>
      <c r="BE354" s="630"/>
      <c r="BF354" s="630"/>
      <c r="BG354" s="630">
        <f>+BG355+BG357</f>
        <v>81000000</v>
      </c>
      <c r="BH354" s="630">
        <f>+BH355+BH357</f>
        <v>0</v>
      </c>
      <c r="BI354" s="630">
        <f>+BI355+BI357</f>
        <v>0</v>
      </c>
      <c r="BJ354" s="89"/>
      <c r="BK354" s="89"/>
      <c r="BL354" s="89"/>
      <c r="BM354" s="89"/>
      <c r="BN354" s="89"/>
      <c r="BO354" s="89"/>
      <c r="BP354" s="89"/>
    </row>
    <row r="355" spans="1:73" s="90" customFormat="1" ht="15.75" x14ac:dyDescent="0.25">
      <c r="A355" s="91"/>
      <c r="B355" s="105"/>
      <c r="C355" s="418">
        <v>31</v>
      </c>
      <c r="D355" s="174" t="s">
        <v>1339</v>
      </c>
      <c r="E355" s="175" t="s">
        <v>1340</v>
      </c>
      <c r="F355" s="138"/>
      <c r="G355" s="139"/>
      <c r="H355" s="176"/>
      <c r="I355" s="177"/>
      <c r="J355" s="178"/>
      <c r="K355" s="178"/>
      <c r="L355" s="177"/>
      <c r="M355" s="179"/>
      <c r="N355" s="180"/>
      <c r="O355" s="139"/>
      <c r="P355" s="139"/>
      <c r="Q355" s="181"/>
      <c r="R355" s="181"/>
      <c r="S355" s="177"/>
      <c r="T355" s="357">
        <f>+T356</f>
        <v>0</v>
      </c>
      <c r="U355" s="357"/>
      <c r="V355" s="357"/>
      <c r="W355" s="357">
        <f>+W356</f>
        <v>0</v>
      </c>
      <c r="X355" s="357"/>
      <c r="Y355" s="357"/>
      <c r="Z355" s="357">
        <f>+Z356</f>
        <v>0</v>
      </c>
      <c r="AA355" s="357"/>
      <c r="AB355" s="357"/>
      <c r="AC355" s="357">
        <f>+AC356</f>
        <v>0</v>
      </c>
      <c r="AD355" s="357"/>
      <c r="AE355" s="357"/>
      <c r="AF355" s="357">
        <f>+AF356</f>
        <v>0</v>
      </c>
      <c r="AG355" s="357"/>
      <c r="AH355" s="357"/>
      <c r="AI355" s="357">
        <f>+AI356</f>
        <v>0</v>
      </c>
      <c r="AJ355" s="357"/>
      <c r="AK355" s="357"/>
      <c r="AL355" s="357">
        <f>+AL356</f>
        <v>0</v>
      </c>
      <c r="AM355" s="357"/>
      <c r="AN355" s="357"/>
      <c r="AO355" s="357">
        <f>+AO356</f>
        <v>0</v>
      </c>
      <c r="AP355" s="357"/>
      <c r="AQ355" s="357"/>
      <c r="AR355" s="357">
        <f>+AR356</f>
        <v>0</v>
      </c>
      <c r="AS355" s="357"/>
      <c r="AT355" s="357"/>
      <c r="AU355" s="357">
        <f>+AU356</f>
        <v>0</v>
      </c>
      <c r="AV355" s="357"/>
      <c r="AW355" s="357"/>
      <c r="AX355" s="357">
        <f>SUM(AX356:AX356)</f>
        <v>63000000</v>
      </c>
      <c r="AY355" s="357"/>
      <c r="AZ355" s="357"/>
      <c r="BA355" s="357">
        <f>SUM(BA356:BA356)</f>
        <v>0</v>
      </c>
      <c r="BB355" s="357"/>
      <c r="BC355" s="357"/>
      <c r="BD355" s="357">
        <f>SUM(BD356:BD356)</f>
        <v>0</v>
      </c>
      <c r="BE355" s="357"/>
      <c r="BF355" s="357"/>
      <c r="BG355" s="357">
        <f>SUM(BG356:BG356)</f>
        <v>63000000</v>
      </c>
      <c r="BH355" s="357">
        <f>SUM(BH356:BH356)</f>
        <v>0</v>
      </c>
      <c r="BI355" s="357">
        <f>SUM(BI356:BI356)</f>
        <v>0</v>
      </c>
      <c r="BJ355" s="89"/>
      <c r="BK355" s="89"/>
      <c r="BL355" s="89"/>
      <c r="BM355" s="89"/>
      <c r="BN355" s="89"/>
      <c r="BO355" s="89"/>
      <c r="BP355" s="89"/>
    </row>
    <row r="356" spans="1:73" ht="60" customHeight="1" x14ac:dyDescent="0.2">
      <c r="A356" s="104"/>
      <c r="B356" s="255"/>
      <c r="C356" s="255"/>
      <c r="D356" s="283"/>
      <c r="E356" s="212"/>
      <c r="F356" s="607" t="s">
        <v>1341</v>
      </c>
      <c r="G356" s="191" t="s">
        <v>1342</v>
      </c>
      <c r="H356" s="185">
        <v>3903005</v>
      </c>
      <c r="I356" s="211" t="s">
        <v>1343</v>
      </c>
      <c r="J356" s="146" t="s">
        <v>1344</v>
      </c>
      <c r="K356" s="291">
        <v>390300501</v>
      </c>
      <c r="L356" s="320" t="s">
        <v>1345</v>
      </c>
      <c r="M356" s="127" t="s">
        <v>109</v>
      </c>
      <c r="N356" s="124">
        <v>1</v>
      </c>
      <c r="O356" s="124">
        <v>1</v>
      </c>
      <c r="P356" s="185"/>
      <c r="Q356" s="573" t="s">
        <v>252</v>
      </c>
      <c r="R356" s="632" t="s">
        <v>1346</v>
      </c>
      <c r="S356" s="211" t="s">
        <v>1347</v>
      </c>
      <c r="T356" s="129"/>
      <c r="U356" s="129"/>
      <c r="V356" s="129"/>
      <c r="W356" s="129"/>
      <c r="X356" s="187"/>
      <c r="Y356" s="187"/>
      <c r="Z356" s="187"/>
      <c r="AA356" s="187"/>
      <c r="AB356" s="187"/>
      <c r="AC356" s="131"/>
      <c r="AD356" s="131"/>
      <c r="AE356" s="131"/>
      <c r="AF356" s="131"/>
      <c r="AG356" s="131"/>
      <c r="AH356" s="131"/>
      <c r="AI356" s="131"/>
      <c r="AJ356" s="131"/>
      <c r="AK356" s="131"/>
      <c r="AL356" s="131"/>
      <c r="AM356" s="131"/>
      <c r="AN356" s="131"/>
      <c r="AO356" s="131"/>
      <c r="AP356" s="131"/>
      <c r="AQ356" s="131"/>
      <c r="AR356" s="131"/>
      <c r="AS356" s="131"/>
      <c r="AT356" s="131"/>
      <c r="AU356" s="131"/>
      <c r="AV356" s="131"/>
      <c r="AW356" s="131"/>
      <c r="AX356" s="131">
        <v>63000000</v>
      </c>
      <c r="AY356" s="131"/>
      <c r="AZ356" s="131"/>
      <c r="BA356" s="131"/>
      <c r="BB356" s="131"/>
      <c r="BC356" s="131"/>
      <c r="BD356" s="131"/>
      <c r="BE356" s="131"/>
      <c r="BF356" s="131"/>
      <c r="BG356" s="131">
        <v>63000000</v>
      </c>
      <c r="BH356" s="131">
        <f>+U356+X356+AA356+AD356+AG356+AJ356+AM356+AP356+AS356+AV356+AY356+BB356+BE356</f>
        <v>0</v>
      </c>
      <c r="BI356" s="131">
        <f>+V356+Y356+AB356+AE356+AH356+AK356+AN356+AQ356+AT356+AW356+AZ356+BC356+BF356</f>
        <v>0</v>
      </c>
      <c r="BJ356" s="55"/>
      <c r="BK356" s="55"/>
      <c r="BL356" s="55"/>
      <c r="BM356" s="55"/>
      <c r="BN356" s="55"/>
      <c r="BO356" s="55"/>
      <c r="BP356" s="55"/>
    </row>
    <row r="357" spans="1:73" s="90" customFormat="1" ht="15.75" x14ac:dyDescent="0.25">
      <c r="A357" s="91"/>
      <c r="B357" s="134"/>
      <c r="C357" s="633">
        <v>32</v>
      </c>
      <c r="D357" s="136">
        <v>3904</v>
      </c>
      <c r="E357" s="634" t="s">
        <v>1348</v>
      </c>
      <c r="F357" s="635"/>
      <c r="G357" s="363"/>
      <c r="H357" s="636"/>
      <c r="I357" s="303"/>
      <c r="J357" s="637"/>
      <c r="K357" s="637"/>
      <c r="L357" s="303"/>
      <c r="M357" s="280"/>
      <c r="N357" s="281"/>
      <c r="O357" s="363"/>
      <c r="P357" s="363"/>
      <c r="Q357" s="302"/>
      <c r="R357" s="302"/>
      <c r="S357" s="303"/>
      <c r="T357" s="638">
        <f>+T358</f>
        <v>0</v>
      </c>
      <c r="U357" s="638"/>
      <c r="V357" s="638"/>
      <c r="W357" s="638">
        <f>+W358</f>
        <v>0</v>
      </c>
      <c r="X357" s="638"/>
      <c r="Y357" s="638"/>
      <c r="Z357" s="638">
        <f>+Z358</f>
        <v>0</v>
      </c>
      <c r="AA357" s="638"/>
      <c r="AB357" s="638"/>
      <c r="AC357" s="638">
        <f>+AC358</f>
        <v>0</v>
      </c>
      <c r="AD357" s="638"/>
      <c r="AE357" s="638"/>
      <c r="AF357" s="638">
        <f>+AF358</f>
        <v>0</v>
      </c>
      <c r="AG357" s="638"/>
      <c r="AH357" s="638"/>
      <c r="AI357" s="638">
        <f>+AI358</f>
        <v>0</v>
      </c>
      <c r="AJ357" s="638"/>
      <c r="AK357" s="638"/>
      <c r="AL357" s="638">
        <f>+AL358</f>
        <v>0</v>
      </c>
      <c r="AM357" s="638"/>
      <c r="AN357" s="638"/>
      <c r="AO357" s="638">
        <f>+AO358</f>
        <v>0</v>
      </c>
      <c r="AP357" s="638"/>
      <c r="AQ357" s="638"/>
      <c r="AR357" s="638">
        <f>+AR358</f>
        <v>0</v>
      </c>
      <c r="AS357" s="638"/>
      <c r="AT357" s="638"/>
      <c r="AU357" s="638">
        <f>+AU358</f>
        <v>0</v>
      </c>
      <c r="AV357" s="638"/>
      <c r="AW357" s="638"/>
      <c r="AX357" s="638">
        <f>+AX358</f>
        <v>18000000</v>
      </c>
      <c r="AY357" s="638"/>
      <c r="AZ357" s="638"/>
      <c r="BA357" s="638">
        <f>+BA358</f>
        <v>0</v>
      </c>
      <c r="BB357" s="638"/>
      <c r="BC357" s="638"/>
      <c r="BD357" s="638">
        <f>+BD358</f>
        <v>0</v>
      </c>
      <c r="BE357" s="638"/>
      <c r="BF357" s="638"/>
      <c r="BG357" s="638">
        <f>+BG358</f>
        <v>18000000</v>
      </c>
      <c r="BH357" s="638">
        <f>+BH358</f>
        <v>0</v>
      </c>
      <c r="BI357" s="638">
        <f>+BI358</f>
        <v>0</v>
      </c>
      <c r="BJ357" s="89"/>
      <c r="BK357" s="89"/>
      <c r="BL357" s="89"/>
      <c r="BM357" s="89"/>
      <c r="BN357" s="89"/>
      <c r="BO357" s="89"/>
      <c r="BP357" s="89"/>
    </row>
    <row r="358" spans="1:73" ht="94.5" customHeight="1" x14ac:dyDescent="0.2">
      <c r="A358" s="104"/>
      <c r="B358" s="142"/>
      <c r="C358" s="143"/>
      <c r="D358" s="144"/>
      <c r="E358" s="121"/>
      <c r="F358" s="122" t="s">
        <v>1349</v>
      </c>
      <c r="G358" s="149" t="s">
        <v>1350</v>
      </c>
      <c r="H358" s="123">
        <v>3904018</v>
      </c>
      <c r="I358" s="125" t="s">
        <v>1351</v>
      </c>
      <c r="J358" s="149" t="s">
        <v>1352</v>
      </c>
      <c r="K358" s="291">
        <v>390401809</v>
      </c>
      <c r="L358" s="352" t="s">
        <v>1353</v>
      </c>
      <c r="M358" s="730" t="s">
        <v>204</v>
      </c>
      <c r="N358" s="733">
        <v>20</v>
      </c>
      <c r="O358" s="733">
        <v>1</v>
      </c>
      <c r="P358" s="148"/>
      <c r="Q358" s="149" t="s">
        <v>252</v>
      </c>
      <c r="R358" s="632" t="s">
        <v>1354</v>
      </c>
      <c r="S358" s="186" t="s">
        <v>1355</v>
      </c>
      <c r="T358" s="129"/>
      <c r="U358" s="129"/>
      <c r="V358" s="129"/>
      <c r="W358" s="129"/>
      <c r="X358" s="187"/>
      <c r="Y358" s="187"/>
      <c r="Z358" s="187"/>
      <c r="AA358" s="187"/>
      <c r="AB358" s="187"/>
      <c r="AC358" s="131"/>
      <c r="AD358" s="131"/>
      <c r="AE358" s="131"/>
      <c r="AF358" s="131"/>
      <c r="AG358" s="131"/>
      <c r="AH358" s="131"/>
      <c r="AI358" s="131"/>
      <c r="AJ358" s="131"/>
      <c r="AK358" s="131"/>
      <c r="AL358" s="131"/>
      <c r="AM358" s="131"/>
      <c r="AN358" s="131"/>
      <c r="AO358" s="131"/>
      <c r="AP358" s="131"/>
      <c r="AQ358" s="131"/>
      <c r="AR358" s="131"/>
      <c r="AS358" s="131"/>
      <c r="AT358" s="131"/>
      <c r="AU358" s="131"/>
      <c r="AV358" s="131"/>
      <c r="AW358" s="131"/>
      <c r="AX358" s="131">
        <v>18000000</v>
      </c>
      <c r="AY358" s="131"/>
      <c r="AZ358" s="131"/>
      <c r="BA358" s="131"/>
      <c r="BB358" s="131"/>
      <c r="BC358" s="131"/>
      <c r="BD358" s="131"/>
      <c r="BE358" s="131"/>
      <c r="BF358" s="131"/>
      <c r="BG358" s="131">
        <f>+T358+W358+Z358+AC358+AF358+AI358+AL358+AO358+AR358+AU358+AX358+BA358+BD358</f>
        <v>18000000</v>
      </c>
      <c r="BH358" s="131">
        <f>+U358+X358+AA358+AD358+AG358+AJ358+AM358+AP358+AS358+AV358+AY358+BB358+BE358</f>
        <v>0</v>
      </c>
      <c r="BI358" s="131">
        <f>+V358+Y358+AB358+AE358+AH358+AK358+AN358+AQ358+AT358+AW358+AZ358+BC358+BF358</f>
        <v>0</v>
      </c>
      <c r="BJ358" s="55"/>
      <c r="BK358" s="55"/>
      <c r="BL358" s="55"/>
      <c r="BM358" s="55"/>
      <c r="BN358" s="55"/>
      <c r="BO358" s="55"/>
      <c r="BP358" s="55"/>
    </row>
    <row r="359" spans="1:73" s="90" customFormat="1" ht="21" customHeight="1" x14ac:dyDescent="0.25">
      <c r="A359" s="91"/>
      <c r="B359" s="373">
        <v>4</v>
      </c>
      <c r="C359" s="327" t="s">
        <v>128</v>
      </c>
      <c r="D359" s="328"/>
      <c r="E359" s="165"/>
      <c r="F359" s="166"/>
      <c r="G359" s="167"/>
      <c r="H359" s="168"/>
      <c r="I359" s="169"/>
      <c r="J359" s="170"/>
      <c r="K359" s="170"/>
      <c r="L359" s="169"/>
      <c r="M359" s="171"/>
      <c r="N359" s="172"/>
      <c r="O359" s="167"/>
      <c r="P359" s="167"/>
      <c r="Q359" s="165"/>
      <c r="R359" s="165"/>
      <c r="S359" s="169"/>
      <c r="T359" s="338">
        <f>+T360</f>
        <v>0</v>
      </c>
      <c r="U359" s="338"/>
      <c r="V359" s="338"/>
      <c r="W359" s="338">
        <f>+W360</f>
        <v>0</v>
      </c>
      <c r="X359" s="338"/>
      <c r="Y359" s="338"/>
      <c r="Z359" s="338">
        <f>+Z360</f>
        <v>0</v>
      </c>
      <c r="AA359" s="338"/>
      <c r="AB359" s="338"/>
      <c r="AC359" s="338">
        <f>+AC360</f>
        <v>0</v>
      </c>
      <c r="AD359" s="338"/>
      <c r="AE359" s="338"/>
      <c r="AF359" s="338">
        <f>+AF360</f>
        <v>0</v>
      </c>
      <c r="AG359" s="338"/>
      <c r="AH359" s="338"/>
      <c r="AI359" s="338">
        <f>+AI360</f>
        <v>0</v>
      </c>
      <c r="AJ359" s="338"/>
      <c r="AK359" s="338"/>
      <c r="AL359" s="338">
        <f>+AL360</f>
        <v>0</v>
      </c>
      <c r="AM359" s="338"/>
      <c r="AN359" s="338"/>
      <c r="AO359" s="338">
        <f>+AO360</f>
        <v>0</v>
      </c>
      <c r="AP359" s="338"/>
      <c r="AQ359" s="338"/>
      <c r="AR359" s="338">
        <f>+AR360</f>
        <v>0</v>
      </c>
      <c r="AS359" s="338"/>
      <c r="AT359" s="338"/>
      <c r="AU359" s="338">
        <f>+AU360</f>
        <v>0</v>
      </c>
      <c r="AV359" s="338"/>
      <c r="AW359" s="338"/>
      <c r="AX359" s="338">
        <f>+AX360</f>
        <v>203721000</v>
      </c>
      <c r="AY359" s="338"/>
      <c r="AZ359" s="338"/>
      <c r="BA359" s="338">
        <f>+BA360</f>
        <v>0</v>
      </c>
      <c r="BB359" s="338"/>
      <c r="BC359" s="338"/>
      <c r="BD359" s="338">
        <f>+BD360</f>
        <v>0</v>
      </c>
      <c r="BE359" s="338"/>
      <c r="BF359" s="338"/>
      <c r="BG359" s="338">
        <f>+BG360</f>
        <v>203721000</v>
      </c>
      <c r="BH359" s="338">
        <f>+BH360</f>
        <v>146689132</v>
      </c>
      <c r="BI359" s="338">
        <f>+BI360</f>
        <v>134611132</v>
      </c>
      <c r="BJ359" s="89"/>
      <c r="BK359" s="89"/>
      <c r="BL359" s="89"/>
      <c r="BM359" s="89"/>
      <c r="BN359" s="89"/>
      <c r="BO359" s="89"/>
      <c r="BP359" s="89"/>
    </row>
    <row r="360" spans="1:73" s="90" customFormat="1" ht="21.75" customHeight="1" x14ac:dyDescent="0.25">
      <c r="A360" s="91"/>
      <c r="B360" s="105"/>
      <c r="C360" s="631">
        <v>17</v>
      </c>
      <c r="D360" s="639">
        <v>2302</v>
      </c>
      <c r="E360" s="175" t="s">
        <v>1331</v>
      </c>
      <c r="F360" s="138"/>
      <c r="G360" s="139"/>
      <c r="H360" s="176"/>
      <c r="I360" s="177"/>
      <c r="J360" s="178"/>
      <c r="K360" s="178"/>
      <c r="L360" s="177"/>
      <c r="M360" s="179"/>
      <c r="N360" s="180"/>
      <c r="O360" s="139"/>
      <c r="P360" s="139"/>
      <c r="Q360" s="181"/>
      <c r="R360" s="181"/>
      <c r="S360" s="177"/>
      <c r="T360" s="357">
        <f>SUM(T361:T362)</f>
        <v>0</v>
      </c>
      <c r="U360" s="357"/>
      <c r="V360" s="357"/>
      <c r="W360" s="357">
        <f>SUM(W361:W362)</f>
        <v>0</v>
      </c>
      <c r="X360" s="357"/>
      <c r="Y360" s="357"/>
      <c r="Z360" s="357">
        <f>SUM(Z361:Z362)</f>
        <v>0</v>
      </c>
      <c r="AA360" s="357"/>
      <c r="AB360" s="357"/>
      <c r="AC360" s="357">
        <f>SUM(AC361:AC362)</f>
        <v>0</v>
      </c>
      <c r="AD360" s="357"/>
      <c r="AE360" s="357"/>
      <c r="AF360" s="357">
        <f>SUM(AF361:AF362)</f>
        <v>0</v>
      </c>
      <c r="AG360" s="357"/>
      <c r="AH360" s="357"/>
      <c r="AI360" s="357">
        <f>SUM(AI361:AI362)</f>
        <v>0</v>
      </c>
      <c r="AJ360" s="357"/>
      <c r="AK360" s="357"/>
      <c r="AL360" s="357">
        <f>SUM(AL361:AL362)</f>
        <v>0</v>
      </c>
      <c r="AM360" s="357"/>
      <c r="AN360" s="357"/>
      <c r="AO360" s="357">
        <f>SUM(AO361:AO362)</f>
        <v>0</v>
      </c>
      <c r="AP360" s="357"/>
      <c r="AQ360" s="357"/>
      <c r="AR360" s="357">
        <f>SUM(AR361:AR362)</f>
        <v>0</v>
      </c>
      <c r="AS360" s="357"/>
      <c r="AT360" s="357"/>
      <c r="AU360" s="357">
        <f>SUM(AU361:AU362)</f>
        <v>0</v>
      </c>
      <c r="AV360" s="357"/>
      <c r="AW360" s="357"/>
      <c r="AX360" s="357">
        <f>SUM(AX361:AX362)</f>
        <v>203721000</v>
      </c>
      <c r="AY360" s="357"/>
      <c r="AZ360" s="357"/>
      <c r="BA360" s="357">
        <f>SUM(BA361:BA362)</f>
        <v>0</v>
      </c>
      <c r="BB360" s="357"/>
      <c r="BC360" s="357"/>
      <c r="BD360" s="357">
        <f>SUM(BD361:BD362)</f>
        <v>0</v>
      </c>
      <c r="BE360" s="357"/>
      <c r="BF360" s="357"/>
      <c r="BG360" s="357">
        <f>SUM(BG361:BG362)</f>
        <v>203721000</v>
      </c>
      <c r="BH360" s="357">
        <f>SUM(BH361:BH362)</f>
        <v>146689132</v>
      </c>
      <c r="BI360" s="357">
        <f>SUM(BI361:BI362)</f>
        <v>134611132</v>
      </c>
      <c r="BJ360" s="89"/>
      <c r="BK360" s="89"/>
      <c r="BL360" s="89"/>
      <c r="BM360" s="89"/>
      <c r="BN360" s="89"/>
      <c r="BO360" s="89"/>
      <c r="BP360" s="89"/>
    </row>
    <row r="361" spans="1:73" ht="54.75" customHeight="1" x14ac:dyDescent="0.2">
      <c r="A361" s="104"/>
      <c r="B361" s="949"/>
      <c r="C361" s="951"/>
      <c r="D361" s="120"/>
      <c r="E361" s="887"/>
      <c r="F361" s="145" t="s">
        <v>1356</v>
      </c>
      <c r="G361" s="127" t="s">
        <v>1357</v>
      </c>
      <c r="H361" s="124">
        <v>2302033</v>
      </c>
      <c r="I361" s="186" t="s">
        <v>1358</v>
      </c>
      <c r="J361" s="127" t="s">
        <v>1359</v>
      </c>
      <c r="K361" s="291">
        <v>230203300</v>
      </c>
      <c r="L361" s="186" t="s">
        <v>1360</v>
      </c>
      <c r="M361" s="127" t="s">
        <v>109</v>
      </c>
      <c r="N361" s="124">
        <v>100</v>
      </c>
      <c r="O361" s="124">
        <v>100</v>
      </c>
      <c r="P361" s="185"/>
      <c r="Q361" s="887" t="s">
        <v>110</v>
      </c>
      <c r="R361" s="915" t="s">
        <v>1361</v>
      </c>
      <c r="S361" s="890" t="s">
        <v>1362</v>
      </c>
      <c r="T361" s="129"/>
      <c r="U361" s="129"/>
      <c r="V361" s="129"/>
      <c r="W361" s="129"/>
      <c r="X361" s="187"/>
      <c r="Y361" s="187"/>
      <c r="Z361" s="187"/>
      <c r="AA361" s="187"/>
      <c r="AB361" s="187"/>
      <c r="AC361" s="131"/>
      <c r="AD361" s="131"/>
      <c r="AE361" s="131"/>
      <c r="AF361" s="131"/>
      <c r="AG361" s="131"/>
      <c r="AH361" s="131"/>
      <c r="AI361" s="131"/>
      <c r="AJ361" s="131"/>
      <c r="AK361" s="131"/>
      <c r="AL361" s="131"/>
      <c r="AM361" s="131"/>
      <c r="AN361" s="131"/>
      <c r="AO361" s="131"/>
      <c r="AP361" s="131"/>
      <c r="AQ361" s="131"/>
      <c r="AR361" s="131"/>
      <c r="AS361" s="131"/>
      <c r="AT361" s="131"/>
      <c r="AU361" s="131"/>
      <c r="AV361" s="131"/>
      <c r="AW361" s="131"/>
      <c r="AX361" s="131">
        <f>161909132+27491868</f>
        <v>189401000</v>
      </c>
      <c r="AY361" s="131">
        <v>146689132</v>
      </c>
      <c r="AZ361" s="131">
        <v>134611132</v>
      </c>
      <c r="BA361" s="131"/>
      <c r="BB361" s="131"/>
      <c r="BC361" s="131"/>
      <c r="BD361" s="131"/>
      <c r="BE361" s="131"/>
      <c r="BF361" s="131"/>
      <c r="BG361" s="131">
        <f t="shared" ref="BG361:BI362" si="86">+T361+W361+Z361+AC361+AF361+AI361+AL361+AO361+AR361+AU361+AX361+BA361+BD361</f>
        <v>189401000</v>
      </c>
      <c r="BH361" s="131">
        <f t="shared" si="86"/>
        <v>146689132</v>
      </c>
      <c r="BI361" s="131">
        <f t="shared" si="86"/>
        <v>134611132</v>
      </c>
      <c r="BJ361" s="55"/>
      <c r="BK361" s="55"/>
      <c r="BL361" s="55"/>
      <c r="BM361" s="55"/>
      <c r="BN361" s="55"/>
      <c r="BO361" s="55"/>
      <c r="BP361" s="55"/>
    </row>
    <row r="362" spans="1:73" ht="72" customHeight="1" x14ac:dyDescent="0.2">
      <c r="A362" s="141"/>
      <c r="B362" s="950"/>
      <c r="C362" s="952"/>
      <c r="D362" s="132"/>
      <c r="E362" s="889"/>
      <c r="F362" s="145" t="s">
        <v>1356</v>
      </c>
      <c r="G362" s="127" t="s">
        <v>1363</v>
      </c>
      <c r="H362" s="124">
        <v>2302066</v>
      </c>
      <c r="I362" s="186" t="s">
        <v>1364</v>
      </c>
      <c r="J362" s="127" t="s">
        <v>1365</v>
      </c>
      <c r="K362" s="291">
        <v>230206600</v>
      </c>
      <c r="L362" s="186" t="s">
        <v>1366</v>
      </c>
      <c r="M362" s="730" t="s">
        <v>204</v>
      </c>
      <c r="N362" s="733">
        <v>200</v>
      </c>
      <c r="O362" s="733">
        <v>30</v>
      </c>
      <c r="P362" s="219"/>
      <c r="Q362" s="889"/>
      <c r="R362" s="916"/>
      <c r="S362" s="894"/>
      <c r="T362" s="129"/>
      <c r="U362" s="129"/>
      <c r="V362" s="129"/>
      <c r="W362" s="129"/>
      <c r="X362" s="187"/>
      <c r="Y362" s="187"/>
      <c r="Z362" s="187"/>
      <c r="AA362" s="187"/>
      <c r="AB362" s="187"/>
      <c r="AC362" s="131"/>
      <c r="AD362" s="131"/>
      <c r="AE362" s="131"/>
      <c r="AF362" s="131"/>
      <c r="AG362" s="131"/>
      <c r="AH362" s="131"/>
      <c r="AI362" s="131"/>
      <c r="AJ362" s="131"/>
      <c r="AK362" s="131"/>
      <c r="AL362" s="131"/>
      <c r="AM362" s="131"/>
      <c r="AN362" s="131"/>
      <c r="AO362" s="131"/>
      <c r="AP362" s="131"/>
      <c r="AQ362" s="131"/>
      <c r="AR362" s="131"/>
      <c r="AS362" s="131"/>
      <c r="AT362" s="131"/>
      <c r="AU362" s="131"/>
      <c r="AV362" s="131"/>
      <c r="AW362" s="131"/>
      <c r="AX362" s="131">
        <v>14320000</v>
      </c>
      <c r="AY362" s="131"/>
      <c r="AZ362" s="131"/>
      <c r="BA362" s="131"/>
      <c r="BB362" s="131"/>
      <c r="BC362" s="131"/>
      <c r="BD362" s="131"/>
      <c r="BE362" s="131"/>
      <c r="BF362" s="131"/>
      <c r="BG362" s="131">
        <f t="shared" si="86"/>
        <v>14320000</v>
      </c>
      <c r="BH362" s="131">
        <f t="shared" si="86"/>
        <v>0</v>
      </c>
      <c r="BI362" s="131">
        <f t="shared" si="86"/>
        <v>0</v>
      </c>
      <c r="BJ362" s="55"/>
      <c r="BK362" s="55"/>
      <c r="BL362" s="55"/>
      <c r="BM362" s="55"/>
      <c r="BN362" s="55"/>
      <c r="BO362" s="55"/>
      <c r="BP362" s="55"/>
    </row>
    <row r="363" spans="1:73" s="647" customFormat="1" ht="15.75" customHeight="1" x14ac:dyDescent="0.25">
      <c r="A363" s="945" t="s">
        <v>1367</v>
      </c>
      <c r="B363" s="946"/>
      <c r="C363" s="946"/>
      <c r="D363" s="946"/>
      <c r="E363" s="946"/>
      <c r="F363" s="947"/>
      <c r="G363" s="640"/>
      <c r="H363" s="640"/>
      <c r="I363" s="641"/>
      <c r="J363" s="642"/>
      <c r="K363" s="642"/>
      <c r="L363" s="641"/>
      <c r="M363" s="642"/>
      <c r="N363" s="640"/>
      <c r="O363" s="640"/>
      <c r="P363" s="640"/>
      <c r="Q363" s="642"/>
      <c r="R363" s="643"/>
      <c r="S363" s="644"/>
      <c r="T363" s="645">
        <f>+T347+T279+T233+T204+T196+T148+T131+T118+T80+T39+T33+T16+T8</f>
        <v>13931111024.869999</v>
      </c>
      <c r="U363" s="645"/>
      <c r="V363" s="645"/>
      <c r="W363" s="645">
        <f>+W347+W279+W233+W204+W196+W148+W131+W118+W80+W39+W33+W16+W8</f>
        <v>5428613946.8600006</v>
      </c>
      <c r="X363" s="645"/>
      <c r="Y363" s="645"/>
      <c r="Z363" s="645">
        <f>+Z347+Z279+Z233+Z204+Z196+Z148+Z131+Z118+Z80+Z39+Z33+Z16+Z8</f>
        <v>958872976.11000001</v>
      </c>
      <c r="AA363" s="645"/>
      <c r="AB363" s="645"/>
      <c r="AC363" s="645">
        <f>+AC347+AC279+AC233+AC204+AC196+AC148+AC131+AC118+AC80+AC39+AC33+AC16+AC8</f>
        <v>2854044988.79</v>
      </c>
      <c r="AD363" s="645"/>
      <c r="AE363" s="645"/>
      <c r="AF363" s="645">
        <f>+AF347+AF279+AF233+AF204+AF196+AF148+AF131+AF118+AF80+AF39+AF33+AF16+AF8</f>
        <v>6854735768.5</v>
      </c>
      <c r="AG363" s="645"/>
      <c r="AH363" s="645"/>
      <c r="AI363" s="645">
        <f>+AI347+AI279+AI233+AI204+AI196+AI148+AI131+AI118+AI80+AI39+AI33+AI16+AI8</f>
        <v>27403553738.380001</v>
      </c>
      <c r="AJ363" s="645"/>
      <c r="AK363" s="645"/>
      <c r="AL363" s="645">
        <f>+AL347+AL279+AL233+AL204+AL196+AL148+AL131+AL118+AL80+AL39+AL33+AL16+AL8</f>
        <v>134989913515.46001</v>
      </c>
      <c r="AM363" s="645"/>
      <c r="AN363" s="645"/>
      <c r="AO363" s="645">
        <f>+AO347+AO279+AO233+AO204+AO196+AO148+AO131+AO118+AO80+AO39+AO33+AO16+AO8</f>
        <v>23500000000</v>
      </c>
      <c r="AP363" s="645"/>
      <c r="AQ363" s="645"/>
      <c r="AR363" s="645">
        <f>+AR347+AR279+AR233+AR204+AR196+AR148+AR131+AR118+AR80+AR39+AR33+AR16+AR8</f>
        <v>12173030541.870001</v>
      </c>
      <c r="AS363" s="645"/>
      <c r="AT363" s="645"/>
      <c r="AU363" s="645">
        <f>+AU347+AU279+AU233+AU204+AU196+AU148+AU131+AU118+AU80+AU39+AU33+AU16+AU8</f>
        <v>2686652877.1199999</v>
      </c>
      <c r="AV363" s="645"/>
      <c r="AW363" s="645"/>
      <c r="AX363" s="645">
        <f>+AX347+AX279+AX233+AX204+AX196+AX148+AX131+AX118+AX80+AX39+AX33+AX16+AX8</f>
        <v>19838051468.408314</v>
      </c>
      <c r="AY363" s="645"/>
      <c r="AZ363" s="645"/>
      <c r="BA363" s="645">
        <f>+BA347+BA279+BA233+BA204+BA196+BA148+BA131+BA118+BA80+BA39+BA33+BA16+BA8</f>
        <v>894081684.11000013</v>
      </c>
      <c r="BB363" s="645"/>
      <c r="BC363" s="645"/>
      <c r="BD363" s="645">
        <f>+BD347+BD279+BD233+BD204+BD196+BD148+BD131+BD118+BD80+BD39+BD33+BD16+BD8</f>
        <v>2855598673.3000002</v>
      </c>
      <c r="BE363" s="645"/>
      <c r="BF363" s="645"/>
      <c r="BG363" s="645">
        <f>+BG347+BG279+BG233+BG204+BG196+BG148+BG131+BG118+BG80+BG39+BG33+BG16+BG8</f>
        <v>254368261203.77832</v>
      </c>
      <c r="BH363" s="645">
        <f>+BH347+BH279+BH233+BH204+BH196+BH148+BH131+BH118+BH80+BH39+BH33+BH16+BH8</f>
        <v>110868400760</v>
      </c>
      <c r="BI363" s="645">
        <f>+BI347+BI279+BI233+BI204+BI196+BI148+BI131+BI118+BI80+BI39+BI33+BI16+BI8</f>
        <v>77898842577.330002</v>
      </c>
      <c r="BJ363" s="646"/>
      <c r="BK363" s="646"/>
      <c r="BL363" s="646"/>
      <c r="BM363" s="646"/>
      <c r="BN363" s="646"/>
      <c r="BO363" s="646"/>
      <c r="BP363" s="646"/>
    </row>
    <row r="364" spans="1:73" ht="36" customHeight="1" x14ac:dyDescent="0.2">
      <c r="BG364" s="441"/>
      <c r="BH364" s="441"/>
      <c r="BI364" s="441"/>
    </row>
    <row r="365" spans="1:73" s="414" customFormat="1" ht="21.75" customHeight="1" x14ac:dyDescent="0.2">
      <c r="A365" s="76" t="s">
        <v>1368</v>
      </c>
      <c r="B365" s="77"/>
      <c r="C365" s="78"/>
      <c r="D365" s="79"/>
      <c r="E365" s="80"/>
      <c r="F365" s="81"/>
      <c r="G365" s="82"/>
      <c r="H365" s="83"/>
      <c r="I365" s="84"/>
      <c r="J365" s="85"/>
      <c r="K365" s="85"/>
      <c r="L365" s="84"/>
      <c r="M365" s="160"/>
      <c r="N365" s="83"/>
      <c r="O365" s="82"/>
      <c r="P365" s="82"/>
      <c r="Q365" s="80"/>
      <c r="R365" s="80"/>
      <c r="S365" s="84"/>
      <c r="T365" s="251">
        <f>+T366</f>
        <v>0</v>
      </c>
      <c r="U365" s="251"/>
      <c r="V365" s="251"/>
      <c r="W365" s="251">
        <f>+W366</f>
        <v>0</v>
      </c>
      <c r="X365" s="251"/>
      <c r="Y365" s="251"/>
      <c r="Z365" s="251">
        <f>+Z366</f>
        <v>0</v>
      </c>
      <c r="AA365" s="251"/>
      <c r="AB365" s="251"/>
      <c r="AC365" s="251">
        <f>+AC366</f>
        <v>0</v>
      </c>
      <c r="AD365" s="251"/>
      <c r="AE365" s="251"/>
      <c r="AF365" s="251">
        <f>+AF366</f>
        <v>0</v>
      </c>
      <c r="AG365" s="251"/>
      <c r="AH365" s="251"/>
      <c r="AI365" s="251">
        <f>+AI366</f>
        <v>0</v>
      </c>
      <c r="AJ365" s="251"/>
      <c r="AK365" s="251"/>
      <c r="AL365" s="251">
        <f>+AL366</f>
        <v>0</v>
      </c>
      <c r="AM365" s="251"/>
      <c r="AN365" s="251"/>
      <c r="AO365" s="251">
        <f>+AO366</f>
        <v>0</v>
      </c>
      <c r="AP365" s="251"/>
      <c r="AQ365" s="251"/>
      <c r="AR365" s="251">
        <f>+AR366</f>
        <v>0</v>
      </c>
      <c r="AS365" s="251"/>
      <c r="AT365" s="251"/>
      <c r="AU365" s="251">
        <f>+AU366</f>
        <v>0</v>
      </c>
      <c r="AV365" s="251"/>
      <c r="AW365" s="251"/>
      <c r="AX365" s="251">
        <f>+AX366</f>
        <v>712825727</v>
      </c>
      <c r="AY365" s="251"/>
      <c r="AZ365" s="251"/>
      <c r="BA365" s="251">
        <f>+BA366</f>
        <v>685952388</v>
      </c>
      <c r="BB365" s="251">
        <f>+BB366</f>
        <v>171088924</v>
      </c>
      <c r="BC365" s="251">
        <f>+BC366</f>
        <v>119553333</v>
      </c>
      <c r="BD365" s="251">
        <f>+BD366</f>
        <v>0</v>
      </c>
      <c r="BE365" s="251"/>
      <c r="BF365" s="251"/>
      <c r="BG365" s="251">
        <f>BG366</f>
        <v>1398778115</v>
      </c>
      <c r="BH365" s="251">
        <f>BH366</f>
        <v>303932098</v>
      </c>
      <c r="BI365" s="251">
        <f>BI366</f>
        <v>223586507</v>
      </c>
      <c r="BJ365" s="415"/>
      <c r="BK365" s="415"/>
      <c r="BL365" s="415"/>
      <c r="BM365" s="415"/>
      <c r="BN365" s="415"/>
      <c r="BO365" s="415"/>
      <c r="BP365" s="415"/>
    </row>
    <row r="366" spans="1:73" s="414" customFormat="1" ht="21.75" customHeight="1" x14ac:dyDescent="0.2">
      <c r="A366" s="600"/>
      <c r="B366" s="162">
        <v>1</v>
      </c>
      <c r="C366" s="163" t="s">
        <v>1</v>
      </c>
      <c r="D366" s="164"/>
      <c r="E366" s="165"/>
      <c r="F366" s="166"/>
      <c r="G366" s="167"/>
      <c r="H366" s="168"/>
      <c r="I366" s="169"/>
      <c r="J366" s="170"/>
      <c r="K366" s="170"/>
      <c r="L366" s="169"/>
      <c r="M366" s="171"/>
      <c r="N366" s="172"/>
      <c r="O366" s="167"/>
      <c r="P366" s="167"/>
      <c r="Q366" s="165"/>
      <c r="R366" s="165"/>
      <c r="S366" s="169"/>
      <c r="T366" s="103">
        <f>T367+T375</f>
        <v>0</v>
      </c>
      <c r="U366" s="103"/>
      <c r="V366" s="103"/>
      <c r="W366" s="103">
        <f>W367+W375</f>
        <v>0</v>
      </c>
      <c r="X366" s="103"/>
      <c r="Y366" s="103"/>
      <c r="Z366" s="103">
        <f>Z367+Z375</f>
        <v>0</v>
      </c>
      <c r="AA366" s="103"/>
      <c r="AB366" s="103"/>
      <c r="AC366" s="103">
        <f>AC367+AC375</f>
        <v>0</v>
      </c>
      <c r="AD366" s="103"/>
      <c r="AE366" s="103"/>
      <c r="AF366" s="103">
        <f>AF367+AF375</f>
        <v>0</v>
      </c>
      <c r="AG366" s="103"/>
      <c r="AH366" s="103"/>
      <c r="AI366" s="103">
        <f>AI367+AI375</f>
        <v>0</v>
      </c>
      <c r="AJ366" s="103"/>
      <c r="AK366" s="103"/>
      <c r="AL366" s="103">
        <f>AL367+AL375</f>
        <v>0</v>
      </c>
      <c r="AM366" s="103"/>
      <c r="AN366" s="103"/>
      <c r="AO366" s="103">
        <f>AO367+AO375</f>
        <v>0</v>
      </c>
      <c r="AP366" s="103"/>
      <c r="AQ366" s="103"/>
      <c r="AR366" s="103">
        <f>AR367+AR375</f>
        <v>0</v>
      </c>
      <c r="AS366" s="103"/>
      <c r="AT366" s="103"/>
      <c r="AU366" s="103">
        <f>AU367+AU375</f>
        <v>0</v>
      </c>
      <c r="AV366" s="103"/>
      <c r="AW366" s="103"/>
      <c r="AX366" s="103">
        <f>AX367+AX375</f>
        <v>712825727</v>
      </c>
      <c r="AY366" s="103"/>
      <c r="AZ366" s="103"/>
      <c r="BA366" s="103">
        <f>BA367+BA375</f>
        <v>685952388</v>
      </c>
      <c r="BB366" s="103">
        <f>BB367+BB375</f>
        <v>171088924</v>
      </c>
      <c r="BC366" s="103">
        <f>BC367+BC375</f>
        <v>119553333</v>
      </c>
      <c r="BD366" s="103">
        <f>BD367+BD375</f>
        <v>0</v>
      </c>
      <c r="BE366" s="103"/>
      <c r="BF366" s="103"/>
      <c r="BG366" s="103">
        <f>BG367+BG375</f>
        <v>1398778115</v>
      </c>
      <c r="BH366" s="103">
        <f>BH367+BH375</f>
        <v>303932098</v>
      </c>
      <c r="BI366" s="103">
        <f>BI367+BI375</f>
        <v>223586507</v>
      </c>
      <c r="BJ366" s="415"/>
      <c r="BK366" s="415"/>
      <c r="BL366" s="415"/>
      <c r="BM366" s="415"/>
      <c r="BN366" s="415"/>
      <c r="BO366" s="415"/>
      <c r="BP366" s="415"/>
    </row>
    <row r="367" spans="1:73" s="414" customFormat="1" ht="20.25" customHeight="1" x14ac:dyDescent="0.2">
      <c r="A367" s="600"/>
      <c r="B367" s="105"/>
      <c r="C367" s="252">
        <v>39</v>
      </c>
      <c r="D367" s="388">
        <v>4301</v>
      </c>
      <c r="E367" s="175" t="s">
        <v>236</v>
      </c>
      <c r="F367" s="648"/>
      <c r="G367" s="649"/>
      <c r="H367" s="649"/>
      <c r="I367" s="468"/>
      <c r="J367" s="467"/>
      <c r="K367" s="467"/>
      <c r="L367" s="468"/>
      <c r="M367" s="650"/>
      <c r="N367" s="111"/>
      <c r="O367" s="649"/>
      <c r="P367" s="649"/>
      <c r="Q367" s="650"/>
      <c r="R367" s="650"/>
      <c r="S367" s="468"/>
      <c r="T367" s="651">
        <f>SUM(T368:T374)</f>
        <v>0</v>
      </c>
      <c r="U367" s="651"/>
      <c r="V367" s="651"/>
      <c r="W367" s="651">
        <f>SUM(W368:W374)</f>
        <v>0</v>
      </c>
      <c r="X367" s="651"/>
      <c r="Y367" s="651"/>
      <c r="Z367" s="651">
        <f>SUM(Z368:Z374)</f>
        <v>0</v>
      </c>
      <c r="AA367" s="651"/>
      <c r="AB367" s="651"/>
      <c r="AC367" s="651">
        <f>SUM(AC368:AC374)</f>
        <v>0</v>
      </c>
      <c r="AD367" s="651"/>
      <c r="AE367" s="651"/>
      <c r="AF367" s="651">
        <f>SUM(AF368:AF374)</f>
        <v>0</v>
      </c>
      <c r="AG367" s="651"/>
      <c r="AH367" s="651"/>
      <c r="AI367" s="651">
        <f>SUM(AI368:AI374)</f>
        <v>0</v>
      </c>
      <c r="AJ367" s="651"/>
      <c r="AK367" s="651"/>
      <c r="AL367" s="651">
        <f>SUM(AL368:AL374)</f>
        <v>0</v>
      </c>
      <c r="AM367" s="651"/>
      <c r="AN367" s="651"/>
      <c r="AO367" s="651">
        <f>SUM(AO368:AO374)</f>
        <v>0</v>
      </c>
      <c r="AP367" s="651"/>
      <c r="AQ367" s="651"/>
      <c r="AR367" s="651">
        <f>SUM(AR368:AR374)</f>
        <v>0</v>
      </c>
      <c r="AS367" s="651"/>
      <c r="AT367" s="651"/>
      <c r="AU367" s="651">
        <f>SUM(AU368:AU374)</f>
        <v>0</v>
      </c>
      <c r="AV367" s="651"/>
      <c r="AW367" s="651"/>
      <c r="AX367" s="651">
        <f>SUM(AX368:AX374)</f>
        <v>139000000</v>
      </c>
      <c r="AY367" s="651"/>
      <c r="AZ367" s="651"/>
      <c r="BA367" s="651">
        <f>SUM(BA368:BA374)</f>
        <v>436552853</v>
      </c>
      <c r="BB367" s="651">
        <f>SUM(BB368:BB374)</f>
        <v>128673333</v>
      </c>
      <c r="BC367" s="651">
        <f>SUM(BC368:BC374)</f>
        <v>99303333</v>
      </c>
      <c r="BD367" s="651">
        <f>SUM(BD368:BD374)</f>
        <v>0</v>
      </c>
      <c r="BE367" s="651"/>
      <c r="BF367" s="651"/>
      <c r="BG367" s="651">
        <f>SUM(BG368:BG374)</f>
        <v>575552853</v>
      </c>
      <c r="BH367" s="651">
        <f>SUM(BH368:BH374)</f>
        <v>150633333</v>
      </c>
      <c r="BI367" s="651">
        <f>SUM(BI368:BI374)</f>
        <v>112983333</v>
      </c>
      <c r="BJ367" s="415"/>
      <c r="BK367" s="415"/>
      <c r="BL367" s="415"/>
      <c r="BM367" s="415"/>
      <c r="BN367" s="415"/>
      <c r="BO367" s="415"/>
      <c r="BP367" s="415"/>
      <c r="BQ367" s="415"/>
      <c r="BR367" s="415"/>
      <c r="BS367" s="415"/>
      <c r="BT367" s="415"/>
      <c r="BU367" s="415"/>
    </row>
    <row r="368" spans="1:73" s="238" customFormat="1" ht="78.75" x14ac:dyDescent="0.2">
      <c r="A368" s="104"/>
      <c r="B368" s="118"/>
      <c r="C368" s="119"/>
      <c r="D368" s="652"/>
      <c r="E368" s="724"/>
      <c r="F368" s="653" t="s">
        <v>1369</v>
      </c>
      <c r="G368" s="127" t="s">
        <v>1370</v>
      </c>
      <c r="H368" s="124">
        <v>4301007</v>
      </c>
      <c r="I368" s="186" t="s">
        <v>1371</v>
      </c>
      <c r="J368" s="127" t="s">
        <v>1372</v>
      </c>
      <c r="K368" s="124">
        <v>430100701</v>
      </c>
      <c r="L368" s="186" t="s">
        <v>1373</v>
      </c>
      <c r="M368" s="192" t="s">
        <v>109</v>
      </c>
      <c r="N368" s="193">
        <v>12</v>
      </c>
      <c r="O368" s="124">
        <v>12</v>
      </c>
      <c r="P368" s="185">
        <v>7</v>
      </c>
      <c r="Q368" s="892" t="s">
        <v>242</v>
      </c>
      <c r="R368" s="915" t="s">
        <v>1374</v>
      </c>
      <c r="S368" s="890" t="s">
        <v>1375</v>
      </c>
      <c r="T368" s="129"/>
      <c r="U368" s="129"/>
      <c r="V368" s="129"/>
      <c r="W368" s="129"/>
      <c r="X368" s="129"/>
      <c r="Y368" s="129"/>
      <c r="Z368" s="129"/>
      <c r="AA368" s="129"/>
      <c r="AB368" s="129"/>
      <c r="AC368" s="129"/>
      <c r="AD368" s="129"/>
      <c r="AE368" s="129"/>
      <c r="AF368" s="129"/>
      <c r="AG368" s="129"/>
      <c r="AH368" s="129"/>
      <c r="AI368" s="654"/>
      <c r="AJ368" s="654"/>
      <c r="AK368" s="654"/>
      <c r="AL368" s="129"/>
      <c r="AM368" s="129"/>
      <c r="AN368" s="129"/>
      <c r="AO368" s="129"/>
      <c r="AP368" s="129"/>
      <c r="AQ368" s="129"/>
      <c r="AR368" s="129"/>
      <c r="AS368" s="129"/>
      <c r="AT368" s="129"/>
      <c r="AU368" s="129"/>
      <c r="AV368" s="129"/>
      <c r="AW368" s="129"/>
      <c r="AX368" s="655"/>
      <c r="AY368" s="655"/>
      <c r="AZ368" s="655"/>
      <c r="BA368" s="655">
        <v>55000000</v>
      </c>
      <c r="BB368" s="656">
        <v>47740000</v>
      </c>
      <c r="BC368" s="656">
        <v>32370000</v>
      </c>
      <c r="BD368" s="187"/>
      <c r="BE368" s="187"/>
      <c r="BF368" s="187"/>
      <c r="BG368" s="131">
        <f t="shared" ref="BG368:BI374" si="87">+T368+W368+Z368+AC368+AF368+AI368+AL368+AO368+AR368+AU368+AX368+BA368+BD368</f>
        <v>55000000</v>
      </c>
      <c r="BH368" s="131">
        <f t="shared" si="87"/>
        <v>47740000</v>
      </c>
      <c r="BI368" s="131">
        <f t="shared" si="87"/>
        <v>32370000</v>
      </c>
    </row>
    <row r="369" spans="1:73" s="238" customFormat="1" ht="90" customHeight="1" x14ac:dyDescent="0.2">
      <c r="A369" s="104"/>
      <c r="B369" s="118"/>
      <c r="C369" s="282"/>
      <c r="D369" s="657"/>
      <c r="E369" s="725"/>
      <c r="F369" s="653" t="s">
        <v>1369</v>
      </c>
      <c r="G369" s="127" t="s">
        <v>1376</v>
      </c>
      <c r="H369" s="124">
        <v>4301037</v>
      </c>
      <c r="I369" s="186" t="s">
        <v>1377</v>
      </c>
      <c r="J369" s="127" t="s">
        <v>1378</v>
      </c>
      <c r="K369" s="124">
        <v>430103701</v>
      </c>
      <c r="L369" s="186" t="s">
        <v>1379</v>
      </c>
      <c r="M369" s="290" t="s">
        <v>109</v>
      </c>
      <c r="N369" s="146">
        <v>12</v>
      </c>
      <c r="O369" s="146">
        <v>12</v>
      </c>
      <c r="P369" s="146"/>
      <c r="Q369" s="893"/>
      <c r="R369" s="916"/>
      <c r="S369" s="894"/>
      <c r="T369" s="129"/>
      <c r="U369" s="129"/>
      <c r="V369" s="129"/>
      <c r="W369" s="129"/>
      <c r="X369" s="129"/>
      <c r="Y369" s="129"/>
      <c r="Z369" s="129"/>
      <c r="AA369" s="129"/>
      <c r="AB369" s="129"/>
      <c r="AC369" s="129"/>
      <c r="AD369" s="129"/>
      <c r="AE369" s="129"/>
      <c r="AF369" s="129"/>
      <c r="AG369" s="129"/>
      <c r="AH369" s="129"/>
      <c r="AI369" s="129"/>
      <c r="AJ369" s="129"/>
      <c r="AK369" s="129"/>
      <c r="AL369" s="129"/>
      <c r="AM369" s="129"/>
      <c r="AN369" s="129"/>
      <c r="AO369" s="129"/>
      <c r="AP369" s="129"/>
      <c r="AQ369" s="129"/>
      <c r="AR369" s="129"/>
      <c r="AS369" s="129"/>
      <c r="AT369" s="129"/>
      <c r="AU369" s="129"/>
      <c r="AV369" s="129"/>
      <c r="AW369" s="129"/>
      <c r="AX369" s="655">
        <v>80000000</v>
      </c>
      <c r="AY369" s="655"/>
      <c r="AZ369" s="655"/>
      <c r="BA369" s="655">
        <v>120000000</v>
      </c>
      <c r="BB369" s="655">
        <v>7000000</v>
      </c>
      <c r="BC369" s="655">
        <v>5250000</v>
      </c>
      <c r="BD369" s="658"/>
      <c r="BE369" s="658"/>
      <c r="BF369" s="658"/>
      <c r="BG369" s="131">
        <f t="shared" si="87"/>
        <v>200000000</v>
      </c>
      <c r="BH369" s="131">
        <f t="shared" si="87"/>
        <v>7000000</v>
      </c>
      <c r="BI369" s="131">
        <f t="shared" si="87"/>
        <v>5250000</v>
      </c>
    </row>
    <row r="370" spans="1:73" s="238" customFormat="1" ht="81" customHeight="1" x14ac:dyDescent="0.2">
      <c r="A370" s="104"/>
      <c r="B370" s="118"/>
      <c r="C370" s="282"/>
      <c r="D370" s="657"/>
      <c r="E370" s="121"/>
      <c r="F370" s="653" t="s">
        <v>1369</v>
      </c>
      <c r="G370" s="127" t="s">
        <v>1376</v>
      </c>
      <c r="H370" s="124">
        <v>4301037</v>
      </c>
      <c r="I370" s="186" t="s">
        <v>1377</v>
      </c>
      <c r="J370" s="127" t="s">
        <v>1380</v>
      </c>
      <c r="K370" s="124" t="s">
        <v>1381</v>
      </c>
      <c r="L370" s="186" t="s">
        <v>1382</v>
      </c>
      <c r="M370" s="290" t="s">
        <v>109</v>
      </c>
      <c r="N370" s="146">
        <v>12</v>
      </c>
      <c r="O370" s="146">
        <v>12</v>
      </c>
      <c r="P370" s="146">
        <v>5</v>
      </c>
      <c r="Q370" s="126" t="s">
        <v>242</v>
      </c>
      <c r="R370" s="192" t="s">
        <v>1383</v>
      </c>
      <c r="S370" s="186" t="s">
        <v>1384</v>
      </c>
      <c r="T370" s="129"/>
      <c r="U370" s="129"/>
      <c r="V370" s="129"/>
      <c r="W370" s="129"/>
      <c r="X370" s="129"/>
      <c r="Y370" s="129"/>
      <c r="Z370" s="129"/>
      <c r="AA370" s="129"/>
      <c r="AB370" s="129"/>
      <c r="AC370" s="129"/>
      <c r="AD370" s="129"/>
      <c r="AE370" s="129"/>
      <c r="AF370" s="129"/>
      <c r="AG370" s="129"/>
      <c r="AH370" s="129"/>
      <c r="AI370" s="129"/>
      <c r="AJ370" s="129"/>
      <c r="AK370" s="129"/>
      <c r="AL370" s="129"/>
      <c r="AM370" s="129"/>
      <c r="AN370" s="129"/>
      <c r="AO370" s="129"/>
      <c r="AP370" s="129"/>
      <c r="AQ370" s="129"/>
      <c r="AR370" s="129"/>
      <c r="AS370" s="129"/>
      <c r="AT370" s="129"/>
      <c r="AU370" s="129"/>
      <c r="AV370" s="129"/>
      <c r="AW370" s="129"/>
      <c r="AX370" s="655">
        <v>30000000</v>
      </c>
      <c r="AY370" s="655">
        <v>3480000</v>
      </c>
      <c r="AZ370" s="655">
        <v>2120000</v>
      </c>
      <c r="BA370" s="655">
        <v>91552853</v>
      </c>
      <c r="BB370" s="656">
        <v>10000000</v>
      </c>
      <c r="BC370" s="656">
        <v>7500000</v>
      </c>
      <c r="BD370" s="187"/>
      <c r="BE370" s="187"/>
      <c r="BF370" s="187"/>
      <c r="BG370" s="131">
        <f t="shared" si="87"/>
        <v>121552853</v>
      </c>
      <c r="BH370" s="131">
        <f t="shared" si="87"/>
        <v>13480000</v>
      </c>
      <c r="BI370" s="131">
        <f t="shared" si="87"/>
        <v>9620000</v>
      </c>
    </row>
    <row r="371" spans="1:73" s="238" customFormat="1" ht="78.75" x14ac:dyDescent="0.2">
      <c r="A371" s="104"/>
      <c r="B371" s="118"/>
      <c r="C371" s="282"/>
      <c r="D371" s="657"/>
      <c r="E371" s="724"/>
      <c r="F371" s="653" t="s">
        <v>1369</v>
      </c>
      <c r="G371" s="127" t="s">
        <v>1376</v>
      </c>
      <c r="H371" s="124">
        <v>4301037</v>
      </c>
      <c r="I371" s="186" t="s">
        <v>1377</v>
      </c>
      <c r="J371" s="127" t="s">
        <v>1380</v>
      </c>
      <c r="K371" s="124">
        <v>430103704</v>
      </c>
      <c r="L371" s="186" t="s">
        <v>1382</v>
      </c>
      <c r="M371" s="290" t="s">
        <v>109</v>
      </c>
      <c r="N371" s="146">
        <v>12</v>
      </c>
      <c r="O371" s="146">
        <v>12</v>
      </c>
      <c r="P371" s="146">
        <v>5</v>
      </c>
      <c r="Q371" s="948" t="s">
        <v>242</v>
      </c>
      <c r="R371" s="911" t="s">
        <v>1385</v>
      </c>
      <c r="S371" s="890" t="s">
        <v>1386</v>
      </c>
      <c r="T371" s="129"/>
      <c r="U371" s="129"/>
      <c r="V371" s="129"/>
      <c r="W371" s="129"/>
      <c r="X371" s="129"/>
      <c r="Y371" s="129"/>
      <c r="Z371" s="129"/>
      <c r="AA371" s="129"/>
      <c r="AB371" s="129"/>
      <c r="AC371" s="129"/>
      <c r="AD371" s="129"/>
      <c r="AE371" s="129"/>
      <c r="AF371" s="129"/>
      <c r="AG371" s="129"/>
      <c r="AH371" s="129"/>
      <c r="AI371" s="129"/>
      <c r="AJ371" s="129"/>
      <c r="AK371" s="129"/>
      <c r="AL371" s="129"/>
      <c r="AM371" s="129"/>
      <c r="AN371" s="129"/>
      <c r="AO371" s="129"/>
      <c r="AP371" s="129"/>
      <c r="AQ371" s="129"/>
      <c r="AR371" s="129"/>
      <c r="AS371" s="129"/>
      <c r="AT371" s="129"/>
      <c r="AU371" s="129"/>
      <c r="AV371" s="129"/>
      <c r="AW371" s="129"/>
      <c r="AX371" s="659">
        <v>9000000</v>
      </c>
      <c r="AY371" s="659"/>
      <c r="AZ371" s="659"/>
      <c r="BA371" s="660">
        <f>30000000+25000000</f>
        <v>55000000</v>
      </c>
      <c r="BB371" s="661">
        <v>13800000</v>
      </c>
      <c r="BC371" s="661">
        <v>10900000</v>
      </c>
      <c r="BD371" s="187"/>
      <c r="BE371" s="187"/>
      <c r="BF371" s="187"/>
      <c r="BG371" s="131">
        <f t="shared" si="87"/>
        <v>64000000</v>
      </c>
      <c r="BH371" s="131">
        <f t="shared" si="87"/>
        <v>13800000</v>
      </c>
      <c r="BI371" s="131">
        <f t="shared" si="87"/>
        <v>10900000</v>
      </c>
    </row>
    <row r="372" spans="1:73" s="238" customFormat="1" ht="127.5" customHeight="1" x14ac:dyDescent="0.2">
      <c r="A372" s="104"/>
      <c r="B372" s="118"/>
      <c r="C372" s="282"/>
      <c r="D372" s="657"/>
      <c r="E372" s="725"/>
      <c r="F372" s="653" t="s">
        <v>1369</v>
      </c>
      <c r="G372" s="127" t="s">
        <v>1387</v>
      </c>
      <c r="H372" s="124" t="s">
        <v>1388</v>
      </c>
      <c r="I372" s="186" t="s">
        <v>1389</v>
      </c>
      <c r="J372" s="127" t="s">
        <v>1390</v>
      </c>
      <c r="K372" s="127" t="s">
        <v>102</v>
      </c>
      <c r="L372" s="186" t="s">
        <v>1391</v>
      </c>
      <c r="M372" s="192" t="s">
        <v>109</v>
      </c>
      <c r="N372" s="193">
        <v>1</v>
      </c>
      <c r="O372" s="124">
        <v>1</v>
      </c>
      <c r="P372" s="124"/>
      <c r="Q372" s="948"/>
      <c r="R372" s="911"/>
      <c r="S372" s="891"/>
      <c r="T372" s="129"/>
      <c r="U372" s="129"/>
      <c r="V372" s="129"/>
      <c r="W372" s="129"/>
      <c r="X372" s="129"/>
      <c r="Y372" s="129"/>
      <c r="Z372" s="129"/>
      <c r="AA372" s="129"/>
      <c r="AB372" s="129"/>
      <c r="AC372" s="129"/>
      <c r="AD372" s="129"/>
      <c r="AE372" s="129"/>
      <c r="AF372" s="129"/>
      <c r="AG372" s="129"/>
      <c r="AH372" s="129"/>
      <c r="AI372" s="129"/>
      <c r="AJ372" s="129"/>
      <c r="AK372" s="129"/>
      <c r="AL372" s="129"/>
      <c r="AM372" s="129"/>
      <c r="AN372" s="129"/>
      <c r="AO372" s="129"/>
      <c r="AP372" s="129"/>
      <c r="AQ372" s="129"/>
      <c r="AR372" s="129"/>
      <c r="AS372" s="129"/>
      <c r="AT372" s="129"/>
      <c r="AU372" s="129"/>
      <c r="AV372" s="129"/>
      <c r="AW372" s="129"/>
      <c r="AX372" s="476"/>
      <c r="AY372" s="476"/>
      <c r="AZ372" s="476"/>
      <c r="BA372" s="660">
        <v>75000000</v>
      </c>
      <c r="BB372" s="660">
        <v>19500000</v>
      </c>
      <c r="BC372" s="660">
        <v>15400000</v>
      </c>
      <c r="BD372" s="662"/>
      <c r="BE372" s="662"/>
      <c r="BF372" s="662"/>
      <c r="BG372" s="131">
        <f t="shared" si="87"/>
        <v>75000000</v>
      </c>
      <c r="BH372" s="131">
        <f t="shared" si="87"/>
        <v>19500000</v>
      </c>
      <c r="BI372" s="131">
        <f t="shared" si="87"/>
        <v>15400000</v>
      </c>
    </row>
    <row r="373" spans="1:73" s="238" customFormat="1" ht="84" customHeight="1" x14ac:dyDescent="0.2">
      <c r="A373" s="104"/>
      <c r="B373" s="118"/>
      <c r="C373" s="282"/>
      <c r="D373" s="657"/>
      <c r="E373" s="121"/>
      <c r="F373" s="653" t="s">
        <v>1369</v>
      </c>
      <c r="G373" s="127" t="s">
        <v>1376</v>
      </c>
      <c r="H373" s="124">
        <v>4301037</v>
      </c>
      <c r="I373" s="186" t="s">
        <v>1377</v>
      </c>
      <c r="J373" s="127" t="s">
        <v>1380</v>
      </c>
      <c r="K373" s="124" t="s">
        <v>1381</v>
      </c>
      <c r="L373" s="186" t="s">
        <v>1382</v>
      </c>
      <c r="M373" s="290" t="s">
        <v>109</v>
      </c>
      <c r="N373" s="146">
        <v>12</v>
      </c>
      <c r="O373" s="146">
        <v>12</v>
      </c>
      <c r="P373" s="146">
        <v>0</v>
      </c>
      <c r="Q373" s="126" t="s">
        <v>242</v>
      </c>
      <c r="R373" s="192" t="s">
        <v>1392</v>
      </c>
      <c r="S373" s="186" t="s">
        <v>1393</v>
      </c>
      <c r="T373" s="129"/>
      <c r="U373" s="129"/>
      <c r="V373" s="129"/>
      <c r="W373" s="129"/>
      <c r="X373" s="129"/>
      <c r="Y373" s="129"/>
      <c r="Z373" s="129"/>
      <c r="AA373" s="129"/>
      <c r="AB373" s="129"/>
      <c r="AC373" s="129"/>
      <c r="AD373" s="129"/>
      <c r="AE373" s="129"/>
      <c r="AF373" s="129"/>
      <c r="AG373" s="129"/>
      <c r="AH373" s="129"/>
      <c r="AI373" s="129"/>
      <c r="AJ373" s="129"/>
      <c r="AK373" s="129"/>
      <c r="AL373" s="129"/>
      <c r="AM373" s="129"/>
      <c r="AN373" s="129"/>
      <c r="AO373" s="129"/>
      <c r="AP373" s="129"/>
      <c r="AQ373" s="129"/>
      <c r="AR373" s="129"/>
      <c r="AS373" s="129"/>
      <c r="AT373" s="129"/>
      <c r="AU373" s="129"/>
      <c r="AV373" s="129"/>
      <c r="AW373" s="129"/>
      <c r="AX373" s="476">
        <v>20000000</v>
      </c>
      <c r="AY373" s="476">
        <v>18480000</v>
      </c>
      <c r="AZ373" s="476">
        <v>11560000</v>
      </c>
      <c r="BA373" s="659"/>
      <c r="BB373" s="659"/>
      <c r="BC373" s="659"/>
      <c r="BD373" s="662"/>
      <c r="BE373" s="662"/>
      <c r="BF373" s="662"/>
      <c r="BG373" s="131">
        <f t="shared" si="87"/>
        <v>20000000</v>
      </c>
      <c r="BH373" s="131">
        <f t="shared" si="87"/>
        <v>18480000</v>
      </c>
      <c r="BI373" s="131">
        <f t="shared" si="87"/>
        <v>11560000</v>
      </c>
    </row>
    <row r="374" spans="1:73" s="238" customFormat="1" ht="79.5" customHeight="1" x14ac:dyDescent="0.2">
      <c r="A374" s="104"/>
      <c r="B374" s="118"/>
      <c r="C374" s="64"/>
      <c r="D374" s="663"/>
      <c r="E374" s="121"/>
      <c r="F374" s="653" t="s">
        <v>1369</v>
      </c>
      <c r="G374" s="127" t="s">
        <v>1376</v>
      </c>
      <c r="H374" s="124">
        <v>4301037</v>
      </c>
      <c r="I374" s="186" t="s">
        <v>1377</v>
      </c>
      <c r="J374" s="127" t="s">
        <v>1380</v>
      </c>
      <c r="K374" s="124" t="s">
        <v>1381</v>
      </c>
      <c r="L374" s="186" t="s">
        <v>1382</v>
      </c>
      <c r="M374" s="290" t="s">
        <v>109</v>
      </c>
      <c r="N374" s="146">
        <v>12</v>
      </c>
      <c r="O374" s="146">
        <v>12</v>
      </c>
      <c r="P374" s="146">
        <v>5</v>
      </c>
      <c r="Q374" s="126" t="s">
        <v>242</v>
      </c>
      <c r="R374" s="192" t="s">
        <v>1394</v>
      </c>
      <c r="S374" s="186" t="s">
        <v>1395</v>
      </c>
      <c r="T374" s="129"/>
      <c r="U374" s="129"/>
      <c r="V374" s="129"/>
      <c r="W374" s="129"/>
      <c r="X374" s="129"/>
      <c r="Y374" s="129"/>
      <c r="Z374" s="129"/>
      <c r="AA374" s="129"/>
      <c r="AB374" s="129"/>
      <c r="AC374" s="129"/>
      <c r="AD374" s="129"/>
      <c r="AE374" s="129"/>
      <c r="AF374" s="129"/>
      <c r="AG374" s="129"/>
      <c r="AH374" s="129"/>
      <c r="AI374" s="129"/>
      <c r="AJ374" s="129"/>
      <c r="AK374" s="129"/>
      <c r="AL374" s="129"/>
      <c r="AM374" s="129"/>
      <c r="AN374" s="129"/>
      <c r="AO374" s="129"/>
      <c r="AP374" s="129"/>
      <c r="AQ374" s="129"/>
      <c r="AR374" s="129"/>
      <c r="AS374" s="129"/>
      <c r="AT374" s="129"/>
      <c r="AU374" s="129"/>
      <c r="AV374" s="129"/>
      <c r="AW374" s="129"/>
      <c r="AX374" s="476"/>
      <c r="AY374" s="476"/>
      <c r="AZ374" s="476"/>
      <c r="BA374" s="129">
        <v>40000000</v>
      </c>
      <c r="BB374" s="129">
        <v>30633333</v>
      </c>
      <c r="BC374" s="129">
        <v>27883333</v>
      </c>
      <c r="BD374" s="662"/>
      <c r="BE374" s="662"/>
      <c r="BF374" s="662"/>
      <c r="BG374" s="131">
        <f t="shared" si="87"/>
        <v>40000000</v>
      </c>
      <c r="BH374" s="131">
        <f t="shared" si="87"/>
        <v>30633333</v>
      </c>
      <c r="BI374" s="131">
        <f t="shared" si="87"/>
        <v>27883333</v>
      </c>
    </row>
    <row r="375" spans="1:73" s="414" customFormat="1" ht="18.75" customHeight="1" x14ac:dyDescent="0.2">
      <c r="A375" s="600"/>
      <c r="B375" s="134"/>
      <c r="C375" s="279">
        <v>40</v>
      </c>
      <c r="D375" s="294">
        <v>4302</v>
      </c>
      <c r="E375" s="175" t="s">
        <v>243</v>
      </c>
      <c r="F375" s="138"/>
      <c r="G375" s="138"/>
      <c r="H375" s="176"/>
      <c r="I375" s="177"/>
      <c r="J375" s="178"/>
      <c r="K375" s="178"/>
      <c r="L375" s="177"/>
      <c r="M375" s="179"/>
      <c r="N375" s="180"/>
      <c r="O375" s="139"/>
      <c r="P375" s="139"/>
      <c r="Q375" s="181"/>
      <c r="R375" s="181"/>
      <c r="S375" s="177"/>
      <c r="T375" s="348">
        <f>+T376+T377</f>
        <v>0</v>
      </c>
      <c r="U375" s="348"/>
      <c r="V375" s="348"/>
      <c r="W375" s="348">
        <f>+W376+W377</f>
        <v>0</v>
      </c>
      <c r="X375" s="348"/>
      <c r="Y375" s="348"/>
      <c r="Z375" s="348">
        <f>+Z376+Z377</f>
        <v>0</v>
      </c>
      <c r="AA375" s="348"/>
      <c r="AB375" s="348"/>
      <c r="AC375" s="348">
        <f>+AC376+AC377</f>
        <v>0</v>
      </c>
      <c r="AD375" s="348"/>
      <c r="AE375" s="348"/>
      <c r="AF375" s="348">
        <f>+AF376+AF377</f>
        <v>0</v>
      </c>
      <c r="AG375" s="348"/>
      <c r="AH375" s="348"/>
      <c r="AI375" s="348">
        <f>+AI376+AI377</f>
        <v>0</v>
      </c>
      <c r="AJ375" s="348"/>
      <c r="AK375" s="348"/>
      <c r="AL375" s="348">
        <f>+AL376+AL377</f>
        <v>0</v>
      </c>
      <c r="AM375" s="348"/>
      <c r="AN375" s="348"/>
      <c r="AO375" s="348">
        <f>+AO376+AO377</f>
        <v>0</v>
      </c>
      <c r="AP375" s="348"/>
      <c r="AQ375" s="348"/>
      <c r="AR375" s="348">
        <f>+AR376+AR377</f>
        <v>0</v>
      </c>
      <c r="AS375" s="348"/>
      <c r="AT375" s="348"/>
      <c r="AU375" s="348">
        <f>+AU376+AU377</f>
        <v>0</v>
      </c>
      <c r="AV375" s="348"/>
      <c r="AW375" s="348"/>
      <c r="AX375" s="348">
        <f>+AX376+AX377</f>
        <v>573825727</v>
      </c>
      <c r="AY375" s="348"/>
      <c r="AZ375" s="348"/>
      <c r="BA375" s="348">
        <f t="shared" ref="BA375:BI375" si="88">+BA376+BA377</f>
        <v>249399535</v>
      </c>
      <c r="BB375" s="348">
        <f t="shared" si="88"/>
        <v>42415591</v>
      </c>
      <c r="BC375" s="348">
        <f t="shared" si="88"/>
        <v>20250000</v>
      </c>
      <c r="BD375" s="348">
        <f t="shared" si="88"/>
        <v>0</v>
      </c>
      <c r="BE375" s="348">
        <f t="shared" si="88"/>
        <v>0</v>
      </c>
      <c r="BF375" s="348">
        <f t="shared" si="88"/>
        <v>0</v>
      </c>
      <c r="BG375" s="348">
        <f t="shared" si="88"/>
        <v>823225262</v>
      </c>
      <c r="BH375" s="348">
        <f t="shared" si="88"/>
        <v>153298765</v>
      </c>
      <c r="BI375" s="348">
        <f t="shared" si="88"/>
        <v>110603174</v>
      </c>
      <c r="BJ375" s="415"/>
      <c r="BK375" s="415"/>
      <c r="BL375" s="415"/>
      <c r="BM375" s="415"/>
      <c r="BN375" s="415"/>
      <c r="BO375" s="415"/>
      <c r="BP375" s="415"/>
      <c r="BQ375" s="415"/>
      <c r="BR375" s="415"/>
      <c r="BS375" s="415"/>
      <c r="BT375" s="415"/>
      <c r="BU375" s="415"/>
    </row>
    <row r="376" spans="1:73" s="238" customFormat="1" ht="91.5" customHeight="1" x14ac:dyDescent="0.2">
      <c r="A376" s="104"/>
      <c r="B376" s="118"/>
      <c r="C376" s="119"/>
      <c r="D376" s="652"/>
      <c r="E376" s="664"/>
      <c r="F376" s="320" t="s">
        <v>1396</v>
      </c>
      <c r="G376" s="291" t="s">
        <v>1397</v>
      </c>
      <c r="H376" s="665">
        <v>4302075</v>
      </c>
      <c r="I376" s="186" t="s">
        <v>1398</v>
      </c>
      <c r="J376" s="291" t="s">
        <v>1399</v>
      </c>
      <c r="K376" s="146">
        <v>430207500</v>
      </c>
      <c r="L376" s="320" t="s">
        <v>1400</v>
      </c>
      <c r="M376" s="192" t="s">
        <v>109</v>
      </c>
      <c r="N376" s="193">
        <v>25</v>
      </c>
      <c r="O376" s="124">
        <v>25</v>
      </c>
      <c r="P376" s="124">
        <v>23</v>
      </c>
      <c r="Q376" s="126" t="s">
        <v>242</v>
      </c>
      <c r="R376" s="192" t="s">
        <v>1401</v>
      </c>
      <c r="S376" s="666" t="s">
        <v>1402</v>
      </c>
      <c r="T376" s="129"/>
      <c r="U376" s="129"/>
      <c r="V376" s="129"/>
      <c r="W376" s="129"/>
      <c r="X376" s="129"/>
      <c r="Y376" s="129"/>
      <c r="Z376" s="129"/>
      <c r="AA376" s="129"/>
      <c r="AB376" s="129"/>
      <c r="AC376" s="129"/>
      <c r="AD376" s="667"/>
      <c r="AE376" s="667"/>
      <c r="AF376" s="667"/>
      <c r="AG376" s="667"/>
      <c r="AH376" s="667"/>
      <c r="AI376" s="667"/>
      <c r="AJ376" s="667"/>
      <c r="AK376" s="667"/>
      <c r="AL376" s="129"/>
      <c r="AM376" s="129"/>
      <c r="AN376" s="129"/>
      <c r="AO376" s="129"/>
      <c r="AP376" s="129"/>
      <c r="AQ376" s="129"/>
      <c r="AR376" s="129"/>
      <c r="AS376" s="129"/>
      <c r="AT376" s="129"/>
      <c r="AU376" s="129"/>
      <c r="AV376" s="129"/>
      <c r="AW376" s="129"/>
      <c r="AX376" s="668">
        <v>543825727</v>
      </c>
      <c r="AY376" s="668">
        <v>110883174</v>
      </c>
      <c r="AZ376" s="668">
        <v>90353174</v>
      </c>
      <c r="BA376" s="668">
        <f>191340509+58059026</f>
        <v>249399535</v>
      </c>
      <c r="BB376" s="669">
        <v>42415591</v>
      </c>
      <c r="BC376" s="669">
        <v>20250000</v>
      </c>
      <c r="BD376" s="187"/>
      <c r="BE376" s="187"/>
      <c r="BF376" s="187"/>
      <c r="BG376" s="131">
        <f t="shared" ref="BG376:BI377" si="89">+T376+W376+Z376+AC376+AF376+AI376+AL376+AO376+AR376+AU376+AX376+BA376+BD376</f>
        <v>793225262</v>
      </c>
      <c r="BH376" s="131">
        <f t="shared" si="89"/>
        <v>153298765</v>
      </c>
      <c r="BI376" s="131">
        <f t="shared" si="89"/>
        <v>110603174</v>
      </c>
    </row>
    <row r="377" spans="1:73" s="238" customFormat="1" ht="76.5" customHeight="1" x14ac:dyDescent="0.2">
      <c r="A377" s="141"/>
      <c r="B377" s="142"/>
      <c r="C377" s="64"/>
      <c r="D377" s="663"/>
      <c r="E377" s="664"/>
      <c r="F377" s="320" t="s">
        <v>1403</v>
      </c>
      <c r="G377" s="291" t="s">
        <v>1397</v>
      </c>
      <c r="H377" s="665">
        <v>4302075</v>
      </c>
      <c r="I377" s="186" t="s">
        <v>1398</v>
      </c>
      <c r="J377" s="291" t="s">
        <v>1404</v>
      </c>
      <c r="K377" s="342" t="s">
        <v>102</v>
      </c>
      <c r="L377" s="320" t="s">
        <v>1405</v>
      </c>
      <c r="M377" s="192" t="s">
        <v>109</v>
      </c>
      <c r="N377" s="193">
        <v>1</v>
      </c>
      <c r="O377" s="124">
        <v>1</v>
      </c>
      <c r="P377" s="124">
        <v>1</v>
      </c>
      <c r="Q377" s="126" t="s">
        <v>242</v>
      </c>
      <c r="R377" s="192" t="s">
        <v>1406</v>
      </c>
      <c r="S377" s="186" t="s">
        <v>1407</v>
      </c>
      <c r="T377" s="129"/>
      <c r="U377" s="129"/>
      <c r="V377" s="129"/>
      <c r="W377" s="129"/>
      <c r="X377" s="129"/>
      <c r="Y377" s="129"/>
      <c r="Z377" s="129"/>
      <c r="AA377" s="129"/>
      <c r="AB377" s="129"/>
      <c r="AC377" s="129"/>
      <c r="AD377" s="129"/>
      <c r="AE377" s="129"/>
      <c r="AF377" s="129"/>
      <c r="AG377" s="129"/>
      <c r="AH377" s="129"/>
      <c r="AI377" s="129"/>
      <c r="AJ377" s="129"/>
      <c r="AK377" s="129"/>
      <c r="AL377" s="129"/>
      <c r="AM377" s="129"/>
      <c r="AN377" s="129"/>
      <c r="AO377" s="129"/>
      <c r="AP377" s="129"/>
      <c r="AQ377" s="129"/>
      <c r="AR377" s="129"/>
      <c r="AS377" s="129"/>
      <c r="AT377" s="129"/>
      <c r="AU377" s="129"/>
      <c r="AV377" s="129"/>
      <c r="AW377" s="129"/>
      <c r="AX377" s="131">
        <v>30000000</v>
      </c>
      <c r="AY377" s="670"/>
      <c r="AZ377" s="670"/>
      <c r="BA377" s="671"/>
      <c r="BB377" s="671"/>
      <c r="BC377" s="671"/>
      <c r="BD377" s="187"/>
      <c r="BE377" s="187"/>
      <c r="BF377" s="187"/>
      <c r="BG377" s="131">
        <f t="shared" si="89"/>
        <v>30000000</v>
      </c>
      <c r="BH377" s="131">
        <f t="shared" si="89"/>
        <v>0</v>
      </c>
      <c r="BI377" s="131">
        <f t="shared" si="89"/>
        <v>0</v>
      </c>
    </row>
    <row r="378" spans="1:73" s="267" customFormat="1" x14ac:dyDescent="0.2">
      <c r="B378" s="268"/>
      <c r="C378" s="268"/>
      <c r="D378" s="269"/>
      <c r="F378" s="270"/>
      <c r="G378" s="271"/>
      <c r="H378" s="272"/>
      <c r="I378" s="273"/>
      <c r="J378" s="274"/>
      <c r="K378" s="274"/>
      <c r="L378" s="273"/>
      <c r="N378" s="275"/>
      <c r="O378" s="271"/>
      <c r="P378" s="271"/>
      <c r="Q378" s="276"/>
      <c r="R378" s="276"/>
      <c r="S378" s="273"/>
      <c r="BG378" s="672"/>
      <c r="BH378" s="672"/>
      <c r="BI378" s="672"/>
      <c r="BJ378" s="278"/>
      <c r="BK378" s="278"/>
      <c r="BL378" s="278"/>
      <c r="BM378" s="278"/>
      <c r="BN378" s="278"/>
      <c r="BO378" s="278"/>
      <c r="BP378" s="278"/>
    </row>
    <row r="379" spans="1:73" s="267" customFormat="1" ht="15.75" x14ac:dyDescent="0.2">
      <c r="A379" s="76" t="s">
        <v>1408</v>
      </c>
      <c r="B379" s="76"/>
      <c r="C379" s="76"/>
      <c r="D379" s="442"/>
      <c r="E379" s="443"/>
      <c r="F379" s="444"/>
      <c r="G379" s="82"/>
      <c r="H379" s="83"/>
      <c r="I379" s="84"/>
      <c r="J379" s="85"/>
      <c r="K379" s="85"/>
      <c r="L379" s="84"/>
      <c r="M379" s="160"/>
      <c r="N379" s="83"/>
      <c r="O379" s="82"/>
      <c r="P379" s="82"/>
      <c r="Q379" s="80"/>
      <c r="R379" s="80"/>
      <c r="S379" s="84"/>
      <c r="T379" s="251">
        <f>T380+T385+T393</f>
        <v>1117710104</v>
      </c>
      <c r="U379" s="251"/>
      <c r="V379" s="251"/>
      <c r="W379" s="251">
        <f>W380+W385+W393</f>
        <v>0</v>
      </c>
      <c r="X379" s="251"/>
      <c r="Y379" s="251"/>
      <c r="Z379" s="251">
        <f>Z380+Z385+Z393</f>
        <v>0</v>
      </c>
      <c r="AA379" s="251"/>
      <c r="AB379" s="251"/>
      <c r="AC379" s="251">
        <f>AC380+AC385+AC393</f>
        <v>0</v>
      </c>
      <c r="AD379" s="251"/>
      <c r="AE379" s="251"/>
      <c r="AF379" s="251">
        <f>AF380+AF385+AF393</f>
        <v>0</v>
      </c>
      <c r="AG379" s="251"/>
      <c r="AH379" s="251"/>
      <c r="AI379" s="251">
        <f>AI380+AI385+AI393</f>
        <v>0</v>
      </c>
      <c r="AJ379" s="251"/>
      <c r="AK379" s="251"/>
      <c r="AL379" s="251">
        <f>AL380+AL385+AL393</f>
        <v>0</v>
      </c>
      <c r="AM379" s="251"/>
      <c r="AN379" s="251"/>
      <c r="AO379" s="251">
        <f>AO380+AO385+AO393</f>
        <v>0</v>
      </c>
      <c r="AP379" s="251"/>
      <c r="AQ379" s="251"/>
      <c r="AR379" s="251">
        <f>AR380+AR385+AR393</f>
        <v>0</v>
      </c>
      <c r="AS379" s="251"/>
      <c r="AT379" s="251"/>
      <c r="AU379" s="251">
        <f>AU380+AU385+AU393</f>
        <v>0</v>
      </c>
      <c r="AV379" s="251"/>
      <c r="AW379" s="251"/>
      <c r="AX379" s="251">
        <f>AX380+AX385+AX393</f>
        <v>0</v>
      </c>
      <c r="AY379" s="251"/>
      <c r="AZ379" s="251"/>
      <c r="BA379" s="251">
        <f>BA380+BA385+BA393</f>
        <v>785808000</v>
      </c>
      <c r="BB379" s="251"/>
      <c r="BC379" s="251"/>
      <c r="BD379" s="251">
        <f>BD380+BD385+BD393</f>
        <v>0</v>
      </c>
      <c r="BE379" s="251"/>
      <c r="BF379" s="251"/>
      <c r="BG379" s="251">
        <f>BG380+BG385+BG393</f>
        <v>1903518104</v>
      </c>
      <c r="BH379" s="251">
        <f>BH380+BH385+BH393</f>
        <v>594636903.99000001</v>
      </c>
      <c r="BI379" s="251">
        <f>BI380+BI385+BI393</f>
        <v>431430704</v>
      </c>
      <c r="BJ379" s="278"/>
      <c r="BK379" s="278"/>
      <c r="BL379" s="278"/>
      <c r="BM379" s="278"/>
      <c r="BN379" s="278"/>
      <c r="BO379" s="278"/>
      <c r="BP379" s="278"/>
    </row>
    <row r="380" spans="1:73" s="267" customFormat="1" ht="15.75" customHeight="1" x14ac:dyDescent="0.2">
      <c r="A380" s="556"/>
      <c r="B380" s="92">
        <v>1</v>
      </c>
      <c r="C380" s="490" t="s">
        <v>1</v>
      </c>
      <c r="D380" s="490"/>
      <c r="E380" s="490"/>
      <c r="F380" s="490"/>
      <c r="G380" s="328"/>
      <c r="H380" s="673"/>
      <c r="I380" s="169"/>
      <c r="J380" s="170"/>
      <c r="K380" s="170"/>
      <c r="L380" s="169"/>
      <c r="M380" s="674"/>
      <c r="N380" s="675"/>
      <c r="O380" s="167"/>
      <c r="P380" s="167"/>
      <c r="Q380" s="170"/>
      <c r="R380" s="170"/>
      <c r="S380" s="169"/>
      <c r="T380" s="676">
        <f>T382+T384</f>
        <v>745140660</v>
      </c>
      <c r="U380" s="676"/>
      <c r="V380" s="676"/>
      <c r="W380" s="676">
        <f>W382+W384</f>
        <v>0</v>
      </c>
      <c r="X380" s="676"/>
      <c r="Y380" s="676"/>
      <c r="Z380" s="676">
        <f>Z382+Z384</f>
        <v>0</v>
      </c>
      <c r="AA380" s="676"/>
      <c r="AB380" s="676"/>
      <c r="AC380" s="676">
        <f>AC382+AC384</f>
        <v>0</v>
      </c>
      <c r="AD380" s="676"/>
      <c r="AE380" s="676"/>
      <c r="AF380" s="676">
        <f>AF382+AF384</f>
        <v>0</v>
      </c>
      <c r="AG380" s="676"/>
      <c r="AH380" s="676"/>
      <c r="AI380" s="676">
        <f>AI382+AI384</f>
        <v>0</v>
      </c>
      <c r="AJ380" s="676"/>
      <c r="AK380" s="676"/>
      <c r="AL380" s="676">
        <f>AL382+AL384</f>
        <v>0</v>
      </c>
      <c r="AM380" s="676"/>
      <c r="AN380" s="676"/>
      <c r="AO380" s="676">
        <f>AO382+AO384</f>
        <v>0</v>
      </c>
      <c r="AP380" s="676"/>
      <c r="AQ380" s="676"/>
      <c r="AR380" s="676">
        <f>AR382+AR384</f>
        <v>0</v>
      </c>
      <c r="AS380" s="676"/>
      <c r="AT380" s="676"/>
      <c r="AU380" s="676">
        <f>AU382+AU384</f>
        <v>0</v>
      </c>
      <c r="AV380" s="676"/>
      <c r="AW380" s="676"/>
      <c r="AX380" s="676">
        <f>AX382+AX384</f>
        <v>0</v>
      </c>
      <c r="AY380" s="676"/>
      <c r="AZ380" s="676"/>
      <c r="BA380" s="676">
        <f>BA382+BA384</f>
        <v>189176000</v>
      </c>
      <c r="BB380" s="676"/>
      <c r="BC380" s="676"/>
      <c r="BD380" s="676">
        <f>BD382+BD384</f>
        <v>0</v>
      </c>
      <c r="BE380" s="676"/>
      <c r="BF380" s="676"/>
      <c r="BG380" s="676">
        <f>BG382+BG384</f>
        <v>934316660</v>
      </c>
      <c r="BH380" s="676">
        <f>BH382+BH384</f>
        <v>321865041.66000003</v>
      </c>
      <c r="BI380" s="676">
        <f>BI382+BI384</f>
        <v>240788491.66666666</v>
      </c>
      <c r="BJ380" s="278"/>
      <c r="BK380" s="278"/>
      <c r="BL380" s="278"/>
      <c r="BM380" s="278"/>
      <c r="BN380" s="278"/>
      <c r="BO380" s="278"/>
      <c r="BP380" s="278"/>
    </row>
    <row r="381" spans="1:73" s="267" customFormat="1" ht="15.75" x14ac:dyDescent="0.2">
      <c r="A381" s="556"/>
      <c r="B381" s="959"/>
      <c r="C381" s="252">
        <v>39</v>
      </c>
      <c r="D381" s="375">
        <v>4301</v>
      </c>
      <c r="E381" s="175" t="s">
        <v>236</v>
      </c>
      <c r="F381" s="138"/>
      <c r="G381" s="139"/>
      <c r="H381" s="649"/>
      <c r="I381" s="677"/>
      <c r="J381" s="678"/>
      <c r="K381" s="678"/>
      <c r="L381" s="677"/>
      <c r="M381" s="679"/>
      <c r="N381" s="680"/>
      <c r="O381" s="110"/>
      <c r="P381" s="110"/>
      <c r="Q381" s="678"/>
      <c r="R381" s="678"/>
      <c r="S381" s="677"/>
      <c r="T381" s="681">
        <f>T382</f>
        <v>372570330</v>
      </c>
      <c r="U381" s="681"/>
      <c r="V381" s="681"/>
      <c r="W381" s="681">
        <f>W382</f>
        <v>0</v>
      </c>
      <c r="X381" s="681"/>
      <c r="Y381" s="681"/>
      <c r="Z381" s="681">
        <f>Z382</f>
        <v>0</v>
      </c>
      <c r="AA381" s="681"/>
      <c r="AB381" s="681"/>
      <c r="AC381" s="681">
        <f>AC382</f>
        <v>0</v>
      </c>
      <c r="AD381" s="681"/>
      <c r="AE381" s="681"/>
      <c r="AF381" s="681">
        <f>AF382</f>
        <v>0</v>
      </c>
      <c r="AG381" s="681"/>
      <c r="AH381" s="681"/>
      <c r="AI381" s="681">
        <f>AI382</f>
        <v>0</v>
      </c>
      <c r="AJ381" s="681"/>
      <c r="AK381" s="681"/>
      <c r="AL381" s="681">
        <f>AL382</f>
        <v>0</v>
      </c>
      <c r="AM381" s="681"/>
      <c r="AN381" s="681"/>
      <c r="AO381" s="681">
        <f>AO382</f>
        <v>0</v>
      </c>
      <c r="AP381" s="681"/>
      <c r="AQ381" s="681"/>
      <c r="AR381" s="681">
        <f>AR382</f>
        <v>0</v>
      </c>
      <c r="AS381" s="681"/>
      <c r="AT381" s="681"/>
      <c r="AU381" s="681">
        <f>AU382</f>
        <v>0</v>
      </c>
      <c r="AV381" s="681"/>
      <c r="AW381" s="681"/>
      <c r="AX381" s="681">
        <f>AX382</f>
        <v>0</v>
      </c>
      <c r="AY381" s="681"/>
      <c r="AZ381" s="681"/>
      <c r="BA381" s="681">
        <f>BA382</f>
        <v>0</v>
      </c>
      <c r="BB381" s="681"/>
      <c r="BC381" s="681"/>
      <c r="BD381" s="681">
        <f>BD382</f>
        <v>0</v>
      </c>
      <c r="BE381" s="681"/>
      <c r="BF381" s="681"/>
      <c r="BG381" s="681">
        <f>BG382</f>
        <v>372570330</v>
      </c>
      <c r="BH381" s="681">
        <f>BH382</f>
        <v>141813333.33000001</v>
      </c>
      <c r="BI381" s="681">
        <f>BI382</f>
        <v>106733333.33333333</v>
      </c>
      <c r="BJ381" s="278"/>
      <c r="BK381" s="278"/>
      <c r="BL381" s="278"/>
      <c r="BM381" s="278"/>
      <c r="BN381" s="278"/>
      <c r="BO381" s="278"/>
      <c r="BP381" s="278"/>
    </row>
    <row r="382" spans="1:73" s="561" customFormat="1" ht="105" x14ac:dyDescent="0.2">
      <c r="A382" s="196"/>
      <c r="B382" s="960"/>
      <c r="C382" s="295"/>
      <c r="D382" s="144"/>
      <c r="E382" s="429"/>
      <c r="F382" s="284" t="s">
        <v>237</v>
      </c>
      <c r="G382" s="304" t="s">
        <v>238</v>
      </c>
      <c r="H382" s="124" t="s">
        <v>102</v>
      </c>
      <c r="I382" s="305" t="s">
        <v>239</v>
      </c>
      <c r="J382" s="297" t="s">
        <v>240</v>
      </c>
      <c r="K382" s="297" t="s">
        <v>102</v>
      </c>
      <c r="L382" s="298" t="s">
        <v>241</v>
      </c>
      <c r="M382" s="127" t="s">
        <v>204</v>
      </c>
      <c r="N382" s="148">
        <v>12</v>
      </c>
      <c r="O382" s="297">
        <v>3</v>
      </c>
      <c r="P382" s="297"/>
      <c r="Q382" s="127" t="s">
        <v>1409</v>
      </c>
      <c r="R382" s="632" t="s">
        <v>1410</v>
      </c>
      <c r="S382" s="682" t="s">
        <v>1411</v>
      </c>
      <c r="T382" s="306">
        <f>413967000-41396670</f>
        <v>372570330</v>
      </c>
      <c r="U382" s="306">
        <v>141813333.33000001</v>
      </c>
      <c r="V382" s="306">
        <v>106733333.33333333</v>
      </c>
      <c r="W382" s="129"/>
      <c r="X382" s="129"/>
      <c r="Y382" s="129"/>
      <c r="Z382" s="129"/>
      <c r="AA382" s="129"/>
      <c r="AB382" s="129"/>
      <c r="AC382" s="129"/>
      <c r="AD382" s="129"/>
      <c r="AE382" s="129"/>
      <c r="AF382" s="129"/>
      <c r="AG382" s="129"/>
      <c r="AH382" s="129"/>
      <c r="AI382" s="129"/>
      <c r="AJ382" s="129"/>
      <c r="AK382" s="129"/>
      <c r="AL382" s="129"/>
      <c r="AM382" s="129"/>
      <c r="AN382" s="129"/>
      <c r="AO382" s="129"/>
      <c r="AP382" s="129"/>
      <c r="AQ382" s="129"/>
      <c r="AR382" s="129"/>
      <c r="AS382" s="129"/>
      <c r="AT382" s="129"/>
      <c r="AU382" s="129"/>
      <c r="AV382" s="187"/>
      <c r="AW382" s="187"/>
      <c r="AX382" s="585"/>
      <c r="AY382" s="585"/>
      <c r="AZ382" s="585"/>
      <c r="BA382" s="683"/>
      <c r="BB382" s="683"/>
      <c r="BC382" s="683"/>
      <c r="BD382" s="187"/>
      <c r="BE382" s="187"/>
      <c r="BF382" s="187"/>
      <c r="BG382" s="131">
        <f>+T382+W382+Z382+AC382+AF382+AI382+AL382+AO382+AR382+AU382+AX382+BA382+BD382</f>
        <v>372570330</v>
      </c>
      <c r="BH382" s="131">
        <f>+U382+X382+AA382+AD382+AG382+AJ382+AM382+AP382+AS382+AV382+AY382+BB382+BE382</f>
        <v>141813333.33000001</v>
      </c>
      <c r="BI382" s="131">
        <f>+V382+Y382+AB382+AE382+AH382+AK382+AN382+AQ382+AT382+AW382+AZ382+BC382+BF382</f>
        <v>106733333.33333333</v>
      </c>
    </row>
    <row r="383" spans="1:73" s="267" customFormat="1" ht="15.75" customHeight="1" x14ac:dyDescent="0.2">
      <c r="A383" s="556"/>
      <c r="B383" s="684"/>
      <c r="C383" s="346">
        <v>15</v>
      </c>
      <c r="D383" s="685">
        <v>2201</v>
      </c>
      <c r="E383" s="108" t="s">
        <v>217</v>
      </c>
      <c r="F383" s="108"/>
      <c r="G383" s="181"/>
      <c r="H383" s="686"/>
      <c r="I383" s="177"/>
      <c r="J383" s="178"/>
      <c r="K383" s="178"/>
      <c r="L383" s="177"/>
      <c r="M383" s="687"/>
      <c r="N383" s="688"/>
      <c r="O383" s="139"/>
      <c r="P383" s="139"/>
      <c r="Q383" s="113"/>
      <c r="R383" s="113"/>
      <c r="S383" s="177"/>
      <c r="T383" s="681">
        <f>T384</f>
        <v>372570330</v>
      </c>
      <c r="U383" s="681"/>
      <c r="V383" s="681"/>
      <c r="W383" s="681">
        <f>W384</f>
        <v>0</v>
      </c>
      <c r="X383" s="681"/>
      <c r="Y383" s="681"/>
      <c r="Z383" s="681">
        <f>Z384</f>
        <v>0</v>
      </c>
      <c r="AA383" s="681"/>
      <c r="AB383" s="681"/>
      <c r="AC383" s="681">
        <f>AC384</f>
        <v>0</v>
      </c>
      <c r="AD383" s="681"/>
      <c r="AE383" s="681"/>
      <c r="AF383" s="681">
        <f>AF384</f>
        <v>0</v>
      </c>
      <c r="AG383" s="681"/>
      <c r="AH383" s="681"/>
      <c r="AI383" s="681">
        <f>AI384</f>
        <v>0</v>
      </c>
      <c r="AJ383" s="681"/>
      <c r="AK383" s="681"/>
      <c r="AL383" s="681">
        <f>AL384</f>
        <v>0</v>
      </c>
      <c r="AM383" s="681"/>
      <c r="AN383" s="681"/>
      <c r="AO383" s="681">
        <f>AO384</f>
        <v>0</v>
      </c>
      <c r="AP383" s="681"/>
      <c r="AQ383" s="681"/>
      <c r="AR383" s="681">
        <f>AR384</f>
        <v>0</v>
      </c>
      <c r="AS383" s="681"/>
      <c r="AT383" s="681"/>
      <c r="AU383" s="681">
        <f>AU384</f>
        <v>0</v>
      </c>
      <c r="AV383" s="681"/>
      <c r="AW383" s="681"/>
      <c r="AX383" s="681">
        <f>AX384</f>
        <v>0</v>
      </c>
      <c r="AY383" s="681"/>
      <c r="AZ383" s="681"/>
      <c r="BA383" s="681">
        <f>BA384</f>
        <v>189176000</v>
      </c>
      <c r="BB383" s="681"/>
      <c r="BC383" s="681"/>
      <c r="BD383" s="681">
        <f>BD384</f>
        <v>0</v>
      </c>
      <c r="BE383" s="681"/>
      <c r="BF383" s="681"/>
      <c r="BG383" s="681">
        <f>BG384</f>
        <v>561746330</v>
      </c>
      <c r="BH383" s="681">
        <f>BH384</f>
        <v>180051708.33000001</v>
      </c>
      <c r="BI383" s="681">
        <f>BI384</f>
        <v>134055158.33333333</v>
      </c>
      <c r="BJ383" s="278"/>
      <c r="BK383" s="278"/>
      <c r="BL383" s="278"/>
      <c r="BM383" s="278"/>
      <c r="BN383" s="278"/>
      <c r="BO383" s="278"/>
      <c r="BP383" s="278"/>
    </row>
    <row r="384" spans="1:73" s="561" customFormat="1" ht="99.75" customHeight="1" x14ac:dyDescent="0.2">
      <c r="A384" s="196"/>
      <c r="B384" s="263"/>
      <c r="C384" s="295"/>
      <c r="D384" s="144"/>
      <c r="E384" s="429"/>
      <c r="F384" s="122" t="s">
        <v>219</v>
      </c>
      <c r="G384" s="123" t="s">
        <v>220</v>
      </c>
      <c r="H384" s="308" t="s">
        <v>102</v>
      </c>
      <c r="I384" s="186" t="s">
        <v>221</v>
      </c>
      <c r="J384" s="212" t="s">
        <v>222</v>
      </c>
      <c r="K384" s="212" t="s">
        <v>102</v>
      </c>
      <c r="L384" s="211" t="s">
        <v>223</v>
      </c>
      <c r="M384" s="287" t="s">
        <v>204</v>
      </c>
      <c r="N384" s="148">
        <v>54</v>
      </c>
      <c r="O384" s="148">
        <v>9</v>
      </c>
      <c r="P384" s="148"/>
      <c r="Q384" s="192" t="s">
        <v>224</v>
      </c>
      <c r="R384" s="632" t="s">
        <v>1410</v>
      </c>
      <c r="S384" s="682" t="s">
        <v>1411</v>
      </c>
      <c r="T384" s="306">
        <f>413967000-41396670</f>
        <v>372570330</v>
      </c>
      <c r="U384" s="306">
        <v>141813333.33000001</v>
      </c>
      <c r="V384" s="306">
        <v>106733333.33333333</v>
      </c>
      <c r="W384" s="129"/>
      <c r="X384" s="129"/>
      <c r="Y384" s="129"/>
      <c r="Z384" s="129"/>
      <c r="AA384" s="129"/>
      <c r="AB384" s="129"/>
      <c r="AC384" s="129"/>
      <c r="AD384" s="129"/>
      <c r="AE384" s="129"/>
      <c r="AF384" s="129"/>
      <c r="AG384" s="129"/>
      <c r="AH384" s="129"/>
      <c r="AI384" s="129"/>
      <c r="AJ384" s="129"/>
      <c r="AK384" s="129"/>
      <c r="AL384" s="129"/>
      <c r="AM384" s="129"/>
      <c r="AN384" s="129"/>
      <c r="AO384" s="129"/>
      <c r="AP384" s="129"/>
      <c r="AQ384" s="129"/>
      <c r="AR384" s="129"/>
      <c r="AS384" s="129"/>
      <c r="AT384" s="129"/>
      <c r="AU384" s="129"/>
      <c r="AV384" s="187"/>
      <c r="AW384" s="187"/>
      <c r="AX384" s="585"/>
      <c r="AY384" s="585"/>
      <c r="AZ384" s="585"/>
      <c r="BA384" s="187">
        <f>218280000-29104000</f>
        <v>189176000</v>
      </c>
      <c r="BB384" s="187">
        <v>38238375</v>
      </c>
      <c r="BC384" s="187">
        <v>27321825</v>
      </c>
      <c r="BD384" s="689"/>
      <c r="BE384" s="689"/>
      <c r="BF384" s="689"/>
      <c r="BG384" s="131">
        <f>+T384+W384+Z384+AC384+AF384+AI384+AL384+AO384+AR384+AU384+AX384+BA384+BD384</f>
        <v>561746330</v>
      </c>
      <c r="BH384" s="131">
        <f>+U384+X384+AA384+AD384+AG384+AJ384+AM384+AP384+AS384+AV384+AY384+BB384+BE384</f>
        <v>180051708.33000001</v>
      </c>
      <c r="BI384" s="131">
        <f>+V384+Y384+AB384+AE384+AH384+AK384+AN384+AQ384+AT384+AW384+AZ384+BC384+BF384</f>
        <v>134055158.33333333</v>
      </c>
    </row>
    <row r="385" spans="1:68" s="267" customFormat="1" ht="15.75" customHeight="1" x14ac:dyDescent="0.2">
      <c r="A385" s="556"/>
      <c r="B385" s="371">
        <v>3</v>
      </c>
      <c r="C385" s="490" t="s">
        <v>3</v>
      </c>
      <c r="D385" s="490"/>
      <c r="E385" s="93"/>
      <c r="F385" s="93"/>
      <c r="G385" s="164"/>
      <c r="H385" s="673"/>
      <c r="I385" s="169"/>
      <c r="J385" s="170"/>
      <c r="K385" s="170"/>
      <c r="L385" s="169"/>
      <c r="M385" s="674"/>
      <c r="N385" s="675"/>
      <c r="O385" s="167"/>
      <c r="P385" s="167"/>
      <c r="Q385" s="100"/>
      <c r="R385" s="100"/>
      <c r="S385" s="169"/>
      <c r="T385" s="690">
        <f>T386+T388</f>
        <v>372569444</v>
      </c>
      <c r="U385" s="690"/>
      <c r="V385" s="690"/>
      <c r="W385" s="690">
        <f>W386+W388</f>
        <v>0</v>
      </c>
      <c r="X385" s="690"/>
      <c r="Y385" s="690"/>
      <c r="Z385" s="690">
        <f>Z386+Z388</f>
        <v>0</v>
      </c>
      <c r="AA385" s="690"/>
      <c r="AB385" s="690"/>
      <c r="AC385" s="690">
        <f>AC386+AC388</f>
        <v>0</v>
      </c>
      <c r="AD385" s="690"/>
      <c r="AE385" s="690"/>
      <c r="AF385" s="690">
        <f>AF386+AF388</f>
        <v>0</v>
      </c>
      <c r="AG385" s="690"/>
      <c r="AH385" s="690"/>
      <c r="AI385" s="690">
        <f>AI386+AI388</f>
        <v>0</v>
      </c>
      <c r="AJ385" s="690"/>
      <c r="AK385" s="690"/>
      <c r="AL385" s="690">
        <f>AL386+AL388</f>
        <v>0</v>
      </c>
      <c r="AM385" s="690"/>
      <c r="AN385" s="690"/>
      <c r="AO385" s="690">
        <f>AO386+AO388</f>
        <v>0</v>
      </c>
      <c r="AP385" s="690"/>
      <c r="AQ385" s="690"/>
      <c r="AR385" s="690">
        <f>AR386+AR388</f>
        <v>0</v>
      </c>
      <c r="AS385" s="690"/>
      <c r="AT385" s="690"/>
      <c r="AU385" s="690">
        <f>AU386+AU388</f>
        <v>0</v>
      </c>
      <c r="AV385" s="690"/>
      <c r="AW385" s="690"/>
      <c r="AX385" s="690">
        <f>AX386+AX388</f>
        <v>0</v>
      </c>
      <c r="AY385" s="690"/>
      <c r="AZ385" s="690"/>
      <c r="BA385" s="690">
        <f>BA386+BA388</f>
        <v>407456000</v>
      </c>
      <c r="BB385" s="690"/>
      <c r="BC385" s="690"/>
      <c r="BD385" s="690">
        <f>BD386+BD388</f>
        <v>0</v>
      </c>
      <c r="BE385" s="690"/>
      <c r="BF385" s="690"/>
      <c r="BG385" s="691">
        <f>BG386+BG388</f>
        <v>780025444</v>
      </c>
      <c r="BH385" s="691">
        <f>BH386+BH388</f>
        <v>234533487.33000001</v>
      </c>
      <c r="BI385" s="691">
        <f>BI386+BI388</f>
        <v>163320387.33333331</v>
      </c>
      <c r="BJ385" s="278"/>
      <c r="BK385" s="278"/>
      <c r="BL385" s="278"/>
      <c r="BM385" s="278"/>
      <c r="BN385" s="278"/>
      <c r="BO385" s="278"/>
      <c r="BP385" s="278"/>
    </row>
    <row r="386" spans="1:68" s="267" customFormat="1" ht="15.75" customHeight="1" x14ac:dyDescent="0.2">
      <c r="A386" s="556"/>
      <c r="B386" s="959"/>
      <c r="C386" s="252">
        <v>18</v>
      </c>
      <c r="D386" s="375">
        <v>2402</v>
      </c>
      <c r="E386" s="631" t="s">
        <v>261</v>
      </c>
      <c r="F386" s="631"/>
      <c r="G386" s="639"/>
      <c r="H386" s="686"/>
      <c r="I386" s="177"/>
      <c r="J386" s="178"/>
      <c r="K386" s="178"/>
      <c r="L386" s="177"/>
      <c r="M386" s="687"/>
      <c r="N386" s="688"/>
      <c r="O386" s="139"/>
      <c r="P386" s="139"/>
      <c r="Q386" s="113"/>
      <c r="R386" s="113"/>
      <c r="S386" s="177"/>
      <c r="T386" s="692">
        <f>T387</f>
        <v>0</v>
      </c>
      <c r="U386" s="692"/>
      <c r="V386" s="692"/>
      <c r="W386" s="692">
        <f>W387</f>
        <v>0</v>
      </c>
      <c r="X386" s="692"/>
      <c r="Y386" s="692"/>
      <c r="Z386" s="692">
        <f>Z387</f>
        <v>0</v>
      </c>
      <c r="AA386" s="692"/>
      <c r="AB386" s="692"/>
      <c r="AC386" s="692">
        <f>AC387</f>
        <v>0</v>
      </c>
      <c r="AD386" s="692"/>
      <c r="AE386" s="692"/>
      <c r="AF386" s="692">
        <f>AF387</f>
        <v>0</v>
      </c>
      <c r="AG386" s="692"/>
      <c r="AH386" s="692"/>
      <c r="AI386" s="692">
        <f>AI387</f>
        <v>0</v>
      </c>
      <c r="AJ386" s="692"/>
      <c r="AK386" s="692"/>
      <c r="AL386" s="692">
        <f>AL387</f>
        <v>0</v>
      </c>
      <c r="AM386" s="692"/>
      <c r="AN386" s="692"/>
      <c r="AO386" s="692">
        <f>AO387</f>
        <v>0</v>
      </c>
      <c r="AP386" s="692"/>
      <c r="AQ386" s="692"/>
      <c r="AR386" s="692">
        <f>AR387</f>
        <v>0</v>
      </c>
      <c r="AS386" s="692"/>
      <c r="AT386" s="692"/>
      <c r="AU386" s="692">
        <f>AU387</f>
        <v>0</v>
      </c>
      <c r="AV386" s="692"/>
      <c r="AW386" s="692"/>
      <c r="AX386" s="692">
        <f>AX387</f>
        <v>0</v>
      </c>
      <c r="AY386" s="692"/>
      <c r="AZ386" s="692"/>
      <c r="BA386" s="692">
        <f>BA387</f>
        <v>218280000</v>
      </c>
      <c r="BB386" s="692"/>
      <c r="BC386" s="692"/>
      <c r="BD386" s="692">
        <f>BD387</f>
        <v>0</v>
      </c>
      <c r="BE386" s="692"/>
      <c r="BF386" s="692"/>
      <c r="BG386" s="693">
        <f>BG387</f>
        <v>218280000</v>
      </c>
      <c r="BH386" s="693">
        <f>BH387</f>
        <v>38238375</v>
      </c>
      <c r="BI386" s="693">
        <f>BI387</f>
        <v>27321825</v>
      </c>
      <c r="BJ386" s="278"/>
      <c r="BK386" s="278"/>
      <c r="BL386" s="278"/>
      <c r="BM386" s="278"/>
      <c r="BN386" s="278"/>
      <c r="BO386" s="278"/>
      <c r="BP386" s="278"/>
    </row>
    <row r="387" spans="1:68" s="561" customFormat="1" ht="82.5" customHeight="1" x14ac:dyDescent="0.2">
      <c r="A387" s="196"/>
      <c r="B387" s="961"/>
      <c r="C387" s="143"/>
      <c r="D387" s="144"/>
      <c r="E387" s="538"/>
      <c r="F387" s="305" t="s">
        <v>1412</v>
      </c>
      <c r="G387" s="287" t="s">
        <v>263</v>
      </c>
      <c r="H387" s="308" t="s">
        <v>102</v>
      </c>
      <c r="I387" s="316" t="s">
        <v>264</v>
      </c>
      <c r="J387" s="287" t="s">
        <v>265</v>
      </c>
      <c r="K387" s="287" t="s">
        <v>102</v>
      </c>
      <c r="L387" s="316" t="s">
        <v>266</v>
      </c>
      <c r="M387" s="127" t="s">
        <v>109</v>
      </c>
      <c r="N387" s="148">
        <v>130</v>
      </c>
      <c r="O387" s="148">
        <v>130</v>
      </c>
      <c r="P387" s="148"/>
      <c r="Q387" s="127" t="s">
        <v>267</v>
      </c>
      <c r="R387" s="632" t="s">
        <v>1410</v>
      </c>
      <c r="S387" s="682" t="s">
        <v>1411</v>
      </c>
      <c r="T387" s="129"/>
      <c r="U387" s="187"/>
      <c r="V387" s="187"/>
      <c r="W387" s="187"/>
      <c r="X387" s="187"/>
      <c r="Y387" s="187"/>
      <c r="Z387" s="585"/>
      <c r="AA387" s="585"/>
      <c r="AB387" s="585"/>
      <c r="AC387" s="129"/>
      <c r="AD387" s="129"/>
      <c r="AE387" s="129"/>
      <c r="AF387" s="129"/>
      <c r="AG387" s="129"/>
      <c r="AH387" s="129"/>
      <c r="AI387" s="129"/>
      <c r="AJ387" s="129"/>
      <c r="AK387" s="129"/>
      <c r="AL387" s="129"/>
      <c r="AM387" s="129"/>
      <c r="AN387" s="129"/>
      <c r="AO387" s="129"/>
      <c r="AP387" s="129"/>
      <c r="AQ387" s="129"/>
      <c r="AR387" s="129"/>
      <c r="AS387" s="129"/>
      <c r="AT387" s="129"/>
      <c r="AU387" s="129"/>
      <c r="AV387" s="221"/>
      <c r="AW387" s="221"/>
      <c r="AX387" s="520"/>
      <c r="AY387" s="520"/>
      <c r="AZ387" s="520"/>
      <c r="BA387" s="694">
        <v>218280000</v>
      </c>
      <c r="BB387" s="694">
        <v>38238375</v>
      </c>
      <c r="BC387" s="694">
        <v>27321825</v>
      </c>
      <c r="BD387" s="187"/>
      <c r="BE387" s="187"/>
      <c r="BF387" s="187"/>
      <c r="BG387" s="131">
        <f>+T387+W387+Z387+AC387+AF387+AI387+AL387+AO387+AR387+AU387+AX387+BA387+BD387</f>
        <v>218280000</v>
      </c>
      <c r="BH387" s="131">
        <f>+U387+X387+AA387+AD387+AG387+AJ387+AM387+AP387+AS387+AV387+AY387+BB387+BE387</f>
        <v>38238375</v>
      </c>
      <c r="BI387" s="131">
        <f>+V387+Y387+AB387+AE387+AH387+AK387+AN387+AQ387+AT387+AW387+AZ387+BC387+BF387</f>
        <v>27321825</v>
      </c>
    </row>
    <row r="388" spans="1:68" s="267" customFormat="1" ht="15.75" customHeight="1" x14ac:dyDescent="0.2">
      <c r="A388" s="556"/>
      <c r="B388" s="684"/>
      <c r="C388" s="346">
        <v>33</v>
      </c>
      <c r="D388" s="685">
        <v>4001</v>
      </c>
      <c r="E388" s="631" t="s">
        <v>280</v>
      </c>
      <c r="F388" s="631"/>
      <c r="G388" s="639"/>
      <c r="H388" s="686"/>
      <c r="I388" s="177"/>
      <c r="J388" s="178"/>
      <c r="K388" s="178"/>
      <c r="L388" s="177"/>
      <c r="M388" s="687"/>
      <c r="N388" s="688"/>
      <c r="O388" s="139"/>
      <c r="P388" s="139"/>
      <c r="Q388" s="113"/>
      <c r="R388" s="113"/>
      <c r="S388" s="177"/>
      <c r="T388" s="681">
        <f>SUM(T389:T392)</f>
        <v>372569444</v>
      </c>
      <c r="U388" s="681"/>
      <c r="V388" s="681"/>
      <c r="W388" s="681">
        <f>SUM(W389:W392)</f>
        <v>0</v>
      </c>
      <c r="X388" s="681"/>
      <c r="Y388" s="681"/>
      <c r="Z388" s="681">
        <f>SUM(Z389:Z392)</f>
        <v>0</v>
      </c>
      <c r="AA388" s="681"/>
      <c r="AB388" s="681"/>
      <c r="AC388" s="681">
        <f>SUM(AC389:AC392)</f>
        <v>0</v>
      </c>
      <c r="AD388" s="681"/>
      <c r="AE388" s="681"/>
      <c r="AF388" s="681">
        <f>SUM(AF389:AF392)</f>
        <v>0</v>
      </c>
      <c r="AG388" s="681"/>
      <c r="AH388" s="681"/>
      <c r="AI388" s="681">
        <f>SUM(AI389:AI392)</f>
        <v>0</v>
      </c>
      <c r="AJ388" s="681"/>
      <c r="AK388" s="681"/>
      <c r="AL388" s="681">
        <f>SUM(AL389:AL392)</f>
        <v>0</v>
      </c>
      <c r="AM388" s="681"/>
      <c r="AN388" s="681"/>
      <c r="AO388" s="681">
        <f>SUM(AO389:AO392)</f>
        <v>0</v>
      </c>
      <c r="AP388" s="681"/>
      <c r="AQ388" s="681"/>
      <c r="AR388" s="681">
        <f>SUM(AR389:AR392)</f>
        <v>0</v>
      </c>
      <c r="AS388" s="681"/>
      <c r="AT388" s="681"/>
      <c r="AU388" s="681">
        <f>SUM(AU389:AU392)</f>
        <v>0</v>
      </c>
      <c r="AV388" s="681"/>
      <c r="AW388" s="681"/>
      <c r="AX388" s="681">
        <f>SUM(AX389:AX392)</f>
        <v>0</v>
      </c>
      <c r="AY388" s="681"/>
      <c r="AZ388" s="681"/>
      <c r="BA388" s="681">
        <f>SUM(BA389:BA392)</f>
        <v>189176000</v>
      </c>
      <c r="BB388" s="681"/>
      <c r="BC388" s="681"/>
      <c r="BD388" s="681">
        <f>SUM(BD389:BD392)</f>
        <v>0</v>
      </c>
      <c r="BE388" s="681"/>
      <c r="BF388" s="681"/>
      <c r="BG388" s="681">
        <f>SUM(BG389:BG392)</f>
        <v>561745444</v>
      </c>
      <c r="BH388" s="681">
        <f>SUM(BH389:BH392)</f>
        <v>196295112.33000001</v>
      </c>
      <c r="BI388" s="681">
        <f>SUM(BI389:BI392)</f>
        <v>135998562.33333331</v>
      </c>
      <c r="BJ388" s="278"/>
      <c r="BK388" s="278"/>
      <c r="BL388" s="278"/>
      <c r="BM388" s="278"/>
      <c r="BN388" s="278"/>
      <c r="BO388" s="278"/>
      <c r="BP388" s="278"/>
    </row>
    <row r="389" spans="1:68" s="561" customFormat="1" ht="58.5" customHeight="1" x14ac:dyDescent="0.2">
      <c r="A389" s="196"/>
      <c r="B389" s="949"/>
      <c r="C389" s="939"/>
      <c r="D389" s="120"/>
      <c r="E389" s="721"/>
      <c r="F389" s="145" t="s">
        <v>1413</v>
      </c>
      <c r="G389" s="146" t="s">
        <v>1414</v>
      </c>
      <c r="H389" s="695">
        <v>4001001</v>
      </c>
      <c r="I389" s="316" t="s">
        <v>1415</v>
      </c>
      <c r="J389" s="146" t="s">
        <v>1416</v>
      </c>
      <c r="K389" s="146" t="s">
        <v>1417</v>
      </c>
      <c r="L389" s="320" t="s">
        <v>1418</v>
      </c>
      <c r="M389" s="127" t="s">
        <v>204</v>
      </c>
      <c r="N389" s="733">
        <v>12</v>
      </c>
      <c r="O389" s="733">
        <v>3</v>
      </c>
      <c r="P389" s="733"/>
      <c r="Q389" s="915" t="s">
        <v>1419</v>
      </c>
      <c r="R389" s="915" t="s">
        <v>1410</v>
      </c>
      <c r="S389" s="953" t="s">
        <v>1411</v>
      </c>
      <c r="T389" s="306"/>
      <c r="U389" s="306"/>
      <c r="V389" s="306"/>
      <c r="W389" s="129"/>
      <c r="X389" s="129"/>
      <c r="Y389" s="129"/>
      <c r="Z389" s="129"/>
      <c r="AA389" s="129"/>
      <c r="AB389" s="129"/>
      <c r="AC389" s="129"/>
      <c r="AD389" s="129"/>
      <c r="AE389" s="129"/>
      <c r="AF389" s="129"/>
      <c r="AG389" s="129"/>
      <c r="AH389" s="129"/>
      <c r="AI389" s="129"/>
      <c r="AJ389" s="129"/>
      <c r="AK389" s="129"/>
      <c r="AL389" s="129"/>
      <c r="AM389" s="129"/>
      <c r="AN389" s="129"/>
      <c r="AO389" s="129"/>
      <c r="AP389" s="220"/>
      <c r="AQ389" s="220"/>
      <c r="AR389" s="220"/>
      <c r="AS389" s="220"/>
      <c r="AT389" s="220"/>
      <c r="AU389" s="220"/>
      <c r="AV389" s="221"/>
      <c r="AW389" s="221"/>
      <c r="AX389" s="520"/>
      <c r="AY389" s="520"/>
      <c r="AZ389" s="520"/>
      <c r="BA389" s="696">
        <v>89176000</v>
      </c>
      <c r="BB389" s="696">
        <v>38238375</v>
      </c>
      <c r="BC389" s="696">
        <v>27321825</v>
      </c>
      <c r="BD389" s="689"/>
      <c r="BE389" s="689"/>
      <c r="BF389" s="689"/>
      <c r="BG389" s="131">
        <f t="shared" ref="BG389:BI392" si="90">+T389+W389+Z389+AC389+AF389+AI389+AL389+AO389+AR389+AU389+AX389+BA389+BD389</f>
        <v>89176000</v>
      </c>
      <c r="BH389" s="131">
        <f t="shared" si="90"/>
        <v>38238375</v>
      </c>
      <c r="BI389" s="131">
        <f t="shared" si="90"/>
        <v>27321825</v>
      </c>
    </row>
    <row r="390" spans="1:68" s="561" customFormat="1" ht="58.5" customHeight="1" x14ac:dyDescent="0.2">
      <c r="A390" s="196"/>
      <c r="B390" s="949"/>
      <c r="C390" s="962"/>
      <c r="D390" s="323"/>
      <c r="E390" s="722"/>
      <c r="F390" s="145" t="s">
        <v>1420</v>
      </c>
      <c r="G390" s="146" t="s">
        <v>1421</v>
      </c>
      <c r="H390" s="695">
        <v>4001017</v>
      </c>
      <c r="I390" s="316" t="s">
        <v>1422</v>
      </c>
      <c r="J390" s="146" t="s">
        <v>1423</v>
      </c>
      <c r="K390" s="146" t="s">
        <v>1424</v>
      </c>
      <c r="L390" s="320" t="s">
        <v>1425</v>
      </c>
      <c r="M390" s="146" t="s">
        <v>204</v>
      </c>
      <c r="N390" s="146">
        <v>100</v>
      </c>
      <c r="O390" s="146">
        <v>25</v>
      </c>
      <c r="P390" s="146"/>
      <c r="Q390" s="929"/>
      <c r="R390" s="929"/>
      <c r="S390" s="954"/>
      <c r="T390" s="306"/>
      <c r="U390" s="306"/>
      <c r="V390" s="306"/>
      <c r="W390" s="129"/>
      <c r="X390" s="129"/>
      <c r="Y390" s="129"/>
      <c r="Z390" s="129"/>
      <c r="AA390" s="129"/>
      <c r="AB390" s="129"/>
      <c r="AC390" s="129"/>
      <c r="AD390" s="129"/>
      <c r="AE390" s="129"/>
      <c r="AF390" s="129"/>
      <c r="AG390" s="129"/>
      <c r="AH390" s="129"/>
      <c r="AI390" s="129"/>
      <c r="AJ390" s="129"/>
      <c r="AK390" s="129"/>
      <c r="AL390" s="129"/>
      <c r="AM390" s="129"/>
      <c r="AN390" s="129"/>
      <c r="AO390" s="129"/>
      <c r="AP390" s="220"/>
      <c r="AQ390" s="220"/>
      <c r="AR390" s="220"/>
      <c r="AS390" s="220"/>
      <c r="AT390" s="220"/>
      <c r="AU390" s="220"/>
      <c r="AV390" s="221"/>
      <c r="AW390" s="221"/>
      <c r="AX390" s="520"/>
      <c r="AY390" s="520"/>
      <c r="AZ390" s="520"/>
      <c r="BA390" s="696">
        <v>100000000</v>
      </c>
      <c r="BB390" s="696">
        <v>16243404</v>
      </c>
      <c r="BC390" s="696">
        <v>1943404</v>
      </c>
      <c r="BD390" s="689"/>
      <c r="BE390" s="689"/>
      <c r="BF390" s="689"/>
      <c r="BG390" s="131">
        <f t="shared" si="90"/>
        <v>100000000</v>
      </c>
      <c r="BH390" s="131">
        <f t="shared" si="90"/>
        <v>16243404</v>
      </c>
      <c r="BI390" s="131">
        <f t="shared" si="90"/>
        <v>1943404</v>
      </c>
    </row>
    <row r="391" spans="1:68" s="561" customFormat="1" ht="58.5" customHeight="1" x14ac:dyDescent="0.2">
      <c r="A391" s="196"/>
      <c r="B391" s="949"/>
      <c r="C391" s="962"/>
      <c r="D391" s="323"/>
      <c r="E391" s="722"/>
      <c r="F391" s="145" t="s">
        <v>1413</v>
      </c>
      <c r="G391" s="146" t="s">
        <v>1426</v>
      </c>
      <c r="H391" s="695">
        <v>4001018</v>
      </c>
      <c r="I391" s="316" t="s">
        <v>1427</v>
      </c>
      <c r="J391" s="146" t="s">
        <v>1428</v>
      </c>
      <c r="K391" s="146" t="s">
        <v>1429</v>
      </c>
      <c r="L391" s="320" t="s">
        <v>1430</v>
      </c>
      <c r="M391" s="146" t="s">
        <v>204</v>
      </c>
      <c r="N391" s="146">
        <v>300</v>
      </c>
      <c r="O391" s="146">
        <v>75</v>
      </c>
      <c r="P391" s="146"/>
      <c r="Q391" s="929"/>
      <c r="R391" s="929"/>
      <c r="S391" s="954"/>
      <c r="T391" s="306">
        <v>172569444</v>
      </c>
      <c r="U391" s="306">
        <v>141813333.33000001</v>
      </c>
      <c r="V391" s="306">
        <v>106733333.33333333</v>
      </c>
      <c r="W391" s="129"/>
      <c r="X391" s="129"/>
      <c r="Y391" s="129"/>
      <c r="Z391" s="129"/>
      <c r="AA391" s="129"/>
      <c r="AB391" s="129"/>
      <c r="AC391" s="129"/>
      <c r="AD391" s="129"/>
      <c r="AE391" s="129"/>
      <c r="AF391" s="129"/>
      <c r="AG391" s="129"/>
      <c r="AH391" s="129"/>
      <c r="AI391" s="129"/>
      <c r="AJ391" s="129"/>
      <c r="AK391" s="129"/>
      <c r="AL391" s="129"/>
      <c r="AM391" s="129"/>
      <c r="AN391" s="129"/>
      <c r="AO391" s="129"/>
      <c r="AP391" s="220"/>
      <c r="AQ391" s="220"/>
      <c r="AR391" s="220"/>
      <c r="AS391" s="220"/>
      <c r="AT391" s="220"/>
      <c r="AU391" s="220"/>
      <c r="AV391" s="221"/>
      <c r="AW391" s="221"/>
      <c r="AX391" s="520"/>
      <c r="AY391" s="520"/>
      <c r="AZ391" s="520"/>
      <c r="BA391" s="696"/>
      <c r="BB391" s="696"/>
      <c r="BC391" s="696"/>
      <c r="BD391" s="689"/>
      <c r="BE391" s="689"/>
      <c r="BF391" s="689"/>
      <c r="BG391" s="131">
        <f t="shared" si="90"/>
        <v>172569444</v>
      </c>
      <c r="BH391" s="131">
        <f t="shared" si="90"/>
        <v>141813333.33000001</v>
      </c>
      <c r="BI391" s="131">
        <f t="shared" si="90"/>
        <v>106733333.33333333</v>
      </c>
    </row>
    <row r="392" spans="1:68" s="561" customFormat="1" ht="43.5" customHeight="1" x14ac:dyDescent="0.2">
      <c r="A392" s="196"/>
      <c r="B392" s="950"/>
      <c r="C392" s="940"/>
      <c r="D392" s="132"/>
      <c r="E392" s="723"/>
      <c r="F392" s="145" t="s">
        <v>1413</v>
      </c>
      <c r="G392" s="146" t="s">
        <v>1431</v>
      </c>
      <c r="H392" s="695">
        <v>4001030</v>
      </c>
      <c r="I392" s="316" t="s">
        <v>1432</v>
      </c>
      <c r="J392" s="146" t="s">
        <v>1433</v>
      </c>
      <c r="K392" s="146" t="s">
        <v>1434</v>
      </c>
      <c r="L392" s="320" t="s">
        <v>313</v>
      </c>
      <c r="M392" s="127" t="s">
        <v>204</v>
      </c>
      <c r="N392" s="124">
        <v>12</v>
      </c>
      <c r="O392" s="124">
        <v>3</v>
      </c>
      <c r="P392" s="219"/>
      <c r="Q392" s="916"/>
      <c r="R392" s="916"/>
      <c r="S392" s="955"/>
      <c r="T392" s="306">
        <v>200000000</v>
      </c>
      <c r="U392" s="306"/>
      <c r="V392" s="306"/>
      <c r="W392" s="129"/>
      <c r="X392" s="129"/>
      <c r="Y392" s="129"/>
      <c r="Z392" s="129"/>
      <c r="AA392" s="129"/>
      <c r="AB392" s="129"/>
      <c r="AC392" s="129"/>
      <c r="AD392" s="129"/>
      <c r="AE392" s="129"/>
      <c r="AF392" s="129"/>
      <c r="AG392" s="129"/>
      <c r="AH392" s="129"/>
      <c r="AI392" s="129"/>
      <c r="AJ392" s="129"/>
      <c r="AK392" s="129"/>
      <c r="AL392" s="129"/>
      <c r="AM392" s="129"/>
      <c r="AN392" s="129"/>
      <c r="AO392" s="129"/>
      <c r="AP392" s="220"/>
      <c r="AQ392" s="220"/>
      <c r="AR392" s="220"/>
      <c r="AS392" s="220"/>
      <c r="AT392" s="220"/>
      <c r="AU392" s="220"/>
      <c r="AV392" s="221"/>
      <c r="AW392" s="221"/>
      <c r="AX392" s="697"/>
      <c r="AY392" s="697"/>
      <c r="AZ392" s="697"/>
      <c r="BA392" s="696"/>
      <c r="BB392" s="696"/>
      <c r="BC392" s="696"/>
      <c r="BD392" s="689"/>
      <c r="BE392" s="689"/>
      <c r="BF392" s="689"/>
      <c r="BG392" s="131">
        <f t="shared" si="90"/>
        <v>200000000</v>
      </c>
      <c r="BH392" s="131">
        <f t="shared" si="90"/>
        <v>0</v>
      </c>
      <c r="BI392" s="131">
        <f t="shared" si="90"/>
        <v>0</v>
      </c>
    </row>
    <row r="393" spans="1:68" s="267" customFormat="1" ht="15.75" customHeight="1" x14ac:dyDescent="0.2">
      <c r="A393" s="556"/>
      <c r="B393" s="371">
        <v>4</v>
      </c>
      <c r="C393" s="490" t="s">
        <v>128</v>
      </c>
      <c r="D393" s="490"/>
      <c r="E393" s="93"/>
      <c r="F393" s="93"/>
      <c r="G393" s="164"/>
      <c r="H393" s="673"/>
      <c r="I393" s="169"/>
      <c r="J393" s="170"/>
      <c r="K393" s="170"/>
      <c r="L393" s="169"/>
      <c r="M393" s="674"/>
      <c r="N393" s="675"/>
      <c r="O393" s="167"/>
      <c r="P393" s="167"/>
      <c r="Q393" s="100"/>
      <c r="R393" s="100"/>
      <c r="S393" s="169"/>
      <c r="T393" s="690">
        <f>T394</f>
        <v>0</v>
      </c>
      <c r="U393" s="690"/>
      <c r="V393" s="690"/>
      <c r="W393" s="690">
        <f>W394</f>
        <v>0</v>
      </c>
      <c r="X393" s="690"/>
      <c r="Y393" s="690"/>
      <c r="Z393" s="690">
        <f>Z394</f>
        <v>0</v>
      </c>
      <c r="AA393" s="690"/>
      <c r="AB393" s="690"/>
      <c r="AC393" s="690">
        <f>AC394</f>
        <v>0</v>
      </c>
      <c r="AD393" s="690"/>
      <c r="AE393" s="690"/>
      <c r="AF393" s="690">
        <f>AF394</f>
        <v>0</v>
      </c>
      <c r="AG393" s="690"/>
      <c r="AH393" s="690"/>
      <c r="AI393" s="690">
        <f>AI394</f>
        <v>0</v>
      </c>
      <c r="AJ393" s="690"/>
      <c r="AK393" s="690"/>
      <c r="AL393" s="690">
        <f>AL394</f>
        <v>0</v>
      </c>
      <c r="AM393" s="690"/>
      <c r="AN393" s="690"/>
      <c r="AO393" s="690">
        <f>AO394</f>
        <v>0</v>
      </c>
      <c r="AP393" s="690"/>
      <c r="AQ393" s="690"/>
      <c r="AR393" s="690">
        <f>AR394</f>
        <v>0</v>
      </c>
      <c r="AS393" s="690"/>
      <c r="AT393" s="690"/>
      <c r="AU393" s="690">
        <f>AU394</f>
        <v>0</v>
      </c>
      <c r="AV393" s="690"/>
      <c r="AW393" s="690"/>
      <c r="AX393" s="690">
        <f>AX394</f>
        <v>0</v>
      </c>
      <c r="AY393" s="690"/>
      <c r="AZ393" s="690"/>
      <c r="BA393" s="690">
        <f>BA394</f>
        <v>189176000</v>
      </c>
      <c r="BB393" s="690"/>
      <c r="BC393" s="690"/>
      <c r="BD393" s="690">
        <f>BD394</f>
        <v>0</v>
      </c>
      <c r="BE393" s="690"/>
      <c r="BF393" s="690"/>
      <c r="BG393" s="691">
        <f t="shared" ref="BG393:BI394" si="91">BG394</f>
        <v>189176000</v>
      </c>
      <c r="BH393" s="691">
        <f t="shared" si="91"/>
        <v>38238375</v>
      </c>
      <c r="BI393" s="691">
        <f t="shared" si="91"/>
        <v>27321825</v>
      </c>
      <c r="BJ393" s="278"/>
      <c r="BK393" s="278"/>
      <c r="BL393" s="278"/>
      <c r="BM393" s="278"/>
      <c r="BN393" s="278"/>
      <c r="BO393" s="278"/>
      <c r="BP393" s="278"/>
    </row>
    <row r="394" spans="1:68" s="267" customFormat="1" ht="15.75" customHeight="1" x14ac:dyDescent="0.2">
      <c r="A394" s="556"/>
      <c r="B394" s="698"/>
      <c r="C394" s="252">
        <v>45</v>
      </c>
      <c r="D394" s="699" t="s">
        <v>102</v>
      </c>
      <c r="E394" s="631" t="s">
        <v>103</v>
      </c>
      <c r="F394" s="631"/>
      <c r="G394" s="639"/>
      <c r="H394" s="686"/>
      <c r="I394" s="177"/>
      <c r="J394" s="178"/>
      <c r="K394" s="178"/>
      <c r="L394" s="177"/>
      <c r="M394" s="687"/>
      <c r="N394" s="688"/>
      <c r="O394" s="139"/>
      <c r="P394" s="139"/>
      <c r="Q394" s="113"/>
      <c r="R394" s="113"/>
      <c r="S394" s="177"/>
      <c r="T394" s="692">
        <f>T395</f>
        <v>0</v>
      </c>
      <c r="U394" s="692"/>
      <c r="V394" s="692"/>
      <c r="W394" s="692">
        <f>W395</f>
        <v>0</v>
      </c>
      <c r="X394" s="692"/>
      <c r="Y394" s="692"/>
      <c r="Z394" s="692">
        <f>Z395</f>
        <v>0</v>
      </c>
      <c r="AA394" s="692"/>
      <c r="AB394" s="692"/>
      <c r="AC394" s="692">
        <f>AC395</f>
        <v>0</v>
      </c>
      <c r="AD394" s="692"/>
      <c r="AE394" s="692"/>
      <c r="AF394" s="692">
        <f>AF395</f>
        <v>0</v>
      </c>
      <c r="AG394" s="692"/>
      <c r="AH394" s="692"/>
      <c r="AI394" s="692">
        <f>AI395</f>
        <v>0</v>
      </c>
      <c r="AJ394" s="692"/>
      <c r="AK394" s="692"/>
      <c r="AL394" s="692">
        <f>AL395</f>
        <v>0</v>
      </c>
      <c r="AM394" s="692"/>
      <c r="AN394" s="692"/>
      <c r="AO394" s="692">
        <f>AO395</f>
        <v>0</v>
      </c>
      <c r="AP394" s="692"/>
      <c r="AQ394" s="692"/>
      <c r="AR394" s="692">
        <f>AR395</f>
        <v>0</v>
      </c>
      <c r="AS394" s="692"/>
      <c r="AT394" s="692"/>
      <c r="AU394" s="692">
        <f>AU395</f>
        <v>0</v>
      </c>
      <c r="AV394" s="692"/>
      <c r="AW394" s="692"/>
      <c r="AX394" s="692">
        <f>AX395</f>
        <v>0</v>
      </c>
      <c r="AY394" s="692"/>
      <c r="AZ394" s="692"/>
      <c r="BA394" s="692">
        <f>BA395</f>
        <v>189176000</v>
      </c>
      <c r="BB394" s="692"/>
      <c r="BC394" s="692"/>
      <c r="BD394" s="692">
        <f>BD395</f>
        <v>0</v>
      </c>
      <c r="BE394" s="692"/>
      <c r="BF394" s="692"/>
      <c r="BG394" s="693">
        <f t="shared" si="91"/>
        <v>189176000</v>
      </c>
      <c r="BH394" s="693">
        <f t="shared" si="91"/>
        <v>38238375</v>
      </c>
      <c r="BI394" s="693">
        <f t="shared" si="91"/>
        <v>27321825</v>
      </c>
      <c r="BJ394" s="278"/>
      <c r="BK394" s="278"/>
      <c r="BL394" s="278"/>
      <c r="BM394" s="278"/>
      <c r="BN394" s="278"/>
      <c r="BO394" s="278"/>
      <c r="BP394" s="278"/>
    </row>
    <row r="395" spans="1:68" s="561" customFormat="1" ht="112.5" customHeight="1" x14ac:dyDescent="0.2">
      <c r="A395" s="597"/>
      <c r="B395" s="142"/>
      <c r="C395" s="295"/>
      <c r="D395" s="144"/>
      <c r="E395" s="429"/>
      <c r="F395" s="122" t="s">
        <v>104</v>
      </c>
      <c r="G395" s="324" t="s">
        <v>315</v>
      </c>
      <c r="H395" s="308" t="s">
        <v>102</v>
      </c>
      <c r="I395" s="326" t="s">
        <v>1435</v>
      </c>
      <c r="J395" s="324" t="s">
        <v>317</v>
      </c>
      <c r="K395" s="324" t="s">
        <v>102</v>
      </c>
      <c r="L395" s="326" t="s">
        <v>318</v>
      </c>
      <c r="M395" s="127" t="s">
        <v>109</v>
      </c>
      <c r="N395" s="148">
        <v>4</v>
      </c>
      <c r="O395" s="297">
        <v>4</v>
      </c>
      <c r="P395" s="297"/>
      <c r="Q395" s="700" t="s">
        <v>110</v>
      </c>
      <c r="R395" s="192" t="s">
        <v>1410</v>
      </c>
      <c r="S395" s="701" t="s">
        <v>1411</v>
      </c>
      <c r="T395" s="306"/>
      <c r="U395" s="306"/>
      <c r="V395" s="306"/>
      <c r="W395" s="129"/>
      <c r="X395" s="129"/>
      <c r="Y395" s="129"/>
      <c r="Z395" s="129"/>
      <c r="AA395" s="129"/>
      <c r="AB395" s="129"/>
      <c r="AC395" s="129"/>
      <c r="AD395" s="129"/>
      <c r="AE395" s="129"/>
      <c r="AF395" s="129"/>
      <c r="AG395" s="129"/>
      <c r="AH395" s="129"/>
      <c r="AI395" s="129"/>
      <c r="AJ395" s="129"/>
      <c r="AK395" s="129"/>
      <c r="AL395" s="129"/>
      <c r="AM395" s="129"/>
      <c r="AN395" s="129"/>
      <c r="AO395" s="129"/>
      <c r="AP395" s="129"/>
      <c r="AQ395" s="129"/>
      <c r="AR395" s="129"/>
      <c r="AS395" s="129"/>
      <c r="AT395" s="129"/>
      <c r="AU395" s="129"/>
      <c r="AV395" s="187"/>
      <c r="AW395" s="187"/>
      <c r="AX395" s="585"/>
      <c r="AY395" s="585"/>
      <c r="AZ395" s="585"/>
      <c r="BA395" s="696">
        <f>218280000-29104000</f>
        <v>189176000</v>
      </c>
      <c r="BB395" s="696">
        <v>38238375</v>
      </c>
      <c r="BC395" s="696">
        <v>27321825</v>
      </c>
      <c r="BD395" s="689"/>
      <c r="BE395" s="689"/>
      <c r="BF395" s="689"/>
      <c r="BG395" s="131">
        <f>+T395+W395+Z395+AC395+AF395+AI395+AL395+AO395+AR395+AU395+AX395+BA395+BD395</f>
        <v>189176000</v>
      </c>
      <c r="BH395" s="131">
        <f>+U395+X395+AA395+AD395+AG395+AJ395+AM395+AP395+AS395+AV395+AY395+BB395+BE395</f>
        <v>38238375</v>
      </c>
      <c r="BI395" s="131">
        <f>+V395+Y395+AB395+AE395+AH395+AK395+AN395+AQ395+AT395+AW395+AZ395+BC395+BF395</f>
        <v>27321825</v>
      </c>
    </row>
    <row r="396" spans="1:68" ht="37.5" customHeight="1" x14ac:dyDescent="0.2">
      <c r="BG396" s="441"/>
      <c r="BH396" s="441"/>
      <c r="BI396" s="441"/>
    </row>
    <row r="397" spans="1:68" s="414" customFormat="1" ht="15.75" x14ac:dyDescent="0.2">
      <c r="A397" s="76" t="s">
        <v>1436</v>
      </c>
      <c r="B397" s="76"/>
      <c r="C397" s="76"/>
      <c r="D397" s="442"/>
      <c r="E397" s="443"/>
      <c r="F397" s="444"/>
      <c r="G397" s="82"/>
      <c r="H397" s="83"/>
      <c r="I397" s="84"/>
      <c r="J397" s="85"/>
      <c r="K397" s="85"/>
      <c r="L397" s="84"/>
      <c r="M397" s="160"/>
      <c r="N397" s="83"/>
      <c r="O397" s="82"/>
      <c r="P397" s="82"/>
      <c r="Q397" s="80"/>
      <c r="R397" s="80"/>
      <c r="S397" s="84"/>
      <c r="T397" s="251">
        <f>T398</f>
        <v>0</v>
      </c>
      <c r="U397" s="251"/>
      <c r="V397" s="251"/>
      <c r="W397" s="251">
        <f>W398</f>
        <v>0</v>
      </c>
      <c r="X397" s="251"/>
      <c r="Y397" s="251"/>
      <c r="Z397" s="251">
        <f>Z398</f>
        <v>0</v>
      </c>
      <c r="AA397" s="251"/>
      <c r="AB397" s="251"/>
      <c r="AC397" s="251">
        <f>AC398</f>
        <v>0</v>
      </c>
      <c r="AD397" s="251"/>
      <c r="AE397" s="251"/>
      <c r="AF397" s="251">
        <f>AF398</f>
        <v>0</v>
      </c>
      <c r="AG397" s="251"/>
      <c r="AH397" s="251"/>
      <c r="AI397" s="251">
        <f>AI398</f>
        <v>0</v>
      </c>
      <c r="AJ397" s="251"/>
      <c r="AK397" s="251"/>
      <c r="AL397" s="251">
        <f>AL398</f>
        <v>0</v>
      </c>
      <c r="AM397" s="251"/>
      <c r="AN397" s="251"/>
      <c r="AO397" s="251">
        <f>AO398</f>
        <v>0</v>
      </c>
      <c r="AP397" s="251"/>
      <c r="AQ397" s="251"/>
      <c r="AR397" s="251">
        <f>AR398</f>
        <v>0</v>
      </c>
      <c r="AS397" s="251"/>
      <c r="AT397" s="251"/>
      <c r="AU397" s="251">
        <f>AU398</f>
        <v>0</v>
      </c>
      <c r="AV397" s="251"/>
      <c r="AW397" s="251"/>
      <c r="AX397" s="251">
        <f>AX398</f>
        <v>0</v>
      </c>
      <c r="AY397" s="251"/>
      <c r="AZ397" s="251"/>
      <c r="BA397" s="251">
        <f>BA398</f>
        <v>107000000</v>
      </c>
      <c r="BB397" s="251"/>
      <c r="BC397" s="251"/>
      <c r="BD397" s="251">
        <f>BD398</f>
        <v>0</v>
      </c>
      <c r="BE397" s="251"/>
      <c r="BF397" s="251"/>
      <c r="BG397" s="251">
        <f t="shared" ref="BG397:BI398" si="92">BG398</f>
        <v>107000000</v>
      </c>
      <c r="BH397" s="251">
        <f t="shared" si="92"/>
        <v>23052000</v>
      </c>
      <c r="BI397" s="251">
        <f t="shared" si="92"/>
        <v>16218000</v>
      </c>
      <c r="BJ397" s="415"/>
      <c r="BK397" s="415"/>
      <c r="BL397" s="415"/>
      <c r="BM397" s="415"/>
      <c r="BN397" s="415"/>
      <c r="BO397" s="415"/>
      <c r="BP397" s="415"/>
    </row>
    <row r="398" spans="1:68" s="414" customFormat="1" ht="15.75" x14ac:dyDescent="0.2">
      <c r="A398" s="600"/>
      <c r="B398" s="702">
        <v>3</v>
      </c>
      <c r="C398" s="93" t="s">
        <v>1437</v>
      </c>
      <c r="D398" s="94"/>
      <c r="E398" s="95"/>
      <c r="F398" s="96"/>
      <c r="G398" s="167"/>
      <c r="H398" s="673"/>
      <c r="I398" s="169"/>
      <c r="J398" s="170"/>
      <c r="K398" s="170"/>
      <c r="L398" s="169"/>
      <c r="M398" s="674"/>
      <c r="N398" s="675"/>
      <c r="O398" s="167"/>
      <c r="P398" s="167"/>
      <c r="Q398" s="170"/>
      <c r="R398" s="170"/>
      <c r="S398" s="169"/>
      <c r="T398" s="676">
        <f>T399</f>
        <v>0</v>
      </c>
      <c r="U398" s="676"/>
      <c r="V398" s="676"/>
      <c r="W398" s="676">
        <f>W399</f>
        <v>0</v>
      </c>
      <c r="X398" s="676"/>
      <c r="Y398" s="676"/>
      <c r="Z398" s="676">
        <f>Z399</f>
        <v>0</v>
      </c>
      <c r="AA398" s="676"/>
      <c r="AB398" s="676"/>
      <c r="AC398" s="676">
        <f>AC399</f>
        <v>0</v>
      </c>
      <c r="AD398" s="676"/>
      <c r="AE398" s="676"/>
      <c r="AF398" s="676">
        <f>AF399</f>
        <v>0</v>
      </c>
      <c r="AG398" s="676"/>
      <c r="AH398" s="676"/>
      <c r="AI398" s="676">
        <f>AI399</f>
        <v>0</v>
      </c>
      <c r="AJ398" s="676"/>
      <c r="AK398" s="676"/>
      <c r="AL398" s="676">
        <f>AL399</f>
        <v>0</v>
      </c>
      <c r="AM398" s="676"/>
      <c r="AN398" s="676"/>
      <c r="AO398" s="676">
        <f>AO399</f>
        <v>0</v>
      </c>
      <c r="AP398" s="676"/>
      <c r="AQ398" s="676"/>
      <c r="AR398" s="676">
        <f>AR399</f>
        <v>0</v>
      </c>
      <c r="AS398" s="676"/>
      <c r="AT398" s="676"/>
      <c r="AU398" s="676">
        <f>AU399</f>
        <v>0</v>
      </c>
      <c r="AV398" s="676"/>
      <c r="AW398" s="676"/>
      <c r="AX398" s="676">
        <f>AX399</f>
        <v>0</v>
      </c>
      <c r="AY398" s="676"/>
      <c r="AZ398" s="676"/>
      <c r="BA398" s="676">
        <f>BA399</f>
        <v>107000000</v>
      </c>
      <c r="BB398" s="676"/>
      <c r="BC398" s="676"/>
      <c r="BD398" s="676">
        <f>BD399</f>
        <v>0</v>
      </c>
      <c r="BE398" s="676"/>
      <c r="BF398" s="676"/>
      <c r="BG398" s="676">
        <f t="shared" si="92"/>
        <v>107000000</v>
      </c>
      <c r="BH398" s="676">
        <f t="shared" si="92"/>
        <v>23052000</v>
      </c>
      <c r="BI398" s="676">
        <f t="shared" si="92"/>
        <v>16218000</v>
      </c>
      <c r="BJ398" s="415"/>
      <c r="BK398" s="415"/>
      <c r="BL398" s="415"/>
      <c r="BM398" s="415"/>
      <c r="BN398" s="415"/>
      <c r="BO398" s="415"/>
      <c r="BP398" s="415"/>
    </row>
    <row r="399" spans="1:68" s="414" customFormat="1" ht="15.75" x14ac:dyDescent="0.2">
      <c r="A399" s="600"/>
      <c r="B399" s="105"/>
      <c r="C399" s="375">
        <v>19</v>
      </c>
      <c r="D399" s="375">
        <v>2409</v>
      </c>
      <c r="E399" s="108" t="s">
        <v>1438</v>
      </c>
      <c r="F399" s="109"/>
      <c r="G399" s="139"/>
      <c r="H399" s="176"/>
      <c r="I399" s="177"/>
      <c r="J399" s="178"/>
      <c r="K399" s="178"/>
      <c r="L399" s="177"/>
      <c r="M399" s="687"/>
      <c r="N399" s="688"/>
      <c r="O399" s="139"/>
      <c r="P399" s="139"/>
      <c r="Q399" s="178"/>
      <c r="R399" s="178"/>
      <c r="S399" s="177"/>
      <c r="T399" s="681">
        <f>SUM(T400:T403)</f>
        <v>0</v>
      </c>
      <c r="U399" s="681"/>
      <c r="V399" s="681"/>
      <c r="W399" s="681">
        <f>SUM(W400:W403)</f>
        <v>0</v>
      </c>
      <c r="X399" s="681"/>
      <c r="Y399" s="681"/>
      <c r="Z399" s="681">
        <f>SUM(Z400:Z403)</f>
        <v>0</v>
      </c>
      <c r="AA399" s="681"/>
      <c r="AB399" s="681"/>
      <c r="AC399" s="681">
        <f>SUM(AC400:AC403)</f>
        <v>0</v>
      </c>
      <c r="AD399" s="681"/>
      <c r="AE399" s="681"/>
      <c r="AF399" s="681">
        <f>SUM(AF400:AF403)</f>
        <v>0</v>
      </c>
      <c r="AG399" s="681"/>
      <c r="AH399" s="681"/>
      <c r="AI399" s="681">
        <f>SUM(AI400:AI403)</f>
        <v>0</v>
      </c>
      <c r="AJ399" s="681"/>
      <c r="AK399" s="681"/>
      <c r="AL399" s="681">
        <f>SUM(AL400:AL403)</f>
        <v>0</v>
      </c>
      <c r="AM399" s="681"/>
      <c r="AN399" s="681"/>
      <c r="AO399" s="681">
        <f>SUM(AO400:AO403)</f>
        <v>0</v>
      </c>
      <c r="AP399" s="681"/>
      <c r="AQ399" s="681"/>
      <c r="AR399" s="681">
        <f>SUM(AR400:AR403)</f>
        <v>0</v>
      </c>
      <c r="AS399" s="681"/>
      <c r="AT399" s="681"/>
      <c r="AU399" s="681">
        <f>SUM(AU400:AU403)</f>
        <v>0</v>
      </c>
      <c r="AV399" s="681"/>
      <c r="AW399" s="681"/>
      <c r="AX399" s="681">
        <f>SUM(AX400:AX403)</f>
        <v>0</v>
      </c>
      <c r="AY399" s="681"/>
      <c r="AZ399" s="681"/>
      <c r="BA399" s="681">
        <f>SUM(BA400:BA403)</f>
        <v>107000000</v>
      </c>
      <c r="BB399" s="681"/>
      <c r="BC399" s="681"/>
      <c r="BD399" s="681">
        <f>SUM(BD400:BD403)</f>
        <v>0</v>
      </c>
      <c r="BE399" s="681"/>
      <c r="BF399" s="681"/>
      <c r="BG399" s="681">
        <f>SUM(BG400:BG403)</f>
        <v>107000000</v>
      </c>
      <c r="BH399" s="681">
        <f>SUM(BH400:BH403)</f>
        <v>23052000</v>
      </c>
      <c r="BI399" s="681">
        <f>SUM(BI400:BI403)</f>
        <v>16218000</v>
      </c>
      <c r="BJ399" s="415"/>
      <c r="BK399" s="415"/>
      <c r="BL399" s="415"/>
      <c r="BM399" s="415"/>
      <c r="BN399" s="415"/>
      <c r="BO399" s="415"/>
      <c r="BP399" s="415"/>
    </row>
    <row r="400" spans="1:68" s="238" customFormat="1" ht="111" customHeight="1" x14ac:dyDescent="0.2">
      <c r="A400" s="104"/>
      <c r="B400" s="255"/>
      <c r="C400" s="703"/>
      <c r="D400" s="704"/>
      <c r="E400" s="724"/>
      <c r="F400" s="320" t="s">
        <v>1439</v>
      </c>
      <c r="G400" s="705" t="s">
        <v>1440</v>
      </c>
      <c r="H400" s="124" t="s">
        <v>102</v>
      </c>
      <c r="I400" s="125" t="s">
        <v>1441</v>
      </c>
      <c r="J400" s="705" t="s">
        <v>1442</v>
      </c>
      <c r="K400" s="146" t="s">
        <v>102</v>
      </c>
      <c r="L400" s="343" t="s">
        <v>1443</v>
      </c>
      <c r="M400" s="342" t="s">
        <v>109</v>
      </c>
      <c r="N400" s="146">
        <v>1</v>
      </c>
      <c r="O400" s="146">
        <v>1</v>
      </c>
      <c r="P400" s="146">
        <v>0.61</v>
      </c>
      <c r="Q400" s="956" t="s">
        <v>1444</v>
      </c>
      <c r="R400" s="956" t="s">
        <v>1445</v>
      </c>
      <c r="S400" s="890" t="s">
        <v>1446</v>
      </c>
      <c r="T400" s="129"/>
      <c r="U400" s="129"/>
      <c r="V400" s="129"/>
      <c r="W400" s="129"/>
      <c r="X400" s="129"/>
      <c r="Y400" s="129"/>
      <c r="Z400" s="129"/>
      <c r="AA400" s="129"/>
      <c r="AB400" s="129"/>
      <c r="AC400" s="129"/>
      <c r="AD400" s="129"/>
      <c r="AE400" s="129"/>
      <c r="AF400" s="129"/>
      <c r="AG400" s="129"/>
      <c r="AH400" s="129"/>
      <c r="AI400" s="129"/>
      <c r="AJ400" s="129"/>
      <c r="AK400" s="129"/>
      <c r="AL400" s="129"/>
      <c r="AM400" s="129"/>
      <c r="AN400" s="129"/>
      <c r="AO400" s="129"/>
      <c r="AP400" s="129"/>
      <c r="AQ400" s="129"/>
      <c r="AR400" s="129"/>
      <c r="AS400" s="129"/>
      <c r="AT400" s="129"/>
      <c r="AU400" s="129"/>
      <c r="AV400" s="187"/>
      <c r="AW400" s="187"/>
      <c r="AX400" s="585"/>
      <c r="AY400" s="585"/>
      <c r="AZ400" s="585"/>
      <c r="BA400" s="585">
        <v>26400000</v>
      </c>
      <c r="BB400" s="585">
        <v>23052000</v>
      </c>
      <c r="BC400" s="585">
        <v>16218000</v>
      </c>
      <c r="BD400" s="187"/>
      <c r="BE400" s="187"/>
      <c r="BF400" s="187"/>
      <c r="BG400" s="131">
        <f t="shared" ref="BG400:BI403" si="93">+T400+W400+Z400+AC400+AF400+AI400+AL400+AO400+AR400+AU400+AX400+BA400+BD400</f>
        <v>26400000</v>
      </c>
      <c r="BH400" s="131">
        <f t="shared" si="93"/>
        <v>23052000</v>
      </c>
      <c r="BI400" s="131">
        <f t="shared" si="93"/>
        <v>16218000</v>
      </c>
    </row>
    <row r="401" spans="1:68" s="414" customFormat="1" ht="105" customHeight="1" x14ac:dyDescent="0.2">
      <c r="A401" s="600"/>
      <c r="B401" s="578"/>
      <c r="C401" s="706"/>
      <c r="D401" s="707"/>
      <c r="E401" s="728"/>
      <c r="F401" s="320" t="s">
        <v>1439</v>
      </c>
      <c r="G401" s="705" t="s">
        <v>1447</v>
      </c>
      <c r="H401" s="708" t="s">
        <v>102</v>
      </c>
      <c r="I401" s="709" t="s">
        <v>1448</v>
      </c>
      <c r="J401" s="705" t="s">
        <v>1449</v>
      </c>
      <c r="K401" s="146" t="s">
        <v>102</v>
      </c>
      <c r="L401" s="343" t="s">
        <v>1450</v>
      </c>
      <c r="M401" s="342" t="s">
        <v>109</v>
      </c>
      <c r="N401" s="146">
        <v>1</v>
      </c>
      <c r="O401" s="146">
        <v>1</v>
      </c>
      <c r="P401" s="146"/>
      <c r="Q401" s="957"/>
      <c r="R401" s="957"/>
      <c r="S401" s="891"/>
      <c r="T401" s="129"/>
      <c r="U401" s="129"/>
      <c r="V401" s="129"/>
      <c r="W401" s="426"/>
      <c r="X401" s="426"/>
      <c r="Y401" s="426"/>
      <c r="Z401" s="426"/>
      <c r="AA401" s="426"/>
      <c r="AB401" s="426"/>
      <c r="AC401" s="426"/>
      <c r="AD401" s="426"/>
      <c r="AE401" s="426"/>
      <c r="AF401" s="426"/>
      <c r="AG401" s="426"/>
      <c r="AH401" s="426"/>
      <c r="AI401" s="426"/>
      <c r="AJ401" s="426"/>
      <c r="AK401" s="426"/>
      <c r="AL401" s="426"/>
      <c r="AM401" s="426"/>
      <c r="AN401" s="426"/>
      <c r="AO401" s="426"/>
      <c r="AP401" s="426"/>
      <c r="AQ401" s="426"/>
      <c r="AR401" s="426"/>
      <c r="AS401" s="426"/>
      <c r="AT401" s="426"/>
      <c r="AU401" s="426"/>
      <c r="AV401" s="427"/>
      <c r="AW401" s="427"/>
      <c r="AX401" s="710"/>
      <c r="AY401" s="710"/>
      <c r="AZ401" s="710"/>
      <c r="BA401" s="710">
        <v>8400000</v>
      </c>
      <c r="BB401" s="710"/>
      <c r="BC401" s="710"/>
      <c r="BD401" s="427"/>
      <c r="BE401" s="427"/>
      <c r="BF401" s="427"/>
      <c r="BG401" s="711">
        <f t="shared" si="93"/>
        <v>8400000</v>
      </c>
      <c r="BH401" s="711">
        <f t="shared" si="93"/>
        <v>0</v>
      </c>
      <c r="BI401" s="711">
        <f t="shared" si="93"/>
        <v>0</v>
      </c>
      <c r="BJ401" s="415"/>
      <c r="BK401" s="415"/>
      <c r="BL401" s="415"/>
      <c r="BM401" s="415"/>
      <c r="BN401" s="415"/>
      <c r="BO401" s="415"/>
      <c r="BP401" s="415"/>
    </row>
    <row r="402" spans="1:68" s="414" customFormat="1" ht="63" x14ac:dyDescent="0.2">
      <c r="A402" s="600"/>
      <c r="B402" s="578"/>
      <c r="C402" s="706"/>
      <c r="D402" s="707"/>
      <c r="E402" s="728"/>
      <c r="F402" s="320" t="s">
        <v>1439</v>
      </c>
      <c r="G402" s="705" t="s">
        <v>1451</v>
      </c>
      <c r="H402" s="708" t="s">
        <v>102</v>
      </c>
      <c r="I402" s="709" t="s">
        <v>1452</v>
      </c>
      <c r="J402" s="705" t="s">
        <v>1453</v>
      </c>
      <c r="K402" s="146" t="s">
        <v>102</v>
      </c>
      <c r="L402" s="343" t="s">
        <v>1454</v>
      </c>
      <c r="M402" s="342" t="s">
        <v>109</v>
      </c>
      <c r="N402" s="146">
        <v>1</v>
      </c>
      <c r="O402" s="146">
        <v>1</v>
      </c>
      <c r="P402" s="146"/>
      <c r="Q402" s="957"/>
      <c r="R402" s="957"/>
      <c r="S402" s="891"/>
      <c r="T402" s="129"/>
      <c r="U402" s="129"/>
      <c r="V402" s="129"/>
      <c r="W402" s="426"/>
      <c r="X402" s="426"/>
      <c r="Y402" s="426"/>
      <c r="Z402" s="426"/>
      <c r="AA402" s="426"/>
      <c r="AB402" s="426"/>
      <c r="AC402" s="426"/>
      <c r="AD402" s="426"/>
      <c r="AE402" s="426"/>
      <c r="AF402" s="426"/>
      <c r="AG402" s="426"/>
      <c r="AH402" s="426"/>
      <c r="AI402" s="426"/>
      <c r="AJ402" s="426"/>
      <c r="AK402" s="426"/>
      <c r="AL402" s="426"/>
      <c r="AM402" s="426"/>
      <c r="AN402" s="426"/>
      <c r="AO402" s="426"/>
      <c r="AP402" s="426"/>
      <c r="AQ402" s="426"/>
      <c r="AR402" s="426"/>
      <c r="AS402" s="426"/>
      <c r="AT402" s="426"/>
      <c r="AU402" s="426"/>
      <c r="AV402" s="427"/>
      <c r="AW402" s="427"/>
      <c r="AX402" s="710"/>
      <c r="AY402" s="710"/>
      <c r="AZ402" s="710"/>
      <c r="BA402" s="710">
        <v>25200000</v>
      </c>
      <c r="BB402" s="710"/>
      <c r="BC402" s="710"/>
      <c r="BD402" s="427"/>
      <c r="BE402" s="427"/>
      <c r="BF402" s="427"/>
      <c r="BG402" s="711">
        <f t="shared" si="93"/>
        <v>25200000</v>
      </c>
      <c r="BH402" s="711">
        <f t="shared" si="93"/>
        <v>0</v>
      </c>
      <c r="BI402" s="711">
        <f t="shared" si="93"/>
        <v>0</v>
      </c>
      <c r="BJ402" s="415"/>
      <c r="BK402" s="415"/>
      <c r="BL402" s="415"/>
      <c r="BM402" s="415"/>
      <c r="BN402" s="415"/>
      <c r="BO402" s="415"/>
      <c r="BP402" s="415"/>
    </row>
    <row r="403" spans="1:68" s="414" customFormat="1" ht="63" x14ac:dyDescent="0.2">
      <c r="A403" s="712"/>
      <c r="B403" s="713"/>
      <c r="C403" s="714"/>
      <c r="D403" s="715"/>
      <c r="E403" s="729"/>
      <c r="F403" s="320" t="s">
        <v>1439</v>
      </c>
      <c r="G403" s="705" t="s">
        <v>1455</v>
      </c>
      <c r="H403" s="708" t="s">
        <v>102</v>
      </c>
      <c r="I403" s="709" t="s">
        <v>1456</v>
      </c>
      <c r="J403" s="705" t="s">
        <v>1457</v>
      </c>
      <c r="K403" s="146" t="s">
        <v>102</v>
      </c>
      <c r="L403" s="343" t="s">
        <v>1458</v>
      </c>
      <c r="M403" s="342" t="s">
        <v>109</v>
      </c>
      <c r="N403" s="146">
        <v>1</v>
      </c>
      <c r="O403" s="146">
        <v>1</v>
      </c>
      <c r="P403" s="146"/>
      <c r="Q403" s="958"/>
      <c r="R403" s="958"/>
      <c r="S403" s="894"/>
      <c r="T403" s="426"/>
      <c r="U403" s="426"/>
      <c r="V403" s="426"/>
      <c r="W403" s="426"/>
      <c r="X403" s="426"/>
      <c r="Y403" s="426"/>
      <c r="Z403" s="426"/>
      <c r="AA403" s="426"/>
      <c r="AB403" s="426"/>
      <c r="AC403" s="426"/>
      <c r="AD403" s="426"/>
      <c r="AE403" s="426"/>
      <c r="AF403" s="426"/>
      <c r="AG403" s="426"/>
      <c r="AH403" s="426"/>
      <c r="AI403" s="426"/>
      <c r="AJ403" s="426"/>
      <c r="AK403" s="426"/>
      <c r="AL403" s="426"/>
      <c r="AM403" s="426"/>
      <c r="AN403" s="426"/>
      <c r="AO403" s="426"/>
      <c r="AP403" s="426"/>
      <c r="AQ403" s="426"/>
      <c r="AR403" s="426"/>
      <c r="AS403" s="426"/>
      <c r="AT403" s="426"/>
      <c r="AU403" s="426"/>
      <c r="AV403" s="427"/>
      <c r="AW403" s="427"/>
      <c r="AX403" s="710"/>
      <c r="AY403" s="710"/>
      <c r="AZ403" s="710"/>
      <c r="BA403" s="710">
        <v>47000000</v>
      </c>
      <c r="BB403" s="710"/>
      <c r="BC403" s="710"/>
      <c r="BD403" s="427"/>
      <c r="BE403" s="427"/>
      <c r="BF403" s="427"/>
      <c r="BG403" s="711">
        <f t="shared" si="93"/>
        <v>47000000</v>
      </c>
      <c r="BH403" s="711">
        <f t="shared" si="93"/>
        <v>0</v>
      </c>
      <c r="BI403" s="711">
        <f t="shared" si="93"/>
        <v>0</v>
      </c>
      <c r="BJ403" s="415"/>
      <c r="BK403" s="415"/>
      <c r="BL403" s="415"/>
      <c r="BM403" s="415"/>
      <c r="BN403" s="415"/>
      <c r="BO403" s="415"/>
      <c r="BP403" s="415"/>
    </row>
    <row r="404" spans="1:68" s="647" customFormat="1" ht="19.5" customHeight="1" x14ac:dyDescent="0.25">
      <c r="A404" s="807" t="s">
        <v>1459</v>
      </c>
      <c r="B404" s="807"/>
      <c r="C404" s="807"/>
      <c r="D404" s="808"/>
      <c r="E404" s="809"/>
      <c r="F404" s="810"/>
      <c r="G404" s="811"/>
      <c r="H404" s="812"/>
      <c r="I404" s="813"/>
      <c r="J404" s="814"/>
      <c r="K404" s="814"/>
      <c r="L404" s="813"/>
      <c r="M404" s="809"/>
      <c r="N404" s="812"/>
      <c r="O404" s="811"/>
      <c r="P404" s="811"/>
      <c r="Q404" s="809"/>
      <c r="R404" s="809"/>
      <c r="S404" s="813"/>
      <c r="T404" s="815">
        <f>+T397+T379+T365</f>
        <v>1117710104</v>
      </c>
      <c r="U404" s="815"/>
      <c r="V404" s="815"/>
      <c r="W404" s="815">
        <f>+W397+W379+W365</f>
        <v>0</v>
      </c>
      <c r="X404" s="815"/>
      <c r="Y404" s="815"/>
      <c r="Z404" s="815">
        <f>+Z397+Z379+Z365</f>
        <v>0</v>
      </c>
      <c r="AA404" s="815"/>
      <c r="AB404" s="815"/>
      <c r="AC404" s="815">
        <f>+AC397+AC379+AC365</f>
        <v>0</v>
      </c>
      <c r="AD404" s="815"/>
      <c r="AE404" s="815"/>
      <c r="AF404" s="815">
        <f>+AF397+AF379+AF365</f>
        <v>0</v>
      </c>
      <c r="AG404" s="815"/>
      <c r="AH404" s="815"/>
      <c r="AI404" s="815">
        <f>+AI397+AI379+AI365</f>
        <v>0</v>
      </c>
      <c r="AJ404" s="815"/>
      <c r="AK404" s="815"/>
      <c r="AL404" s="815">
        <f>+AL397+AL379+AL365</f>
        <v>0</v>
      </c>
      <c r="AM404" s="815"/>
      <c r="AN404" s="815"/>
      <c r="AO404" s="815">
        <f>+AO397+AO379+AO365</f>
        <v>0</v>
      </c>
      <c r="AP404" s="815"/>
      <c r="AQ404" s="815"/>
      <c r="AR404" s="815">
        <f>+AR397+AR379+AR365</f>
        <v>0</v>
      </c>
      <c r="AS404" s="815"/>
      <c r="AT404" s="815"/>
      <c r="AU404" s="815">
        <f>+AU397+AU379+AU365</f>
        <v>0</v>
      </c>
      <c r="AV404" s="815"/>
      <c r="AW404" s="815"/>
      <c r="AX404" s="815">
        <f>+AX397+AX379+AX365</f>
        <v>712825727</v>
      </c>
      <c r="AY404" s="815"/>
      <c r="AZ404" s="815"/>
      <c r="BA404" s="815">
        <f>+BA397+BA379+BA365</f>
        <v>1578760388</v>
      </c>
      <c r="BB404" s="815"/>
      <c r="BC404" s="815"/>
      <c r="BD404" s="815">
        <f>+BD397+BD379+BD365</f>
        <v>0</v>
      </c>
      <c r="BE404" s="815"/>
      <c r="BF404" s="815"/>
      <c r="BG404" s="815">
        <f>+BG397+BG379+BG365</f>
        <v>3409296219</v>
      </c>
      <c r="BH404" s="815">
        <f>+BH397+BH379+BH365</f>
        <v>921621001.99000001</v>
      </c>
      <c r="BI404" s="815">
        <f>+BI397+BI379+BI365</f>
        <v>671235211</v>
      </c>
    </row>
    <row r="405" spans="1:68" ht="19.5" customHeight="1" x14ac:dyDescent="0.25">
      <c r="A405" s="816" t="s">
        <v>1460</v>
      </c>
      <c r="B405" s="816"/>
      <c r="C405" s="817"/>
      <c r="D405" s="818"/>
      <c r="E405" s="819"/>
      <c r="F405" s="820"/>
      <c r="G405" s="821"/>
      <c r="H405" s="822"/>
      <c r="I405" s="823"/>
      <c r="J405" s="824"/>
      <c r="K405" s="824"/>
      <c r="L405" s="823"/>
      <c r="M405" s="819"/>
      <c r="N405" s="822"/>
      <c r="O405" s="821"/>
      <c r="P405" s="821"/>
      <c r="Q405" s="819"/>
      <c r="R405" s="819"/>
      <c r="S405" s="823"/>
      <c r="T405" s="825">
        <f>+T363+T404</f>
        <v>15048821128.869999</v>
      </c>
      <c r="U405" s="825"/>
      <c r="V405" s="825"/>
      <c r="W405" s="825">
        <f>+W363+W404</f>
        <v>5428613946.8600006</v>
      </c>
      <c r="X405" s="825"/>
      <c r="Y405" s="825"/>
      <c r="Z405" s="825">
        <f>+Z363+Z404</f>
        <v>958872976.11000001</v>
      </c>
      <c r="AA405" s="825"/>
      <c r="AB405" s="825"/>
      <c r="AC405" s="825">
        <f>+AC363+AC404</f>
        <v>2854044988.79</v>
      </c>
      <c r="AD405" s="825"/>
      <c r="AE405" s="825"/>
      <c r="AF405" s="825">
        <f>+AF363+AF404</f>
        <v>6854735768.5</v>
      </c>
      <c r="AG405" s="825"/>
      <c r="AH405" s="825"/>
      <c r="AI405" s="825">
        <f>+AI363+AI404</f>
        <v>27403553738.380001</v>
      </c>
      <c r="AJ405" s="825"/>
      <c r="AK405" s="825"/>
      <c r="AL405" s="825">
        <f>+AL363+AL404</f>
        <v>134989913515.46001</v>
      </c>
      <c r="AM405" s="825"/>
      <c r="AN405" s="825"/>
      <c r="AO405" s="825">
        <f>+AO363+AO404</f>
        <v>23500000000</v>
      </c>
      <c r="AP405" s="825"/>
      <c r="AQ405" s="825"/>
      <c r="AR405" s="825">
        <f>+AR363+AR404</f>
        <v>12173030541.870001</v>
      </c>
      <c r="AS405" s="825"/>
      <c r="AT405" s="825"/>
      <c r="AU405" s="825">
        <f>+AU363+AU404</f>
        <v>2686652877.1199999</v>
      </c>
      <c r="AV405" s="825"/>
      <c r="AW405" s="825"/>
      <c r="AX405" s="825">
        <f>+AX363+AX404</f>
        <v>20550877195.408314</v>
      </c>
      <c r="AY405" s="825"/>
      <c r="AZ405" s="825"/>
      <c r="BA405" s="825">
        <f>+BA363+BA404</f>
        <v>2472842072.1100001</v>
      </c>
      <c r="BB405" s="825"/>
      <c r="BC405" s="825"/>
      <c r="BD405" s="825">
        <f>+BD363+BD404</f>
        <v>2855598673.3000002</v>
      </c>
      <c r="BE405" s="825"/>
      <c r="BF405" s="825"/>
      <c r="BG405" s="825">
        <f>+BG363+BG404</f>
        <v>257777557422.77832</v>
      </c>
      <c r="BH405" s="825">
        <f>+BH363+BH404</f>
        <v>111790021761.99001</v>
      </c>
      <c r="BI405" s="825">
        <f>+BI363+BI404</f>
        <v>78570077788.330002</v>
      </c>
      <c r="BJ405" s="55"/>
      <c r="BK405" s="55"/>
      <c r="BL405" s="55"/>
      <c r="BM405" s="55"/>
      <c r="BN405" s="55"/>
      <c r="BO405" s="55"/>
      <c r="BP405" s="55"/>
    </row>
  </sheetData>
  <sheetProtection password="A60F" sheet="1" objects="1" scenarios="1"/>
  <mergeCells count="231">
    <mergeCell ref="S389:S392"/>
    <mergeCell ref="Q400:Q403"/>
    <mergeCell ref="R400:R403"/>
    <mergeCell ref="S400:S403"/>
    <mergeCell ref="B381:B382"/>
    <mergeCell ref="B386:B387"/>
    <mergeCell ref="B389:B392"/>
    <mergeCell ref="C389:C392"/>
    <mergeCell ref="Q389:Q392"/>
    <mergeCell ref="R389:R392"/>
    <mergeCell ref="A363:F363"/>
    <mergeCell ref="Q368:Q369"/>
    <mergeCell ref="R368:R369"/>
    <mergeCell ref="S368:S369"/>
    <mergeCell ref="Q371:Q372"/>
    <mergeCell ref="R371:R372"/>
    <mergeCell ref="S371:S372"/>
    <mergeCell ref="B361:B362"/>
    <mergeCell ref="C361:C362"/>
    <mergeCell ref="E361:E362"/>
    <mergeCell ref="Q361:Q362"/>
    <mergeCell ref="R361:R362"/>
    <mergeCell ref="S361:S362"/>
    <mergeCell ref="R341:R344"/>
    <mergeCell ref="S341:S344"/>
    <mergeCell ref="B349:B351"/>
    <mergeCell ref="C350:C351"/>
    <mergeCell ref="Q350:Q351"/>
    <mergeCell ref="R350:R351"/>
    <mergeCell ref="S350:S351"/>
    <mergeCell ref="E341:E342"/>
    <mergeCell ref="F341:F342"/>
    <mergeCell ref="G341:G342"/>
    <mergeCell ref="H341:H342"/>
    <mergeCell ref="I341:I342"/>
    <mergeCell ref="Q341:Q344"/>
    <mergeCell ref="E332:E333"/>
    <mergeCell ref="Q332:Q333"/>
    <mergeCell ref="R332:R333"/>
    <mergeCell ref="Q339:Q340"/>
    <mergeCell ref="R339:R340"/>
    <mergeCell ref="S339:S340"/>
    <mergeCell ref="Q327:Q328"/>
    <mergeCell ref="R327:R328"/>
    <mergeCell ref="S327:S328"/>
    <mergeCell ref="Q329:Q330"/>
    <mergeCell ref="R329:R330"/>
    <mergeCell ref="S329:S330"/>
    <mergeCell ref="Q322:Q323"/>
    <mergeCell ref="R322:R323"/>
    <mergeCell ref="S322:S323"/>
    <mergeCell ref="Q324:Q326"/>
    <mergeCell ref="R324:R326"/>
    <mergeCell ref="S324:S326"/>
    <mergeCell ref="Q317:Q318"/>
    <mergeCell ref="R317:R318"/>
    <mergeCell ref="S317:S318"/>
    <mergeCell ref="Q319:Q321"/>
    <mergeCell ref="R319:R321"/>
    <mergeCell ref="S319:S321"/>
    <mergeCell ref="Q308:Q309"/>
    <mergeCell ref="R308:R309"/>
    <mergeCell ref="S308:S309"/>
    <mergeCell ref="Q310:Q316"/>
    <mergeCell ref="R310:R316"/>
    <mergeCell ref="S310:S316"/>
    <mergeCell ref="S298:S302"/>
    <mergeCell ref="F301:F302"/>
    <mergeCell ref="G301:G302"/>
    <mergeCell ref="H301:H302"/>
    <mergeCell ref="I301:I302"/>
    <mergeCell ref="Q303:Q306"/>
    <mergeCell ref="R303:R306"/>
    <mergeCell ref="S303:S306"/>
    <mergeCell ref="F294:F295"/>
    <mergeCell ref="G294:G295"/>
    <mergeCell ref="H294:H295"/>
    <mergeCell ref="I294:I295"/>
    <mergeCell ref="Q298:Q302"/>
    <mergeCell ref="R298:R302"/>
    <mergeCell ref="Q290:Q291"/>
    <mergeCell ref="R290:R291"/>
    <mergeCell ref="S290:S291"/>
    <mergeCell ref="Q292:Q294"/>
    <mergeCell ref="R292:R294"/>
    <mergeCell ref="S292:S294"/>
    <mergeCell ref="Q263:Q265"/>
    <mergeCell ref="R263:R265"/>
    <mergeCell ref="S263:S265"/>
    <mergeCell ref="Q283:Q289"/>
    <mergeCell ref="R283:R289"/>
    <mergeCell ref="S283:S289"/>
    <mergeCell ref="Q254:Q255"/>
    <mergeCell ref="R254:R255"/>
    <mergeCell ref="S254:S255"/>
    <mergeCell ref="Q258:Q259"/>
    <mergeCell ref="R258:R259"/>
    <mergeCell ref="S258:S259"/>
    <mergeCell ref="R225:R227"/>
    <mergeCell ref="S225:S227"/>
    <mergeCell ref="Q236:Q237"/>
    <mergeCell ref="R236:R237"/>
    <mergeCell ref="S236:S237"/>
    <mergeCell ref="Q241:Q242"/>
    <mergeCell ref="R241:R242"/>
    <mergeCell ref="S241:S242"/>
    <mergeCell ref="E225:E226"/>
    <mergeCell ref="F225:F226"/>
    <mergeCell ref="G225:G226"/>
    <mergeCell ref="H225:H226"/>
    <mergeCell ref="I225:I226"/>
    <mergeCell ref="Q225:Q227"/>
    <mergeCell ref="S214:S219"/>
    <mergeCell ref="E223:E224"/>
    <mergeCell ref="F223:F224"/>
    <mergeCell ref="G223:G224"/>
    <mergeCell ref="H223:H224"/>
    <mergeCell ref="I223:I224"/>
    <mergeCell ref="Q223:Q224"/>
    <mergeCell ref="R223:R224"/>
    <mergeCell ref="S223:S224"/>
    <mergeCell ref="R214:R219"/>
    <mergeCell ref="E198:I198"/>
    <mergeCell ref="Q207:Q209"/>
    <mergeCell ref="R207:R209"/>
    <mergeCell ref="S207:S209"/>
    <mergeCell ref="Q210:Q211"/>
    <mergeCell ref="R210:R211"/>
    <mergeCell ref="S210:S211"/>
    <mergeCell ref="Q178:Q179"/>
    <mergeCell ref="R178:R179"/>
    <mergeCell ref="S178:S179"/>
    <mergeCell ref="Q185:Q186"/>
    <mergeCell ref="R185:R186"/>
    <mergeCell ref="S185:S186"/>
    <mergeCell ref="Q166:Q167"/>
    <mergeCell ref="R166:R167"/>
    <mergeCell ref="S166:S167"/>
    <mergeCell ref="Q175:Q176"/>
    <mergeCell ref="R175:R176"/>
    <mergeCell ref="S175:S176"/>
    <mergeCell ref="Q157:Q158"/>
    <mergeCell ref="R157:R158"/>
    <mergeCell ref="S157:S158"/>
    <mergeCell ref="Q159:Q161"/>
    <mergeCell ref="R159:R161"/>
    <mergeCell ref="S159:S161"/>
    <mergeCell ref="Q151:Q153"/>
    <mergeCell ref="R151:R153"/>
    <mergeCell ref="S151:S153"/>
    <mergeCell ref="Q155:Q156"/>
    <mergeCell ref="R155:R156"/>
    <mergeCell ref="S155:S156"/>
    <mergeCell ref="S136:S137"/>
    <mergeCell ref="Q138:Q140"/>
    <mergeCell ref="R138:R140"/>
    <mergeCell ref="S138:S140"/>
    <mergeCell ref="C143:C146"/>
    <mergeCell ref="Q143:Q146"/>
    <mergeCell ref="R143:R146"/>
    <mergeCell ref="S143:S146"/>
    <mergeCell ref="Q128:Q129"/>
    <mergeCell ref="R128:R129"/>
    <mergeCell ref="S128:S129"/>
    <mergeCell ref="B133:B146"/>
    <mergeCell ref="Q134:Q135"/>
    <mergeCell ref="R134:R135"/>
    <mergeCell ref="S134:S135"/>
    <mergeCell ref="C136:C141"/>
    <mergeCell ref="Q136:Q137"/>
    <mergeCell ref="R136:R137"/>
    <mergeCell ref="Q121:Q122"/>
    <mergeCell ref="R121:R122"/>
    <mergeCell ref="S121:S122"/>
    <mergeCell ref="Q123:Q124"/>
    <mergeCell ref="R123:R124"/>
    <mergeCell ref="S123:S124"/>
    <mergeCell ref="Q112:Q113"/>
    <mergeCell ref="R112:R113"/>
    <mergeCell ref="S112:S113"/>
    <mergeCell ref="Q114:Q115"/>
    <mergeCell ref="R114:R115"/>
    <mergeCell ref="S114:S115"/>
    <mergeCell ref="Q104:Q105"/>
    <mergeCell ref="R104:R105"/>
    <mergeCell ref="S104:S105"/>
    <mergeCell ref="Q107:Q108"/>
    <mergeCell ref="R107:R108"/>
    <mergeCell ref="S107:S108"/>
    <mergeCell ref="Q68:Q72"/>
    <mergeCell ref="R68:R72"/>
    <mergeCell ref="S68:S72"/>
    <mergeCell ref="Q91:Q95"/>
    <mergeCell ref="R91:R95"/>
    <mergeCell ref="S91:S95"/>
    <mergeCell ref="Q25:Q30"/>
    <mergeCell ref="R25:R30"/>
    <mergeCell ref="S25:S30"/>
    <mergeCell ref="AC5:AE5"/>
    <mergeCell ref="AF5:AH5"/>
    <mergeCell ref="AI5:AK5"/>
    <mergeCell ref="AL5:AN5"/>
    <mergeCell ref="AO5:AQ5"/>
    <mergeCell ref="AR5:AT5"/>
    <mergeCell ref="Q5:Q6"/>
    <mergeCell ref="R5:R6"/>
    <mergeCell ref="S5:S6"/>
    <mergeCell ref="T5:V5"/>
    <mergeCell ref="W5:Y5"/>
    <mergeCell ref="Z5:AB5"/>
    <mergeCell ref="J5:J6"/>
    <mergeCell ref="K5:K6"/>
    <mergeCell ref="L5:L6"/>
    <mergeCell ref="M5:M6"/>
    <mergeCell ref="N5:N6"/>
    <mergeCell ref="O5:P5"/>
    <mergeCell ref="A1:BG4"/>
    <mergeCell ref="A5:A6"/>
    <mergeCell ref="B5:B6"/>
    <mergeCell ref="C5:C6"/>
    <mergeCell ref="D5:D6"/>
    <mergeCell ref="E5:E6"/>
    <mergeCell ref="F5:F6"/>
    <mergeCell ref="G5:G6"/>
    <mergeCell ref="H5:H6"/>
    <mergeCell ref="I5:I6"/>
    <mergeCell ref="AU5:AW5"/>
    <mergeCell ref="AX5:AZ5"/>
    <mergeCell ref="BA5:BC5"/>
    <mergeCell ref="BD5:BF5"/>
    <mergeCell ref="BG5:BI5"/>
  </mergeCells>
  <conditionalFormatting sqref="K283">
    <cfRule type="duplicateValues" dxfId="31" priority="31"/>
  </conditionalFormatting>
  <conditionalFormatting sqref="K283">
    <cfRule type="duplicateValues" dxfId="30" priority="32"/>
  </conditionalFormatting>
  <conditionalFormatting sqref="K290">
    <cfRule type="duplicateValues" dxfId="29" priority="29"/>
  </conditionalFormatting>
  <conditionalFormatting sqref="K290">
    <cfRule type="duplicateValues" dxfId="28" priority="30"/>
  </conditionalFormatting>
  <conditionalFormatting sqref="K299">
    <cfRule type="duplicateValues" dxfId="27" priority="27"/>
  </conditionalFormatting>
  <conditionalFormatting sqref="K299">
    <cfRule type="duplicateValues" dxfId="26" priority="28"/>
  </conditionalFormatting>
  <conditionalFormatting sqref="K124">
    <cfRule type="duplicateValues" dxfId="25" priority="25"/>
  </conditionalFormatting>
  <conditionalFormatting sqref="K125">
    <cfRule type="duplicateValues" dxfId="24" priority="26"/>
  </conditionalFormatting>
  <conditionalFormatting sqref="K152">
    <cfRule type="duplicateValues" dxfId="23" priority="24"/>
  </conditionalFormatting>
  <conditionalFormatting sqref="K153">
    <cfRule type="duplicateValues" dxfId="22" priority="23"/>
  </conditionalFormatting>
  <conditionalFormatting sqref="K272">
    <cfRule type="duplicateValues" dxfId="21" priority="21"/>
  </conditionalFormatting>
  <conditionalFormatting sqref="K272">
    <cfRule type="duplicateValues" dxfId="20" priority="22"/>
  </conditionalFormatting>
  <conditionalFormatting sqref="K159">
    <cfRule type="duplicateValues" dxfId="19" priority="20"/>
  </conditionalFormatting>
  <conditionalFormatting sqref="K160">
    <cfRule type="duplicateValues" dxfId="18" priority="19"/>
  </conditionalFormatting>
  <conditionalFormatting sqref="K161">
    <cfRule type="duplicateValues" dxfId="17" priority="16"/>
  </conditionalFormatting>
  <conditionalFormatting sqref="K161">
    <cfRule type="duplicateValues" dxfId="16" priority="17"/>
  </conditionalFormatting>
  <conditionalFormatting sqref="K161">
    <cfRule type="duplicateValues" dxfId="15" priority="18"/>
  </conditionalFormatting>
  <conditionalFormatting sqref="K158">
    <cfRule type="duplicateValues" dxfId="14" priority="14"/>
  </conditionalFormatting>
  <conditionalFormatting sqref="K158">
    <cfRule type="duplicateValues" dxfId="13" priority="15"/>
  </conditionalFormatting>
  <conditionalFormatting sqref="K162">
    <cfRule type="duplicateValues" dxfId="12" priority="12"/>
  </conditionalFormatting>
  <conditionalFormatting sqref="K162">
    <cfRule type="duplicateValues" dxfId="11" priority="13"/>
  </conditionalFormatting>
  <conditionalFormatting sqref="K154">
    <cfRule type="duplicateValues" dxfId="10" priority="11"/>
  </conditionalFormatting>
  <conditionalFormatting sqref="K164">
    <cfRule type="duplicateValues" dxfId="9" priority="9"/>
  </conditionalFormatting>
  <conditionalFormatting sqref="K164">
    <cfRule type="duplicateValues" dxfId="8" priority="10"/>
  </conditionalFormatting>
  <conditionalFormatting sqref="K173">
    <cfRule type="duplicateValues" dxfId="7" priority="7"/>
  </conditionalFormatting>
  <conditionalFormatting sqref="K173">
    <cfRule type="duplicateValues" dxfId="6" priority="8"/>
  </conditionalFormatting>
  <conditionalFormatting sqref="K175">
    <cfRule type="duplicateValues" dxfId="5" priority="5"/>
  </conditionalFormatting>
  <conditionalFormatting sqref="K175">
    <cfRule type="duplicateValues" dxfId="4" priority="6"/>
  </conditionalFormatting>
  <conditionalFormatting sqref="K176">
    <cfRule type="duplicateValues" dxfId="3" priority="3"/>
  </conditionalFormatting>
  <conditionalFormatting sqref="K176">
    <cfRule type="duplicateValues" dxfId="2" priority="4"/>
  </conditionalFormatting>
  <conditionalFormatting sqref="K300">
    <cfRule type="duplicateValues" dxfId="1" priority="1"/>
  </conditionalFormatting>
  <conditionalFormatting sqref="K300">
    <cfRule type="duplicateValues" dxfId="0" priority="2"/>
  </conditionalFormatting>
  <pageMargins left="0.7" right="0.7" top="0.75" bottom="0.75" header="0.3" footer="0.3"/>
  <pageSetup orientation="portrait" horizontalDpi="360" verticalDpi="360"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77"/>
  <sheetViews>
    <sheetView showGridLines="0" zoomScaleNormal="100" workbookViewId="0">
      <pane ySplit="5" topLeftCell="A6" activePane="bottomLeft" state="frozen"/>
      <selection pane="bottomLeft" activeCell="E100" sqref="E100"/>
    </sheetView>
  </sheetViews>
  <sheetFormatPr baseColWidth="10" defaultColWidth="11.42578125" defaultRowHeight="11.25" x14ac:dyDescent="0.2"/>
  <cols>
    <col min="1" max="1" width="3.85546875" style="734" customWidth="1"/>
    <col min="2" max="2" width="15.28515625" style="773" customWidth="1"/>
    <col min="3" max="3" width="25.5703125" style="773" customWidth="1"/>
    <col min="4" max="4" width="14.85546875" style="774" customWidth="1"/>
    <col min="5" max="5" width="39.5703125" style="773" customWidth="1"/>
    <col min="6" max="6" width="16.85546875" style="775" customWidth="1"/>
    <col min="7" max="8" width="17.7109375" style="734" customWidth="1"/>
    <col min="9" max="9" width="15.5703125" style="734" bestFit="1" customWidth="1"/>
    <col min="10" max="10" width="15.85546875" style="734" customWidth="1"/>
    <col min="11" max="11" width="15.42578125" style="734" customWidth="1"/>
    <col min="12" max="16384" width="11.42578125" style="734"/>
  </cols>
  <sheetData>
    <row r="1" spans="1:11" ht="11.25" customHeight="1" x14ac:dyDescent="0.2">
      <c r="A1" s="848"/>
      <c r="B1" s="970" t="s">
        <v>1494</v>
      </c>
      <c r="C1" s="971"/>
      <c r="D1" s="971"/>
      <c r="E1" s="971"/>
      <c r="F1" s="971"/>
      <c r="G1" s="971"/>
      <c r="H1" s="972"/>
    </row>
    <row r="2" spans="1:11" ht="9.75" customHeight="1" x14ac:dyDescent="0.2">
      <c r="A2" s="849"/>
      <c r="B2" s="973"/>
      <c r="C2" s="974"/>
      <c r="D2" s="974"/>
      <c r="E2" s="974"/>
      <c r="F2" s="974"/>
      <c r="G2" s="974"/>
      <c r="H2" s="975"/>
    </row>
    <row r="3" spans="1:11" ht="16.5" customHeight="1" thickBot="1" x14ac:dyDescent="0.25">
      <c r="A3" s="849"/>
      <c r="B3" s="973"/>
      <c r="C3" s="974"/>
      <c r="D3" s="974"/>
      <c r="E3" s="974"/>
      <c r="F3" s="974"/>
      <c r="G3" s="974"/>
      <c r="H3" s="975"/>
    </row>
    <row r="4" spans="1:11" ht="18.75" customHeight="1" thickBot="1" x14ac:dyDescent="0.25">
      <c r="A4" s="849"/>
      <c r="B4" s="976" t="s">
        <v>1495</v>
      </c>
      <c r="C4" s="977"/>
      <c r="D4" s="977"/>
      <c r="E4" s="977"/>
      <c r="F4" s="977"/>
      <c r="G4" s="977"/>
      <c r="H4" s="978"/>
    </row>
    <row r="5" spans="1:11" s="735" customFormat="1" ht="20.25" customHeight="1" thickBot="1" x14ac:dyDescent="0.3">
      <c r="A5" s="850"/>
      <c r="B5" s="836" t="s">
        <v>1497</v>
      </c>
      <c r="C5" s="777" t="s">
        <v>67</v>
      </c>
      <c r="D5" s="846" t="s">
        <v>1461</v>
      </c>
      <c r="E5" s="777" t="s">
        <v>1462</v>
      </c>
      <c r="F5" s="847" t="s">
        <v>1463</v>
      </c>
      <c r="G5" s="776" t="s">
        <v>17</v>
      </c>
      <c r="H5" s="776" t="s">
        <v>1496</v>
      </c>
    </row>
    <row r="6" spans="1:11" s="735" customFormat="1" ht="16.5" customHeight="1" thickBot="1" x14ac:dyDescent="0.3">
      <c r="A6" s="850"/>
      <c r="B6" s="806" t="s">
        <v>1464</v>
      </c>
      <c r="C6" s="757"/>
      <c r="D6" s="757"/>
      <c r="E6" s="757"/>
      <c r="F6" s="757"/>
      <c r="G6" s="757"/>
      <c r="H6" s="851"/>
    </row>
    <row r="7" spans="1:11" s="736" customFormat="1" ht="17.25" customHeight="1" thickBot="1" x14ac:dyDescent="0.3">
      <c r="A7" s="852"/>
      <c r="B7" s="963" t="s">
        <v>1465</v>
      </c>
      <c r="C7" s="964"/>
      <c r="D7" s="964"/>
      <c r="E7" s="964"/>
      <c r="F7" s="800">
        <f>SUM(F8:F10)</f>
        <v>146122927.59999999</v>
      </c>
      <c r="G7" s="797">
        <f t="shared" ref="G7:H7" si="0">SUM(G8:G10)</f>
        <v>0</v>
      </c>
      <c r="H7" s="797">
        <f t="shared" si="0"/>
        <v>0</v>
      </c>
      <c r="I7" s="740"/>
    </row>
    <row r="8" spans="1:11" ht="34.5" customHeight="1" x14ac:dyDescent="0.2">
      <c r="A8" s="853">
        <v>1</v>
      </c>
      <c r="B8" s="965" t="s">
        <v>101</v>
      </c>
      <c r="C8" s="968" t="s">
        <v>103</v>
      </c>
      <c r="D8" s="786" t="s">
        <v>111</v>
      </c>
      <c r="E8" s="796" t="s">
        <v>1466</v>
      </c>
      <c r="F8" s="787">
        <f>'SGTO POAI JUNIO 2020'!BG11</f>
        <v>60000000</v>
      </c>
      <c r="G8" s="793">
        <f>'SGTO POAI JUNIO 2020'!BH11</f>
        <v>0</v>
      </c>
      <c r="H8" s="793">
        <f>'SGTO POAI JUNIO 2020'!BI11</f>
        <v>0</v>
      </c>
    </row>
    <row r="9" spans="1:11" ht="34.5" customHeight="1" x14ac:dyDescent="0.2">
      <c r="A9" s="853">
        <v>2</v>
      </c>
      <c r="B9" s="966"/>
      <c r="C9" s="969"/>
      <c r="D9" s="738" t="s">
        <v>117</v>
      </c>
      <c r="E9" s="784" t="s">
        <v>118</v>
      </c>
      <c r="F9" s="744">
        <f>'SGTO POAI JUNIO 2020'!BG12</f>
        <v>31000000</v>
      </c>
      <c r="G9" s="739">
        <f>'SGTO POAI JUNIO 2020'!BH12</f>
        <v>0</v>
      </c>
      <c r="H9" s="739">
        <f>'SGTO POAI JUNIO 2020'!BI12</f>
        <v>0</v>
      </c>
    </row>
    <row r="10" spans="1:11" ht="45.75" thickBot="1" x14ac:dyDescent="0.25">
      <c r="A10" s="853">
        <v>3</v>
      </c>
      <c r="B10" s="967"/>
      <c r="C10" s="839" t="s">
        <v>119</v>
      </c>
      <c r="D10" s="745" t="s">
        <v>126</v>
      </c>
      <c r="E10" s="798" t="s">
        <v>0</v>
      </c>
      <c r="F10" s="746">
        <f>'SGTO POAI JUNIO 2020'!BG14</f>
        <v>55122927.600000001</v>
      </c>
      <c r="G10" s="799">
        <f>'SGTO POAI JUNIO 2020'!BH14</f>
        <v>0</v>
      </c>
      <c r="H10" s="799">
        <f>'SGTO POAI JUNIO 2020'!BI14</f>
        <v>0</v>
      </c>
    </row>
    <row r="11" spans="1:11" s="736" customFormat="1" ht="17.25" customHeight="1" thickBot="1" x14ac:dyDescent="0.3">
      <c r="A11" s="850"/>
      <c r="B11" s="963" t="s">
        <v>1467</v>
      </c>
      <c r="C11" s="964"/>
      <c r="D11" s="964"/>
      <c r="E11" s="964"/>
      <c r="F11" s="800">
        <f>SUM(F12:F18)</f>
        <v>1063529522.3</v>
      </c>
      <c r="G11" s="797">
        <f t="shared" ref="G11:H11" si="1">SUM(G12:G18)</f>
        <v>270768332</v>
      </c>
      <c r="H11" s="797">
        <f t="shared" si="1"/>
        <v>190375000</v>
      </c>
      <c r="I11" s="740"/>
      <c r="J11" s="740"/>
      <c r="K11" s="740"/>
    </row>
    <row r="12" spans="1:11" ht="49.5" customHeight="1" x14ac:dyDescent="0.2">
      <c r="A12" s="853">
        <v>4</v>
      </c>
      <c r="B12" s="965" t="s">
        <v>128</v>
      </c>
      <c r="C12" s="837" t="s">
        <v>119</v>
      </c>
      <c r="D12" s="786" t="s">
        <v>134</v>
      </c>
      <c r="E12" s="796" t="s">
        <v>135</v>
      </c>
      <c r="F12" s="787">
        <f>'SGTO POAI JUNIO 2020'!BG19</f>
        <v>200000000</v>
      </c>
      <c r="G12" s="793">
        <f>'SGTO POAI JUNIO 2020'!BH19</f>
        <v>6425000</v>
      </c>
      <c r="H12" s="793">
        <f>'SGTO POAI JUNIO 2020'!BI19</f>
        <v>6425000</v>
      </c>
    </row>
    <row r="13" spans="1:11" ht="22.5" x14ac:dyDescent="0.2">
      <c r="A13" s="853">
        <v>5</v>
      </c>
      <c r="B13" s="966"/>
      <c r="C13" s="979" t="s">
        <v>136</v>
      </c>
      <c r="D13" s="738" t="s">
        <v>141</v>
      </c>
      <c r="E13" s="784" t="s">
        <v>142</v>
      </c>
      <c r="F13" s="744">
        <f>'SGTO POAI JUNIO 2020'!BG21</f>
        <v>153233333</v>
      </c>
      <c r="G13" s="739">
        <f>'SGTO POAI JUNIO 2020'!BH21</f>
        <v>153233333</v>
      </c>
      <c r="H13" s="739">
        <f>'SGTO POAI JUNIO 2020'!BI21</f>
        <v>87733333</v>
      </c>
    </row>
    <row r="14" spans="1:11" s="742" customFormat="1" ht="33.75" customHeight="1" x14ac:dyDescent="0.2">
      <c r="A14" s="853">
        <v>6</v>
      </c>
      <c r="B14" s="966"/>
      <c r="C14" s="968"/>
      <c r="D14" s="738" t="s">
        <v>144</v>
      </c>
      <c r="E14" s="784" t="s">
        <v>145</v>
      </c>
      <c r="F14" s="785">
        <f>'SGTO POAI JUNIO 2020'!BG22</f>
        <v>155000000</v>
      </c>
      <c r="G14" s="741">
        <f>'SGTO POAI JUNIO 2020'!BH22</f>
        <v>13916667</v>
      </c>
      <c r="H14" s="741">
        <f>'SGTO POAI JUNIO 2020'!BI22</f>
        <v>13916667</v>
      </c>
    </row>
    <row r="15" spans="1:11" ht="22.5" x14ac:dyDescent="0.2">
      <c r="A15" s="853">
        <v>7</v>
      </c>
      <c r="B15" s="966"/>
      <c r="C15" s="968"/>
      <c r="D15" s="738" t="s">
        <v>150</v>
      </c>
      <c r="E15" s="784" t="s">
        <v>151</v>
      </c>
      <c r="F15" s="744">
        <f>'SGTO POAI JUNIO 2020'!BG23</f>
        <v>40000000</v>
      </c>
      <c r="G15" s="739">
        <f>'SGTO POAI JUNIO 2020'!BH23</f>
        <v>6906666</v>
      </c>
      <c r="H15" s="739">
        <f>'SGTO POAI JUNIO 2020'!BI23</f>
        <v>5600000</v>
      </c>
    </row>
    <row r="16" spans="1:11" ht="33.75" x14ac:dyDescent="0.2">
      <c r="A16" s="853">
        <v>8</v>
      </c>
      <c r="B16" s="966"/>
      <c r="C16" s="968"/>
      <c r="D16" s="738" t="s">
        <v>156</v>
      </c>
      <c r="E16" s="784" t="s">
        <v>157</v>
      </c>
      <c r="F16" s="744">
        <f>'SGTO POAI JUNIO 2020'!BG24</f>
        <v>250000000</v>
      </c>
      <c r="G16" s="739">
        <f>'SGTO POAI JUNIO 2020'!BH24</f>
        <v>61786666</v>
      </c>
      <c r="H16" s="739">
        <f>'SGTO POAI JUNIO 2020'!BI24</f>
        <v>48200000</v>
      </c>
    </row>
    <row r="17" spans="1:11" ht="33.75" x14ac:dyDescent="0.2">
      <c r="A17" s="853">
        <v>9</v>
      </c>
      <c r="B17" s="966"/>
      <c r="C17" s="968"/>
      <c r="D17" s="738" t="s">
        <v>163</v>
      </c>
      <c r="E17" s="784" t="s">
        <v>164</v>
      </c>
      <c r="F17" s="744">
        <f>SUM('SGTO POAI JUNIO 2020'!BG25:BG30)</f>
        <v>191637522.30000001</v>
      </c>
      <c r="G17" s="739">
        <f>SUM('SGTO POAI JUNIO 2020'!BH25:BH30)</f>
        <v>28500000</v>
      </c>
      <c r="H17" s="739">
        <f>SUM('SGTO POAI JUNIO 2020'!BI25:BI30)</f>
        <v>28500000</v>
      </c>
    </row>
    <row r="18" spans="1:11" ht="36.75" customHeight="1" thickBot="1" x14ac:dyDescent="0.25">
      <c r="A18" s="853">
        <v>10</v>
      </c>
      <c r="B18" s="967"/>
      <c r="C18" s="968"/>
      <c r="D18" s="745" t="s">
        <v>181</v>
      </c>
      <c r="E18" s="798" t="s">
        <v>182</v>
      </c>
      <c r="F18" s="746">
        <f>'SGTO POAI JUNIO 2020'!BG31</f>
        <v>73658667</v>
      </c>
      <c r="G18" s="799">
        <f>+'[1]POAI JULIO 31-2020'!AG30</f>
        <v>0</v>
      </c>
      <c r="H18" s="799">
        <f>+'[1]POAI JULIO 31-2020'!AH30</f>
        <v>0</v>
      </c>
    </row>
    <row r="19" spans="1:11" ht="17.25" customHeight="1" thickBot="1" x14ac:dyDescent="0.25">
      <c r="A19" s="853"/>
      <c r="B19" s="963" t="s">
        <v>1468</v>
      </c>
      <c r="C19" s="964"/>
      <c r="D19" s="964"/>
      <c r="E19" s="964"/>
      <c r="F19" s="797">
        <f>SUM(F20:F21)</f>
        <v>2291134000</v>
      </c>
      <c r="G19" s="797">
        <f t="shared" ref="G19:H19" si="2">SUM(G20:G21)</f>
        <v>785519199</v>
      </c>
      <c r="H19" s="797">
        <f t="shared" si="2"/>
        <v>412572565</v>
      </c>
      <c r="I19" s="743"/>
      <c r="J19" s="743"/>
      <c r="K19" s="743"/>
    </row>
    <row r="20" spans="1:11" ht="33.75" x14ac:dyDescent="0.2">
      <c r="A20" s="853">
        <v>11</v>
      </c>
      <c r="B20" s="980" t="s">
        <v>128</v>
      </c>
      <c r="C20" s="969" t="s">
        <v>103</v>
      </c>
      <c r="D20" s="786" t="s">
        <v>189</v>
      </c>
      <c r="E20" s="837" t="s">
        <v>1469</v>
      </c>
      <c r="F20" s="793">
        <f>'SGTO POAI JUNIO 2020'!BG36</f>
        <v>1720270000</v>
      </c>
      <c r="G20" s="793">
        <f>'SGTO POAI JUNIO 2020'!BH36</f>
        <v>642052535</v>
      </c>
      <c r="H20" s="793">
        <f>'SGTO POAI JUNIO 2020'!BI36</f>
        <v>281105901</v>
      </c>
    </row>
    <row r="21" spans="1:11" ht="45.75" thickBot="1" x14ac:dyDescent="0.25">
      <c r="A21" s="853">
        <v>12</v>
      </c>
      <c r="B21" s="981"/>
      <c r="C21" s="979"/>
      <c r="D21" s="745" t="s">
        <v>195</v>
      </c>
      <c r="E21" s="839" t="s">
        <v>1470</v>
      </c>
      <c r="F21" s="799">
        <f>'SGTO POAI JUNIO 2020'!BG37</f>
        <v>570864000</v>
      </c>
      <c r="G21" s="799">
        <f>'SGTO POAI JUNIO 2020'!BH37</f>
        <v>143466664</v>
      </c>
      <c r="H21" s="799">
        <f>'SGTO POAI JUNIO 2020'!BI37</f>
        <v>131466664</v>
      </c>
    </row>
    <row r="22" spans="1:11" ht="18" customHeight="1" thickBot="1" x14ac:dyDescent="0.25">
      <c r="A22" s="853"/>
      <c r="B22" s="963" t="s">
        <v>1471</v>
      </c>
      <c r="C22" s="964"/>
      <c r="D22" s="964"/>
      <c r="E22" s="964"/>
      <c r="F22" s="797">
        <f>SUM(F23:F37)</f>
        <v>11377317547.620001</v>
      </c>
      <c r="G22" s="797">
        <f>SUM(G23:G37)</f>
        <v>495649665</v>
      </c>
      <c r="H22" s="797">
        <f>SUM(H23:H37)</f>
        <v>328786008</v>
      </c>
      <c r="I22" s="743"/>
      <c r="J22" s="743"/>
      <c r="K22" s="743"/>
    </row>
    <row r="23" spans="1:11" ht="33.75" x14ac:dyDescent="0.2">
      <c r="A23" s="853">
        <v>13</v>
      </c>
      <c r="B23" s="985" t="s">
        <v>1</v>
      </c>
      <c r="C23" s="837" t="s">
        <v>198</v>
      </c>
      <c r="D23" s="786" t="s">
        <v>206</v>
      </c>
      <c r="E23" s="837" t="s">
        <v>207</v>
      </c>
      <c r="F23" s="787">
        <f>'SGTO POAI JUNIO 2020'!BG42</f>
        <v>3000000</v>
      </c>
      <c r="G23" s="787">
        <f>'SGTO POAI JUNIO 2020'!BH42</f>
        <v>0</v>
      </c>
      <c r="H23" s="793">
        <f>'SGTO POAI JUNIO 2020'!BI42</f>
        <v>0</v>
      </c>
    </row>
    <row r="24" spans="1:11" ht="33.75" x14ac:dyDescent="0.2">
      <c r="A24" s="853">
        <v>14</v>
      </c>
      <c r="B24" s="985"/>
      <c r="C24" s="838" t="s">
        <v>208</v>
      </c>
      <c r="D24" s="738" t="s">
        <v>215</v>
      </c>
      <c r="E24" s="838" t="s">
        <v>216</v>
      </c>
      <c r="F24" s="744">
        <f>'SGTO POAI JUNIO 2020'!BG44</f>
        <v>2000000</v>
      </c>
      <c r="G24" s="744">
        <f>'SGTO POAI JUNIO 2020'!BH44</f>
        <v>0</v>
      </c>
      <c r="H24" s="739">
        <f>'SGTO POAI JUNIO 2020'!BI44</f>
        <v>0</v>
      </c>
    </row>
    <row r="25" spans="1:11" ht="56.25" customHeight="1" x14ac:dyDescent="0.2">
      <c r="A25" s="986">
        <v>15</v>
      </c>
      <c r="B25" s="985"/>
      <c r="C25" s="838" t="s">
        <v>217</v>
      </c>
      <c r="D25" s="738" t="s">
        <v>225</v>
      </c>
      <c r="E25" s="838" t="s">
        <v>226</v>
      </c>
      <c r="F25" s="744">
        <f>'SGTO POAI JUNIO 2020'!BG46</f>
        <v>2575091000</v>
      </c>
      <c r="G25" s="744">
        <f>'SGTO POAI JUNIO 2020'!BH46</f>
        <v>159888333</v>
      </c>
      <c r="H25" s="739">
        <f>'SGTO POAI JUNIO 2020'!BI46</f>
        <v>126110325</v>
      </c>
    </row>
    <row r="26" spans="1:11" ht="33.75" customHeight="1" x14ac:dyDescent="0.2">
      <c r="A26" s="986"/>
      <c r="B26" s="985"/>
      <c r="C26" s="838" t="s">
        <v>227</v>
      </c>
      <c r="D26" s="738" t="s">
        <v>225</v>
      </c>
      <c r="E26" s="838" t="s">
        <v>226</v>
      </c>
      <c r="F26" s="744">
        <f>'SGTO POAI JUNIO 2020'!BG48</f>
        <v>50000000</v>
      </c>
      <c r="G26" s="744">
        <f>'SGTO POAI JUNIO 2020'!BH48</f>
        <v>0</v>
      </c>
      <c r="H26" s="739">
        <f>'SGTO POAI JUNIO 2020'!BI48</f>
        <v>0</v>
      </c>
    </row>
    <row r="27" spans="1:11" ht="33.75" x14ac:dyDescent="0.2">
      <c r="A27" s="986"/>
      <c r="B27" s="985"/>
      <c r="C27" s="838" t="s">
        <v>236</v>
      </c>
      <c r="D27" s="738" t="s">
        <v>225</v>
      </c>
      <c r="E27" s="838" t="s">
        <v>226</v>
      </c>
      <c r="F27" s="744">
        <f>'SGTO POAI JUNIO 2020'!BG50</f>
        <v>1668660142</v>
      </c>
      <c r="G27" s="744">
        <f>'SGTO POAI JUNIO 2020'!BH50</f>
        <v>89292000</v>
      </c>
      <c r="H27" s="739">
        <f>'SGTO POAI JUNIO 2020'!BI50</f>
        <v>76775000</v>
      </c>
    </row>
    <row r="28" spans="1:11" s="736" customFormat="1" ht="36.75" customHeight="1" x14ac:dyDescent="0.25">
      <c r="A28" s="986"/>
      <c r="B28" s="985"/>
      <c r="C28" s="838" t="s">
        <v>243</v>
      </c>
      <c r="D28" s="738" t="s">
        <v>225</v>
      </c>
      <c r="E28" s="838" t="s">
        <v>226</v>
      </c>
      <c r="F28" s="744">
        <f>'SGTO POAI JUNIO 2020'!BG52</f>
        <v>1668660141.6500001</v>
      </c>
      <c r="G28" s="744">
        <f>'SGTO POAI JUNIO 2020'!BH52</f>
        <v>0</v>
      </c>
      <c r="H28" s="739">
        <f>'SGTO POAI JUNIO 2020'!BI52</f>
        <v>0</v>
      </c>
    </row>
    <row r="29" spans="1:11" ht="39.75" customHeight="1" x14ac:dyDescent="0.2">
      <c r="A29" s="982">
        <v>16</v>
      </c>
      <c r="B29" s="984" t="s">
        <v>2</v>
      </c>
      <c r="C29" s="838" t="s">
        <v>247</v>
      </c>
      <c r="D29" s="738" t="s">
        <v>253</v>
      </c>
      <c r="E29" s="838" t="s">
        <v>254</v>
      </c>
      <c r="F29" s="744">
        <f>'SGTO POAI JUNIO 2020'!BG55</f>
        <v>2000000</v>
      </c>
      <c r="G29" s="744">
        <f>'SGTO POAI JUNIO 2020'!BH55</f>
        <v>0</v>
      </c>
      <c r="H29" s="739">
        <f>'SGTO POAI JUNIO 2020'!BI55</f>
        <v>0</v>
      </c>
    </row>
    <row r="30" spans="1:11" ht="39.75" customHeight="1" x14ac:dyDescent="0.2">
      <c r="A30" s="982"/>
      <c r="B30" s="984"/>
      <c r="C30" s="838" t="s">
        <v>255</v>
      </c>
      <c r="D30" s="738" t="s">
        <v>253</v>
      </c>
      <c r="E30" s="838" t="s">
        <v>260</v>
      </c>
      <c r="F30" s="747">
        <f>'SGTO POAI JUNIO 2020'!BG57</f>
        <v>1000000</v>
      </c>
      <c r="G30" s="747">
        <f>'SGTO POAI JUNIO 2020'!BH57</f>
        <v>0</v>
      </c>
      <c r="H30" s="854">
        <f>'SGTO POAI JUNIO 2020'!BI57</f>
        <v>0</v>
      </c>
    </row>
    <row r="31" spans="1:11" ht="39.75" customHeight="1" x14ac:dyDescent="0.2">
      <c r="A31" s="982">
        <v>17</v>
      </c>
      <c r="B31" s="984" t="s">
        <v>3</v>
      </c>
      <c r="C31" s="838" t="s">
        <v>261</v>
      </c>
      <c r="D31" s="738" t="s">
        <v>268</v>
      </c>
      <c r="E31" s="838" t="s">
        <v>269</v>
      </c>
      <c r="F31" s="744">
        <f>'SGTO POAI JUNIO 2020'!BG60</f>
        <v>764157824.04999995</v>
      </c>
      <c r="G31" s="744">
        <f>'SGTO POAI JUNIO 2020'!BH60</f>
        <v>246469332</v>
      </c>
      <c r="H31" s="739">
        <f>'SGTO POAI JUNIO 2020'!BI60</f>
        <v>125900683</v>
      </c>
    </row>
    <row r="32" spans="1:11" ht="39.75" customHeight="1" x14ac:dyDescent="0.2">
      <c r="A32" s="982"/>
      <c r="B32" s="984"/>
      <c r="C32" s="838" t="s">
        <v>271</v>
      </c>
      <c r="D32" s="738" t="s">
        <v>253</v>
      </c>
      <c r="E32" s="838" t="s">
        <v>254</v>
      </c>
      <c r="F32" s="744">
        <f>'SGTO POAI JUNIO 2020'!BG62</f>
        <v>1000000</v>
      </c>
      <c r="G32" s="744">
        <f>'SGTO POAI JUNIO 2020'!BH62</f>
        <v>0</v>
      </c>
      <c r="H32" s="739">
        <f>'SGTO POAI JUNIO 2020'!BI62</f>
        <v>0</v>
      </c>
    </row>
    <row r="33" spans="1:11" ht="39.75" customHeight="1" x14ac:dyDescent="0.2">
      <c r="A33" s="982"/>
      <c r="B33" s="984"/>
      <c r="C33" s="838" t="s">
        <v>276</v>
      </c>
      <c r="D33" s="738" t="s">
        <v>268</v>
      </c>
      <c r="E33" s="838" t="s">
        <v>269</v>
      </c>
      <c r="F33" s="744">
        <f>'SGTO POAI JUNIO 2020'!BG64</f>
        <v>649797156.05999994</v>
      </c>
      <c r="G33" s="744">
        <f>'SGTO POAI JUNIO 2020'!BH64</f>
        <v>0</v>
      </c>
      <c r="H33" s="739">
        <f>'SGTO POAI JUNIO 2020'!BI64</f>
        <v>0</v>
      </c>
    </row>
    <row r="34" spans="1:11" ht="39.75" customHeight="1" x14ac:dyDescent="0.2">
      <c r="A34" s="853"/>
      <c r="B34" s="984"/>
      <c r="C34" s="838" t="s">
        <v>280</v>
      </c>
      <c r="D34" s="738" t="s">
        <v>225</v>
      </c>
      <c r="E34" s="838" t="s">
        <v>226</v>
      </c>
      <c r="F34" s="744">
        <f>'SGTO POAI JUNIO 2020'!BG66</f>
        <v>702546165</v>
      </c>
      <c r="G34" s="744">
        <f>'SGTO POAI JUNIO 2020'!BH66</f>
        <v>0</v>
      </c>
      <c r="H34" s="739">
        <f>'SGTO POAI JUNIO 2020'!BI66</f>
        <v>0</v>
      </c>
    </row>
    <row r="35" spans="1:11" ht="45" customHeight="1" x14ac:dyDescent="0.2">
      <c r="A35" s="853">
        <v>18</v>
      </c>
      <c r="B35" s="984"/>
      <c r="C35" s="838" t="s">
        <v>287</v>
      </c>
      <c r="D35" s="738" t="s">
        <v>295</v>
      </c>
      <c r="E35" s="838" t="s">
        <v>296</v>
      </c>
      <c r="F35" s="744">
        <f>SUM('SGTO POAI JUNIO 2020'!BG68:BG72)</f>
        <v>3192702877.1199999</v>
      </c>
      <c r="G35" s="744">
        <f>SUM('SGTO POAI JUNIO 2020'!BH68:BH72)</f>
        <v>0</v>
      </c>
      <c r="H35" s="739">
        <f>SUM('SGTO POAI JUNIO 2020'!BI68:BI72)</f>
        <v>0</v>
      </c>
    </row>
    <row r="36" spans="1:11" ht="47.25" customHeight="1" x14ac:dyDescent="0.2">
      <c r="A36" s="853"/>
      <c r="B36" s="984" t="s">
        <v>128</v>
      </c>
      <c r="C36" s="838" t="s">
        <v>103</v>
      </c>
      <c r="D36" s="738" t="s">
        <v>225</v>
      </c>
      <c r="E36" s="838" t="s">
        <v>226</v>
      </c>
      <c r="F36" s="744">
        <f>'SGTO POAI JUNIO 2020'!BG75</f>
        <v>72674512.579999998</v>
      </c>
      <c r="G36" s="744">
        <f>'SGTO POAI JUNIO 2020'!BH75</f>
        <v>0</v>
      </c>
      <c r="H36" s="739">
        <f>'SGTO POAI JUNIO 2020'!BI75</f>
        <v>0</v>
      </c>
    </row>
    <row r="37" spans="1:11" ht="46.5" customHeight="1" thickBot="1" x14ac:dyDescent="0.25">
      <c r="A37" s="853"/>
      <c r="B37" s="979"/>
      <c r="C37" s="839" t="s">
        <v>119</v>
      </c>
      <c r="D37" s="745" t="s">
        <v>225</v>
      </c>
      <c r="E37" s="839" t="s">
        <v>226</v>
      </c>
      <c r="F37" s="746">
        <f>'SGTO POAI JUNIO 2020'!BG77</f>
        <v>24027729.16</v>
      </c>
      <c r="G37" s="746">
        <f>'SGTO POAI JUNIO 2020'!BH77</f>
        <v>0</v>
      </c>
      <c r="H37" s="799">
        <f>'SGTO POAI JUNIO 2020'!BI77</f>
        <v>0</v>
      </c>
    </row>
    <row r="38" spans="1:11" ht="18" customHeight="1" thickBot="1" x14ac:dyDescent="0.25">
      <c r="A38" s="853"/>
      <c r="B38" s="963" t="s">
        <v>1472</v>
      </c>
      <c r="C38" s="964"/>
      <c r="D38" s="964"/>
      <c r="E38" s="964"/>
      <c r="F38" s="794">
        <f>SUM(F39:F53)</f>
        <v>6845730354.1600008</v>
      </c>
      <c r="G38" s="794">
        <f t="shared" ref="G38:H38" si="3">SUM(G39:G53)</f>
        <v>322548460</v>
      </c>
      <c r="H38" s="795">
        <f t="shared" si="3"/>
        <v>180071568</v>
      </c>
      <c r="I38" s="743"/>
      <c r="J38" s="743"/>
      <c r="K38" s="743"/>
    </row>
    <row r="39" spans="1:11" ht="22.5" x14ac:dyDescent="0.2">
      <c r="A39" s="853">
        <v>19</v>
      </c>
      <c r="B39" s="969" t="s">
        <v>1</v>
      </c>
      <c r="C39" s="837" t="s">
        <v>198</v>
      </c>
      <c r="D39" s="786" t="s">
        <v>329</v>
      </c>
      <c r="E39" s="837" t="s">
        <v>330</v>
      </c>
      <c r="F39" s="787">
        <f>'SGTO POAI JUNIO 2020'!BG83</f>
        <v>112128400</v>
      </c>
      <c r="G39" s="787">
        <f>'SGTO POAI JUNIO 2020'!BH83</f>
        <v>14200000</v>
      </c>
      <c r="H39" s="793">
        <f>'SGTO POAI JUNIO 2020'!BI83</f>
        <v>11200000</v>
      </c>
    </row>
    <row r="40" spans="1:11" ht="33.75" x14ac:dyDescent="0.2">
      <c r="A40" s="982">
        <v>20</v>
      </c>
      <c r="B40" s="984"/>
      <c r="C40" s="838" t="s">
        <v>331</v>
      </c>
      <c r="D40" s="738" t="s">
        <v>336</v>
      </c>
      <c r="E40" s="838" t="s">
        <v>337</v>
      </c>
      <c r="F40" s="744">
        <f>'SGTO POAI JUNIO 2020'!BG85</f>
        <v>15000000</v>
      </c>
      <c r="G40" s="744">
        <f>'SGTO POAI JUNIO 2020'!BH85</f>
        <v>620000</v>
      </c>
      <c r="H40" s="739">
        <f>'SGTO POAI JUNIO 2020'!BI85</f>
        <v>620000</v>
      </c>
    </row>
    <row r="41" spans="1:11" ht="45" x14ac:dyDescent="0.2">
      <c r="A41" s="982"/>
      <c r="B41" s="984"/>
      <c r="C41" s="838" t="s">
        <v>338</v>
      </c>
      <c r="D41" s="738" t="s">
        <v>336</v>
      </c>
      <c r="E41" s="838" t="s">
        <v>337</v>
      </c>
      <c r="F41" s="744">
        <f>'SGTO POAI JUNIO 2020'!BG87</f>
        <v>15000000</v>
      </c>
      <c r="G41" s="744">
        <f>'SGTO POAI JUNIO 2020'!BH87</f>
        <v>620000</v>
      </c>
      <c r="H41" s="739">
        <f>'SGTO POAI JUNIO 2020'!BI87</f>
        <v>620000</v>
      </c>
    </row>
    <row r="42" spans="1:11" ht="43.5" customHeight="1" x14ac:dyDescent="0.2">
      <c r="A42" s="853">
        <v>21</v>
      </c>
      <c r="B42" s="984"/>
      <c r="C42" s="838" t="s">
        <v>217</v>
      </c>
      <c r="D42" s="738" t="s">
        <v>349</v>
      </c>
      <c r="E42" s="838" t="s">
        <v>350</v>
      </c>
      <c r="F42" s="744">
        <f>'SGTO POAI JUNIO 2020'!BG89</f>
        <v>21866667</v>
      </c>
      <c r="G42" s="744">
        <f>'SGTO POAI JUNIO 2020'!BH89</f>
        <v>0</v>
      </c>
      <c r="H42" s="739">
        <f>'SGTO POAI JUNIO 2020'!BI89</f>
        <v>0</v>
      </c>
    </row>
    <row r="43" spans="1:11" ht="39.75" customHeight="1" x14ac:dyDescent="0.2">
      <c r="A43" s="853">
        <v>22</v>
      </c>
      <c r="B43" s="984"/>
      <c r="C43" s="838" t="s">
        <v>351</v>
      </c>
      <c r="D43" s="738" t="s">
        <v>358</v>
      </c>
      <c r="E43" s="838" t="s">
        <v>359</v>
      </c>
      <c r="F43" s="744">
        <f>SUM('SGTO POAI JUNIO 2020'!BG91:BG95)</f>
        <v>522730761</v>
      </c>
      <c r="G43" s="744">
        <f>SUM('SGTO POAI JUNIO 2020'!BH91:BH95)</f>
        <v>36458390</v>
      </c>
      <c r="H43" s="739">
        <f>SUM('SGTO POAI JUNIO 2020'!BI91:BI95)</f>
        <v>35383390</v>
      </c>
    </row>
    <row r="44" spans="1:11" ht="51" customHeight="1" x14ac:dyDescent="0.2">
      <c r="A44" s="853">
        <v>23</v>
      </c>
      <c r="B44" s="984"/>
      <c r="C44" s="838" t="s">
        <v>378</v>
      </c>
      <c r="D44" s="738" t="s">
        <v>384</v>
      </c>
      <c r="E44" s="838" t="s">
        <v>385</v>
      </c>
      <c r="F44" s="744">
        <f>'SGTO POAI JUNIO 2020'!BG97</f>
        <v>15738667</v>
      </c>
      <c r="G44" s="744">
        <f>'SGTO POAI JUNIO 2020'!BH97</f>
        <v>0</v>
      </c>
      <c r="H44" s="739">
        <f>'SGTO POAI JUNIO 2020'!BI97</f>
        <v>0</v>
      </c>
    </row>
    <row r="45" spans="1:11" ht="38.25" customHeight="1" x14ac:dyDescent="0.2">
      <c r="A45" s="853"/>
      <c r="B45" s="984"/>
      <c r="C45" s="984" t="s">
        <v>386</v>
      </c>
      <c r="D45" s="738" t="s">
        <v>336</v>
      </c>
      <c r="E45" s="838" t="s">
        <v>337</v>
      </c>
      <c r="F45" s="744">
        <f>'SGTO POAI JUNIO 2020'!BG99</f>
        <v>5428613946.8600006</v>
      </c>
      <c r="G45" s="744">
        <f>'SGTO POAI JUNIO 2020'!BH99</f>
        <v>118600000</v>
      </c>
      <c r="H45" s="739">
        <f>'SGTO POAI JUNIO 2020'!BI99</f>
        <v>3100000</v>
      </c>
    </row>
    <row r="46" spans="1:11" ht="51" customHeight="1" x14ac:dyDescent="0.2">
      <c r="A46" s="853"/>
      <c r="B46" s="984"/>
      <c r="C46" s="984"/>
      <c r="D46" s="738" t="s">
        <v>384</v>
      </c>
      <c r="E46" s="838" t="s">
        <v>385</v>
      </c>
      <c r="F46" s="744">
        <f>'SGTO POAI JUNIO 2020'!BG100</f>
        <v>94000000</v>
      </c>
      <c r="G46" s="744">
        <f>'SGTO POAI JUNIO 2020'!BH100</f>
        <v>19392334</v>
      </c>
      <c r="H46" s="739">
        <f>'SGTO POAI JUNIO 2020'!BI100</f>
        <v>18317334</v>
      </c>
    </row>
    <row r="47" spans="1:11" ht="36.75" customHeight="1" x14ac:dyDescent="0.2">
      <c r="A47" s="853">
        <v>24</v>
      </c>
      <c r="B47" s="984"/>
      <c r="C47" s="984"/>
      <c r="D47" s="738" t="s">
        <v>400</v>
      </c>
      <c r="E47" s="838" t="s">
        <v>401</v>
      </c>
      <c r="F47" s="744">
        <f>'SGTO POAI JUNIO 2020'!BG101</f>
        <v>96923000</v>
      </c>
      <c r="G47" s="744">
        <f>'SGTO POAI JUNIO 2020'!BH101</f>
        <v>0</v>
      </c>
      <c r="H47" s="739">
        <f>'SGTO POAI JUNIO 2020'!BI101</f>
        <v>0</v>
      </c>
    </row>
    <row r="48" spans="1:11" ht="33.75" x14ac:dyDescent="0.2">
      <c r="A48" s="982">
        <v>25</v>
      </c>
      <c r="B48" s="983" t="s">
        <v>3</v>
      </c>
      <c r="C48" s="838" t="s">
        <v>276</v>
      </c>
      <c r="D48" s="738" t="s">
        <v>349</v>
      </c>
      <c r="E48" s="838" t="s">
        <v>350</v>
      </c>
      <c r="F48" s="744">
        <f>SUM('SGTO POAI JUNIO 2020'!BG104:BG105)</f>
        <v>17702666.300000001</v>
      </c>
      <c r="G48" s="744">
        <f>SUM('SGTO POAI JUNIO 2020'!BH104:BH105)</f>
        <v>0</v>
      </c>
      <c r="H48" s="739">
        <f>SUM('SGTO POAI JUNIO 2020'!BI104:BI105)</f>
        <v>0</v>
      </c>
    </row>
    <row r="49" spans="1:11" ht="33.75" x14ac:dyDescent="0.2">
      <c r="A49" s="982"/>
      <c r="B49" s="983"/>
      <c r="C49" s="984" t="s">
        <v>410</v>
      </c>
      <c r="D49" s="738" t="s">
        <v>349</v>
      </c>
      <c r="E49" s="838" t="s">
        <v>350</v>
      </c>
      <c r="F49" s="744">
        <f>SUM('SGTO POAI JUNIO 2020'!BG107:BG108)</f>
        <v>115000000</v>
      </c>
      <c r="G49" s="744">
        <f>SUM('SGTO POAI JUNIO 2020'!BH107:BH108)</f>
        <v>88487069</v>
      </c>
      <c r="H49" s="739">
        <f>SUM('SGTO POAI JUNIO 2020'!BI107:BI108)</f>
        <v>77460177</v>
      </c>
    </row>
    <row r="50" spans="1:11" ht="22.5" x14ac:dyDescent="0.2">
      <c r="A50" s="982"/>
      <c r="B50" s="983"/>
      <c r="C50" s="984"/>
      <c r="D50" s="738" t="s">
        <v>424</v>
      </c>
      <c r="E50" s="838" t="s">
        <v>425</v>
      </c>
      <c r="F50" s="744">
        <f>SUM('SGTO POAI JUNIO 2020'!BG109)</f>
        <v>13229610</v>
      </c>
      <c r="G50" s="744">
        <f>SUM('SGTO POAI JUNIO 2020'!BH109)</f>
        <v>5000000</v>
      </c>
      <c r="H50" s="739">
        <f>SUM('SGTO POAI JUNIO 2020'!BI109)</f>
        <v>5000000</v>
      </c>
    </row>
    <row r="51" spans="1:11" ht="32.25" customHeight="1" x14ac:dyDescent="0.2">
      <c r="A51" s="853"/>
      <c r="B51" s="983" t="s">
        <v>128</v>
      </c>
      <c r="C51" s="984" t="s">
        <v>119</v>
      </c>
      <c r="D51" s="738" t="s">
        <v>400</v>
      </c>
      <c r="E51" s="838" t="s">
        <v>401</v>
      </c>
      <c r="F51" s="744">
        <f>SUM('SGTO POAI JUNIO 2020'!BG112:BG113)</f>
        <v>277796636</v>
      </c>
      <c r="G51" s="744">
        <f>SUM('SGTO POAI JUNIO 2020'!BH112:BH113)</f>
        <v>23270667</v>
      </c>
      <c r="H51" s="739">
        <f>SUM('SGTO POAI JUNIO 2020'!BI112:BI113)</f>
        <v>15570667</v>
      </c>
    </row>
    <row r="52" spans="1:11" ht="35.25" customHeight="1" x14ac:dyDescent="0.2">
      <c r="A52" s="853">
        <v>26</v>
      </c>
      <c r="B52" s="983"/>
      <c r="C52" s="984"/>
      <c r="D52" s="738" t="s">
        <v>438</v>
      </c>
      <c r="E52" s="838" t="s">
        <v>439</v>
      </c>
      <c r="F52" s="744">
        <f>SUM('SGTO POAI JUNIO 2020'!BG114:BG115)</f>
        <v>50000000</v>
      </c>
      <c r="G52" s="744">
        <f>SUM('SGTO POAI JUNIO 2020'!BH114:BH115)</f>
        <v>11900000</v>
      </c>
      <c r="H52" s="739">
        <f>SUM('SGTO POAI JUNIO 2020'!BI114:BI115)</f>
        <v>8800000</v>
      </c>
    </row>
    <row r="53" spans="1:11" ht="33.75" customHeight="1" thickBot="1" x14ac:dyDescent="0.25">
      <c r="A53" s="853">
        <v>27</v>
      </c>
      <c r="B53" s="989"/>
      <c r="C53" s="979"/>
      <c r="D53" s="745" t="s">
        <v>444</v>
      </c>
      <c r="E53" s="839" t="s">
        <v>445</v>
      </c>
      <c r="F53" s="746">
        <f>'SGTO POAI JUNIO 2020'!BG116</f>
        <v>50000000</v>
      </c>
      <c r="G53" s="746">
        <f>'SGTO POAI JUNIO 2020'!BH116</f>
        <v>4000000</v>
      </c>
      <c r="H53" s="799">
        <f>'SGTO POAI JUNIO 2020'!BI116</f>
        <v>4000000</v>
      </c>
    </row>
    <row r="54" spans="1:11" ht="17.25" customHeight="1" thickBot="1" x14ac:dyDescent="0.25">
      <c r="A54" s="853"/>
      <c r="B54" s="963" t="s">
        <v>1473</v>
      </c>
      <c r="C54" s="964"/>
      <c r="D54" s="964"/>
      <c r="E54" s="990"/>
      <c r="F54" s="801">
        <f>SUM(F55:F59)</f>
        <v>3798881706.1300001</v>
      </c>
      <c r="G54" s="800">
        <f t="shared" ref="G54:H54" si="4">SUM(G55:G59)</f>
        <v>117800000</v>
      </c>
      <c r="H54" s="797">
        <f t="shared" si="4"/>
        <v>115000000</v>
      </c>
      <c r="I54" s="743"/>
      <c r="J54" s="743"/>
      <c r="K54" s="743"/>
    </row>
    <row r="55" spans="1:11" ht="22.5" x14ac:dyDescent="0.2">
      <c r="A55" s="853">
        <v>28</v>
      </c>
      <c r="B55" s="991" t="s">
        <v>1</v>
      </c>
      <c r="C55" s="969" t="s">
        <v>227</v>
      </c>
      <c r="D55" s="786" t="s">
        <v>451</v>
      </c>
      <c r="E55" s="837" t="s">
        <v>452</v>
      </c>
      <c r="F55" s="787">
        <f>SUM('SGTO POAI JUNIO 2020'!BG121:BG122)</f>
        <v>2082807515.3499999</v>
      </c>
      <c r="G55" s="787">
        <f>SUM('SGTO POAI JUNIO 2020'!BH121:BH122)</f>
        <v>104000000</v>
      </c>
      <c r="H55" s="793">
        <f>SUM('SGTO POAI JUNIO 2020'!BI121:BI122)</f>
        <v>101200000</v>
      </c>
    </row>
    <row r="56" spans="1:11" ht="33.75" x14ac:dyDescent="0.2">
      <c r="A56" s="853">
        <v>29</v>
      </c>
      <c r="B56" s="992"/>
      <c r="C56" s="984"/>
      <c r="D56" s="738" t="s">
        <v>463</v>
      </c>
      <c r="E56" s="838" t="s">
        <v>464</v>
      </c>
      <c r="F56" s="744">
        <f>SUM('SGTO POAI JUNIO 2020'!BG123:BG124)</f>
        <v>204814218.74000001</v>
      </c>
      <c r="G56" s="744">
        <f>SUM('SGTO POAI JUNIO 2020'!BH123:BH124)</f>
        <v>0</v>
      </c>
      <c r="H56" s="739">
        <f>SUM('SGTO POAI JUNIO 2020'!BI123:BI124)</f>
        <v>0</v>
      </c>
    </row>
    <row r="57" spans="1:11" ht="45" x14ac:dyDescent="0.2">
      <c r="A57" s="853">
        <v>30</v>
      </c>
      <c r="B57" s="992"/>
      <c r="C57" s="984"/>
      <c r="D57" s="738" t="s">
        <v>475</v>
      </c>
      <c r="E57" s="838" t="s">
        <v>476</v>
      </c>
      <c r="F57" s="744">
        <f>'SGTO POAI JUNIO 2020'!BG125</f>
        <v>80000000</v>
      </c>
      <c r="G57" s="744">
        <f>'SGTO POAI JUNIO 2020'!BH125</f>
        <v>0</v>
      </c>
      <c r="H57" s="739">
        <f>'SGTO POAI JUNIO 2020'!BI125</f>
        <v>0</v>
      </c>
    </row>
    <row r="58" spans="1:11" ht="22.5" x14ac:dyDescent="0.2">
      <c r="A58" s="853">
        <v>31</v>
      </c>
      <c r="B58" s="992"/>
      <c r="C58" s="984"/>
      <c r="D58" s="738" t="s">
        <v>482</v>
      </c>
      <c r="E58" s="838" t="s">
        <v>483</v>
      </c>
      <c r="F58" s="744">
        <f>'SGTO POAI JUNIO 2020'!BG126</f>
        <v>1063903990.74</v>
      </c>
      <c r="G58" s="744">
        <f>'SGTO POAI JUNIO 2020'!BH126</f>
        <v>0</v>
      </c>
      <c r="H58" s="739">
        <f>'SGTO POAI JUNIO 2020'!BI126</f>
        <v>0</v>
      </c>
    </row>
    <row r="59" spans="1:11" ht="45.75" thickBot="1" x14ac:dyDescent="0.25">
      <c r="A59" s="853">
        <v>32</v>
      </c>
      <c r="B59" s="987"/>
      <c r="C59" s="839" t="s">
        <v>484</v>
      </c>
      <c r="D59" s="745" t="s">
        <v>491</v>
      </c>
      <c r="E59" s="839" t="s">
        <v>492</v>
      </c>
      <c r="F59" s="746">
        <f>SUM('SGTO POAI JUNIO 2020'!BG128:BG129)</f>
        <v>367355981.30000001</v>
      </c>
      <c r="G59" s="746">
        <f>SUM('SGTO POAI JUNIO 2020'!BH128:BH129)</f>
        <v>13800000</v>
      </c>
      <c r="H59" s="799">
        <f>SUM('SGTO POAI JUNIO 2020'!BI128:BI129)</f>
        <v>13800000</v>
      </c>
    </row>
    <row r="60" spans="1:11" ht="18.75" customHeight="1" thickBot="1" x14ac:dyDescent="0.25">
      <c r="A60" s="853"/>
      <c r="B60" s="963" t="s">
        <v>1474</v>
      </c>
      <c r="C60" s="964"/>
      <c r="D60" s="964"/>
      <c r="E60" s="964"/>
      <c r="F60" s="800">
        <f>SUM(F61:F65)</f>
        <v>1572671841.8499999</v>
      </c>
      <c r="G60" s="800">
        <f t="shared" ref="G60:H60" si="5">SUM(G61:G65)</f>
        <v>402279998</v>
      </c>
      <c r="H60" s="797">
        <f t="shared" si="5"/>
        <v>389373332</v>
      </c>
      <c r="I60" s="743"/>
      <c r="J60" s="743"/>
      <c r="K60" s="743"/>
    </row>
    <row r="61" spans="1:11" ht="32.25" customHeight="1" x14ac:dyDescent="0.2">
      <c r="A61" s="853">
        <v>33</v>
      </c>
      <c r="B61" s="993" t="s">
        <v>2</v>
      </c>
      <c r="C61" s="969" t="s">
        <v>255</v>
      </c>
      <c r="D61" s="786" t="s">
        <v>504</v>
      </c>
      <c r="E61" s="837" t="s">
        <v>505</v>
      </c>
      <c r="F61" s="787">
        <f>SUM('SGTO POAI JUNIO 2020'!BG134:BG135)</f>
        <v>75000000</v>
      </c>
      <c r="G61" s="787">
        <f>SUM('SGTO POAI JUNIO 2020'!BH134:BH135)</f>
        <v>0</v>
      </c>
      <c r="H61" s="793">
        <f>SUM('SGTO POAI JUNIO 2020'!BI134:BI135)</f>
        <v>0</v>
      </c>
    </row>
    <row r="62" spans="1:11" ht="31.5" customHeight="1" x14ac:dyDescent="0.2">
      <c r="A62" s="853">
        <v>34</v>
      </c>
      <c r="B62" s="993"/>
      <c r="C62" s="984"/>
      <c r="D62" s="738" t="s">
        <v>516</v>
      </c>
      <c r="E62" s="838" t="s">
        <v>517</v>
      </c>
      <c r="F62" s="744">
        <f>SUM('SGTO POAI JUNIO 2020'!BG136:BG137)</f>
        <v>209600000</v>
      </c>
      <c r="G62" s="744">
        <f>SUM('SGTO POAI JUNIO 2020'!BH136:BH137)</f>
        <v>52013333</v>
      </c>
      <c r="H62" s="739">
        <f>SUM('SGTO POAI JUNIO 2020'!BI136:BI137)</f>
        <v>52013333</v>
      </c>
    </row>
    <row r="63" spans="1:11" ht="35.25" customHeight="1" x14ac:dyDescent="0.2">
      <c r="A63" s="853">
        <v>35</v>
      </c>
      <c r="B63" s="993"/>
      <c r="C63" s="984"/>
      <c r="D63" s="738" t="s">
        <v>528</v>
      </c>
      <c r="E63" s="838" t="s">
        <v>529</v>
      </c>
      <c r="F63" s="744">
        <f>SUM('SGTO POAI JUNIO 2020'!BG138:BG140)</f>
        <v>456404937</v>
      </c>
      <c r="G63" s="744">
        <f>SUM('SGTO POAI JUNIO 2020'!BH138:BH140)</f>
        <v>93839999</v>
      </c>
      <c r="H63" s="739">
        <f>SUM('SGTO POAI JUNIO 2020'!BI138:BI140)</f>
        <v>84533333</v>
      </c>
    </row>
    <row r="64" spans="1:11" ht="29.25" customHeight="1" x14ac:dyDescent="0.2">
      <c r="A64" s="853">
        <v>36</v>
      </c>
      <c r="B64" s="993"/>
      <c r="C64" s="984"/>
      <c r="D64" s="738" t="s">
        <v>538</v>
      </c>
      <c r="E64" s="838" t="s">
        <v>539</v>
      </c>
      <c r="F64" s="744">
        <f>SUM('SGTO POAI JUNIO 2020'!BG141)</f>
        <v>545981904.85000002</v>
      </c>
      <c r="G64" s="744">
        <f>SUM('SGTO POAI JUNIO 2020'!BH141)</f>
        <v>232026666</v>
      </c>
      <c r="H64" s="739">
        <f>SUM('SGTO POAI JUNIO 2020'!BI141)</f>
        <v>228426666</v>
      </c>
    </row>
    <row r="65" spans="1:11" ht="54" customHeight="1" thickBot="1" x14ac:dyDescent="0.25">
      <c r="A65" s="853">
        <v>37</v>
      </c>
      <c r="B65" s="994"/>
      <c r="C65" s="789" t="s">
        <v>540</v>
      </c>
      <c r="D65" s="790" t="s">
        <v>545</v>
      </c>
      <c r="E65" s="789" t="s">
        <v>546</v>
      </c>
      <c r="F65" s="791">
        <f>SUM('SGTO POAI JUNIO 2020'!BG143:BG146)</f>
        <v>285685000</v>
      </c>
      <c r="G65" s="791">
        <f>SUM('SGTO POAI JUNIO 2020'!BH143:BH146)</f>
        <v>24400000</v>
      </c>
      <c r="H65" s="792">
        <f>SUM('SGTO POAI JUNIO 2020'!BI143:BI146)</f>
        <v>24400000</v>
      </c>
    </row>
    <row r="66" spans="1:11" ht="20.25" customHeight="1" thickBot="1" x14ac:dyDescent="0.25">
      <c r="A66" s="853"/>
      <c r="B66" s="963" t="s">
        <v>1475</v>
      </c>
      <c r="C66" s="964"/>
      <c r="D66" s="964"/>
      <c r="E66" s="990"/>
      <c r="F66" s="788">
        <f>SUM(F67:F87)</f>
        <v>2852390196.25</v>
      </c>
      <c r="G66" s="788">
        <f t="shared" ref="G66:H66" si="6">SUM(G67:G87)</f>
        <v>346616664</v>
      </c>
      <c r="H66" s="788">
        <f t="shared" si="6"/>
        <v>295466664</v>
      </c>
      <c r="I66" s="743"/>
      <c r="J66" s="743"/>
      <c r="K66" s="743"/>
    </row>
    <row r="67" spans="1:11" ht="33" customHeight="1" x14ac:dyDescent="0.2">
      <c r="A67" s="853">
        <v>38</v>
      </c>
      <c r="B67" s="988" t="s">
        <v>2</v>
      </c>
      <c r="C67" s="968" t="s">
        <v>561</v>
      </c>
      <c r="D67" s="786" t="s">
        <v>567</v>
      </c>
      <c r="E67" s="837" t="s">
        <v>568</v>
      </c>
      <c r="F67" s="787">
        <f>SUM('SGTO POAI JUNIO 2020'!BG151:BG153)</f>
        <v>415150265</v>
      </c>
      <c r="G67" s="787">
        <f>SUM('SGTO POAI JUNIO 2020'!BH151:BH153)</f>
        <v>160049999</v>
      </c>
      <c r="H67" s="793">
        <f>SUM('SGTO POAI JUNIO 2020'!BI151:BI153)</f>
        <v>134699999</v>
      </c>
    </row>
    <row r="68" spans="1:11" ht="45.75" customHeight="1" x14ac:dyDescent="0.2">
      <c r="A68" s="853">
        <v>39</v>
      </c>
      <c r="B68" s="988"/>
      <c r="C68" s="968"/>
      <c r="D68" s="738" t="s">
        <v>584</v>
      </c>
      <c r="E68" s="838" t="s">
        <v>585</v>
      </c>
      <c r="F68" s="744">
        <f>SUM('SGTO POAI JUNIO 2020'!BG154)</f>
        <v>110000000</v>
      </c>
      <c r="G68" s="744">
        <f>SUM('SGTO POAI JUNIO 2020'!BH154)</f>
        <v>51466666</v>
      </c>
      <c r="H68" s="739">
        <f>SUM('SGTO POAI JUNIO 2020'!BI154)</f>
        <v>49666666</v>
      </c>
    </row>
    <row r="69" spans="1:11" ht="40.5" customHeight="1" x14ac:dyDescent="0.2">
      <c r="A69" s="853">
        <v>40</v>
      </c>
      <c r="B69" s="988"/>
      <c r="C69" s="968"/>
      <c r="D69" s="738" t="s">
        <v>591</v>
      </c>
      <c r="E69" s="838" t="s">
        <v>592</v>
      </c>
      <c r="F69" s="744">
        <f>SUM('SGTO POAI JUNIO 2020'!BG155:BG156)</f>
        <v>111204155</v>
      </c>
      <c r="G69" s="744">
        <f>SUM('SGTO POAI JUNIO 2020'!BH155:BH156)</f>
        <v>26400000</v>
      </c>
      <c r="H69" s="739">
        <f>SUM('SGTO POAI JUNIO 2020'!BI155:BI156)</f>
        <v>22800000</v>
      </c>
    </row>
    <row r="70" spans="1:11" ht="39" customHeight="1" x14ac:dyDescent="0.2">
      <c r="A70" s="853">
        <v>41</v>
      </c>
      <c r="B70" s="988"/>
      <c r="C70" s="968"/>
      <c r="D70" s="738" t="s">
        <v>600</v>
      </c>
      <c r="E70" s="838" t="s">
        <v>601</v>
      </c>
      <c r="F70" s="744">
        <f>SUM('SGTO POAI JUNIO 2020'!BG157:BG158)</f>
        <v>100000000</v>
      </c>
      <c r="G70" s="744">
        <f>SUM('SGTO POAI JUNIO 2020'!BH157:BH158)</f>
        <v>0</v>
      </c>
      <c r="H70" s="739">
        <f>SUM('SGTO POAI JUNIO 2020'!BI157:BI158)</f>
        <v>0</v>
      </c>
    </row>
    <row r="71" spans="1:11" ht="41.25" customHeight="1" x14ac:dyDescent="0.2">
      <c r="A71" s="853">
        <v>42</v>
      </c>
      <c r="B71" s="988"/>
      <c r="C71" s="968"/>
      <c r="D71" s="738" t="s">
        <v>612</v>
      </c>
      <c r="E71" s="838" t="s">
        <v>613</v>
      </c>
      <c r="F71" s="744">
        <f>SUM('SGTO POAI JUNIO 2020'!BG159:BG161)</f>
        <v>79000000</v>
      </c>
      <c r="G71" s="744">
        <f>SUM('SGTO POAI JUNIO 2020'!BH159:BH161)</f>
        <v>0</v>
      </c>
      <c r="H71" s="739">
        <f>SUM('SGTO POAI JUNIO 2020'!BI159:BI161)</f>
        <v>0</v>
      </c>
    </row>
    <row r="72" spans="1:11" ht="38.25" customHeight="1" x14ac:dyDescent="0.2">
      <c r="A72" s="853">
        <v>43</v>
      </c>
      <c r="B72" s="988"/>
      <c r="C72" s="969"/>
      <c r="D72" s="738" t="s">
        <v>625</v>
      </c>
      <c r="E72" s="838" t="s">
        <v>626</v>
      </c>
      <c r="F72" s="744">
        <f>SUM('SGTO POAI JUNIO 2020'!BG162)</f>
        <v>30000000</v>
      </c>
      <c r="G72" s="744">
        <f>SUM('SGTO POAI JUNIO 2020'!BH162)</f>
        <v>0</v>
      </c>
      <c r="H72" s="739">
        <f>SUM('SGTO POAI JUNIO 2020'!BI162)</f>
        <v>0</v>
      </c>
    </row>
    <row r="73" spans="1:11" ht="56.25" customHeight="1" x14ac:dyDescent="0.2">
      <c r="A73" s="853"/>
      <c r="B73" s="988"/>
      <c r="C73" s="838" t="s">
        <v>627</v>
      </c>
      <c r="D73" s="738" t="s">
        <v>612</v>
      </c>
      <c r="E73" s="838" t="s">
        <v>4</v>
      </c>
      <c r="F73" s="744">
        <f>SUM('SGTO POAI JUNIO 2020'!BG164)</f>
        <v>90000000</v>
      </c>
      <c r="G73" s="744">
        <f>SUM('SGTO POAI JUNIO 2020'!BH164)</f>
        <v>0</v>
      </c>
      <c r="H73" s="739">
        <f>SUM('SGTO POAI JUNIO 2020'!BI164)</f>
        <v>0</v>
      </c>
    </row>
    <row r="74" spans="1:11" ht="48" customHeight="1" x14ac:dyDescent="0.2">
      <c r="A74" s="853">
        <v>44</v>
      </c>
      <c r="B74" s="988"/>
      <c r="C74" s="838" t="s">
        <v>633</v>
      </c>
      <c r="D74" s="738" t="s">
        <v>639</v>
      </c>
      <c r="E74" s="838" t="s">
        <v>640</v>
      </c>
      <c r="F74" s="744">
        <f>SUM('SGTO POAI JUNIO 2020'!BG166:BG167)</f>
        <v>80364849</v>
      </c>
      <c r="G74" s="744">
        <f>SUM('SGTO POAI JUNIO 2020'!BH166:BH167)</f>
        <v>0</v>
      </c>
      <c r="H74" s="739">
        <f>SUM('SGTO POAI JUNIO 2020'!BI166:BI167)</f>
        <v>0</v>
      </c>
    </row>
    <row r="75" spans="1:11" ht="45" customHeight="1" x14ac:dyDescent="0.2">
      <c r="A75" s="853"/>
      <c r="B75" s="988"/>
      <c r="C75" s="838" t="s">
        <v>646</v>
      </c>
      <c r="D75" s="738" t="s">
        <v>591</v>
      </c>
      <c r="E75" s="838" t="s">
        <v>592</v>
      </c>
      <c r="F75" s="744">
        <f>SUM('SGTO POAI JUNIO 2020'!BG169)</f>
        <v>12800000</v>
      </c>
      <c r="G75" s="744">
        <f>SUM('SGTO POAI JUNIO 2020'!BH169)</f>
        <v>5000000</v>
      </c>
      <c r="H75" s="739">
        <f>SUM('SGTO POAI JUNIO 2020'!BI169)</f>
        <v>5000000</v>
      </c>
    </row>
    <row r="76" spans="1:11" ht="42" customHeight="1" x14ac:dyDescent="0.2">
      <c r="A76" s="853"/>
      <c r="B76" s="988"/>
      <c r="C76" s="838" t="s">
        <v>652</v>
      </c>
      <c r="D76" s="738" t="s">
        <v>600</v>
      </c>
      <c r="E76" s="838" t="s">
        <v>5</v>
      </c>
      <c r="F76" s="744">
        <f>SUM('SGTO POAI JUNIO 2020'!BG171)</f>
        <v>50000000</v>
      </c>
      <c r="G76" s="744">
        <f>SUM('SGTO POAI JUNIO 2020'!BH171)</f>
        <v>0</v>
      </c>
      <c r="H76" s="739">
        <f>SUM('SGTO POAI JUNIO 2020'!BI171)</f>
        <v>0</v>
      </c>
    </row>
    <row r="77" spans="1:11" ht="56.25" customHeight="1" x14ac:dyDescent="0.2">
      <c r="A77" s="853">
        <v>45</v>
      </c>
      <c r="B77" s="988"/>
      <c r="C77" s="838" t="s">
        <v>658</v>
      </c>
      <c r="D77" s="738" t="s">
        <v>663</v>
      </c>
      <c r="E77" s="838" t="s">
        <v>664</v>
      </c>
      <c r="F77" s="744">
        <f>SUM('SGTO POAI JUNIO 2020'!BG173)</f>
        <v>80000000</v>
      </c>
      <c r="G77" s="744">
        <f>SUM('SGTO POAI JUNIO 2020'!BH173)</f>
        <v>0</v>
      </c>
      <c r="H77" s="739">
        <f>SUM('SGTO POAI JUNIO 2020'!BI173)</f>
        <v>0</v>
      </c>
    </row>
    <row r="78" spans="1:11" ht="42.75" customHeight="1" x14ac:dyDescent="0.2">
      <c r="A78" s="853"/>
      <c r="B78" s="988"/>
      <c r="C78" s="838" t="s">
        <v>247</v>
      </c>
      <c r="D78" s="738" t="s">
        <v>625</v>
      </c>
      <c r="E78" s="838" t="s">
        <v>669</v>
      </c>
      <c r="F78" s="744">
        <f>SUM('SGTO POAI JUNIO 2020'!BG175:BG176)</f>
        <v>125000000</v>
      </c>
      <c r="G78" s="744">
        <f>SUM('SGTO POAI JUNIO 2020'!BH175:BH176)</f>
        <v>0</v>
      </c>
      <c r="H78" s="739">
        <f>SUM('SGTO POAI JUNIO 2020'!BI175:BI176)</f>
        <v>0</v>
      </c>
    </row>
    <row r="79" spans="1:11" ht="42" customHeight="1" x14ac:dyDescent="0.2">
      <c r="A79" s="853"/>
      <c r="B79" s="991"/>
      <c r="C79" s="838" t="s">
        <v>255</v>
      </c>
      <c r="D79" s="738" t="s">
        <v>591</v>
      </c>
      <c r="E79" s="838" t="s">
        <v>592</v>
      </c>
      <c r="F79" s="744">
        <f>SUM('SGTO POAI JUNIO 2020'!BG178:BG179)</f>
        <v>40000000</v>
      </c>
      <c r="G79" s="744">
        <f>SUM('SGTO POAI JUNIO 2020'!BH178:BH179)</f>
        <v>5000000</v>
      </c>
      <c r="H79" s="739">
        <f>SUM('SGTO POAI JUNIO 2020'!BI178:BI179)</f>
        <v>5000000</v>
      </c>
    </row>
    <row r="80" spans="1:11" ht="56.25" customHeight="1" x14ac:dyDescent="0.2">
      <c r="A80" s="853">
        <v>46</v>
      </c>
      <c r="B80" s="987" t="s">
        <v>3</v>
      </c>
      <c r="C80" s="838" t="s">
        <v>682</v>
      </c>
      <c r="D80" s="738" t="s">
        <v>689</v>
      </c>
      <c r="E80" s="838" t="s">
        <v>690</v>
      </c>
      <c r="F80" s="744">
        <f>SUM('SGTO POAI JUNIO 2020'!BG182)</f>
        <v>40000000</v>
      </c>
      <c r="G80" s="744">
        <f>SUM('SGTO POAI JUNIO 2020'!BH182)</f>
        <v>0</v>
      </c>
      <c r="H80" s="739">
        <f>SUM('SGTO POAI JUNIO 2020'!BI182)</f>
        <v>0</v>
      </c>
    </row>
    <row r="81" spans="1:11" ht="33" customHeight="1" x14ac:dyDescent="0.2">
      <c r="A81" s="853">
        <v>47</v>
      </c>
      <c r="B81" s="988"/>
      <c r="C81" s="984" t="s">
        <v>271</v>
      </c>
      <c r="D81" s="738" t="s">
        <v>696</v>
      </c>
      <c r="E81" s="838" t="s">
        <v>697</v>
      </c>
      <c r="F81" s="744">
        <f>SUM('SGTO POAI JUNIO 2020'!BG184)</f>
        <v>80000000</v>
      </c>
      <c r="G81" s="744">
        <f>SUM('SGTO POAI JUNIO 2020'!BH184)</f>
        <v>29533333</v>
      </c>
      <c r="H81" s="739">
        <f>SUM('SGTO POAI JUNIO 2020'!BI184)</f>
        <v>22333333</v>
      </c>
    </row>
    <row r="82" spans="1:11" ht="39" customHeight="1" x14ac:dyDescent="0.2">
      <c r="A82" s="853">
        <v>48</v>
      </c>
      <c r="B82" s="988"/>
      <c r="C82" s="984"/>
      <c r="D82" s="738" t="s">
        <v>703</v>
      </c>
      <c r="E82" s="838" t="s">
        <v>704</v>
      </c>
      <c r="F82" s="744">
        <f>SUM('SGTO POAI JUNIO 2020'!BG185:BG186)</f>
        <v>1242870927.25</v>
      </c>
      <c r="G82" s="744">
        <f>SUM('SGTO POAI JUNIO 2020'!BH185:BH186)</f>
        <v>48666666</v>
      </c>
      <c r="H82" s="739">
        <f>SUM('SGTO POAI JUNIO 2020'!BI185:BI186)</f>
        <v>38466666</v>
      </c>
    </row>
    <row r="83" spans="1:11" ht="38.25" customHeight="1" x14ac:dyDescent="0.2">
      <c r="A83" s="853">
        <v>49</v>
      </c>
      <c r="B83" s="988"/>
      <c r="C83" s="984"/>
      <c r="D83" s="738" t="s">
        <v>714</v>
      </c>
      <c r="E83" s="838" t="s">
        <v>715</v>
      </c>
      <c r="F83" s="744">
        <f>SUM('SGTO POAI JUNIO 2020'!BG187)</f>
        <v>30000000</v>
      </c>
      <c r="G83" s="744">
        <f>SUM('SGTO POAI JUNIO 2020'!BH187)</f>
        <v>0</v>
      </c>
      <c r="H83" s="739">
        <f>SUM('SGTO POAI JUNIO 2020'!BI187)</f>
        <v>0</v>
      </c>
    </row>
    <row r="84" spans="1:11" ht="22.5" x14ac:dyDescent="0.2">
      <c r="A84" s="853">
        <v>50</v>
      </c>
      <c r="B84" s="988"/>
      <c r="C84" s="984"/>
      <c r="D84" s="738" t="s">
        <v>720</v>
      </c>
      <c r="E84" s="838" t="s">
        <v>721</v>
      </c>
      <c r="F84" s="744">
        <f>SUM('SGTO POAI JUNIO 2020'!BG188)</f>
        <v>40000000</v>
      </c>
      <c r="G84" s="744">
        <f>SUM('SGTO POAI JUNIO 2020'!BH188)</f>
        <v>20500000</v>
      </c>
      <c r="H84" s="739">
        <f>SUM('SGTO POAI JUNIO 2020'!BI188)</f>
        <v>17500000</v>
      </c>
    </row>
    <row r="85" spans="1:11" ht="42.75" customHeight="1" x14ac:dyDescent="0.2">
      <c r="A85" s="853">
        <v>51</v>
      </c>
      <c r="B85" s="988"/>
      <c r="C85" s="838" t="s">
        <v>723</v>
      </c>
      <c r="D85" s="738" t="s">
        <v>729</v>
      </c>
      <c r="E85" s="838" t="s">
        <v>730</v>
      </c>
      <c r="F85" s="744">
        <f>'SGTO POAI JUNIO 2020'!BG190</f>
        <v>26000000</v>
      </c>
      <c r="G85" s="744">
        <f>'SGTO POAI JUNIO 2020'!BH190</f>
        <v>0</v>
      </c>
      <c r="H85" s="739">
        <f>'SGTO POAI JUNIO 2020'!BI190</f>
        <v>0</v>
      </c>
    </row>
    <row r="86" spans="1:11" ht="41.25" customHeight="1" x14ac:dyDescent="0.2">
      <c r="A86" s="853"/>
      <c r="B86" s="988"/>
      <c r="C86" s="838" t="s">
        <v>276</v>
      </c>
      <c r="D86" s="738" t="s">
        <v>720</v>
      </c>
      <c r="E86" s="838" t="s">
        <v>721</v>
      </c>
      <c r="F86" s="744">
        <f>SUM('SGTO POAI JUNIO 2020'!BG192)</f>
        <v>50000000</v>
      </c>
      <c r="G86" s="744">
        <f>SUM('SGTO POAI JUNIO 2020'!BH192)</f>
        <v>0</v>
      </c>
      <c r="H86" s="739">
        <f>SUM('SGTO POAI JUNIO 2020'!BI192)</f>
        <v>0</v>
      </c>
    </row>
    <row r="87" spans="1:11" ht="56.25" customHeight="1" thickBot="1" x14ac:dyDescent="0.25">
      <c r="A87" s="853">
        <v>52</v>
      </c>
      <c r="B87" s="988"/>
      <c r="C87" s="839" t="s">
        <v>737</v>
      </c>
      <c r="D87" s="745" t="s">
        <v>743</v>
      </c>
      <c r="E87" s="839" t="s">
        <v>6</v>
      </c>
      <c r="F87" s="746">
        <f>'SGTO POAI JUNIO 2020'!BG194</f>
        <v>20000000</v>
      </c>
      <c r="G87" s="746">
        <f>'SGTO POAI JUNIO 2020'!BH194</f>
        <v>0</v>
      </c>
      <c r="H87" s="799">
        <f>'SGTO POAI JUNIO 2020'!BI194</f>
        <v>0</v>
      </c>
    </row>
    <row r="88" spans="1:11" ht="15.75" customHeight="1" thickBot="1" x14ac:dyDescent="0.25">
      <c r="A88" s="853"/>
      <c r="B88" s="963" t="s">
        <v>1476</v>
      </c>
      <c r="C88" s="964"/>
      <c r="D88" s="964"/>
      <c r="E88" s="964"/>
      <c r="F88" s="797">
        <f>SUM(F89:F91)</f>
        <v>991267429</v>
      </c>
      <c r="G88" s="797">
        <f t="shared" ref="G88:H88" si="7">SUM(G89:G91)</f>
        <v>275754000</v>
      </c>
      <c r="H88" s="797">
        <f t="shared" si="7"/>
        <v>191841333.32999998</v>
      </c>
      <c r="I88" s="743"/>
      <c r="J88" s="743"/>
      <c r="K88" s="743"/>
    </row>
    <row r="89" spans="1:11" ht="33.75" customHeight="1" x14ac:dyDescent="0.2">
      <c r="A89" s="853">
        <v>53</v>
      </c>
      <c r="B89" s="988" t="s">
        <v>101</v>
      </c>
      <c r="C89" s="968" t="s">
        <v>745</v>
      </c>
      <c r="D89" s="786" t="s">
        <v>750</v>
      </c>
      <c r="E89" s="837" t="s">
        <v>751</v>
      </c>
      <c r="F89" s="787">
        <f>'SGTO POAI JUNIO 2020'!BG199</f>
        <v>255021326</v>
      </c>
      <c r="G89" s="787">
        <f>'SGTO POAI JUNIO 2020'!BH199</f>
        <v>132781000</v>
      </c>
      <c r="H89" s="793">
        <f>'SGTO POAI JUNIO 2020'!BI199</f>
        <v>79345333.329999998</v>
      </c>
    </row>
    <row r="90" spans="1:11" ht="33.75" customHeight="1" x14ac:dyDescent="0.2">
      <c r="A90" s="853">
        <v>54</v>
      </c>
      <c r="B90" s="988"/>
      <c r="C90" s="969"/>
      <c r="D90" s="738" t="s">
        <v>756</v>
      </c>
      <c r="E90" s="838" t="s">
        <v>757</v>
      </c>
      <c r="F90" s="744">
        <f>'SGTO POAI JUNIO 2020'!BG200</f>
        <v>486246103</v>
      </c>
      <c r="G90" s="744">
        <f>'SGTO POAI JUNIO 2020'!BH200</f>
        <v>142973000</v>
      </c>
      <c r="H90" s="739">
        <f>'SGTO POAI JUNIO 2020'!BI200</f>
        <v>112496000</v>
      </c>
    </row>
    <row r="91" spans="1:11" ht="51.75" customHeight="1" thickBot="1" x14ac:dyDescent="0.25">
      <c r="A91" s="853">
        <v>55</v>
      </c>
      <c r="B91" s="988"/>
      <c r="C91" s="839" t="s">
        <v>119</v>
      </c>
      <c r="D91" s="745" t="s">
        <v>762</v>
      </c>
      <c r="E91" s="839" t="s">
        <v>763</v>
      </c>
      <c r="F91" s="746">
        <f>'SGTO POAI JUNIO 2020'!BG202</f>
        <v>250000000</v>
      </c>
      <c r="G91" s="746">
        <f>'SGTO POAI JUNIO 2020'!BH202</f>
        <v>0</v>
      </c>
      <c r="H91" s="799">
        <f>'SGTO POAI JUNIO 2020'!BI202</f>
        <v>0</v>
      </c>
    </row>
    <row r="92" spans="1:11" s="765" customFormat="1" ht="18" customHeight="1" thickBot="1" x14ac:dyDescent="0.25">
      <c r="A92" s="855"/>
      <c r="B92" s="963" t="s">
        <v>1477</v>
      </c>
      <c r="C92" s="964"/>
      <c r="D92" s="964"/>
      <c r="E92" s="964"/>
      <c r="F92" s="788">
        <f>SUM(F93:F105)</f>
        <v>176193619689.29831</v>
      </c>
      <c r="G92" s="788">
        <f t="shared" ref="G92:H92" si="8">SUM(G93:G105)</f>
        <v>84149120164</v>
      </c>
      <c r="H92" s="788">
        <f t="shared" si="8"/>
        <v>73045021484</v>
      </c>
    </row>
    <row r="93" spans="1:11" s="751" customFormat="1" ht="45" x14ac:dyDescent="0.2">
      <c r="A93" s="856">
        <v>56</v>
      </c>
      <c r="B93" s="995" t="s">
        <v>1</v>
      </c>
      <c r="C93" s="995" t="s">
        <v>217</v>
      </c>
      <c r="D93" s="802" t="s">
        <v>770</v>
      </c>
      <c r="E93" s="843" t="s">
        <v>771</v>
      </c>
      <c r="F93" s="803">
        <f>SUM('SGTO POAI JUNIO 2020'!BG207:BG209)</f>
        <v>17296823649.048317</v>
      </c>
      <c r="G93" s="803">
        <f>SUM('SGTO POAI JUNIO 2020'!BH207:BH209)</f>
        <v>13146107120.999996</v>
      </c>
      <c r="H93" s="857">
        <f>SUM('SGTO POAI JUNIO 2020'!BI207:BI209)</f>
        <v>3140538986.9999962</v>
      </c>
    </row>
    <row r="94" spans="1:11" s="751" customFormat="1" ht="33.75" x14ac:dyDescent="0.2">
      <c r="A94" s="856">
        <v>57</v>
      </c>
      <c r="B94" s="995"/>
      <c r="C94" s="995"/>
      <c r="D94" s="748" t="s">
        <v>786</v>
      </c>
      <c r="E94" s="749" t="s">
        <v>787</v>
      </c>
      <c r="F94" s="750">
        <f>SUM('SGTO POAI JUNIO 2020'!BG210:BG211)</f>
        <v>1632000000</v>
      </c>
      <c r="G94" s="750">
        <f>SUM('SGTO POAI JUNIO 2020'!BH210:BH211)</f>
        <v>1187277568</v>
      </c>
      <c r="H94" s="858">
        <f>SUM('SGTO POAI JUNIO 2020'!BI210:BI211)</f>
        <v>474613150</v>
      </c>
    </row>
    <row r="95" spans="1:11" s="751" customFormat="1" ht="22.5" x14ac:dyDescent="0.2">
      <c r="A95" s="856">
        <v>58</v>
      </c>
      <c r="B95" s="995"/>
      <c r="C95" s="995"/>
      <c r="D95" s="748" t="s">
        <v>798</v>
      </c>
      <c r="E95" s="749" t="s">
        <v>8</v>
      </c>
      <c r="F95" s="750">
        <f>SUM('SGTO POAI JUNIO 2020'!BG212)</f>
        <v>151921135464.94</v>
      </c>
      <c r="G95" s="750">
        <f>SUM('SGTO POAI JUNIO 2020'!BH212)</f>
        <v>68622972343</v>
      </c>
      <c r="H95" s="858">
        <f>SUM('SGTO POAI JUNIO 2020'!BI212)</f>
        <v>68270946215</v>
      </c>
    </row>
    <row r="96" spans="1:11" s="751" customFormat="1" ht="33.75" x14ac:dyDescent="0.2">
      <c r="A96" s="856">
        <v>59</v>
      </c>
      <c r="B96" s="995"/>
      <c r="C96" s="995"/>
      <c r="D96" s="748" t="s">
        <v>799</v>
      </c>
      <c r="E96" s="749" t="s">
        <v>800</v>
      </c>
      <c r="F96" s="750">
        <f>SUM('SGTO POAI JUNIO 2020'!BG213)</f>
        <v>3762000000</v>
      </c>
      <c r="G96" s="750">
        <f>SUM('SGTO POAI JUNIO 2020'!BH213)</f>
        <v>1006409799</v>
      </c>
      <c r="H96" s="858">
        <f>SUM('SGTO POAI JUNIO 2020'!BI213)</f>
        <v>978969799</v>
      </c>
    </row>
    <row r="97" spans="1:11" s="751" customFormat="1" ht="45" x14ac:dyDescent="0.2">
      <c r="A97" s="856">
        <v>60</v>
      </c>
      <c r="B97" s="995"/>
      <c r="C97" s="995"/>
      <c r="D97" s="748" t="s">
        <v>806</v>
      </c>
      <c r="E97" s="749" t="s">
        <v>807</v>
      </c>
      <c r="F97" s="750">
        <f>SUM('SGTO POAI JUNIO 2020'!BG214:BG219)</f>
        <v>471822075.30999994</v>
      </c>
      <c r="G97" s="750">
        <f>SUM('SGTO POAI JUNIO 2020'!BH214:BH219)</f>
        <v>38960000</v>
      </c>
      <c r="H97" s="858">
        <f>SUM('SGTO POAI JUNIO 2020'!BI214:BI219)</f>
        <v>38960000</v>
      </c>
    </row>
    <row r="98" spans="1:11" s="751" customFormat="1" ht="45" x14ac:dyDescent="0.2">
      <c r="A98" s="856">
        <v>61</v>
      </c>
      <c r="B98" s="995"/>
      <c r="C98" s="995"/>
      <c r="D98" s="748" t="s">
        <v>818</v>
      </c>
      <c r="E98" s="749" t="s">
        <v>819</v>
      </c>
      <c r="F98" s="750">
        <f>'SGTO POAI JUNIO 2020'!BG220</f>
        <v>20000000</v>
      </c>
      <c r="G98" s="750">
        <f>'SGTO POAI JUNIO 2020'!BH220</f>
        <v>19200000</v>
      </c>
      <c r="H98" s="858">
        <f>'SGTO POAI JUNIO 2020'!BI220</f>
        <v>12800000</v>
      </c>
    </row>
    <row r="99" spans="1:11" s="751" customFormat="1" ht="33.75" x14ac:dyDescent="0.2">
      <c r="A99" s="856">
        <v>62</v>
      </c>
      <c r="B99" s="995"/>
      <c r="C99" s="995"/>
      <c r="D99" s="748" t="s">
        <v>820</v>
      </c>
      <c r="E99" s="749" t="s">
        <v>821</v>
      </c>
      <c r="F99" s="750">
        <f>SUM('SGTO POAI JUNIO 2020'!BG221)</f>
        <v>76000000</v>
      </c>
      <c r="G99" s="750">
        <f>SUM('SGTO POAI JUNIO 2020'!BH221)</f>
        <v>12513333</v>
      </c>
      <c r="H99" s="858">
        <f>SUM('SGTO POAI JUNIO 2020'!BI221)</f>
        <v>12513333</v>
      </c>
    </row>
    <row r="100" spans="1:11" s="751" customFormat="1" ht="22.5" x14ac:dyDescent="0.2">
      <c r="A100" s="856">
        <v>63</v>
      </c>
      <c r="B100" s="995"/>
      <c r="C100" s="995"/>
      <c r="D100" s="748" t="s">
        <v>827</v>
      </c>
      <c r="E100" s="749" t="s">
        <v>828</v>
      </c>
      <c r="F100" s="750">
        <f>SUM('SGTO POAI JUNIO 2020'!BG222)</f>
        <v>40000000</v>
      </c>
      <c r="G100" s="750">
        <f>SUM('SGTO POAI JUNIO 2020'!BH222)</f>
        <v>15680000</v>
      </c>
      <c r="H100" s="858">
        <f>SUM('SGTO POAI JUNIO 2020'!BI222)</f>
        <v>15680000</v>
      </c>
    </row>
    <row r="101" spans="1:11" ht="33.75" x14ac:dyDescent="0.2">
      <c r="A101" s="856">
        <v>64</v>
      </c>
      <c r="B101" s="995"/>
      <c r="C101" s="995"/>
      <c r="D101" s="748" t="s">
        <v>833</v>
      </c>
      <c r="E101" s="749" t="s">
        <v>834</v>
      </c>
      <c r="F101" s="750">
        <f>SUM('SGTO POAI JUNIO 2020'!BG223:BG224)</f>
        <v>700000000</v>
      </c>
      <c r="G101" s="750">
        <f>SUM('SGTO POAI JUNIO 2020'!BH223:BH224)</f>
        <v>0</v>
      </c>
      <c r="H101" s="858">
        <f>SUM('SGTO POAI JUNIO 2020'!BI223:BI224)</f>
        <v>0</v>
      </c>
    </row>
    <row r="102" spans="1:11" ht="45" x14ac:dyDescent="0.2">
      <c r="A102" s="856">
        <v>65</v>
      </c>
      <c r="B102" s="995"/>
      <c r="C102" s="995"/>
      <c r="D102" s="748" t="s">
        <v>842</v>
      </c>
      <c r="E102" s="749" t="s">
        <v>843</v>
      </c>
      <c r="F102" s="750">
        <f>SUM('SGTO POAI JUNIO 2020'!BG225:BG227)</f>
        <v>20000000</v>
      </c>
      <c r="G102" s="750">
        <f>SUM('SGTO POAI JUNIO 2020'!BH225:BH227)</f>
        <v>0</v>
      </c>
      <c r="H102" s="858">
        <f>SUM('SGTO POAI JUNIO 2020'!BI225:BI227)</f>
        <v>0</v>
      </c>
    </row>
    <row r="103" spans="1:11" ht="33.75" x14ac:dyDescent="0.2">
      <c r="A103" s="856">
        <v>66</v>
      </c>
      <c r="B103" s="995"/>
      <c r="C103" s="996"/>
      <c r="D103" s="748" t="s">
        <v>854</v>
      </c>
      <c r="E103" s="749" t="s">
        <v>7</v>
      </c>
      <c r="F103" s="750">
        <f>'SGTO POAI JUNIO 2020'!BG228</f>
        <v>10000000</v>
      </c>
      <c r="G103" s="750">
        <f>'SGTO POAI JUNIO 2020'!BH228</f>
        <v>0</v>
      </c>
      <c r="H103" s="858">
        <f>'SGTO POAI JUNIO 2020'!BI228</f>
        <v>0</v>
      </c>
    </row>
    <row r="104" spans="1:11" ht="33.75" x14ac:dyDescent="0.2">
      <c r="A104" s="856">
        <v>67</v>
      </c>
      <c r="B104" s="995"/>
      <c r="C104" s="997" t="s">
        <v>855</v>
      </c>
      <c r="D104" s="748" t="s">
        <v>820</v>
      </c>
      <c r="E104" s="749" t="s">
        <v>861</v>
      </c>
      <c r="F104" s="750">
        <f>SUM('SGTO POAI JUNIO 2020'!BG230)</f>
        <v>43838500</v>
      </c>
      <c r="G104" s="750">
        <f>SUM('SGTO POAI JUNIO 2020'!BH230)</f>
        <v>0</v>
      </c>
      <c r="H104" s="858">
        <f>SUM('SGTO POAI JUNIO 2020'!BI230)</f>
        <v>0</v>
      </c>
    </row>
    <row r="105" spans="1:11" ht="45.75" thickBot="1" x14ac:dyDescent="0.25">
      <c r="A105" s="856">
        <v>68</v>
      </c>
      <c r="B105" s="995"/>
      <c r="C105" s="995"/>
      <c r="D105" s="804" t="s">
        <v>862</v>
      </c>
      <c r="E105" s="844" t="s">
        <v>863</v>
      </c>
      <c r="F105" s="805">
        <f>SUM('SGTO POAI JUNIO 2020'!BG231)</f>
        <v>200000000</v>
      </c>
      <c r="G105" s="805">
        <f>SUM('SGTO POAI JUNIO 2020'!BH231)</f>
        <v>100000000</v>
      </c>
      <c r="H105" s="859">
        <f>SUM('SGTO POAI JUNIO 2020'!BI231)</f>
        <v>100000000</v>
      </c>
    </row>
    <row r="106" spans="1:11" ht="19.5" customHeight="1" thickBot="1" x14ac:dyDescent="0.25">
      <c r="A106" s="853"/>
      <c r="B106" s="963" t="s">
        <v>1478</v>
      </c>
      <c r="C106" s="964"/>
      <c r="D106" s="964"/>
      <c r="E106" s="964"/>
      <c r="F106" s="800">
        <f>SUM(F107:F132)</f>
        <v>6196772069.3899994</v>
      </c>
      <c r="G106" s="797">
        <f t="shared" ref="G106:H106" si="9">SUM(G107:G132)</f>
        <v>1413487570</v>
      </c>
      <c r="H106" s="797">
        <f t="shared" si="9"/>
        <v>1374887570</v>
      </c>
      <c r="I106" s="743"/>
      <c r="J106" s="743"/>
      <c r="K106" s="743"/>
    </row>
    <row r="107" spans="1:11" ht="45" x14ac:dyDescent="0.2">
      <c r="A107" s="853">
        <v>69</v>
      </c>
      <c r="B107" s="988" t="s">
        <v>865</v>
      </c>
      <c r="C107" s="837" t="s">
        <v>866</v>
      </c>
      <c r="D107" s="786" t="s">
        <v>872</v>
      </c>
      <c r="E107" s="837" t="s">
        <v>873</v>
      </c>
      <c r="F107" s="787">
        <f>SUM('SGTO POAI JUNIO 2020'!BG236:BG237)</f>
        <v>54477635</v>
      </c>
      <c r="G107" s="787">
        <f>SUM('SGTO POAI JUNIO 2020'!BH236:BH237)</f>
        <v>0</v>
      </c>
      <c r="H107" s="793">
        <f>SUM('SGTO POAI JUNIO 2020'!BI236:BI237)</f>
        <v>0</v>
      </c>
    </row>
    <row r="108" spans="1:11" ht="33.75" x14ac:dyDescent="0.2">
      <c r="A108" s="853">
        <v>70</v>
      </c>
      <c r="B108" s="988"/>
      <c r="C108" s="838" t="s">
        <v>227</v>
      </c>
      <c r="D108" s="738" t="s">
        <v>884</v>
      </c>
      <c r="E108" s="838" t="s">
        <v>885</v>
      </c>
      <c r="F108" s="744">
        <f>'SGTO POAI JUNIO 2020'!BG239</f>
        <v>47000000</v>
      </c>
      <c r="G108" s="744">
        <f>'SGTO POAI JUNIO 2020'!BH239</f>
        <v>0</v>
      </c>
      <c r="H108" s="739">
        <f>'SGTO POAI JUNIO 2020'!BI239</f>
        <v>0</v>
      </c>
    </row>
    <row r="109" spans="1:11" ht="33.75" x14ac:dyDescent="0.2">
      <c r="A109" s="853">
        <v>71</v>
      </c>
      <c r="B109" s="988"/>
      <c r="C109" s="984" t="s">
        <v>886</v>
      </c>
      <c r="D109" s="738" t="s">
        <v>892</v>
      </c>
      <c r="E109" s="838" t="s">
        <v>893</v>
      </c>
      <c r="F109" s="744">
        <f>SUM('SGTO POAI JUNIO 2020'!BG241:BG242)</f>
        <v>55000000</v>
      </c>
      <c r="G109" s="744">
        <f>SUM('SGTO POAI JUNIO 2020'!BH241:BH242)</f>
        <v>8533333</v>
      </c>
      <c r="H109" s="739">
        <f>SUM('SGTO POAI JUNIO 2020'!BI241:BI242)</f>
        <v>8533333</v>
      </c>
    </row>
    <row r="110" spans="1:11" ht="22.5" x14ac:dyDescent="0.2">
      <c r="A110" s="853">
        <v>72</v>
      </c>
      <c r="B110" s="988"/>
      <c r="C110" s="984"/>
      <c r="D110" s="738" t="s">
        <v>904</v>
      </c>
      <c r="E110" s="838" t="s">
        <v>905</v>
      </c>
      <c r="F110" s="744">
        <f>SUM('SGTO POAI JUNIO 2020'!BG243)</f>
        <v>180000000</v>
      </c>
      <c r="G110" s="744">
        <f>SUM('SGTO POAI JUNIO 2020'!BH243)</f>
        <v>29896166</v>
      </c>
      <c r="H110" s="739">
        <f>SUM('SGTO POAI JUNIO 2020'!BI243)</f>
        <v>29896166</v>
      </c>
    </row>
    <row r="111" spans="1:11" ht="33.75" x14ac:dyDescent="0.2">
      <c r="A111" s="853">
        <v>73</v>
      </c>
      <c r="B111" s="988"/>
      <c r="C111" s="984"/>
      <c r="D111" s="738" t="s">
        <v>911</v>
      </c>
      <c r="E111" s="838" t="s">
        <v>912</v>
      </c>
      <c r="F111" s="744">
        <f>'SGTO POAI JUNIO 2020'!BG244</f>
        <v>240000000</v>
      </c>
      <c r="G111" s="744">
        <f>'SGTO POAI JUNIO 2020'!BH244</f>
        <v>58602499</v>
      </c>
      <c r="H111" s="739">
        <f>'SGTO POAI JUNIO 2020'!BI244</f>
        <v>55002499</v>
      </c>
    </row>
    <row r="112" spans="1:11" ht="33.75" x14ac:dyDescent="0.2">
      <c r="A112" s="853"/>
      <c r="B112" s="988"/>
      <c r="C112" s="984"/>
      <c r="D112" s="738" t="s">
        <v>884</v>
      </c>
      <c r="E112" s="838" t="s">
        <v>885</v>
      </c>
      <c r="F112" s="744">
        <f>'SGTO POAI JUNIO 2020'!BG245</f>
        <v>180000000</v>
      </c>
      <c r="G112" s="744">
        <f>'SGTO POAI JUNIO 2020'!BH245</f>
        <v>40401666</v>
      </c>
      <c r="H112" s="739">
        <f>'SGTO POAI JUNIO 2020'!BI245</f>
        <v>40401666</v>
      </c>
    </row>
    <row r="113" spans="1:8" s="752" customFormat="1" ht="56.25" x14ac:dyDescent="0.25">
      <c r="A113" s="853">
        <v>74</v>
      </c>
      <c r="B113" s="988"/>
      <c r="C113" s="984"/>
      <c r="D113" s="738" t="s">
        <v>923</v>
      </c>
      <c r="E113" s="838" t="s">
        <v>924</v>
      </c>
      <c r="F113" s="744">
        <f>SUM('SGTO POAI JUNIO 2020'!BG246)</f>
        <v>13000000</v>
      </c>
      <c r="G113" s="744">
        <f>SUM('SGTO POAI JUNIO 2020'!BH246)</f>
        <v>0</v>
      </c>
      <c r="H113" s="739">
        <f>SUM('SGTO POAI JUNIO 2020'!BI246)</f>
        <v>0</v>
      </c>
    </row>
    <row r="114" spans="1:8" s="752" customFormat="1" ht="45" x14ac:dyDescent="0.25">
      <c r="A114" s="853">
        <v>75</v>
      </c>
      <c r="B114" s="988"/>
      <c r="C114" s="984"/>
      <c r="D114" s="753" t="s">
        <v>931</v>
      </c>
      <c r="E114" s="838" t="s">
        <v>932</v>
      </c>
      <c r="F114" s="744">
        <f>'SGTO POAI JUNIO 2020'!BG247</f>
        <v>55000000</v>
      </c>
      <c r="G114" s="744">
        <f>'SGTO POAI JUNIO 2020'!BH247</f>
        <v>0</v>
      </c>
      <c r="H114" s="739">
        <f>'SGTO POAI JUNIO 2020'!BI247</f>
        <v>0</v>
      </c>
    </row>
    <row r="115" spans="1:8" s="752" customFormat="1" ht="56.25" x14ac:dyDescent="0.25">
      <c r="A115" s="853">
        <v>76</v>
      </c>
      <c r="B115" s="988"/>
      <c r="C115" s="984"/>
      <c r="D115" s="738" t="s">
        <v>938</v>
      </c>
      <c r="E115" s="838" t="s">
        <v>939</v>
      </c>
      <c r="F115" s="744">
        <f>'SGTO POAI JUNIO 2020'!BG248</f>
        <v>14000000</v>
      </c>
      <c r="G115" s="744">
        <f>'SGTO POAI JUNIO 2020'!BH248</f>
        <v>0</v>
      </c>
      <c r="H115" s="739">
        <f>'SGTO POAI JUNIO 2020'!BI248</f>
        <v>0</v>
      </c>
    </row>
    <row r="116" spans="1:8" s="752" customFormat="1" ht="33.75" x14ac:dyDescent="0.25">
      <c r="A116" s="853"/>
      <c r="B116" s="988"/>
      <c r="C116" s="984" t="s">
        <v>378</v>
      </c>
      <c r="D116" s="738" t="s">
        <v>884</v>
      </c>
      <c r="E116" s="838" t="s">
        <v>885</v>
      </c>
      <c r="F116" s="744">
        <f>'SGTO POAI JUNIO 2020'!BG250</f>
        <v>27000000</v>
      </c>
      <c r="G116" s="744">
        <f>'SGTO POAI JUNIO 2020'!BH250</f>
        <v>0</v>
      </c>
      <c r="H116" s="739">
        <f>'SGTO POAI JUNIO 2020'!BI250</f>
        <v>0</v>
      </c>
    </row>
    <row r="117" spans="1:8" ht="33.75" x14ac:dyDescent="0.2">
      <c r="A117" s="853">
        <v>77</v>
      </c>
      <c r="B117" s="988"/>
      <c r="C117" s="984"/>
      <c r="D117" s="738" t="s">
        <v>950</v>
      </c>
      <c r="E117" s="754" t="s">
        <v>951</v>
      </c>
      <c r="F117" s="744">
        <f>'SGTO POAI JUNIO 2020'!BG251</f>
        <v>44520000</v>
      </c>
      <c r="G117" s="744">
        <f>'SGTO POAI JUNIO 2020'!BH251</f>
        <v>44520000</v>
      </c>
      <c r="H117" s="739">
        <f>'SGTO POAI JUNIO 2020'!BI251</f>
        <v>9520000</v>
      </c>
    </row>
    <row r="118" spans="1:8" ht="56.25" x14ac:dyDescent="0.2">
      <c r="A118" s="853"/>
      <c r="B118" s="988"/>
      <c r="C118" s="984"/>
      <c r="D118" s="738" t="s">
        <v>923</v>
      </c>
      <c r="E118" s="838" t="s">
        <v>924</v>
      </c>
      <c r="F118" s="744">
        <f>'SGTO POAI JUNIO 2020'!BG252</f>
        <v>25000000</v>
      </c>
      <c r="G118" s="744">
        <f>'SGTO POAI JUNIO 2020'!BH252</f>
        <v>0</v>
      </c>
      <c r="H118" s="739">
        <f>'SGTO POAI JUNIO 2020'!BI252</f>
        <v>0</v>
      </c>
    </row>
    <row r="119" spans="1:8" ht="33.75" x14ac:dyDescent="0.2">
      <c r="A119" s="853">
        <v>78</v>
      </c>
      <c r="B119" s="988"/>
      <c r="C119" s="984"/>
      <c r="D119" s="753" t="s">
        <v>962</v>
      </c>
      <c r="E119" s="838" t="s">
        <v>963</v>
      </c>
      <c r="F119" s="744">
        <f>'SGTO POAI JUNIO 2020'!BG253</f>
        <v>27000000</v>
      </c>
      <c r="G119" s="744">
        <f>'SGTO POAI JUNIO 2020'!BH253</f>
        <v>0</v>
      </c>
      <c r="H119" s="739">
        <f>'SGTO POAI JUNIO 2020'!BI253</f>
        <v>0</v>
      </c>
    </row>
    <row r="120" spans="1:8" ht="45" x14ac:dyDescent="0.2">
      <c r="A120" s="853">
        <v>79</v>
      </c>
      <c r="B120" s="988"/>
      <c r="C120" s="984"/>
      <c r="D120" s="753" t="s">
        <v>969</v>
      </c>
      <c r="E120" s="838" t="s">
        <v>970</v>
      </c>
      <c r="F120" s="744">
        <f>SUM('SGTO POAI JUNIO 2020'!BG254:BG255)</f>
        <v>79500000</v>
      </c>
      <c r="G120" s="744">
        <f>SUM('SGTO POAI JUNIO 2020'!BH254:BH255)</f>
        <v>0</v>
      </c>
      <c r="H120" s="739">
        <f>SUM('SGTO POAI JUNIO 2020'!BI254:BI255)</f>
        <v>0</v>
      </c>
    </row>
    <row r="121" spans="1:8" ht="33.75" x14ac:dyDescent="0.2">
      <c r="A121" s="853">
        <v>80</v>
      </c>
      <c r="B121" s="988"/>
      <c r="C121" s="984"/>
      <c r="D121" s="753" t="s">
        <v>981</v>
      </c>
      <c r="E121" s="838" t="s">
        <v>982</v>
      </c>
      <c r="F121" s="744">
        <f>'SGTO POAI JUNIO 2020'!BG256</f>
        <v>70000000</v>
      </c>
      <c r="G121" s="744">
        <f>'SGTO POAI JUNIO 2020'!BH256</f>
        <v>0</v>
      </c>
      <c r="H121" s="739">
        <f>'SGTO POAI JUNIO 2020'!BI256</f>
        <v>0</v>
      </c>
    </row>
    <row r="122" spans="1:8" ht="33.75" x14ac:dyDescent="0.2">
      <c r="A122" s="853"/>
      <c r="B122" s="988"/>
      <c r="C122" s="979" t="s">
        <v>983</v>
      </c>
      <c r="D122" s="753" t="s">
        <v>962</v>
      </c>
      <c r="E122" s="838" t="s">
        <v>963</v>
      </c>
      <c r="F122" s="744">
        <f>SUM('SGTO POAI JUNIO 2020'!BG258:BG259)</f>
        <v>39000000</v>
      </c>
      <c r="G122" s="744">
        <f>SUM('SGTO POAI JUNIO 2020'!BH258:BH259)</f>
        <v>0</v>
      </c>
      <c r="H122" s="739">
        <f>SUM('SGTO POAI JUNIO 2020'!BI258:BI259)</f>
        <v>0</v>
      </c>
    </row>
    <row r="123" spans="1:8" ht="33.75" x14ac:dyDescent="0.2">
      <c r="A123" s="853">
        <v>81</v>
      </c>
      <c r="B123" s="988"/>
      <c r="C123" s="968"/>
      <c r="D123" s="753" t="s">
        <v>998</v>
      </c>
      <c r="E123" s="838" t="s">
        <v>999</v>
      </c>
      <c r="F123" s="744">
        <f>'SGTO POAI JUNIO 2020'!BG260</f>
        <v>18000000</v>
      </c>
      <c r="G123" s="744">
        <f>'SGTO POAI JUNIO 2020'!BH260</f>
        <v>0</v>
      </c>
      <c r="H123" s="739">
        <f>'SGTO POAI JUNIO 2020'!BI260</f>
        <v>0</v>
      </c>
    </row>
    <row r="124" spans="1:8" ht="22.5" x14ac:dyDescent="0.2">
      <c r="A124" s="853">
        <v>82</v>
      </c>
      <c r="B124" s="988"/>
      <c r="C124" s="968"/>
      <c r="D124" s="753" t="s">
        <v>1005</v>
      </c>
      <c r="E124" s="838" t="s">
        <v>1006</v>
      </c>
      <c r="F124" s="744">
        <f>'SGTO POAI JUNIO 2020'!BG261</f>
        <v>170000000</v>
      </c>
      <c r="G124" s="744">
        <f>'SGTO POAI JUNIO 2020'!BH261</f>
        <v>38980000</v>
      </c>
      <c r="H124" s="739">
        <f>'SGTO POAI JUNIO 2020'!BI261</f>
        <v>38980000</v>
      </c>
    </row>
    <row r="125" spans="1:8" ht="22.5" x14ac:dyDescent="0.2">
      <c r="A125" s="853">
        <v>83</v>
      </c>
      <c r="B125" s="988"/>
      <c r="C125" s="968"/>
      <c r="D125" s="753" t="s">
        <v>1012</v>
      </c>
      <c r="E125" s="838" t="s">
        <v>1013</v>
      </c>
      <c r="F125" s="744">
        <f>'SGTO POAI JUNIO 2020'!BG262</f>
        <v>140000000</v>
      </c>
      <c r="G125" s="744">
        <f>'SGTO POAI JUNIO 2020'!BH262</f>
        <v>34725000</v>
      </c>
      <c r="H125" s="739">
        <f>'SGTO POAI JUNIO 2020'!BI262</f>
        <v>34725000</v>
      </c>
    </row>
    <row r="126" spans="1:8" ht="22.5" x14ac:dyDescent="0.2">
      <c r="A126" s="853">
        <v>84</v>
      </c>
      <c r="B126" s="988"/>
      <c r="C126" s="968"/>
      <c r="D126" s="753" t="s">
        <v>1019</v>
      </c>
      <c r="E126" s="838" t="s">
        <v>1020</v>
      </c>
      <c r="F126" s="744">
        <f>SUM('SGTO POAI JUNIO 2020'!BG263:BG265)</f>
        <v>4382727592.3899994</v>
      </c>
      <c r="G126" s="744">
        <f>SUM('SGTO POAI JUNIO 2020'!BH263:BH265)</f>
        <v>1125775573</v>
      </c>
      <c r="H126" s="739">
        <f>SUM('SGTO POAI JUNIO 2020'!BI263:BI265)</f>
        <v>1125775573</v>
      </c>
    </row>
    <row r="127" spans="1:8" ht="33.75" x14ac:dyDescent="0.2">
      <c r="A127" s="853">
        <v>85</v>
      </c>
      <c r="B127" s="988"/>
      <c r="C127" s="969"/>
      <c r="D127" s="753" t="s">
        <v>1036</v>
      </c>
      <c r="E127" s="838" t="s">
        <v>1037</v>
      </c>
      <c r="F127" s="744">
        <f>SUM('SGTO POAI JUNIO 2020'!BG266)</f>
        <v>188546842</v>
      </c>
      <c r="G127" s="744">
        <f>SUM('SGTO POAI JUNIO 2020'!BH266)</f>
        <v>32053333</v>
      </c>
      <c r="H127" s="739">
        <f>SUM('SGTO POAI JUNIO 2020'!BI266)</f>
        <v>32053333</v>
      </c>
    </row>
    <row r="128" spans="1:8" ht="67.5" x14ac:dyDescent="0.2">
      <c r="A128" s="853">
        <v>86</v>
      </c>
      <c r="B128" s="988"/>
      <c r="C128" s="979" t="s">
        <v>386</v>
      </c>
      <c r="D128" s="753" t="s">
        <v>1041</v>
      </c>
      <c r="E128" s="838" t="s">
        <v>1042</v>
      </c>
      <c r="F128" s="744">
        <f>'SGTO POAI JUNIO 2020'!BG268</f>
        <v>40000000</v>
      </c>
      <c r="G128" s="744">
        <f>'SGTO POAI JUNIO 2020'!BH268</f>
        <v>0</v>
      </c>
      <c r="H128" s="739">
        <f>'SGTO POAI JUNIO 2020'!BI268</f>
        <v>0</v>
      </c>
    </row>
    <row r="129" spans="1:11" ht="22.5" x14ac:dyDescent="0.2">
      <c r="A129" s="853">
        <v>87</v>
      </c>
      <c r="B129" s="988"/>
      <c r="C129" s="968"/>
      <c r="D129" s="755" t="s">
        <v>1045</v>
      </c>
      <c r="E129" s="839" t="s">
        <v>1046</v>
      </c>
      <c r="F129" s="746">
        <f>'SGTO POAI JUNIO 2020'!BG269</f>
        <v>40000000</v>
      </c>
      <c r="G129" s="746">
        <f>'SGTO POAI JUNIO 2020'!BH269</f>
        <v>0</v>
      </c>
      <c r="H129" s="799">
        <f>'SGTO POAI JUNIO 2020'!BI269</f>
        <v>0</v>
      </c>
    </row>
    <row r="130" spans="1:11" ht="67.5" x14ac:dyDescent="0.2">
      <c r="A130" s="853"/>
      <c r="B130" s="987" t="s">
        <v>2</v>
      </c>
      <c r="C130" s="838" t="s">
        <v>561</v>
      </c>
      <c r="D130" s="753" t="s">
        <v>1041</v>
      </c>
      <c r="E130" s="838" t="s">
        <v>1042</v>
      </c>
      <c r="F130" s="744">
        <f>SUM('SGTO POAI JUNIO 2020'!BG272)</f>
        <v>27000000</v>
      </c>
      <c r="G130" s="744">
        <f>SUM('SGTO POAI JUNIO 2020'!BH272)</f>
        <v>0</v>
      </c>
      <c r="H130" s="739">
        <f>SUM('SGTO POAI JUNIO 2020'!BI272)</f>
        <v>0</v>
      </c>
    </row>
    <row r="131" spans="1:11" ht="45" x14ac:dyDescent="0.2">
      <c r="A131" s="853"/>
      <c r="B131" s="991"/>
      <c r="C131" s="838" t="s">
        <v>1052</v>
      </c>
      <c r="D131" s="753" t="s">
        <v>931</v>
      </c>
      <c r="E131" s="838" t="s">
        <v>1058</v>
      </c>
      <c r="F131" s="744">
        <f>'SGTO POAI JUNIO 2020'!BG274</f>
        <v>25000000</v>
      </c>
      <c r="G131" s="744">
        <f>'SGTO POAI JUNIO 2020'!BH274</f>
        <v>0</v>
      </c>
      <c r="H131" s="739">
        <f>'SGTO POAI JUNIO 2020'!BI274</f>
        <v>0</v>
      </c>
    </row>
    <row r="132" spans="1:11" ht="67.5" x14ac:dyDescent="0.2">
      <c r="A132" s="853"/>
      <c r="B132" s="845" t="s">
        <v>128</v>
      </c>
      <c r="C132" s="838" t="s">
        <v>119</v>
      </c>
      <c r="D132" s="753" t="s">
        <v>1041</v>
      </c>
      <c r="E132" s="838" t="s">
        <v>1042</v>
      </c>
      <c r="F132" s="744">
        <f>'SGTO POAI JUNIO 2020'!BG277</f>
        <v>15000000</v>
      </c>
      <c r="G132" s="744">
        <f>'SGTO POAI JUNIO 2020'!BH277</f>
        <v>0</v>
      </c>
      <c r="H132" s="739">
        <f>'SGTO POAI JUNIO 2020'!BI277</f>
        <v>0</v>
      </c>
    </row>
    <row r="133" spans="1:11" ht="26.25" customHeight="1" x14ac:dyDescent="0.2">
      <c r="A133" s="853"/>
      <c r="B133" s="1008" t="s">
        <v>1479</v>
      </c>
      <c r="C133" s="1009"/>
      <c r="D133" s="1009"/>
      <c r="E133" s="1010"/>
      <c r="F133" s="756">
        <f>SUM(F134:F158)</f>
        <v>40546938920.18</v>
      </c>
      <c r="G133" s="756">
        <f t="shared" ref="G133:H133" si="10">SUM(G134:G158)</f>
        <v>22142167576</v>
      </c>
      <c r="H133" s="756">
        <f t="shared" si="10"/>
        <v>1240835921</v>
      </c>
      <c r="I133" s="743"/>
      <c r="J133" s="743"/>
      <c r="K133" s="743"/>
    </row>
    <row r="134" spans="1:11" ht="22.5" x14ac:dyDescent="0.2">
      <c r="A134" s="853">
        <v>88</v>
      </c>
      <c r="B134" s="1011" t="s">
        <v>1063</v>
      </c>
      <c r="C134" s="979" t="s">
        <v>1064</v>
      </c>
      <c r="D134" s="738" t="s">
        <v>1070</v>
      </c>
      <c r="E134" s="838" t="s">
        <v>10</v>
      </c>
      <c r="F134" s="744">
        <f>SUM('SGTO POAI JUNIO 2020'!BG282)</f>
        <v>50000000</v>
      </c>
      <c r="G134" s="744">
        <f>SUM('SGTO POAI JUNIO 2020'!BH282)</f>
        <v>0</v>
      </c>
      <c r="H134" s="739">
        <f>SUM('SGTO POAI JUNIO 2020'!BI282)</f>
        <v>0</v>
      </c>
    </row>
    <row r="135" spans="1:11" ht="22.5" x14ac:dyDescent="0.2">
      <c r="A135" s="853">
        <v>89</v>
      </c>
      <c r="B135" s="1003"/>
      <c r="C135" s="968"/>
      <c r="D135" s="738" t="s">
        <v>1075</v>
      </c>
      <c r="E135" s="838" t="s">
        <v>1076</v>
      </c>
      <c r="F135" s="744">
        <f>SUM('SGTO POAI JUNIO 2020'!BG283:BG289)</f>
        <v>1316328216.8600001</v>
      </c>
      <c r="G135" s="744">
        <f>SUM('SGTO POAI JUNIO 2020'!BH283:BH289)</f>
        <v>73295895</v>
      </c>
      <c r="H135" s="739">
        <f>SUM('SGTO POAI JUNIO 2020'!BI283:BI289)</f>
        <v>66842562</v>
      </c>
    </row>
    <row r="136" spans="1:11" ht="33.75" x14ac:dyDescent="0.2">
      <c r="A136" s="853">
        <v>90</v>
      </c>
      <c r="B136" s="1003"/>
      <c r="C136" s="968"/>
      <c r="D136" s="738" t="s">
        <v>1107</v>
      </c>
      <c r="E136" s="838" t="s">
        <v>1108</v>
      </c>
      <c r="F136" s="744">
        <f>SUM('SGTO POAI JUNIO 2020'!BG290:BG291)</f>
        <v>317470000</v>
      </c>
      <c r="G136" s="744">
        <f>SUM('SGTO POAI JUNIO 2020'!BH290:BH291)</f>
        <v>50213333</v>
      </c>
      <c r="H136" s="739">
        <f>SUM('SGTO POAI JUNIO 2020'!BI290:BI291)</f>
        <v>50213333</v>
      </c>
    </row>
    <row r="137" spans="1:11" ht="33.75" x14ac:dyDescent="0.2">
      <c r="A137" s="853">
        <v>91</v>
      </c>
      <c r="B137" s="1003"/>
      <c r="C137" s="968"/>
      <c r="D137" s="738" t="s">
        <v>1119</v>
      </c>
      <c r="E137" s="838" t="s">
        <v>1120</v>
      </c>
      <c r="F137" s="744">
        <f>SUM('SGTO POAI JUNIO 2020'!BG292:BG295)</f>
        <v>1098701477</v>
      </c>
      <c r="G137" s="744">
        <f>SUM('SGTO POAI JUNIO 2020'!BH292:BH295)</f>
        <v>89428679</v>
      </c>
      <c r="H137" s="739">
        <f>SUM('SGTO POAI JUNIO 2020'!BI292:BI295)</f>
        <v>77600079</v>
      </c>
    </row>
    <row r="138" spans="1:11" ht="22.5" x14ac:dyDescent="0.2">
      <c r="A138" s="853">
        <v>92</v>
      </c>
      <c r="B138" s="1003"/>
      <c r="C138" s="968"/>
      <c r="D138" s="738" t="s">
        <v>1132</v>
      </c>
      <c r="E138" s="838" t="s">
        <v>1133</v>
      </c>
      <c r="F138" s="744">
        <f>SUM('SGTO POAI JUNIO 2020'!BG296)</f>
        <v>656000000</v>
      </c>
      <c r="G138" s="744">
        <f>SUM('SGTO POAI JUNIO 2020'!BH296)</f>
        <v>75018330</v>
      </c>
      <c r="H138" s="739">
        <f>SUM('SGTO POAI JUNIO 2020'!BI296)</f>
        <v>69433331</v>
      </c>
    </row>
    <row r="139" spans="1:11" ht="33.75" x14ac:dyDescent="0.2">
      <c r="A139" s="853">
        <v>93</v>
      </c>
      <c r="B139" s="1003"/>
      <c r="C139" s="968"/>
      <c r="D139" s="738" t="s">
        <v>1137</v>
      </c>
      <c r="E139" s="838" t="s">
        <v>1138</v>
      </c>
      <c r="F139" s="744">
        <f>SUM('SGTO POAI JUNIO 2020'!BG297)</f>
        <v>96954000</v>
      </c>
      <c r="G139" s="744">
        <f>SUM('SGTO POAI JUNIO 2020'!BH297)</f>
        <v>22400000</v>
      </c>
      <c r="H139" s="739">
        <f>SUM('SGTO POAI JUNIO 2020'!BI297)</f>
        <v>19600000</v>
      </c>
    </row>
    <row r="140" spans="1:11" ht="33.75" x14ac:dyDescent="0.2">
      <c r="A140" s="853">
        <v>94</v>
      </c>
      <c r="B140" s="1003"/>
      <c r="C140" s="968"/>
      <c r="D140" s="738" t="s">
        <v>1144</v>
      </c>
      <c r="E140" s="838" t="s">
        <v>1145</v>
      </c>
      <c r="F140" s="744">
        <f>SUM('SGTO POAI JUNIO 2020'!BG298:BG302)</f>
        <v>64636000</v>
      </c>
      <c r="G140" s="744">
        <f>SUM('SGTO POAI JUNIO 2020'!BH298:BH302)</f>
        <v>33760000</v>
      </c>
      <c r="H140" s="739">
        <f>SUM('SGTO POAI JUNIO 2020'!BI298:BI302)</f>
        <v>21914666</v>
      </c>
    </row>
    <row r="141" spans="1:11" ht="22.5" x14ac:dyDescent="0.2">
      <c r="A141" s="853">
        <v>95</v>
      </c>
      <c r="B141" s="1003"/>
      <c r="C141" s="969"/>
      <c r="D141" s="738" t="s">
        <v>1157</v>
      </c>
      <c r="E141" s="838" t="s">
        <v>1158</v>
      </c>
      <c r="F141" s="744">
        <f>SUM('SGTO POAI JUNIO 2020'!BG303:BG306)</f>
        <v>150000000</v>
      </c>
      <c r="G141" s="744">
        <f>SUM('SGTO POAI JUNIO 2020'!BH303:BH306)</f>
        <v>37866667</v>
      </c>
      <c r="H141" s="739">
        <f>SUM('SGTO POAI JUNIO 2020'!BI303:BI306)</f>
        <v>33200000</v>
      </c>
    </row>
    <row r="142" spans="1:11" ht="22.5" x14ac:dyDescent="0.2">
      <c r="A142" s="853"/>
      <c r="B142" s="1003"/>
      <c r="C142" s="979" t="s">
        <v>866</v>
      </c>
      <c r="D142" s="738" t="s">
        <v>1070</v>
      </c>
      <c r="E142" s="838" t="s">
        <v>10</v>
      </c>
      <c r="F142" s="744">
        <f>SUM('SGTO POAI JUNIO 2020'!BG308:BG309)</f>
        <v>80000000</v>
      </c>
      <c r="G142" s="744">
        <f>SUM('SGTO POAI JUNIO 2020'!BH308:BH309)</f>
        <v>11866667</v>
      </c>
      <c r="H142" s="739">
        <f>SUM('SGTO POAI JUNIO 2020'!BI308:BI309)</f>
        <v>11866667</v>
      </c>
    </row>
    <row r="143" spans="1:11" ht="23.25" customHeight="1" x14ac:dyDescent="0.2">
      <c r="A143" s="853">
        <v>96</v>
      </c>
      <c r="B143" s="1003"/>
      <c r="C143" s="968"/>
      <c r="D143" s="738" t="s">
        <v>1185</v>
      </c>
      <c r="E143" s="838" t="s">
        <v>1186</v>
      </c>
      <c r="F143" s="744">
        <f>SUM('SGTO POAI JUNIO 2020'!BG310:BG316)</f>
        <v>210000000</v>
      </c>
      <c r="G143" s="744">
        <f>SUM('SGTO POAI JUNIO 2020'!BH310:BH316)</f>
        <v>11200000</v>
      </c>
      <c r="H143" s="739">
        <f>SUM('SGTO POAI JUNIO 2020'!BI310:BI316)</f>
        <v>8400000</v>
      </c>
    </row>
    <row r="144" spans="1:11" ht="33.75" x14ac:dyDescent="0.2">
      <c r="A144" s="853">
        <v>97</v>
      </c>
      <c r="B144" s="1003"/>
      <c r="C144" s="968"/>
      <c r="D144" s="738" t="s">
        <v>1214</v>
      </c>
      <c r="E144" s="838" t="s">
        <v>1215</v>
      </c>
      <c r="F144" s="744">
        <f>SUM('SGTO POAI JUNIO 2020'!BG317:BG318)</f>
        <v>148000000</v>
      </c>
      <c r="G144" s="744">
        <f>SUM('SGTO POAI JUNIO 2020'!BH317:BH318)</f>
        <v>0</v>
      </c>
      <c r="H144" s="739">
        <f>SUM('SGTO POAI JUNIO 2020'!BI317:BI318)</f>
        <v>0</v>
      </c>
    </row>
    <row r="145" spans="1:11" ht="33.75" x14ac:dyDescent="0.2">
      <c r="A145" s="853">
        <v>98</v>
      </c>
      <c r="B145" s="1003"/>
      <c r="C145" s="968"/>
      <c r="D145" s="738" t="s">
        <v>1221</v>
      </c>
      <c r="E145" s="838" t="s">
        <v>1222</v>
      </c>
      <c r="F145" s="744">
        <f>SUM('SGTO POAI JUNIO 2020'!BG319:BG321)</f>
        <v>140000000</v>
      </c>
      <c r="G145" s="744">
        <f>SUM('SGTO POAI JUNIO 2020'!BH319:BH321)</f>
        <v>20440000</v>
      </c>
      <c r="H145" s="739">
        <f>SUM('SGTO POAI JUNIO 2020'!BI319:BI321)</f>
        <v>18013333</v>
      </c>
    </row>
    <row r="146" spans="1:11" ht="33.75" x14ac:dyDescent="0.2">
      <c r="A146" s="853">
        <v>99</v>
      </c>
      <c r="B146" s="1003"/>
      <c r="C146" s="968"/>
      <c r="D146" s="738" t="s">
        <v>1232</v>
      </c>
      <c r="E146" s="838" t="s">
        <v>1233</v>
      </c>
      <c r="F146" s="744">
        <f>SUM('SGTO POAI JUNIO 2020'!BG322:BG323)</f>
        <v>170000000</v>
      </c>
      <c r="G146" s="744">
        <f>SUM('SGTO POAI JUNIO 2020'!BH322:BH323)</f>
        <v>16333333</v>
      </c>
      <c r="H146" s="739">
        <f>SUM('SGTO POAI JUNIO 2020'!BI322:BI323)</f>
        <v>13533333</v>
      </c>
    </row>
    <row r="147" spans="1:11" ht="33.75" x14ac:dyDescent="0.2">
      <c r="A147" s="853">
        <v>100</v>
      </c>
      <c r="B147" s="1003"/>
      <c r="C147" s="968"/>
      <c r="D147" s="738" t="s">
        <v>1238</v>
      </c>
      <c r="E147" s="838" t="s">
        <v>1239</v>
      </c>
      <c r="F147" s="744">
        <f>SUM('SGTO POAI JUNIO 2020'!BG324:BG326)</f>
        <v>140000000</v>
      </c>
      <c r="G147" s="744">
        <f>SUM('SGTO POAI JUNIO 2020'!BH324:BH326)</f>
        <v>21799999</v>
      </c>
      <c r="H147" s="739">
        <f>SUM('SGTO POAI JUNIO 2020'!BI324:BI326)</f>
        <v>21799999</v>
      </c>
    </row>
    <row r="148" spans="1:11" ht="33.75" x14ac:dyDescent="0.2">
      <c r="A148" s="853">
        <v>101</v>
      </c>
      <c r="B148" s="1003"/>
      <c r="C148" s="968"/>
      <c r="D148" s="738" t="s">
        <v>1251</v>
      </c>
      <c r="E148" s="838" t="s">
        <v>1252</v>
      </c>
      <c r="F148" s="744">
        <f>SUM('SGTO POAI JUNIO 2020'!BG327:BG328)</f>
        <v>759387298.61000001</v>
      </c>
      <c r="G148" s="744">
        <f>SUM('SGTO POAI JUNIO 2020'!BH327:BH328)</f>
        <v>136505420</v>
      </c>
      <c r="H148" s="739">
        <f>SUM('SGTO POAI JUNIO 2020'!BI327:BI328)</f>
        <v>129038754</v>
      </c>
    </row>
    <row r="149" spans="1:11" ht="33.75" x14ac:dyDescent="0.2">
      <c r="A149" s="853">
        <v>102</v>
      </c>
      <c r="B149" s="1003"/>
      <c r="C149" s="968"/>
      <c r="D149" s="738" t="s">
        <v>1255</v>
      </c>
      <c r="E149" s="838" t="s">
        <v>1256</v>
      </c>
      <c r="F149" s="744">
        <f>SUM('SGTO POAI JUNIO 2020'!BG329:BG330)</f>
        <v>223219793</v>
      </c>
      <c r="G149" s="744">
        <f>SUM('SGTO POAI JUNIO 2020'!BH329:BH330)</f>
        <v>26100000</v>
      </c>
      <c r="H149" s="739">
        <f>SUM('SGTO POAI JUNIO 2020'!BI329:BI330)</f>
        <v>18800000</v>
      </c>
    </row>
    <row r="150" spans="1:11" ht="18.75" customHeight="1" x14ac:dyDescent="0.2">
      <c r="A150" s="853">
        <v>103</v>
      </c>
      <c r="B150" s="1003"/>
      <c r="C150" s="968"/>
      <c r="D150" s="738" t="s">
        <v>1258</v>
      </c>
      <c r="E150" s="838" t="s">
        <v>1259</v>
      </c>
      <c r="F150" s="744">
        <f>SUM('SGTO POAI JUNIO 2020'!BG331)</f>
        <v>2929870740</v>
      </c>
      <c r="G150" s="744">
        <f>SUM('SGTO POAI JUNIO 2020'!BH331)</f>
        <v>1040213960</v>
      </c>
      <c r="H150" s="739">
        <f>SUM('SGTO POAI JUNIO 2020'!BI331)</f>
        <v>559983825</v>
      </c>
    </row>
    <row r="151" spans="1:11" ht="33.75" x14ac:dyDescent="0.2">
      <c r="A151" s="853">
        <v>104</v>
      </c>
      <c r="B151" s="1003"/>
      <c r="C151" s="968"/>
      <c r="D151" s="738" t="s">
        <v>1264</v>
      </c>
      <c r="E151" s="838" t="s">
        <v>1265</v>
      </c>
      <c r="F151" s="744">
        <f>SUM('SGTO POAI JUNIO 2020'!BG332:BG333)</f>
        <v>20000000</v>
      </c>
      <c r="G151" s="744">
        <f>SUM('SGTO POAI JUNIO 2020'!BH332:BH333)</f>
        <v>0</v>
      </c>
      <c r="H151" s="739">
        <f>SUM('SGTO POAI JUNIO 2020'!BI332:BI333)</f>
        <v>0</v>
      </c>
    </row>
    <row r="152" spans="1:11" ht="22.5" x14ac:dyDescent="0.2">
      <c r="A152" s="853">
        <v>105</v>
      </c>
      <c r="B152" s="1003"/>
      <c r="C152" s="968"/>
      <c r="D152" s="738" t="s">
        <v>1270</v>
      </c>
      <c r="E152" s="838" t="s">
        <v>1271</v>
      </c>
      <c r="F152" s="744">
        <f>SUM('SGTO POAI JUNIO 2020'!BG334)</f>
        <v>76000000</v>
      </c>
      <c r="G152" s="744">
        <f>SUM('SGTO POAI JUNIO 2020'!BH334)</f>
        <v>10173331</v>
      </c>
      <c r="H152" s="739">
        <f>SUM('SGTO POAI JUNIO 2020'!BI334)</f>
        <v>10173331</v>
      </c>
    </row>
    <row r="153" spans="1:11" ht="22.5" x14ac:dyDescent="0.2">
      <c r="A153" s="853">
        <v>106</v>
      </c>
      <c r="B153" s="1003"/>
      <c r="C153" s="968"/>
      <c r="D153" s="738" t="s">
        <v>1132</v>
      </c>
      <c r="E153" s="838" t="s">
        <v>1133</v>
      </c>
      <c r="F153" s="744">
        <f>SUM('SGTO POAI JUNIO 2020'!BG335)</f>
        <v>100126107.14</v>
      </c>
      <c r="G153" s="744">
        <f>SUM('SGTO POAI JUNIO 2020'!BH335)</f>
        <v>0</v>
      </c>
      <c r="H153" s="739">
        <f>SUM('SGTO POAI JUNIO 2020'!BI335)</f>
        <v>0</v>
      </c>
    </row>
    <row r="154" spans="1:11" ht="22.5" x14ac:dyDescent="0.2">
      <c r="A154" s="853">
        <v>107</v>
      </c>
      <c r="B154" s="1003"/>
      <c r="C154" s="968"/>
      <c r="D154" s="738" t="s">
        <v>1280</v>
      </c>
      <c r="E154" s="838" t="s">
        <v>1480</v>
      </c>
      <c r="F154" s="744">
        <f>SUM('SGTO POAI JUNIO 2020'!BG336)</f>
        <v>300000000</v>
      </c>
      <c r="G154" s="744">
        <f>SUM('SGTO POAI JUNIO 2020'!BH336)</f>
        <v>111618484</v>
      </c>
      <c r="H154" s="739">
        <f>SUM('SGTO POAI JUNIO 2020'!BI336)</f>
        <v>73990042</v>
      </c>
    </row>
    <row r="155" spans="1:11" ht="33.75" x14ac:dyDescent="0.2">
      <c r="A155" s="853">
        <v>108</v>
      </c>
      <c r="B155" s="1003"/>
      <c r="C155" s="969"/>
      <c r="D155" s="738" t="s">
        <v>1282</v>
      </c>
      <c r="E155" s="838" t="s">
        <v>11</v>
      </c>
      <c r="F155" s="744">
        <f>SUM('SGTO POAI JUNIO 2020'!BG337)</f>
        <v>1400126107.49</v>
      </c>
      <c r="G155" s="744">
        <f>SUM('SGTO POAI JUNIO 2020'!BH337)</f>
        <v>436818666</v>
      </c>
      <c r="H155" s="739">
        <f>SUM('SGTO POAI JUNIO 2020'!BI337)</f>
        <v>19632666</v>
      </c>
    </row>
    <row r="156" spans="1:11" ht="33.75" x14ac:dyDescent="0.2">
      <c r="A156" s="853">
        <v>109</v>
      </c>
      <c r="B156" s="1003"/>
      <c r="C156" s="979" t="s">
        <v>208</v>
      </c>
      <c r="D156" s="738" t="s">
        <v>1287</v>
      </c>
      <c r="E156" s="838" t="s">
        <v>1288</v>
      </c>
      <c r="F156" s="744">
        <f>SUM('SGTO POAI JUNIO 2020'!BG339:BG340)</f>
        <v>21660622878.040001</v>
      </c>
      <c r="G156" s="744">
        <f>SUM('SGTO POAI JUNIO 2020'!BH339:BH340)</f>
        <v>19911514812</v>
      </c>
      <c r="H156" s="739">
        <f>SUM('SGTO POAI JUNIO 2020'!BI339:BI340)</f>
        <v>11200000</v>
      </c>
    </row>
    <row r="157" spans="1:11" ht="45" x14ac:dyDescent="0.2">
      <c r="A157" s="853">
        <v>110</v>
      </c>
      <c r="B157" s="1003"/>
      <c r="C157" s="968"/>
      <c r="D157" s="738" t="s">
        <v>1298</v>
      </c>
      <c r="E157" s="838" t="s">
        <v>9</v>
      </c>
      <c r="F157" s="744">
        <f>SUM('SGTO POAI JUNIO 2020'!BG341:BG344)</f>
        <v>6325213319.039999</v>
      </c>
      <c r="G157" s="744">
        <f>SUM('SGTO POAI JUNIO 2020'!BH341:BH344)</f>
        <v>0</v>
      </c>
      <c r="H157" s="739">
        <f>SUM('SGTO POAI JUNIO 2020'!BI341:BI344)</f>
        <v>0</v>
      </c>
    </row>
    <row r="158" spans="1:11" ht="22.5" x14ac:dyDescent="0.2">
      <c r="A158" s="853">
        <v>111</v>
      </c>
      <c r="B158" s="1004"/>
      <c r="C158" s="969"/>
      <c r="D158" s="738" t="s">
        <v>1315</v>
      </c>
      <c r="E158" s="838" t="s">
        <v>1316</v>
      </c>
      <c r="F158" s="744">
        <f>SUM('SGTO POAI JUNIO 2020'!BG345)</f>
        <v>2114282983</v>
      </c>
      <c r="G158" s="744">
        <f>SUM('SGTO POAI JUNIO 2020'!BH345)</f>
        <v>5600000</v>
      </c>
      <c r="H158" s="739">
        <f>SUM('SGTO POAI JUNIO 2020'!BI345)</f>
        <v>5600000</v>
      </c>
    </row>
    <row r="159" spans="1:11" ht="17.25" customHeight="1" x14ac:dyDescent="0.2">
      <c r="A159" s="853"/>
      <c r="B159" s="998" t="s">
        <v>1481</v>
      </c>
      <c r="C159" s="999"/>
      <c r="D159" s="999"/>
      <c r="E159" s="999"/>
      <c r="F159" s="737">
        <f>SUM(F160:F164)</f>
        <v>491885000</v>
      </c>
      <c r="G159" s="737">
        <f t="shared" ref="G159:H159" si="11">SUM(G160:G164)</f>
        <v>146689132</v>
      </c>
      <c r="H159" s="737">
        <f t="shared" si="11"/>
        <v>134611132</v>
      </c>
      <c r="I159" s="743"/>
      <c r="J159" s="743"/>
      <c r="K159" s="743"/>
    </row>
    <row r="160" spans="1:11" ht="56.25" x14ac:dyDescent="0.2">
      <c r="A160" s="853">
        <v>112</v>
      </c>
      <c r="B160" s="967" t="s">
        <v>1</v>
      </c>
      <c r="C160" s="839" t="s">
        <v>1318</v>
      </c>
      <c r="D160" s="738" t="s">
        <v>1324</v>
      </c>
      <c r="E160" s="838" t="s">
        <v>1325</v>
      </c>
      <c r="F160" s="744">
        <f>SUM('SGTO POAI JUNIO 2020'!BG350:BG351)</f>
        <v>200000000</v>
      </c>
      <c r="G160" s="744">
        <f>SUM('SGTO POAI JUNIO 2020'!BH350:BH351)</f>
        <v>0</v>
      </c>
      <c r="H160" s="739">
        <f>SUM('SGTO POAI JUNIO 2020'!BI350:BI351)</f>
        <v>0</v>
      </c>
    </row>
    <row r="161" spans="1:11" ht="90" x14ac:dyDescent="0.2">
      <c r="A161" s="853">
        <v>113</v>
      </c>
      <c r="B161" s="1002"/>
      <c r="C161" s="840" t="s">
        <v>1331</v>
      </c>
      <c r="D161" s="738" t="s">
        <v>1336</v>
      </c>
      <c r="E161" s="838" t="s">
        <v>1337</v>
      </c>
      <c r="F161" s="744">
        <f>'SGTO POAI JUNIO 2020'!BG353</f>
        <v>7164000</v>
      </c>
      <c r="G161" s="744">
        <f>'SGTO POAI JUNIO 2020'!BH353</f>
        <v>0</v>
      </c>
      <c r="H161" s="739">
        <f>'SGTO POAI JUNIO 2020'!BI353</f>
        <v>0</v>
      </c>
    </row>
    <row r="162" spans="1:11" ht="33.75" x14ac:dyDescent="0.2">
      <c r="A162" s="853">
        <v>114</v>
      </c>
      <c r="B162" s="1003" t="s">
        <v>1338</v>
      </c>
      <c r="C162" s="837" t="s">
        <v>1340</v>
      </c>
      <c r="D162" s="738" t="s">
        <v>1346</v>
      </c>
      <c r="E162" s="838" t="s">
        <v>1347</v>
      </c>
      <c r="F162" s="744">
        <f>'SGTO POAI JUNIO 2020'!BG356</f>
        <v>63000000</v>
      </c>
      <c r="G162" s="744">
        <f>'SGTO POAI JUNIO 2020'!BH356</f>
        <v>0</v>
      </c>
      <c r="H162" s="739">
        <f>'SGTO POAI JUNIO 2020'!BI356</f>
        <v>0</v>
      </c>
    </row>
    <row r="163" spans="1:11" ht="33.75" x14ac:dyDescent="0.2">
      <c r="A163" s="853">
        <v>115</v>
      </c>
      <c r="B163" s="1004"/>
      <c r="C163" s="838" t="s">
        <v>1348</v>
      </c>
      <c r="D163" s="738" t="s">
        <v>1354</v>
      </c>
      <c r="E163" s="838" t="s">
        <v>1355</v>
      </c>
      <c r="F163" s="744">
        <f>'SGTO POAI JUNIO 2020'!BG358</f>
        <v>18000000</v>
      </c>
      <c r="G163" s="744">
        <f>'SGTO POAI JUNIO 2020'!BH358</f>
        <v>0</v>
      </c>
      <c r="H163" s="739">
        <f>'SGTO POAI JUNIO 2020'!BI358</f>
        <v>0</v>
      </c>
    </row>
    <row r="164" spans="1:11" ht="90" x14ac:dyDescent="0.2">
      <c r="A164" s="853">
        <v>116</v>
      </c>
      <c r="B164" s="838" t="s">
        <v>128</v>
      </c>
      <c r="C164" s="838" t="s">
        <v>1331</v>
      </c>
      <c r="D164" s="738" t="s">
        <v>1361</v>
      </c>
      <c r="E164" s="838" t="s">
        <v>1362</v>
      </c>
      <c r="F164" s="744">
        <f>SUM('SGTO POAI JUNIO 2020'!BG361:BG362)</f>
        <v>203721000</v>
      </c>
      <c r="G164" s="744">
        <f>SUM('SGTO POAI JUNIO 2020'!BH361:BH362)</f>
        <v>146689132</v>
      </c>
      <c r="H164" s="739">
        <f>SUM('SGTO POAI JUNIO 2020'!BI361:BI362)</f>
        <v>134611132</v>
      </c>
    </row>
    <row r="165" spans="1:11" s="760" customFormat="1" x14ac:dyDescent="0.2">
      <c r="A165" s="853"/>
      <c r="B165" s="1000" t="s">
        <v>1498</v>
      </c>
      <c r="C165" s="1001"/>
      <c r="D165" s="757"/>
      <c r="E165" s="841"/>
      <c r="F165" s="758">
        <f>+F159+F133+F106+F92+F88+F66+F60+F54+F38+F22+F19+F11+F7</f>
        <v>254368261203.77832</v>
      </c>
      <c r="G165" s="758">
        <f t="shared" ref="G165:H165" si="12">+G159+G133+G106+G92+G88+G66+G60+G54+G38+G22+G19+G11+G7</f>
        <v>110868400760</v>
      </c>
      <c r="H165" s="758">
        <f t="shared" si="12"/>
        <v>77898842577.330002</v>
      </c>
      <c r="I165" s="759"/>
      <c r="J165" s="759"/>
      <c r="K165" s="759"/>
    </row>
    <row r="166" spans="1:11" x14ac:dyDescent="0.2">
      <c r="A166" s="853"/>
      <c r="B166" s="1005" t="s">
        <v>1482</v>
      </c>
      <c r="C166" s="1006"/>
      <c r="D166" s="1006"/>
      <c r="E166" s="1006"/>
      <c r="F166" s="1007"/>
      <c r="G166" s="860"/>
      <c r="H166" s="861"/>
    </row>
    <row r="167" spans="1:11" ht="15.75" customHeight="1" x14ac:dyDescent="0.2">
      <c r="A167" s="853"/>
      <c r="B167" s="998" t="s">
        <v>1483</v>
      </c>
      <c r="C167" s="999"/>
      <c r="D167" s="999"/>
      <c r="E167" s="999"/>
      <c r="F167" s="737">
        <f>SUM(F168:F174)</f>
        <v>1398778115</v>
      </c>
      <c r="G167" s="737">
        <f t="shared" ref="G167:H167" si="13">SUM(G168:G174)</f>
        <v>303932098</v>
      </c>
      <c r="H167" s="737">
        <f t="shared" si="13"/>
        <v>223586507</v>
      </c>
      <c r="I167" s="743"/>
      <c r="J167" s="743"/>
      <c r="K167" s="743"/>
    </row>
    <row r="168" spans="1:11" ht="22.5" x14ac:dyDescent="0.2">
      <c r="A168" s="853">
        <v>117</v>
      </c>
      <c r="B168" s="966" t="s">
        <v>1</v>
      </c>
      <c r="C168" s="979" t="s">
        <v>236</v>
      </c>
      <c r="D168" s="738" t="s">
        <v>1374</v>
      </c>
      <c r="E168" s="761" t="s">
        <v>1375</v>
      </c>
      <c r="F168" s="744">
        <f>SUM('SGTO POAI JUNIO 2020'!BG368:BG369)</f>
        <v>255000000</v>
      </c>
      <c r="G168" s="744">
        <f>SUM('SGTO POAI JUNIO 2020'!BH368:BH369)</f>
        <v>54740000</v>
      </c>
      <c r="H168" s="739">
        <f>SUM('SGTO POAI JUNIO 2020'!BI368:BI369)</f>
        <v>37620000</v>
      </c>
    </row>
    <row r="169" spans="1:11" ht="22.5" x14ac:dyDescent="0.2">
      <c r="A169" s="853">
        <v>118</v>
      </c>
      <c r="B169" s="966"/>
      <c r="C169" s="968"/>
      <c r="D169" s="738" t="s">
        <v>1383</v>
      </c>
      <c r="E169" s="761" t="s">
        <v>1384</v>
      </c>
      <c r="F169" s="744">
        <f>'SGTO POAI JUNIO 2020'!BG370</f>
        <v>121552853</v>
      </c>
      <c r="G169" s="744">
        <f>'SGTO POAI JUNIO 2020'!BH370</f>
        <v>13480000</v>
      </c>
      <c r="H169" s="739">
        <f>'SGTO POAI JUNIO 2020'!BI370</f>
        <v>9620000</v>
      </c>
    </row>
    <row r="170" spans="1:11" ht="22.5" x14ac:dyDescent="0.2">
      <c r="A170" s="853">
        <v>119</v>
      </c>
      <c r="B170" s="966"/>
      <c r="C170" s="968"/>
      <c r="D170" s="738" t="s">
        <v>1385</v>
      </c>
      <c r="E170" s="754" t="s">
        <v>1386</v>
      </c>
      <c r="F170" s="744">
        <f>SUM('SGTO POAI JUNIO 2020'!BG371:BG372)</f>
        <v>139000000</v>
      </c>
      <c r="G170" s="744">
        <f>SUM('SGTO POAI JUNIO 2020'!BH371:BH372)</f>
        <v>33300000</v>
      </c>
      <c r="H170" s="739">
        <f>SUM('SGTO POAI JUNIO 2020'!BI371:BI372)</f>
        <v>26300000</v>
      </c>
    </row>
    <row r="171" spans="1:11" ht="22.5" x14ac:dyDescent="0.2">
      <c r="A171" s="853">
        <v>120</v>
      </c>
      <c r="B171" s="966"/>
      <c r="C171" s="968"/>
      <c r="D171" s="738" t="s">
        <v>1392</v>
      </c>
      <c r="E171" s="754" t="s">
        <v>1393</v>
      </c>
      <c r="F171" s="744">
        <f>'SGTO POAI JUNIO 2020'!BG373</f>
        <v>20000000</v>
      </c>
      <c r="G171" s="744">
        <f>'SGTO POAI JUNIO 2020'!BH373</f>
        <v>18480000</v>
      </c>
      <c r="H171" s="739">
        <f>'SGTO POAI JUNIO 2020'!BI373</f>
        <v>11560000</v>
      </c>
    </row>
    <row r="172" spans="1:11" ht="22.5" customHeight="1" x14ac:dyDescent="0.2">
      <c r="A172" s="853">
        <v>121</v>
      </c>
      <c r="B172" s="966"/>
      <c r="C172" s="968"/>
      <c r="D172" s="738" t="s">
        <v>1394</v>
      </c>
      <c r="E172" s="754" t="s">
        <v>1395</v>
      </c>
      <c r="F172" s="744">
        <f>'SGTO POAI JUNIO 2020'!BG374</f>
        <v>40000000</v>
      </c>
      <c r="G172" s="744">
        <f>'SGTO POAI JUNIO 2020'!BH374</f>
        <v>30633333</v>
      </c>
      <c r="H172" s="739">
        <f>'SGTO POAI JUNIO 2020'!BI374</f>
        <v>27883333</v>
      </c>
    </row>
    <row r="173" spans="1:11" ht="29.25" customHeight="1" x14ac:dyDescent="0.2">
      <c r="A173" s="853">
        <v>123</v>
      </c>
      <c r="B173" s="966"/>
      <c r="C173" s="979" t="s">
        <v>243</v>
      </c>
      <c r="D173" s="738" t="s">
        <v>1401</v>
      </c>
      <c r="E173" s="762" t="s">
        <v>1402</v>
      </c>
      <c r="F173" s="744">
        <f>'SGTO POAI JUNIO 2020'!BG376</f>
        <v>793225262</v>
      </c>
      <c r="G173" s="744">
        <f>'SGTO POAI JUNIO 2020'!BH376</f>
        <v>153298765</v>
      </c>
      <c r="H173" s="739">
        <f>'SGTO POAI JUNIO 2020'!BI376</f>
        <v>110603174</v>
      </c>
    </row>
    <row r="174" spans="1:11" ht="38.25" customHeight="1" thickBot="1" x14ac:dyDescent="0.25">
      <c r="A174" s="853">
        <v>124</v>
      </c>
      <c r="B174" s="967"/>
      <c r="C174" s="968"/>
      <c r="D174" s="745" t="s">
        <v>1484</v>
      </c>
      <c r="E174" s="826" t="s">
        <v>1485</v>
      </c>
      <c r="F174" s="746">
        <f>'SGTO POAI JUNIO 2020'!BG377</f>
        <v>30000000</v>
      </c>
      <c r="G174" s="744">
        <f>'SGTO POAI JUNIO 2020'!BH377</f>
        <v>0</v>
      </c>
      <c r="H174" s="739">
        <f>'SGTO POAI JUNIO 2020'!BI377</f>
        <v>0</v>
      </c>
    </row>
    <row r="175" spans="1:11" ht="16.5" customHeight="1" thickBot="1" x14ac:dyDescent="0.25">
      <c r="A175" s="853"/>
      <c r="B175" s="963" t="s">
        <v>1486</v>
      </c>
      <c r="C175" s="964"/>
      <c r="D175" s="964"/>
      <c r="E175" s="964"/>
      <c r="F175" s="828">
        <f>+F176+F180+F177+F178+F179</f>
        <v>1903518104</v>
      </c>
      <c r="G175" s="828">
        <f t="shared" ref="G175:H175" si="14">+G176+G180+G177+G178+G179</f>
        <v>594636903.99000001</v>
      </c>
      <c r="H175" s="828">
        <f t="shared" si="14"/>
        <v>431430703.99999994</v>
      </c>
      <c r="I175" s="743"/>
      <c r="J175" s="743"/>
      <c r="K175" s="743"/>
    </row>
    <row r="176" spans="1:11" ht="33.75" x14ac:dyDescent="0.2">
      <c r="A176" s="982">
        <v>126</v>
      </c>
      <c r="B176" s="969" t="s">
        <v>1</v>
      </c>
      <c r="C176" s="837" t="s">
        <v>236</v>
      </c>
      <c r="D176" s="786" t="s">
        <v>1410</v>
      </c>
      <c r="E176" s="827" t="s">
        <v>1411</v>
      </c>
      <c r="F176" s="787">
        <f>'SGTO POAI JUNIO 2020'!BG382</f>
        <v>372570330</v>
      </c>
      <c r="G176" s="787">
        <f>'SGTO POAI JUNIO 2020'!BH382</f>
        <v>141813333.33000001</v>
      </c>
      <c r="H176" s="793">
        <f>'SGTO POAI JUNIO 2020'!BI382</f>
        <v>106733333.33333333</v>
      </c>
    </row>
    <row r="177" spans="1:11" ht="45" x14ac:dyDescent="0.2">
      <c r="A177" s="982"/>
      <c r="B177" s="984"/>
      <c r="C177" s="838" t="s">
        <v>217</v>
      </c>
      <c r="D177" s="738" t="s">
        <v>1410</v>
      </c>
      <c r="E177" s="763" t="s">
        <v>1411</v>
      </c>
      <c r="F177" s="744">
        <f>'SGTO POAI JUNIO 2020'!BG384</f>
        <v>561746330</v>
      </c>
      <c r="G177" s="744">
        <f>'SGTO POAI JUNIO 2020'!BH384</f>
        <v>180051708.33000001</v>
      </c>
      <c r="H177" s="739">
        <f>'SGTO POAI JUNIO 2020'!BI384</f>
        <v>134055158.33333333</v>
      </c>
    </row>
    <row r="178" spans="1:11" ht="33.75" x14ac:dyDescent="0.2">
      <c r="A178" s="982"/>
      <c r="B178" s="984" t="s">
        <v>3</v>
      </c>
      <c r="C178" s="838" t="s">
        <v>261</v>
      </c>
      <c r="D178" s="738" t="s">
        <v>1410</v>
      </c>
      <c r="E178" s="763" t="s">
        <v>1411</v>
      </c>
      <c r="F178" s="744">
        <f>'SGTO POAI JUNIO 2020'!BG387</f>
        <v>218280000</v>
      </c>
      <c r="G178" s="744">
        <f>'SGTO POAI JUNIO 2020'!BH387</f>
        <v>38238375</v>
      </c>
      <c r="H178" s="739">
        <f>'SGTO POAI JUNIO 2020'!BI387</f>
        <v>27321825</v>
      </c>
    </row>
    <row r="179" spans="1:11" ht="33.75" x14ac:dyDescent="0.2">
      <c r="A179" s="982"/>
      <c r="B179" s="984"/>
      <c r="C179" s="838" t="s">
        <v>280</v>
      </c>
      <c r="D179" s="738" t="s">
        <v>1410</v>
      </c>
      <c r="E179" s="763" t="s">
        <v>1411</v>
      </c>
      <c r="F179" s="744">
        <f>SUM('SGTO POAI JUNIO 2020'!BG389:BG392)</f>
        <v>561745444</v>
      </c>
      <c r="G179" s="744">
        <f>SUM('SGTO POAI JUNIO 2020'!BH389:BH392)</f>
        <v>196295112.33000001</v>
      </c>
      <c r="H179" s="739">
        <f>SUM('SGTO POAI JUNIO 2020'!BI389:BI392)</f>
        <v>135998562.33333331</v>
      </c>
    </row>
    <row r="180" spans="1:11" ht="45" x14ac:dyDescent="0.2">
      <c r="A180" s="982"/>
      <c r="B180" s="838" t="s">
        <v>128</v>
      </c>
      <c r="C180" s="838" t="s">
        <v>103</v>
      </c>
      <c r="D180" s="738" t="s">
        <v>1410</v>
      </c>
      <c r="E180" s="763" t="s">
        <v>1411</v>
      </c>
      <c r="F180" s="744">
        <f>'SGTO POAI JUNIO 2020'!BG395</f>
        <v>189176000</v>
      </c>
      <c r="G180" s="744">
        <f>'SGTO POAI JUNIO 2020'!BH395</f>
        <v>38238375</v>
      </c>
      <c r="H180" s="739">
        <f>'SGTO POAI JUNIO 2020'!BI395</f>
        <v>27321825</v>
      </c>
    </row>
    <row r="181" spans="1:11" ht="12" customHeight="1" x14ac:dyDescent="0.2">
      <c r="A181" s="853"/>
      <c r="B181" s="998" t="s">
        <v>1487</v>
      </c>
      <c r="C181" s="999"/>
      <c r="D181" s="999"/>
      <c r="E181" s="999"/>
      <c r="F181" s="737">
        <f>+F182</f>
        <v>107000000</v>
      </c>
      <c r="G181" s="737">
        <f t="shared" ref="G181:H181" si="15">+G182</f>
        <v>23052000</v>
      </c>
      <c r="H181" s="737">
        <f t="shared" si="15"/>
        <v>16218000</v>
      </c>
      <c r="I181" s="743"/>
      <c r="J181" s="743"/>
      <c r="K181" s="743"/>
    </row>
    <row r="182" spans="1:11" ht="57.75" customHeight="1" thickBot="1" x14ac:dyDescent="0.25">
      <c r="A182" s="853">
        <v>127</v>
      </c>
      <c r="B182" s="842" t="s">
        <v>1437</v>
      </c>
      <c r="C182" s="838" t="s">
        <v>1438</v>
      </c>
      <c r="D182" s="738" t="s">
        <v>1445</v>
      </c>
      <c r="E182" s="838" t="s">
        <v>1446</v>
      </c>
      <c r="F182" s="791">
        <f>SUM('SGTO POAI JUNIO 2020'!BG400:BG403)</f>
        <v>107000000</v>
      </c>
      <c r="G182" s="791">
        <f>SUM('SGTO POAI JUNIO 2020'!BH400:BH403)</f>
        <v>23052000</v>
      </c>
      <c r="H182" s="792">
        <f>SUM('SGTO POAI JUNIO 2020'!BI400:BI403)</f>
        <v>16218000</v>
      </c>
    </row>
    <row r="183" spans="1:11" s="736" customFormat="1" ht="15" customHeight="1" thickBot="1" x14ac:dyDescent="0.3">
      <c r="A183" s="852"/>
      <c r="B183" s="1000" t="s">
        <v>1488</v>
      </c>
      <c r="C183" s="1001"/>
      <c r="D183" s="757"/>
      <c r="E183" s="841"/>
      <c r="F183" s="829">
        <f>+F167+F175+F181</f>
        <v>3409296219</v>
      </c>
      <c r="G183" s="764">
        <f t="shared" ref="G183:H183" si="16">+G167+G175+G181</f>
        <v>921621001.99000001</v>
      </c>
      <c r="H183" s="764">
        <f t="shared" si="16"/>
        <v>671235211</v>
      </c>
    </row>
    <row r="184" spans="1:11" s="765" customFormat="1" ht="18" customHeight="1" thickBot="1" x14ac:dyDescent="0.25">
      <c r="A184" s="862"/>
      <c r="B184" s="1012" t="s">
        <v>1489</v>
      </c>
      <c r="C184" s="1013"/>
      <c r="D184" s="846"/>
      <c r="E184" s="766"/>
      <c r="F184" s="830">
        <f>+F183+F165</f>
        <v>257777557422.77832</v>
      </c>
      <c r="G184" s="767">
        <f t="shared" ref="G184:H184" si="17">+G183+G165</f>
        <v>111790021761.99001</v>
      </c>
      <c r="H184" s="767">
        <f t="shared" si="17"/>
        <v>78570077788.330002</v>
      </c>
    </row>
    <row r="185" spans="1:11" s="760" customFormat="1" ht="18.75" customHeight="1" x14ac:dyDescent="0.2">
      <c r="B185" s="768"/>
      <c r="C185" s="768"/>
      <c r="D185" s="769"/>
      <c r="E185" s="768"/>
      <c r="F185" s="770"/>
      <c r="G185" s="770"/>
      <c r="H185" s="770"/>
      <c r="I185" s="759"/>
    </row>
    <row r="186" spans="1:11" s="760" customFormat="1" x14ac:dyDescent="0.2">
      <c r="B186" s="768"/>
      <c r="C186" s="768"/>
      <c r="D186" s="769"/>
      <c r="E186" s="768"/>
      <c r="F186" s="771"/>
    </row>
    <row r="187" spans="1:11" s="760" customFormat="1" x14ac:dyDescent="0.2">
      <c r="B187" s="768"/>
      <c r="C187" s="768"/>
      <c r="D187" s="769"/>
      <c r="E187" s="768"/>
      <c r="F187" s="772"/>
    </row>
    <row r="188" spans="1:11" s="760" customFormat="1" x14ac:dyDescent="0.2">
      <c r="B188" s="768"/>
      <c r="C188" s="768"/>
      <c r="D188" s="769"/>
      <c r="E188" s="768"/>
      <c r="F188" s="772"/>
    </row>
    <row r="189" spans="1:11" s="760" customFormat="1" x14ac:dyDescent="0.2">
      <c r="B189" s="768"/>
      <c r="C189" s="768"/>
      <c r="D189" s="769"/>
      <c r="E189" s="768"/>
      <c r="F189" s="772"/>
    </row>
    <row r="190" spans="1:11" s="760" customFormat="1" ht="15.75" customHeight="1" x14ac:dyDescent="0.2">
      <c r="B190" s="1014" t="s">
        <v>1490</v>
      </c>
      <c r="C190" s="1014"/>
      <c r="D190" s="1014"/>
      <c r="E190" s="1014"/>
      <c r="F190" s="1014"/>
    </row>
    <row r="191" spans="1:11" s="760" customFormat="1" ht="12" customHeight="1" x14ac:dyDescent="0.2">
      <c r="B191" s="1015" t="s">
        <v>1491</v>
      </c>
      <c r="C191" s="1015"/>
      <c r="D191" s="1015"/>
      <c r="E191" s="1015"/>
      <c r="F191" s="1015"/>
    </row>
    <row r="192" spans="1:11" s="760" customFormat="1" x14ac:dyDescent="0.2">
      <c r="B192" s="768"/>
      <c r="C192" s="768"/>
      <c r="D192" s="769"/>
      <c r="E192" s="768"/>
      <c r="F192" s="772"/>
    </row>
    <row r="193" spans="2:6" s="760" customFormat="1" x14ac:dyDescent="0.2">
      <c r="B193" s="1016" t="s">
        <v>1492</v>
      </c>
      <c r="C193" s="1016"/>
      <c r="D193" s="769"/>
      <c r="E193" s="768"/>
      <c r="F193" s="772"/>
    </row>
    <row r="194" spans="2:6" s="760" customFormat="1" ht="33.75" customHeight="1" x14ac:dyDescent="0.2">
      <c r="B194" s="1017" t="s">
        <v>1493</v>
      </c>
      <c r="C194" s="1017"/>
      <c r="D194" s="769"/>
      <c r="E194" s="768"/>
      <c r="F194" s="772"/>
    </row>
    <row r="195" spans="2:6" s="760" customFormat="1" x14ac:dyDescent="0.2">
      <c r="B195" s="768"/>
      <c r="C195" s="768"/>
      <c r="D195" s="769"/>
      <c r="E195" s="768"/>
      <c r="F195" s="772"/>
    </row>
    <row r="196" spans="2:6" s="760" customFormat="1" x14ac:dyDescent="0.2">
      <c r="B196" s="768"/>
      <c r="C196" s="768"/>
      <c r="D196" s="769"/>
      <c r="E196" s="768"/>
      <c r="F196" s="772"/>
    </row>
    <row r="197" spans="2:6" s="760" customFormat="1" x14ac:dyDescent="0.2">
      <c r="B197" s="768"/>
      <c r="C197" s="768"/>
      <c r="D197" s="769"/>
      <c r="E197" s="768"/>
      <c r="F197" s="772"/>
    </row>
    <row r="198" spans="2:6" s="760" customFormat="1" x14ac:dyDescent="0.2">
      <c r="B198" s="768"/>
      <c r="C198" s="768"/>
      <c r="D198" s="769"/>
      <c r="E198" s="768"/>
      <c r="F198" s="772"/>
    </row>
    <row r="199" spans="2:6" s="760" customFormat="1" x14ac:dyDescent="0.2">
      <c r="B199" s="768"/>
      <c r="C199" s="768"/>
      <c r="D199" s="769"/>
      <c r="E199" s="768"/>
      <c r="F199" s="772"/>
    </row>
    <row r="200" spans="2:6" s="760" customFormat="1" x14ac:dyDescent="0.2">
      <c r="B200" s="768"/>
      <c r="C200" s="768"/>
      <c r="D200" s="769"/>
      <c r="E200" s="768"/>
      <c r="F200" s="772"/>
    </row>
    <row r="201" spans="2:6" s="760" customFormat="1" x14ac:dyDescent="0.2">
      <c r="B201" s="768"/>
      <c r="C201" s="768"/>
      <c r="D201" s="769"/>
      <c r="E201" s="768"/>
      <c r="F201" s="772"/>
    </row>
    <row r="202" spans="2:6" s="760" customFormat="1" x14ac:dyDescent="0.2">
      <c r="B202" s="768"/>
      <c r="C202" s="768"/>
      <c r="D202" s="769"/>
      <c r="E202" s="768"/>
      <c r="F202" s="772"/>
    </row>
    <row r="203" spans="2:6" s="760" customFormat="1" x14ac:dyDescent="0.2">
      <c r="B203" s="768"/>
      <c r="C203" s="768"/>
      <c r="D203" s="769"/>
      <c r="E203" s="768"/>
      <c r="F203" s="772"/>
    </row>
    <row r="204" spans="2:6" s="760" customFormat="1" x14ac:dyDescent="0.2">
      <c r="B204" s="768"/>
      <c r="C204" s="768"/>
      <c r="D204" s="769"/>
      <c r="E204" s="768"/>
      <c r="F204" s="772"/>
    </row>
    <row r="205" spans="2:6" s="760" customFormat="1" x14ac:dyDescent="0.2">
      <c r="B205" s="768"/>
      <c r="C205" s="768"/>
      <c r="D205" s="769"/>
      <c r="E205" s="768"/>
      <c r="F205" s="772"/>
    </row>
    <row r="206" spans="2:6" s="760" customFormat="1" x14ac:dyDescent="0.2">
      <c r="B206" s="768"/>
      <c r="C206" s="768"/>
      <c r="D206" s="769"/>
      <c r="E206" s="768"/>
      <c r="F206" s="772"/>
    </row>
    <row r="207" spans="2:6" s="760" customFormat="1" x14ac:dyDescent="0.2">
      <c r="B207" s="768"/>
      <c r="C207" s="768"/>
      <c r="D207" s="769"/>
      <c r="E207" s="768"/>
      <c r="F207" s="772"/>
    </row>
    <row r="208" spans="2:6" s="760" customFormat="1" x14ac:dyDescent="0.2">
      <c r="B208" s="768"/>
      <c r="C208" s="768"/>
      <c r="D208" s="769"/>
      <c r="E208" s="768"/>
      <c r="F208" s="772"/>
    </row>
    <row r="209" spans="2:6" s="760" customFormat="1" x14ac:dyDescent="0.2">
      <c r="B209" s="768"/>
      <c r="C209" s="768"/>
      <c r="D209" s="769"/>
      <c r="E209" s="768"/>
      <c r="F209" s="772"/>
    </row>
    <row r="210" spans="2:6" s="760" customFormat="1" x14ac:dyDescent="0.2">
      <c r="B210" s="768"/>
      <c r="C210" s="768"/>
      <c r="D210" s="769"/>
      <c r="E210" s="768"/>
      <c r="F210" s="772"/>
    </row>
    <row r="211" spans="2:6" s="760" customFormat="1" x14ac:dyDescent="0.2">
      <c r="B211" s="768"/>
      <c r="C211" s="768"/>
      <c r="D211" s="769"/>
      <c r="E211" s="768"/>
      <c r="F211" s="772"/>
    </row>
    <row r="212" spans="2:6" s="760" customFormat="1" x14ac:dyDescent="0.2">
      <c r="B212" s="768"/>
      <c r="C212" s="768"/>
      <c r="D212" s="769"/>
      <c r="E212" s="768"/>
      <c r="F212" s="772"/>
    </row>
    <row r="213" spans="2:6" s="760" customFormat="1" x14ac:dyDescent="0.2">
      <c r="B213" s="768"/>
      <c r="C213" s="768"/>
      <c r="D213" s="769"/>
      <c r="E213" s="768"/>
      <c r="F213" s="772"/>
    </row>
    <row r="214" spans="2:6" s="760" customFormat="1" x14ac:dyDescent="0.2">
      <c r="B214" s="768"/>
      <c r="C214" s="768"/>
      <c r="D214" s="769"/>
      <c r="E214" s="768"/>
      <c r="F214" s="772"/>
    </row>
    <row r="215" spans="2:6" s="760" customFormat="1" x14ac:dyDescent="0.2">
      <c r="B215" s="768"/>
      <c r="C215" s="768"/>
      <c r="D215" s="769"/>
      <c r="E215" s="768"/>
      <c r="F215" s="772"/>
    </row>
    <row r="216" spans="2:6" s="760" customFormat="1" x14ac:dyDescent="0.2">
      <c r="B216" s="768"/>
      <c r="C216" s="768"/>
      <c r="D216" s="769"/>
      <c r="E216" s="768"/>
      <c r="F216" s="772"/>
    </row>
    <row r="217" spans="2:6" s="760" customFormat="1" x14ac:dyDescent="0.2">
      <c r="B217" s="768"/>
      <c r="C217" s="768"/>
      <c r="D217" s="769"/>
      <c r="E217" s="768"/>
      <c r="F217" s="772"/>
    </row>
    <row r="218" spans="2:6" s="760" customFormat="1" x14ac:dyDescent="0.2">
      <c r="B218" s="768"/>
      <c r="C218" s="768"/>
      <c r="D218" s="769"/>
      <c r="E218" s="768"/>
      <c r="F218" s="772"/>
    </row>
    <row r="219" spans="2:6" s="760" customFormat="1" x14ac:dyDescent="0.2">
      <c r="B219" s="768"/>
      <c r="C219" s="768"/>
      <c r="D219" s="769"/>
      <c r="E219" s="768"/>
      <c r="F219" s="772"/>
    </row>
    <row r="220" spans="2:6" s="760" customFormat="1" x14ac:dyDescent="0.2">
      <c r="B220" s="768"/>
      <c r="C220" s="768"/>
      <c r="D220" s="769"/>
      <c r="E220" s="768"/>
      <c r="F220" s="772"/>
    </row>
    <row r="221" spans="2:6" s="760" customFormat="1" x14ac:dyDescent="0.2">
      <c r="B221" s="768"/>
      <c r="C221" s="768"/>
      <c r="D221" s="769"/>
      <c r="E221" s="768"/>
      <c r="F221" s="772"/>
    </row>
    <row r="222" spans="2:6" s="760" customFormat="1" x14ac:dyDescent="0.2">
      <c r="B222" s="768"/>
      <c r="C222" s="768"/>
      <c r="D222" s="769"/>
      <c r="E222" s="768"/>
      <c r="F222" s="772"/>
    </row>
    <row r="223" spans="2:6" s="760" customFormat="1" x14ac:dyDescent="0.2">
      <c r="B223" s="768"/>
      <c r="C223" s="768"/>
      <c r="D223" s="769"/>
      <c r="E223" s="768"/>
      <c r="F223" s="772"/>
    </row>
    <row r="224" spans="2:6" s="760" customFormat="1" x14ac:dyDescent="0.2">
      <c r="B224" s="768"/>
      <c r="C224" s="768"/>
      <c r="D224" s="769"/>
      <c r="E224" s="768"/>
      <c r="F224" s="772"/>
    </row>
    <row r="225" spans="2:6" s="760" customFormat="1" x14ac:dyDescent="0.2">
      <c r="B225" s="768"/>
      <c r="C225" s="768"/>
      <c r="D225" s="769"/>
      <c r="E225" s="768"/>
      <c r="F225" s="772"/>
    </row>
    <row r="226" spans="2:6" s="760" customFormat="1" x14ac:dyDescent="0.2">
      <c r="B226" s="768"/>
      <c r="C226" s="768"/>
      <c r="D226" s="769"/>
      <c r="E226" s="768"/>
      <c r="F226" s="772"/>
    </row>
    <row r="227" spans="2:6" s="760" customFormat="1" x14ac:dyDescent="0.2">
      <c r="B227" s="768"/>
      <c r="C227" s="768"/>
      <c r="D227" s="769"/>
      <c r="E227" s="768"/>
      <c r="F227" s="772"/>
    </row>
    <row r="228" spans="2:6" s="760" customFormat="1" x14ac:dyDescent="0.2">
      <c r="B228" s="768"/>
      <c r="C228" s="768"/>
      <c r="D228" s="769"/>
      <c r="E228" s="768"/>
      <c r="F228" s="772"/>
    </row>
    <row r="229" spans="2:6" s="760" customFormat="1" x14ac:dyDescent="0.2">
      <c r="B229" s="768"/>
      <c r="C229" s="768"/>
      <c r="D229" s="769"/>
      <c r="E229" s="768"/>
      <c r="F229" s="772"/>
    </row>
    <row r="230" spans="2:6" s="760" customFormat="1" x14ac:dyDescent="0.2">
      <c r="B230" s="768"/>
      <c r="C230" s="768"/>
      <c r="D230" s="769"/>
      <c r="E230" s="768"/>
      <c r="F230" s="772"/>
    </row>
    <row r="231" spans="2:6" s="760" customFormat="1" x14ac:dyDescent="0.2">
      <c r="B231" s="768"/>
      <c r="C231" s="768"/>
      <c r="D231" s="769"/>
      <c r="E231" s="768"/>
      <c r="F231" s="772"/>
    </row>
    <row r="232" spans="2:6" s="760" customFormat="1" x14ac:dyDescent="0.2">
      <c r="B232" s="768"/>
      <c r="C232" s="768"/>
      <c r="D232" s="769"/>
      <c r="E232" s="768"/>
      <c r="F232" s="772"/>
    </row>
    <row r="233" spans="2:6" s="760" customFormat="1" x14ac:dyDescent="0.2">
      <c r="B233" s="768"/>
      <c r="C233" s="768"/>
      <c r="D233" s="769"/>
      <c r="E233" s="768"/>
      <c r="F233" s="772"/>
    </row>
    <row r="234" spans="2:6" s="760" customFormat="1" x14ac:dyDescent="0.2">
      <c r="B234" s="768"/>
      <c r="C234" s="768"/>
      <c r="D234" s="769"/>
      <c r="E234" s="768"/>
      <c r="F234" s="772"/>
    </row>
    <row r="235" spans="2:6" s="760" customFormat="1" x14ac:dyDescent="0.2">
      <c r="B235" s="768"/>
      <c r="C235" s="768"/>
      <c r="D235" s="769"/>
      <c r="E235" s="768"/>
      <c r="F235" s="772"/>
    </row>
    <row r="236" spans="2:6" s="760" customFormat="1" x14ac:dyDescent="0.2">
      <c r="B236" s="768"/>
      <c r="C236" s="768"/>
      <c r="D236" s="769"/>
      <c r="E236" s="768"/>
      <c r="F236" s="772"/>
    </row>
    <row r="237" spans="2:6" s="760" customFormat="1" x14ac:dyDescent="0.2">
      <c r="B237" s="768"/>
      <c r="C237" s="768"/>
      <c r="D237" s="769"/>
      <c r="E237" s="768"/>
      <c r="F237" s="772"/>
    </row>
    <row r="238" spans="2:6" s="760" customFormat="1" x14ac:dyDescent="0.2">
      <c r="B238" s="768"/>
      <c r="C238" s="768"/>
      <c r="D238" s="769"/>
      <c r="E238" s="768"/>
      <c r="F238" s="772"/>
    </row>
    <row r="239" spans="2:6" s="760" customFormat="1" x14ac:dyDescent="0.2">
      <c r="B239" s="768"/>
      <c r="C239" s="768"/>
      <c r="D239" s="769"/>
      <c r="E239" s="768"/>
      <c r="F239" s="772"/>
    </row>
    <row r="240" spans="2:6" s="760" customFormat="1" x14ac:dyDescent="0.2">
      <c r="B240" s="768"/>
      <c r="C240" s="768"/>
      <c r="D240" s="769"/>
      <c r="E240" s="768"/>
      <c r="F240" s="772"/>
    </row>
    <row r="241" spans="2:6" s="760" customFormat="1" x14ac:dyDescent="0.2">
      <c r="B241" s="768"/>
      <c r="C241" s="768"/>
      <c r="D241" s="769"/>
      <c r="E241" s="768"/>
      <c r="F241" s="772"/>
    </row>
    <row r="242" spans="2:6" s="760" customFormat="1" x14ac:dyDescent="0.2">
      <c r="B242" s="768"/>
      <c r="C242" s="768"/>
      <c r="D242" s="769"/>
      <c r="E242" s="768"/>
      <c r="F242" s="772"/>
    </row>
    <row r="243" spans="2:6" s="760" customFormat="1" x14ac:dyDescent="0.2">
      <c r="B243" s="768"/>
      <c r="C243" s="768"/>
      <c r="D243" s="769"/>
      <c r="E243" s="768"/>
      <c r="F243" s="772"/>
    </row>
    <row r="244" spans="2:6" s="760" customFormat="1" x14ac:dyDescent="0.2">
      <c r="B244" s="768"/>
      <c r="C244" s="768"/>
      <c r="D244" s="769"/>
      <c r="E244" s="768"/>
      <c r="F244" s="772"/>
    </row>
    <row r="245" spans="2:6" s="760" customFormat="1" x14ac:dyDescent="0.2">
      <c r="B245" s="768"/>
      <c r="C245" s="768"/>
      <c r="D245" s="769"/>
      <c r="E245" s="768"/>
      <c r="F245" s="772"/>
    </row>
    <row r="246" spans="2:6" s="760" customFormat="1" x14ac:dyDescent="0.2">
      <c r="B246" s="768"/>
      <c r="C246" s="768"/>
      <c r="D246" s="769"/>
      <c r="E246" s="768"/>
      <c r="F246" s="772"/>
    </row>
    <row r="247" spans="2:6" s="760" customFormat="1" x14ac:dyDescent="0.2">
      <c r="B247" s="768"/>
      <c r="C247" s="768"/>
      <c r="D247" s="769"/>
      <c r="E247" s="768"/>
      <c r="F247" s="772"/>
    </row>
    <row r="248" spans="2:6" s="760" customFormat="1" x14ac:dyDescent="0.2">
      <c r="B248" s="768"/>
      <c r="C248" s="768"/>
      <c r="D248" s="769"/>
      <c r="E248" s="768"/>
      <c r="F248" s="772"/>
    </row>
    <row r="249" spans="2:6" s="760" customFormat="1" x14ac:dyDescent="0.2">
      <c r="B249" s="768"/>
      <c r="C249" s="768"/>
      <c r="D249" s="769"/>
      <c r="E249" s="768"/>
      <c r="F249" s="772"/>
    </row>
    <row r="250" spans="2:6" s="760" customFormat="1" x14ac:dyDescent="0.2">
      <c r="B250" s="768"/>
      <c r="C250" s="768"/>
      <c r="D250" s="769"/>
      <c r="E250" s="768"/>
      <c r="F250" s="772"/>
    </row>
    <row r="251" spans="2:6" s="760" customFormat="1" x14ac:dyDescent="0.2">
      <c r="B251" s="768"/>
      <c r="C251" s="768"/>
      <c r="D251" s="769"/>
      <c r="E251" s="768"/>
      <c r="F251" s="772"/>
    </row>
    <row r="252" spans="2:6" s="760" customFormat="1" x14ac:dyDescent="0.2">
      <c r="B252" s="768"/>
      <c r="C252" s="768"/>
      <c r="D252" s="769"/>
      <c r="E252" s="768"/>
      <c r="F252" s="772"/>
    </row>
    <row r="253" spans="2:6" s="760" customFormat="1" x14ac:dyDescent="0.2">
      <c r="B253" s="768"/>
      <c r="C253" s="768"/>
      <c r="D253" s="769"/>
      <c r="E253" s="768"/>
      <c r="F253" s="772"/>
    </row>
    <row r="254" spans="2:6" s="760" customFormat="1" x14ac:dyDescent="0.2">
      <c r="B254" s="768"/>
      <c r="C254" s="768"/>
      <c r="D254" s="769"/>
      <c r="E254" s="768"/>
      <c r="F254" s="772"/>
    </row>
    <row r="255" spans="2:6" s="760" customFormat="1" x14ac:dyDescent="0.2">
      <c r="B255" s="768"/>
      <c r="C255" s="768"/>
      <c r="D255" s="769"/>
      <c r="E255" s="768"/>
      <c r="F255" s="772"/>
    </row>
    <row r="256" spans="2:6" s="760" customFormat="1" x14ac:dyDescent="0.2">
      <c r="B256" s="768"/>
      <c r="C256" s="768"/>
      <c r="D256" s="769"/>
      <c r="E256" s="768"/>
      <c r="F256" s="772"/>
    </row>
    <row r="257" spans="2:6" s="760" customFormat="1" x14ac:dyDescent="0.2">
      <c r="B257" s="768"/>
      <c r="C257" s="768"/>
      <c r="D257" s="769"/>
      <c r="E257" s="768"/>
      <c r="F257" s="772"/>
    </row>
    <row r="258" spans="2:6" s="760" customFormat="1" x14ac:dyDescent="0.2">
      <c r="B258" s="768"/>
      <c r="C258" s="768"/>
      <c r="D258" s="769"/>
      <c r="E258" s="768"/>
      <c r="F258" s="772"/>
    </row>
    <row r="259" spans="2:6" s="760" customFormat="1" x14ac:dyDescent="0.2">
      <c r="B259" s="768"/>
      <c r="C259" s="768"/>
      <c r="D259" s="769"/>
      <c r="E259" s="768"/>
      <c r="F259" s="772"/>
    </row>
    <row r="260" spans="2:6" s="760" customFormat="1" x14ac:dyDescent="0.2">
      <c r="B260" s="768"/>
      <c r="C260" s="768"/>
      <c r="D260" s="769"/>
      <c r="E260" s="768"/>
      <c r="F260" s="772"/>
    </row>
    <row r="261" spans="2:6" s="760" customFormat="1" x14ac:dyDescent="0.2">
      <c r="B261" s="768"/>
      <c r="C261" s="768"/>
      <c r="D261" s="769"/>
      <c r="E261" s="768"/>
      <c r="F261" s="772"/>
    </row>
    <row r="262" spans="2:6" s="760" customFormat="1" x14ac:dyDescent="0.2">
      <c r="B262" s="768"/>
      <c r="C262" s="768"/>
      <c r="D262" s="769"/>
      <c r="E262" s="768"/>
      <c r="F262" s="772"/>
    </row>
    <row r="263" spans="2:6" s="760" customFormat="1" x14ac:dyDescent="0.2">
      <c r="B263" s="768"/>
      <c r="C263" s="768"/>
      <c r="D263" s="769"/>
      <c r="E263" s="768"/>
      <c r="F263" s="772"/>
    </row>
    <row r="264" spans="2:6" s="760" customFormat="1" x14ac:dyDescent="0.2">
      <c r="B264" s="768"/>
      <c r="C264" s="768"/>
      <c r="D264" s="769"/>
      <c r="E264" s="768"/>
      <c r="F264" s="772"/>
    </row>
    <row r="265" spans="2:6" s="760" customFormat="1" x14ac:dyDescent="0.2">
      <c r="B265" s="768"/>
      <c r="C265" s="768"/>
      <c r="D265" s="769"/>
      <c r="E265" s="768"/>
      <c r="F265" s="772"/>
    </row>
    <row r="266" spans="2:6" s="760" customFormat="1" x14ac:dyDescent="0.2">
      <c r="B266" s="768"/>
      <c r="C266" s="768"/>
      <c r="D266" s="769"/>
      <c r="E266" s="768"/>
      <c r="F266" s="772"/>
    </row>
    <row r="267" spans="2:6" s="760" customFormat="1" x14ac:dyDescent="0.2">
      <c r="B267" s="768"/>
      <c r="C267" s="768"/>
      <c r="D267" s="769"/>
      <c r="E267" s="768"/>
      <c r="F267" s="772"/>
    </row>
    <row r="268" spans="2:6" s="760" customFormat="1" x14ac:dyDescent="0.2">
      <c r="B268" s="768"/>
      <c r="C268" s="768"/>
      <c r="D268" s="769"/>
      <c r="E268" s="768"/>
      <c r="F268" s="772"/>
    </row>
    <row r="269" spans="2:6" s="760" customFormat="1" x14ac:dyDescent="0.2">
      <c r="B269" s="768"/>
      <c r="C269" s="768"/>
      <c r="D269" s="769"/>
      <c r="E269" s="768"/>
      <c r="F269" s="772"/>
    </row>
    <row r="270" spans="2:6" s="760" customFormat="1" x14ac:dyDescent="0.2">
      <c r="B270" s="768"/>
      <c r="C270" s="768"/>
      <c r="D270" s="769"/>
      <c r="E270" s="768"/>
      <c r="F270" s="772"/>
    </row>
    <row r="271" spans="2:6" s="760" customFormat="1" x14ac:dyDescent="0.2">
      <c r="B271" s="768"/>
      <c r="C271" s="768"/>
      <c r="D271" s="769"/>
      <c r="E271" s="768"/>
      <c r="F271" s="772"/>
    </row>
    <row r="272" spans="2:6" s="760" customFormat="1" x14ac:dyDescent="0.2">
      <c r="B272" s="768"/>
      <c r="C272" s="768"/>
      <c r="D272" s="769"/>
      <c r="E272" s="768"/>
      <c r="F272" s="772"/>
    </row>
    <row r="273" spans="2:6" s="760" customFormat="1" x14ac:dyDescent="0.2">
      <c r="B273" s="768"/>
      <c r="C273" s="768"/>
      <c r="D273" s="769"/>
      <c r="E273" s="768"/>
      <c r="F273" s="772"/>
    </row>
    <row r="274" spans="2:6" s="760" customFormat="1" x14ac:dyDescent="0.2">
      <c r="B274" s="768"/>
      <c r="C274" s="768"/>
      <c r="D274" s="769"/>
      <c r="E274" s="768"/>
      <c r="F274" s="772"/>
    </row>
    <row r="275" spans="2:6" s="760" customFormat="1" x14ac:dyDescent="0.2">
      <c r="B275" s="768"/>
      <c r="C275" s="768"/>
      <c r="D275" s="769"/>
      <c r="E275" s="768"/>
      <c r="F275" s="772"/>
    </row>
    <row r="276" spans="2:6" s="760" customFormat="1" x14ac:dyDescent="0.2">
      <c r="B276" s="768"/>
      <c r="C276" s="768"/>
      <c r="D276" s="769"/>
      <c r="E276" s="768"/>
      <c r="F276" s="772"/>
    </row>
    <row r="277" spans="2:6" s="760" customFormat="1" x14ac:dyDescent="0.2">
      <c r="B277" s="768"/>
      <c r="C277" s="768"/>
      <c r="D277" s="769"/>
      <c r="E277" s="768"/>
      <c r="F277" s="772"/>
    </row>
    <row r="278" spans="2:6" s="760" customFormat="1" x14ac:dyDescent="0.2">
      <c r="B278" s="768"/>
      <c r="C278" s="768"/>
      <c r="D278" s="769"/>
      <c r="E278" s="768"/>
      <c r="F278" s="772"/>
    </row>
    <row r="279" spans="2:6" s="760" customFormat="1" x14ac:dyDescent="0.2">
      <c r="B279" s="768"/>
      <c r="C279" s="768"/>
      <c r="D279" s="769"/>
      <c r="E279" s="768"/>
      <c r="F279" s="772"/>
    </row>
    <row r="280" spans="2:6" s="760" customFormat="1" x14ac:dyDescent="0.2">
      <c r="B280" s="768"/>
      <c r="C280" s="768"/>
      <c r="D280" s="769"/>
      <c r="E280" s="768"/>
      <c r="F280" s="772"/>
    </row>
    <row r="281" spans="2:6" s="760" customFormat="1" x14ac:dyDescent="0.2">
      <c r="B281" s="768"/>
      <c r="C281" s="768"/>
      <c r="D281" s="769"/>
      <c r="E281" s="768"/>
      <c r="F281" s="772"/>
    </row>
    <row r="282" spans="2:6" s="760" customFormat="1" x14ac:dyDescent="0.2">
      <c r="B282" s="768"/>
      <c r="C282" s="768"/>
      <c r="D282" s="769"/>
      <c r="E282" s="768"/>
      <c r="F282" s="772"/>
    </row>
    <row r="283" spans="2:6" s="760" customFormat="1" x14ac:dyDescent="0.2">
      <c r="B283" s="768"/>
      <c r="C283" s="768"/>
      <c r="D283" s="769"/>
      <c r="E283" s="768"/>
      <c r="F283" s="772"/>
    </row>
    <row r="284" spans="2:6" s="760" customFormat="1" x14ac:dyDescent="0.2">
      <c r="B284" s="768"/>
      <c r="C284" s="768"/>
      <c r="D284" s="769"/>
      <c r="E284" s="768"/>
      <c r="F284" s="772"/>
    </row>
    <row r="285" spans="2:6" s="760" customFormat="1" x14ac:dyDescent="0.2">
      <c r="B285" s="768"/>
      <c r="C285" s="768"/>
      <c r="D285" s="769"/>
      <c r="E285" s="768"/>
      <c r="F285" s="772"/>
    </row>
    <row r="286" spans="2:6" s="760" customFormat="1" x14ac:dyDescent="0.2">
      <c r="B286" s="768"/>
      <c r="C286" s="768"/>
      <c r="D286" s="769"/>
      <c r="E286" s="768"/>
      <c r="F286" s="772"/>
    </row>
    <row r="287" spans="2:6" s="760" customFormat="1" x14ac:dyDescent="0.2">
      <c r="B287" s="768"/>
      <c r="C287" s="768"/>
      <c r="D287" s="769"/>
      <c r="E287" s="768"/>
      <c r="F287" s="772"/>
    </row>
    <row r="288" spans="2:6" s="760" customFormat="1" x14ac:dyDescent="0.2">
      <c r="B288" s="768"/>
      <c r="C288" s="768"/>
      <c r="D288" s="769"/>
      <c r="E288" s="768"/>
      <c r="F288" s="772"/>
    </row>
    <row r="289" spans="2:6" s="760" customFormat="1" x14ac:dyDescent="0.2">
      <c r="B289" s="768"/>
      <c r="C289" s="768"/>
      <c r="D289" s="769"/>
      <c r="E289" s="768"/>
      <c r="F289" s="772"/>
    </row>
    <row r="290" spans="2:6" s="760" customFormat="1" x14ac:dyDescent="0.2">
      <c r="B290" s="768"/>
      <c r="C290" s="768"/>
      <c r="D290" s="769"/>
      <c r="E290" s="768"/>
      <c r="F290" s="772"/>
    </row>
    <row r="291" spans="2:6" s="760" customFormat="1" x14ac:dyDescent="0.2">
      <c r="B291" s="768"/>
      <c r="C291" s="768"/>
      <c r="D291" s="769"/>
      <c r="E291" s="768"/>
      <c r="F291" s="772"/>
    </row>
    <row r="292" spans="2:6" s="760" customFormat="1" x14ac:dyDescent="0.2">
      <c r="B292" s="768"/>
      <c r="C292" s="768"/>
      <c r="D292" s="769"/>
      <c r="E292" s="768"/>
      <c r="F292" s="772"/>
    </row>
    <row r="293" spans="2:6" s="760" customFormat="1" x14ac:dyDescent="0.2">
      <c r="B293" s="768"/>
      <c r="C293" s="768"/>
      <c r="D293" s="769"/>
      <c r="E293" s="768"/>
      <c r="F293" s="772"/>
    </row>
    <row r="294" spans="2:6" s="760" customFormat="1" x14ac:dyDescent="0.2">
      <c r="B294" s="768"/>
      <c r="C294" s="768"/>
      <c r="D294" s="769"/>
      <c r="E294" s="768"/>
      <c r="F294" s="772"/>
    </row>
    <row r="295" spans="2:6" s="760" customFormat="1" x14ac:dyDescent="0.2">
      <c r="B295" s="768"/>
      <c r="C295" s="768"/>
      <c r="D295" s="769"/>
      <c r="E295" s="768"/>
      <c r="F295" s="772"/>
    </row>
    <row r="296" spans="2:6" s="760" customFormat="1" x14ac:dyDescent="0.2">
      <c r="B296" s="768"/>
      <c r="C296" s="768"/>
      <c r="D296" s="769"/>
      <c r="E296" s="768"/>
      <c r="F296" s="772"/>
    </row>
    <row r="297" spans="2:6" s="760" customFormat="1" x14ac:dyDescent="0.2">
      <c r="B297" s="768"/>
      <c r="C297" s="768"/>
      <c r="D297" s="769"/>
      <c r="E297" s="768"/>
      <c r="F297" s="772"/>
    </row>
    <row r="298" spans="2:6" s="760" customFormat="1" x14ac:dyDescent="0.2">
      <c r="B298" s="768"/>
      <c r="C298" s="768"/>
      <c r="D298" s="769"/>
      <c r="E298" s="768"/>
      <c r="F298" s="772"/>
    </row>
    <row r="299" spans="2:6" s="760" customFormat="1" x14ac:dyDescent="0.2">
      <c r="B299" s="768"/>
      <c r="C299" s="768"/>
      <c r="D299" s="769"/>
      <c r="E299" s="768"/>
      <c r="F299" s="772"/>
    </row>
    <row r="300" spans="2:6" s="760" customFormat="1" x14ac:dyDescent="0.2">
      <c r="B300" s="768"/>
      <c r="C300" s="768"/>
      <c r="D300" s="769"/>
      <c r="E300" s="768"/>
      <c r="F300" s="772"/>
    </row>
    <row r="301" spans="2:6" s="760" customFormat="1" x14ac:dyDescent="0.2">
      <c r="B301" s="768"/>
      <c r="C301" s="768"/>
      <c r="D301" s="769"/>
      <c r="E301" s="768"/>
      <c r="F301" s="772"/>
    </row>
    <row r="302" spans="2:6" s="760" customFormat="1" x14ac:dyDescent="0.2">
      <c r="B302" s="768"/>
      <c r="C302" s="768"/>
      <c r="D302" s="769"/>
      <c r="E302" s="768"/>
      <c r="F302" s="772"/>
    </row>
    <row r="303" spans="2:6" s="760" customFormat="1" x14ac:dyDescent="0.2">
      <c r="B303" s="768"/>
      <c r="C303" s="768"/>
      <c r="D303" s="769"/>
      <c r="E303" s="768"/>
      <c r="F303" s="772"/>
    </row>
    <row r="304" spans="2:6" s="760" customFormat="1" x14ac:dyDescent="0.2">
      <c r="B304" s="768"/>
      <c r="C304" s="768"/>
      <c r="D304" s="769"/>
      <c r="E304" s="768"/>
      <c r="F304" s="772"/>
    </row>
    <row r="305" spans="2:6" s="760" customFormat="1" x14ac:dyDescent="0.2">
      <c r="B305" s="768"/>
      <c r="C305" s="768"/>
      <c r="D305" s="769"/>
      <c r="E305" s="768"/>
      <c r="F305" s="772"/>
    </row>
    <row r="306" spans="2:6" s="760" customFormat="1" x14ac:dyDescent="0.2">
      <c r="B306" s="768"/>
      <c r="C306" s="768"/>
      <c r="D306" s="769"/>
      <c r="E306" s="768"/>
      <c r="F306" s="772"/>
    </row>
    <row r="307" spans="2:6" s="760" customFormat="1" x14ac:dyDescent="0.2">
      <c r="B307" s="768"/>
      <c r="C307" s="768"/>
      <c r="D307" s="769"/>
      <c r="E307" s="768"/>
      <c r="F307" s="772"/>
    </row>
    <row r="308" spans="2:6" s="760" customFormat="1" x14ac:dyDescent="0.2">
      <c r="B308" s="768"/>
      <c r="C308" s="768"/>
      <c r="D308" s="769"/>
      <c r="E308" s="768"/>
      <c r="F308" s="772"/>
    </row>
    <row r="309" spans="2:6" s="760" customFormat="1" x14ac:dyDescent="0.2">
      <c r="B309" s="768"/>
      <c r="C309" s="768"/>
      <c r="D309" s="769"/>
      <c r="E309" s="768"/>
      <c r="F309" s="772"/>
    </row>
    <row r="310" spans="2:6" s="760" customFormat="1" x14ac:dyDescent="0.2">
      <c r="B310" s="768"/>
      <c r="C310" s="768"/>
      <c r="D310" s="769"/>
      <c r="E310" s="768"/>
      <c r="F310" s="772"/>
    </row>
    <row r="311" spans="2:6" s="760" customFormat="1" x14ac:dyDescent="0.2">
      <c r="B311" s="768"/>
      <c r="C311" s="768"/>
      <c r="D311" s="769"/>
      <c r="E311" s="768"/>
      <c r="F311" s="772"/>
    </row>
    <row r="312" spans="2:6" s="760" customFormat="1" x14ac:dyDescent="0.2">
      <c r="B312" s="768"/>
      <c r="C312" s="768"/>
      <c r="D312" s="769"/>
      <c r="E312" s="768"/>
      <c r="F312" s="772"/>
    </row>
    <row r="313" spans="2:6" s="760" customFormat="1" x14ac:dyDescent="0.2">
      <c r="B313" s="768"/>
      <c r="C313" s="768"/>
      <c r="D313" s="769"/>
      <c r="E313" s="768"/>
      <c r="F313" s="772"/>
    </row>
    <row r="314" spans="2:6" s="760" customFormat="1" x14ac:dyDescent="0.2">
      <c r="B314" s="768"/>
      <c r="C314" s="768"/>
      <c r="D314" s="769"/>
      <c r="E314" s="768"/>
      <c r="F314" s="772"/>
    </row>
    <row r="315" spans="2:6" s="760" customFormat="1" x14ac:dyDescent="0.2">
      <c r="B315" s="768"/>
      <c r="C315" s="768"/>
      <c r="D315" s="769"/>
      <c r="E315" s="768"/>
      <c r="F315" s="772"/>
    </row>
    <row r="316" spans="2:6" s="760" customFormat="1" x14ac:dyDescent="0.2">
      <c r="B316" s="768"/>
      <c r="C316" s="768"/>
      <c r="D316" s="769"/>
      <c r="E316" s="768"/>
      <c r="F316" s="772"/>
    </row>
    <row r="317" spans="2:6" s="760" customFormat="1" x14ac:dyDescent="0.2">
      <c r="B317" s="768"/>
      <c r="C317" s="768"/>
      <c r="D317" s="769"/>
      <c r="E317" s="768"/>
      <c r="F317" s="772"/>
    </row>
    <row r="318" spans="2:6" s="760" customFormat="1" x14ac:dyDescent="0.2">
      <c r="B318" s="768"/>
      <c r="C318" s="768"/>
      <c r="D318" s="769"/>
      <c r="E318" s="768"/>
      <c r="F318" s="772"/>
    </row>
    <row r="319" spans="2:6" s="760" customFormat="1" x14ac:dyDescent="0.2">
      <c r="B319" s="768"/>
      <c r="C319" s="768"/>
      <c r="D319" s="769"/>
      <c r="E319" s="768"/>
      <c r="F319" s="772"/>
    </row>
    <row r="320" spans="2:6" s="760" customFormat="1" x14ac:dyDescent="0.2">
      <c r="B320" s="768"/>
      <c r="C320" s="768"/>
      <c r="D320" s="769"/>
      <c r="E320" s="768"/>
      <c r="F320" s="772"/>
    </row>
    <row r="321" spans="2:6" s="760" customFormat="1" x14ac:dyDescent="0.2">
      <c r="B321" s="768"/>
      <c r="C321" s="768"/>
      <c r="D321" s="769"/>
      <c r="E321" s="768"/>
      <c r="F321" s="772"/>
    </row>
    <row r="322" spans="2:6" s="760" customFormat="1" x14ac:dyDescent="0.2">
      <c r="B322" s="768"/>
      <c r="C322" s="768"/>
      <c r="D322" s="769"/>
      <c r="E322" s="768"/>
      <c r="F322" s="772"/>
    </row>
    <row r="323" spans="2:6" s="760" customFormat="1" x14ac:dyDescent="0.2">
      <c r="B323" s="768"/>
      <c r="C323" s="768"/>
      <c r="D323" s="769"/>
      <c r="E323" s="768"/>
      <c r="F323" s="772"/>
    </row>
    <row r="324" spans="2:6" s="760" customFormat="1" x14ac:dyDescent="0.2">
      <c r="B324" s="768"/>
      <c r="C324" s="768"/>
      <c r="D324" s="769"/>
      <c r="E324" s="768"/>
      <c r="F324" s="772"/>
    </row>
    <row r="325" spans="2:6" s="760" customFormat="1" x14ac:dyDescent="0.2">
      <c r="B325" s="768"/>
      <c r="C325" s="768"/>
      <c r="D325" s="769"/>
      <c r="E325" s="768"/>
      <c r="F325" s="772"/>
    </row>
    <row r="326" spans="2:6" s="760" customFormat="1" x14ac:dyDescent="0.2">
      <c r="B326" s="768"/>
      <c r="C326" s="768"/>
      <c r="D326" s="769"/>
      <c r="E326" s="768"/>
      <c r="F326" s="772"/>
    </row>
    <row r="327" spans="2:6" s="760" customFormat="1" x14ac:dyDescent="0.2">
      <c r="B327" s="768"/>
      <c r="C327" s="768"/>
      <c r="D327" s="769"/>
      <c r="E327" s="768"/>
      <c r="F327" s="772"/>
    </row>
    <row r="328" spans="2:6" s="760" customFormat="1" x14ac:dyDescent="0.2">
      <c r="B328" s="768"/>
      <c r="C328" s="768"/>
      <c r="D328" s="769"/>
      <c r="E328" s="768"/>
      <c r="F328" s="772"/>
    </row>
    <row r="329" spans="2:6" s="760" customFormat="1" x14ac:dyDescent="0.2">
      <c r="B329" s="768"/>
      <c r="C329" s="768"/>
      <c r="D329" s="769"/>
      <c r="E329" s="768"/>
      <c r="F329" s="772"/>
    </row>
    <row r="330" spans="2:6" s="760" customFormat="1" x14ac:dyDescent="0.2">
      <c r="B330" s="768"/>
      <c r="C330" s="768"/>
      <c r="D330" s="769"/>
      <c r="E330" s="768"/>
      <c r="F330" s="772"/>
    </row>
    <row r="331" spans="2:6" s="760" customFormat="1" x14ac:dyDescent="0.2">
      <c r="B331" s="768"/>
      <c r="C331" s="768"/>
      <c r="D331" s="769"/>
      <c r="E331" s="768"/>
      <c r="F331" s="772"/>
    </row>
    <row r="332" spans="2:6" s="760" customFormat="1" x14ac:dyDescent="0.2">
      <c r="B332" s="768"/>
      <c r="C332" s="768"/>
      <c r="D332" s="769"/>
      <c r="E332" s="768"/>
      <c r="F332" s="772"/>
    </row>
    <row r="333" spans="2:6" s="760" customFormat="1" x14ac:dyDescent="0.2">
      <c r="B333" s="768"/>
      <c r="C333" s="768"/>
      <c r="D333" s="769"/>
      <c r="E333" s="768"/>
      <c r="F333" s="772"/>
    </row>
    <row r="334" spans="2:6" s="760" customFormat="1" x14ac:dyDescent="0.2">
      <c r="B334" s="768"/>
      <c r="C334" s="768"/>
      <c r="D334" s="769"/>
      <c r="E334" s="768"/>
      <c r="F334" s="772"/>
    </row>
    <row r="335" spans="2:6" s="760" customFormat="1" x14ac:dyDescent="0.2">
      <c r="B335" s="768"/>
      <c r="C335" s="768"/>
      <c r="D335" s="769"/>
      <c r="E335" s="768"/>
      <c r="F335" s="772"/>
    </row>
    <row r="336" spans="2:6" s="760" customFormat="1" x14ac:dyDescent="0.2">
      <c r="B336" s="768"/>
      <c r="C336" s="768"/>
      <c r="D336" s="769"/>
      <c r="E336" s="768"/>
      <c r="F336" s="772"/>
    </row>
    <row r="337" spans="2:6" s="760" customFormat="1" x14ac:dyDescent="0.2">
      <c r="B337" s="768"/>
      <c r="C337" s="768"/>
      <c r="D337" s="769"/>
      <c r="E337" s="768"/>
      <c r="F337" s="772"/>
    </row>
    <row r="338" spans="2:6" s="760" customFormat="1" x14ac:dyDescent="0.2">
      <c r="B338" s="768"/>
      <c r="C338" s="768"/>
      <c r="D338" s="769"/>
      <c r="E338" s="768"/>
      <c r="F338" s="772"/>
    </row>
    <row r="339" spans="2:6" s="760" customFormat="1" x14ac:dyDescent="0.2">
      <c r="B339" s="768"/>
      <c r="C339" s="768"/>
      <c r="D339" s="769"/>
      <c r="E339" s="768"/>
      <c r="F339" s="772"/>
    </row>
    <row r="340" spans="2:6" s="760" customFormat="1" x14ac:dyDescent="0.2">
      <c r="B340" s="768"/>
      <c r="C340" s="768"/>
      <c r="D340" s="769"/>
      <c r="E340" s="768"/>
      <c r="F340" s="772"/>
    </row>
    <row r="341" spans="2:6" s="760" customFormat="1" x14ac:dyDescent="0.2">
      <c r="B341" s="768"/>
      <c r="C341" s="768"/>
      <c r="D341" s="769"/>
      <c r="E341" s="768"/>
      <c r="F341" s="772"/>
    </row>
    <row r="342" spans="2:6" s="760" customFormat="1" x14ac:dyDescent="0.2">
      <c r="B342" s="768"/>
      <c r="C342" s="768"/>
      <c r="D342" s="769"/>
      <c r="E342" s="768"/>
      <c r="F342" s="772"/>
    </row>
    <row r="343" spans="2:6" s="760" customFormat="1" x14ac:dyDescent="0.2">
      <c r="B343" s="768"/>
      <c r="C343" s="768"/>
      <c r="D343" s="769"/>
      <c r="E343" s="768"/>
      <c r="F343" s="772"/>
    </row>
    <row r="344" spans="2:6" s="760" customFormat="1" x14ac:dyDescent="0.2">
      <c r="B344" s="768"/>
      <c r="C344" s="768"/>
      <c r="D344" s="769"/>
      <c r="E344" s="768"/>
      <c r="F344" s="772"/>
    </row>
    <row r="345" spans="2:6" s="760" customFormat="1" x14ac:dyDescent="0.2">
      <c r="B345" s="768"/>
      <c r="C345" s="768"/>
      <c r="D345" s="769"/>
      <c r="E345" s="768"/>
      <c r="F345" s="772"/>
    </row>
    <row r="346" spans="2:6" s="760" customFormat="1" x14ac:dyDescent="0.2">
      <c r="B346" s="768"/>
      <c r="C346" s="768"/>
      <c r="D346" s="769"/>
      <c r="E346" s="768"/>
      <c r="F346" s="772"/>
    </row>
    <row r="347" spans="2:6" s="760" customFormat="1" x14ac:dyDescent="0.2">
      <c r="B347" s="768"/>
      <c r="C347" s="768"/>
      <c r="D347" s="769"/>
      <c r="E347" s="768"/>
      <c r="F347" s="772"/>
    </row>
    <row r="348" spans="2:6" s="760" customFormat="1" x14ac:dyDescent="0.2">
      <c r="B348" s="768"/>
      <c r="C348" s="768"/>
      <c r="D348" s="769"/>
      <c r="E348" s="768"/>
      <c r="F348" s="772"/>
    </row>
    <row r="349" spans="2:6" s="760" customFormat="1" x14ac:dyDescent="0.2">
      <c r="B349" s="768"/>
      <c r="C349" s="768"/>
      <c r="D349" s="769"/>
      <c r="E349" s="768"/>
      <c r="F349" s="772"/>
    </row>
    <row r="350" spans="2:6" s="760" customFormat="1" x14ac:dyDescent="0.2">
      <c r="B350" s="768"/>
      <c r="C350" s="768"/>
      <c r="D350" s="769"/>
      <c r="E350" s="768"/>
      <c r="F350" s="772"/>
    </row>
    <row r="351" spans="2:6" s="760" customFormat="1" x14ac:dyDescent="0.2">
      <c r="B351" s="768"/>
      <c r="C351" s="768"/>
      <c r="D351" s="769"/>
      <c r="E351" s="768"/>
      <c r="F351" s="772"/>
    </row>
    <row r="352" spans="2:6" s="760" customFormat="1" x14ac:dyDescent="0.2">
      <c r="B352" s="768"/>
      <c r="C352" s="768"/>
      <c r="D352" s="769"/>
      <c r="E352" s="768"/>
      <c r="F352" s="772"/>
    </row>
    <row r="353" spans="2:6" s="760" customFormat="1" x14ac:dyDescent="0.2">
      <c r="B353" s="768"/>
      <c r="C353" s="768"/>
      <c r="D353" s="769"/>
      <c r="E353" s="768"/>
      <c r="F353" s="772"/>
    </row>
    <row r="354" spans="2:6" s="760" customFormat="1" x14ac:dyDescent="0.2">
      <c r="B354" s="768"/>
      <c r="C354" s="768"/>
      <c r="D354" s="769"/>
      <c r="E354" s="768"/>
      <c r="F354" s="772"/>
    </row>
    <row r="355" spans="2:6" s="760" customFormat="1" x14ac:dyDescent="0.2">
      <c r="B355" s="768"/>
      <c r="C355" s="768"/>
      <c r="D355" s="769"/>
      <c r="E355" s="768"/>
      <c r="F355" s="772"/>
    </row>
    <row r="356" spans="2:6" s="760" customFormat="1" x14ac:dyDescent="0.2">
      <c r="B356" s="768"/>
      <c r="C356" s="768"/>
      <c r="D356" s="769"/>
      <c r="E356" s="768"/>
      <c r="F356" s="772"/>
    </row>
    <row r="357" spans="2:6" s="760" customFormat="1" x14ac:dyDescent="0.2">
      <c r="B357" s="768"/>
      <c r="C357" s="768"/>
      <c r="D357" s="769"/>
      <c r="E357" s="768"/>
      <c r="F357" s="772"/>
    </row>
    <row r="358" spans="2:6" s="760" customFormat="1" x14ac:dyDescent="0.2">
      <c r="B358" s="768"/>
      <c r="C358" s="768"/>
      <c r="D358" s="769"/>
      <c r="E358" s="768"/>
      <c r="F358" s="772"/>
    </row>
    <row r="359" spans="2:6" s="760" customFormat="1" x14ac:dyDescent="0.2">
      <c r="B359" s="768"/>
      <c r="C359" s="768"/>
      <c r="D359" s="769"/>
      <c r="E359" s="768"/>
      <c r="F359" s="772"/>
    </row>
    <row r="360" spans="2:6" s="760" customFormat="1" x14ac:dyDescent="0.2">
      <c r="B360" s="768"/>
      <c r="C360" s="768"/>
      <c r="D360" s="769"/>
      <c r="E360" s="768"/>
      <c r="F360" s="772"/>
    </row>
    <row r="361" spans="2:6" s="760" customFormat="1" x14ac:dyDescent="0.2">
      <c r="B361" s="768"/>
      <c r="C361" s="768"/>
      <c r="D361" s="769"/>
      <c r="E361" s="768"/>
      <c r="F361" s="772"/>
    </row>
    <row r="362" spans="2:6" s="760" customFormat="1" x14ac:dyDescent="0.2">
      <c r="B362" s="768"/>
      <c r="C362" s="768"/>
      <c r="D362" s="769"/>
      <c r="E362" s="768"/>
      <c r="F362" s="772"/>
    </row>
    <row r="363" spans="2:6" s="760" customFormat="1" x14ac:dyDescent="0.2">
      <c r="B363" s="768"/>
      <c r="C363" s="768"/>
      <c r="D363" s="769"/>
      <c r="E363" s="768"/>
      <c r="F363" s="772"/>
    </row>
    <row r="364" spans="2:6" s="760" customFormat="1" x14ac:dyDescent="0.2">
      <c r="B364" s="768"/>
      <c r="C364" s="768"/>
      <c r="D364" s="769"/>
      <c r="E364" s="768"/>
      <c r="F364" s="772"/>
    </row>
    <row r="365" spans="2:6" s="760" customFormat="1" x14ac:dyDescent="0.2">
      <c r="B365" s="768"/>
      <c r="C365" s="768"/>
      <c r="D365" s="769"/>
      <c r="E365" s="768"/>
      <c r="F365" s="772"/>
    </row>
    <row r="366" spans="2:6" s="760" customFormat="1" x14ac:dyDescent="0.2">
      <c r="B366" s="768"/>
      <c r="C366" s="768"/>
      <c r="D366" s="769"/>
      <c r="E366" s="768"/>
      <c r="F366" s="772"/>
    </row>
    <row r="367" spans="2:6" s="760" customFormat="1" x14ac:dyDescent="0.2">
      <c r="B367" s="768"/>
      <c r="C367" s="768"/>
      <c r="D367" s="769"/>
      <c r="E367" s="768"/>
      <c r="F367" s="772"/>
    </row>
    <row r="368" spans="2:6" s="760" customFormat="1" x14ac:dyDescent="0.2">
      <c r="B368" s="768"/>
      <c r="C368" s="768"/>
      <c r="D368" s="769"/>
      <c r="E368" s="768"/>
      <c r="F368" s="772"/>
    </row>
    <row r="369" spans="2:6" s="760" customFormat="1" x14ac:dyDescent="0.2">
      <c r="B369" s="768"/>
      <c r="C369" s="768"/>
      <c r="D369" s="769"/>
      <c r="E369" s="768"/>
      <c r="F369" s="772"/>
    </row>
    <row r="370" spans="2:6" s="760" customFormat="1" x14ac:dyDescent="0.2">
      <c r="B370" s="768"/>
      <c r="C370" s="768"/>
      <c r="D370" s="769"/>
      <c r="E370" s="768"/>
      <c r="F370" s="772"/>
    </row>
    <row r="371" spans="2:6" s="760" customFormat="1" x14ac:dyDescent="0.2">
      <c r="B371" s="768"/>
      <c r="C371" s="768"/>
      <c r="D371" s="769"/>
      <c r="E371" s="768"/>
      <c r="F371" s="772"/>
    </row>
    <row r="372" spans="2:6" s="760" customFormat="1" x14ac:dyDescent="0.2">
      <c r="B372" s="768"/>
      <c r="C372" s="768"/>
      <c r="D372" s="769"/>
      <c r="E372" s="768"/>
      <c r="F372" s="772"/>
    </row>
    <row r="373" spans="2:6" s="760" customFormat="1" x14ac:dyDescent="0.2">
      <c r="B373" s="768"/>
      <c r="C373" s="768"/>
      <c r="D373" s="769"/>
      <c r="E373" s="768"/>
      <c r="F373" s="772"/>
    </row>
    <row r="374" spans="2:6" s="760" customFormat="1" x14ac:dyDescent="0.2">
      <c r="B374" s="768"/>
      <c r="C374" s="768"/>
      <c r="D374" s="769"/>
      <c r="E374" s="768"/>
      <c r="F374" s="772"/>
    </row>
    <row r="375" spans="2:6" s="760" customFormat="1" x14ac:dyDescent="0.2">
      <c r="B375" s="768"/>
      <c r="C375" s="768"/>
      <c r="D375" s="769"/>
      <c r="E375" s="768"/>
      <c r="F375" s="772"/>
    </row>
    <row r="376" spans="2:6" s="760" customFormat="1" x14ac:dyDescent="0.2">
      <c r="B376" s="768"/>
      <c r="C376" s="768"/>
      <c r="D376" s="769"/>
      <c r="E376" s="768"/>
      <c r="F376" s="772"/>
    </row>
    <row r="377" spans="2:6" s="760" customFormat="1" x14ac:dyDescent="0.2">
      <c r="B377" s="768"/>
      <c r="C377" s="768"/>
      <c r="D377" s="769"/>
      <c r="E377" s="768"/>
      <c r="F377" s="772"/>
    </row>
    <row r="378" spans="2:6" s="760" customFormat="1" x14ac:dyDescent="0.2">
      <c r="B378" s="768"/>
      <c r="C378" s="768"/>
      <c r="D378" s="769"/>
      <c r="E378" s="768"/>
      <c r="F378" s="772"/>
    </row>
    <row r="379" spans="2:6" s="760" customFormat="1" x14ac:dyDescent="0.2">
      <c r="B379" s="768"/>
      <c r="C379" s="768"/>
      <c r="D379" s="769"/>
      <c r="E379" s="768"/>
      <c r="F379" s="772"/>
    </row>
    <row r="380" spans="2:6" s="760" customFormat="1" x14ac:dyDescent="0.2">
      <c r="B380" s="768"/>
      <c r="C380" s="768"/>
      <c r="D380" s="769"/>
      <c r="E380" s="768"/>
      <c r="F380" s="772"/>
    </row>
    <row r="381" spans="2:6" s="760" customFormat="1" x14ac:dyDescent="0.2">
      <c r="B381" s="768"/>
      <c r="C381" s="768"/>
      <c r="D381" s="769"/>
      <c r="E381" s="768"/>
      <c r="F381" s="772"/>
    </row>
    <row r="382" spans="2:6" s="760" customFormat="1" x14ac:dyDescent="0.2">
      <c r="B382" s="768"/>
      <c r="C382" s="768"/>
      <c r="D382" s="769"/>
      <c r="E382" s="768"/>
      <c r="F382" s="772"/>
    </row>
    <row r="383" spans="2:6" s="760" customFormat="1" x14ac:dyDescent="0.2">
      <c r="B383" s="768"/>
      <c r="C383" s="768"/>
      <c r="D383" s="769"/>
      <c r="E383" s="768"/>
      <c r="F383" s="772"/>
    </row>
    <row r="384" spans="2:6" s="760" customFormat="1" x14ac:dyDescent="0.2">
      <c r="B384" s="768"/>
      <c r="C384" s="768"/>
      <c r="D384" s="769"/>
      <c r="E384" s="768"/>
      <c r="F384" s="772"/>
    </row>
    <row r="385" spans="2:6" s="760" customFormat="1" x14ac:dyDescent="0.2">
      <c r="B385" s="768"/>
      <c r="C385" s="768"/>
      <c r="D385" s="769"/>
      <c r="E385" s="768"/>
      <c r="F385" s="772"/>
    </row>
    <row r="386" spans="2:6" s="760" customFormat="1" x14ac:dyDescent="0.2">
      <c r="B386" s="768"/>
      <c r="C386" s="768"/>
      <c r="D386" s="769"/>
      <c r="E386" s="768"/>
      <c r="F386" s="772"/>
    </row>
    <row r="387" spans="2:6" s="760" customFormat="1" x14ac:dyDescent="0.2">
      <c r="B387" s="768"/>
      <c r="C387" s="768"/>
      <c r="D387" s="769"/>
      <c r="E387" s="768"/>
      <c r="F387" s="772"/>
    </row>
    <row r="388" spans="2:6" s="760" customFormat="1" x14ac:dyDescent="0.2">
      <c r="B388" s="768"/>
      <c r="C388" s="768"/>
      <c r="D388" s="769"/>
      <c r="E388" s="768"/>
      <c r="F388" s="772"/>
    </row>
    <row r="389" spans="2:6" s="760" customFormat="1" x14ac:dyDescent="0.2">
      <c r="B389" s="768"/>
      <c r="C389" s="768"/>
      <c r="D389" s="769"/>
      <c r="E389" s="768"/>
      <c r="F389" s="772"/>
    </row>
    <row r="390" spans="2:6" s="760" customFormat="1" x14ac:dyDescent="0.2">
      <c r="B390" s="768"/>
      <c r="C390" s="768"/>
      <c r="D390" s="769"/>
      <c r="E390" s="768"/>
      <c r="F390" s="772"/>
    </row>
    <row r="391" spans="2:6" s="760" customFormat="1" x14ac:dyDescent="0.2">
      <c r="B391" s="768"/>
      <c r="C391" s="768"/>
      <c r="D391" s="769"/>
      <c r="E391" s="768"/>
      <c r="F391" s="772"/>
    </row>
    <row r="392" spans="2:6" s="760" customFormat="1" x14ac:dyDescent="0.2">
      <c r="B392" s="768"/>
      <c r="C392" s="768"/>
      <c r="D392" s="769"/>
      <c r="E392" s="768"/>
      <c r="F392" s="772"/>
    </row>
    <row r="393" spans="2:6" s="760" customFormat="1" x14ac:dyDescent="0.2">
      <c r="B393" s="768"/>
      <c r="C393" s="768"/>
      <c r="D393" s="769"/>
      <c r="E393" s="768"/>
      <c r="F393" s="772"/>
    </row>
    <row r="394" spans="2:6" s="760" customFormat="1" x14ac:dyDescent="0.2">
      <c r="B394" s="768"/>
      <c r="C394" s="768"/>
      <c r="D394" s="769"/>
      <c r="E394" s="768"/>
      <c r="F394" s="772"/>
    </row>
    <row r="395" spans="2:6" s="760" customFormat="1" x14ac:dyDescent="0.2">
      <c r="B395" s="768"/>
      <c r="C395" s="768"/>
      <c r="D395" s="769"/>
      <c r="E395" s="768"/>
      <c r="F395" s="772"/>
    </row>
    <row r="396" spans="2:6" s="760" customFormat="1" x14ac:dyDescent="0.2">
      <c r="B396" s="768"/>
      <c r="C396" s="768"/>
      <c r="D396" s="769"/>
      <c r="E396" s="768"/>
      <c r="F396" s="772"/>
    </row>
    <row r="397" spans="2:6" s="760" customFormat="1" x14ac:dyDescent="0.2">
      <c r="B397" s="768"/>
      <c r="C397" s="768"/>
      <c r="D397" s="769"/>
      <c r="E397" s="768"/>
      <c r="F397" s="772"/>
    </row>
    <row r="398" spans="2:6" s="760" customFormat="1" x14ac:dyDescent="0.2">
      <c r="B398" s="768"/>
      <c r="C398" s="768"/>
      <c r="D398" s="769"/>
      <c r="E398" s="768"/>
      <c r="F398" s="772"/>
    </row>
    <row r="399" spans="2:6" s="760" customFormat="1" x14ac:dyDescent="0.2">
      <c r="B399" s="768"/>
      <c r="C399" s="768"/>
      <c r="D399" s="769"/>
      <c r="E399" s="768"/>
      <c r="F399" s="772"/>
    </row>
    <row r="400" spans="2:6" s="760" customFormat="1" x14ac:dyDescent="0.2">
      <c r="B400" s="768"/>
      <c r="C400" s="768"/>
      <c r="D400" s="769"/>
      <c r="E400" s="768"/>
      <c r="F400" s="772"/>
    </row>
    <row r="401" spans="2:6" s="760" customFormat="1" x14ac:dyDescent="0.2">
      <c r="B401" s="768"/>
      <c r="C401" s="768"/>
      <c r="D401" s="769"/>
      <c r="E401" s="768"/>
      <c r="F401" s="772"/>
    </row>
    <row r="402" spans="2:6" s="760" customFormat="1" x14ac:dyDescent="0.2">
      <c r="B402" s="768"/>
      <c r="C402" s="768"/>
      <c r="D402" s="769"/>
      <c r="E402" s="768"/>
      <c r="F402" s="772"/>
    </row>
    <row r="403" spans="2:6" s="760" customFormat="1" x14ac:dyDescent="0.2">
      <c r="B403" s="768"/>
      <c r="C403" s="768"/>
      <c r="D403" s="769"/>
      <c r="E403" s="768"/>
      <c r="F403" s="772"/>
    </row>
    <row r="404" spans="2:6" s="760" customFormat="1" x14ac:dyDescent="0.2">
      <c r="B404" s="768"/>
      <c r="C404" s="768"/>
      <c r="D404" s="769"/>
      <c r="E404" s="768"/>
      <c r="F404" s="772"/>
    </row>
    <row r="405" spans="2:6" s="760" customFormat="1" x14ac:dyDescent="0.2">
      <c r="B405" s="768"/>
      <c r="C405" s="768"/>
      <c r="D405" s="769"/>
      <c r="E405" s="768"/>
      <c r="F405" s="772"/>
    </row>
    <row r="406" spans="2:6" s="760" customFormat="1" x14ac:dyDescent="0.2">
      <c r="B406" s="768"/>
      <c r="C406" s="768"/>
      <c r="D406" s="769"/>
      <c r="E406" s="768"/>
      <c r="F406" s="772"/>
    </row>
    <row r="407" spans="2:6" s="760" customFormat="1" x14ac:dyDescent="0.2">
      <c r="B407" s="768"/>
      <c r="C407" s="768"/>
      <c r="D407" s="769"/>
      <c r="E407" s="768"/>
      <c r="F407" s="772"/>
    </row>
    <row r="408" spans="2:6" s="760" customFormat="1" x14ac:dyDescent="0.2">
      <c r="B408" s="768"/>
      <c r="C408" s="768"/>
      <c r="D408" s="769"/>
      <c r="E408" s="768"/>
      <c r="F408" s="772"/>
    </row>
    <row r="409" spans="2:6" s="760" customFormat="1" x14ac:dyDescent="0.2">
      <c r="B409" s="768"/>
      <c r="C409" s="768"/>
      <c r="D409" s="769"/>
      <c r="E409" s="768"/>
      <c r="F409" s="772"/>
    </row>
    <row r="410" spans="2:6" s="760" customFormat="1" x14ac:dyDescent="0.2">
      <c r="B410" s="768"/>
      <c r="C410" s="768"/>
      <c r="D410" s="769"/>
      <c r="E410" s="768"/>
      <c r="F410" s="772"/>
    </row>
    <row r="411" spans="2:6" s="760" customFormat="1" x14ac:dyDescent="0.2">
      <c r="B411" s="768"/>
      <c r="C411" s="768"/>
      <c r="D411" s="769"/>
      <c r="E411" s="768"/>
      <c r="F411" s="772"/>
    </row>
    <row r="412" spans="2:6" s="760" customFormat="1" x14ac:dyDescent="0.2">
      <c r="B412" s="768"/>
      <c r="C412" s="768"/>
      <c r="D412" s="769"/>
      <c r="E412" s="768"/>
      <c r="F412" s="772"/>
    </row>
    <row r="413" spans="2:6" s="760" customFormat="1" x14ac:dyDescent="0.2">
      <c r="B413" s="768"/>
      <c r="C413" s="768"/>
      <c r="D413" s="769"/>
      <c r="E413" s="768"/>
      <c r="F413" s="772"/>
    </row>
    <row r="414" spans="2:6" s="760" customFormat="1" x14ac:dyDescent="0.2">
      <c r="B414" s="768"/>
      <c r="C414" s="768"/>
      <c r="D414" s="769"/>
      <c r="E414" s="768"/>
      <c r="F414" s="772"/>
    </row>
    <row r="415" spans="2:6" s="760" customFormat="1" x14ac:dyDescent="0.2">
      <c r="B415" s="768"/>
      <c r="C415" s="768"/>
      <c r="D415" s="769"/>
      <c r="E415" s="768"/>
      <c r="F415" s="772"/>
    </row>
    <row r="416" spans="2:6" s="760" customFormat="1" x14ac:dyDescent="0.2">
      <c r="B416" s="768"/>
      <c r="C416" s="768"/>
      <c r="D416" s="769"/>
      <c r="E416" s="768"/>
      <c r="F416" s="772"/>
    </row>
    <row r="417" spans="2:6" s="760" customFormat="1" x14ac:dyDescent="0.2">
      <c r="B417" s="768"/>
      <c r="C417" s="768"/>
      <c r="D417" s="769"/>
      <c r="E417" s="768"/>
      <c r="F417" s="772"/>
    </row>
    <row r="418" spans="2:6" s="760" customFormat="1" x14ac:dyDescent="0.2">
      <c r="B418" s="768"/>
      <c r="C418" s="768"/>
      <c r="D418" s="769"/>
      <c r="E418" s="768"/>
      <c r="F418" s="772"/>
    </row>
    <row r="419" spans="2:6" s="760" customFormat="1" x14ac:dyDescent="0.2">
      <c r="B419" s="768"/>
      <c r="C419" s="768"/>
      <c r="D419" s="769"/>
      <c r="E419" s="768"/>
      <c r="F419" s="772"/>
    </row>
    <row r="420" spans="2:6" s="760" customFormat="1" x14ac:dyDescent="0.2">
      <c r="B420" s="768"/>
      <c r="C420" s="768"/>
      <c r="D420" s="769"/>
      <c r="E420" s="768"/>
      <c r="F420" s="772"/>
    </row>
    <row r="421" spans="2:6" s="760" customFormat="1" x14ac:dyDescent="0.2">
      <c r="B421" s="768"/>
      <c r="C421" s="768"/>
      <c r="D421" s="769"/>
      <c r="E421" s="768"/>
      <c r="F421" s="772"/>
    </row>
    <row r="422" spans="2:6" s="760" customFormat="1" x14ac:dyDescent="0.2">
      <c r="B422" s="768"/>
      <c r="C422" s="768"/>
      <c r="D422" s="769"/>
      <c r="E422" s="768"/>
      <c r="F422" s="772"/>
    </row>
    <row r="423" spans="2:6" s="760" customFormat="1" x14ac:dyDescent="0.2">
      <c r="B423" s="768"/>
      <c r="C423" s="768"/>
      <c r="D423" s="769"/>
      <c r="E423" s="768"/>
      <c r="F423" s="772"/>
    </row>
    <row r="424" spans="2:6" s="760" customFormat="1" x14ac:dyDescent="0.2">
      <c r="B424" s="768"/>
      <c r="C424" s="768"/>
      <c r="D424" s="769"/>
      <c r="E424" s="768"/>
      <c r="F424" s="772"/>
    </row>
    <row r="425" spans="2:6" s="760" customFormat="1" x14ac:dyDescent="0.2">
      <c r="B425" s="768"/>
      <c r="C425" s="768"/>
      <c r="D425" s="769"/>
      <c r="E425" s="768"/>
      <c r="F425" s="772"/>
    </row>
    <row r="426" spans="2:6" s="760" customFormat="1" x14ac:dyDescent="0.2">
      <c r="B426" s="768"/>
      <c r="C426" s="768"/>
      <c r="D426" s="769"/>
      <c r="E426" s="768"/>
      <c r="F426" s="772"/>
    </row>
    <row r="427" spans="2:6" s="760" customFormat="1" x14ac:dyDescent="0.2">
      <c r="B427" s="768"/>
      <c r="C427" s="768"/>
      <c r="D427" s="769"/>
      <c r="E427" s="768"/>
      <c r="F427" s="772"/>
    </row>
    <row r="428" spans="2:6" s="760" customFormat="1" x14ac:dyDescent="0.2">
      <c r="B428" s="768"/>
      <c r="C428" s="768"/>
      <c r="D428" s="769"/>
      <c r="E428" s="768"/>
      <c r="F428" s="772"/>
    </row>
    <row r="429" spans="2:6" s="760" customFormat="1" x14ac:dyDescent="0.2">
      <c r="B429" s="768"/>
      <c r="C429" s="768"/>
      <c r="D429" s="769"/>
      <c r="E429" s="768"/>
      <c r="F429" s="772"/>
    </row>
    <row r="430" spans="2:6" s="760" customFormat="1" x14ac:dyDescent="0.2">
      <c r="B430" s="768"/>
      <c r="C430" s="768"/>
      <c r="D430" s="769"/>
      <c r="E430" s="768"/>
      <c r="F430" s="772"/>
    </row>
    <row r="431" spans="2:6" s="760" customFormat="1" x14ac:dyDescent="0.2">
      <c r="B431" s="768"/>
      <c r="C431" s="768"/>
      <c r="D431" s="769"/>
      <c r="E431" s="768"/>
      <c r="F431" s="772"/>
    </row>
    <row r="432" spans="2:6" s="760" customFormat="1" x14ac:dyDescent="0.2">
      <c r="B432" s="768"/>
      <c r="C432" s="768"/>
      <c r="D432" s="769"/>
      <c r="E432" s="768"/>
      <c r="F432" s="772"/>
    </row>
    <row r="433" spans="2:6" s="760" customFormat="1" x14ac:dyDescent="0.2">
      <c r="B433" s="768"/>
      <c r="C433" s="768"/>
      <c r="D433" s="769"/>
      <c r="E433" s="768"/>
      <c r="F433" s="772"/>
    </row>
    <row r="434" spans="2:6" s="760" customFormat="1" x14ac:dyDescent="0.2">
      <c r="B434" s="768"/>
      <c r="C434" s="768"/>
      <c r="D434" s="769"/>
      <c r="E434" s="768"/>
      <c r="F434" s="772"/>
    </row>
    <row r="435" spans="2:6" s="760" customFormat="1" x14ac:dyDescent="0.2">
      <c r="B435" s="768"/>
      <c r="C435" s="768"/>
      <c r="D435" s="769"/>
      <c r="E435" s="768"/>
      <c r="F435" s="772"/>
    </row>
    <row r="436" spans="2:6" s="760" customFormat="1" x14ac:dyDescent="0.2">
      <c r="B436" s="768"/>
      <c r="C436" s="768"/>
      <c r="D436" s="769"/>
      <c r="E436" s="768"/>
      <c r="F436" s="772"/>
    </row>
    <row r="437" spans="2:6" s="760" customFormat="1" x14ac:dyDescent="0.2">
      <c r="B437" s="768"/>
      <c r="C437" s="768"/>
      <c r="D437" s="769"/>
      <c r="E437" s="768"/>
      <c r="F437" s="772"/>
    </row>
    <row r="438" spans="2:6" s="760" customFormat="1" x14ac:dyDescent="0.2">
      <c r="B438" s="768"/>
      <c r="C438" s="768"/>
      <c r="D438" s="769"/>
      <c r="E438" s="768"/>
      <c r="F438" s="772"/>
    </row>
    <row r="439" spans="2:6" s="760" customFormat="1" x14ac:dyDescent="0.2">
      <c r="B439" s="768"/>
      <c r="C439" s="768"/>
      <c r="D439" s="769"/>
      <c r="E439" s="768"/>
      <c r="F439" s="772"/>
    </row>
    <row r="440" spans="2:6" s="760" customFormat="1" x14ac:dyDescent="0.2">
      <c r="B440" s="768"/>
      <c r="C440" s="768"/>
      <c r="D440" s="769"/>
      <c r="E440" s="768"/>
      <c r="F440" s="772"/>
    </row>
    <row r="441" spans="2:6" s="760" customFormat="1" x14ac:dyDescent="0.2">
      <c r="B441" s="768"/>
      <c r="C441" s="768"/>
      <c r="D441" s="769"/>
      <c r="E441" s="768"/>
      <c r="F441" s="772"/>
    </row>
    <row r="442" spans="2:6" s="760" customFormat="1" x14ac:dyDescent="0.2">
      <c r="B442" s="768"/>
      <c r="C442" s="768"/>
      <c r="D442" s="769"/>
      <c r="E442" s="768"/>
      <c r="F442" s="772"/>
    </row>
    <row r="443" spans="2:6" s="760" customFormat="1" x14ac:dyDescent="0.2">
      <c r="B443" s="768"/>
      <c r="C443" s="768"/>
      <c r="D443" s="769"/>
      <c r="E443" s="768"/>
      <c r="F443" s="772"/>
    </row>
    <row r="444" spans="2:6" s="760" customFormat="1" x14ac:dyDescent="0.2">
      <c r="B444" s="768"/>
      <c r="C444" s="768"/>
      <c r="D444" s="769"/>
      <c r="E444" s="768"/>
      <c r="F444" s="772"/>
    </row>
    <row r="445" spans="2:6" s="760" customFormat="1" x14ac:dyDescent="0.2">
      <c r="B445" s="768"/>
      <c r="C445" s="768"/>
      <c r="D445" s="769"/>
      <c r="E445" s="768"/>
      <c r="F445" s="772"/>
    </row>
    <row r="446" spans="2:6" s="760" customFormat="1" x14ac:dyDescent="0.2">
      <c r="B446" s="768"/>
      <c r="C446" s="768"/>
      <c r="D446" s="769"/>
      <c r="E446" s="768"/>
      <c r="F446" s="772"/>
    </row>
    <row r="447" spans="2:6" s="760" customFormat="1" x14ac:dyDescent="0.2">
      <c r="B447" s="768"/>
      <c r="C447" s="768"/>
      <c r="D447" s="769"/>
      <c r="E447" s="768"/>
      <c r="F447" s="772"/>
    </row>
    <row r="448" spans="2:6" s="760" customFormat="1" x14ac:dyDescent="0.2">
      <c r="B448" s="768"/>
      <c r="C448" s="768"/>
      <c r="D448" s="769"/>
      <c r="E448" s="768"/>
      <c r="F448" s="772"/>
    </row>
    <row r="449" spans="2:6" s="760" customFormat="1" x14ac:dyDescent="0.2">
      <c r="B449" s="768"/>
      <c r="C449" s="768"/>
      <c r="D449" s="769"/>
      <c r="E449" s="768"/>
      <c r="F449" s="772"/>
    </row>
    <row r="450" spans="2:6" s="760" customFormat="1" x14ac:dyDescent="0.2">
      <c r="B450" s="768"/>
      <c r="C450" s="768"/>
      <c r="D450" s="769"/>
      <c r="E450" s="768"/>
      <c r="F450" s="772"/>
    </row>
    <row r="451" spans="2:6" s="760" customFormat="1" x14ac:dyDescent="0.2">
      <c r="B451" s="768"/>
      <c r="C451" s="768"/>
      <c r="D451" s="769"/>
      <c r="E451" s="768"/>
      <c r="F451" s="772"/>
    </row>
    <row r="452" spans="2:6" s="760" customFormat="1" x14ac:dyDescent="0.2">
      <c r="B452" s="768"/>
      <c r="C452" s="768"/>
      <c r="D452" s="769"/>
      <c r="E452" s="768"/>
      <c r="F452" s="772"/>
    </row>
    <row r="453" spans="2:6" s="760" customFormat="1" x14ac:dyDescent="0.2">
      <c r="B453" s="768"/>
      <c r="C453" s="768"/>
      <c r="D453" s="769"/>
      <c r="E453" s="768"/>
      <c r="F453" s="772"/>
    </row>
    <row r="454" spans="2:6" s="760" customFormat="1" x14ac:dyDescent="0.2">
      <c r="B454" s="768"/>
      <c r="C454" s="768"/>
      <c r="D454" s="769"/>
      <c r="E454" s="768"/>
      <c r="F454" s="772"/>
    </row>
    <row r="455" spans="2:6" s="760" customFormat="1" x14ac:dyDescent="0.2">
      <c r="B455" s="768"/>
      <c r="C455" s="768"/>
      <c r="D455" s="769"/>
      <c r="E455" s="768"/>
      <c r="F455" s="772"/>
    </row>
    <row r="456" spans="2:6" s="760" customFormat="1" x14ac:dyDescent="0.2">
      <c r="B456" s="768"/>
      <c r="C456" s="768"/>
      <c r="D456" s="769"/>
      <c r="E456" s="768"/>
      <c r="F456" s="772"/>
    </row>
    <row r="457" spans="2:6" s="760" customFormat="1" x14ac:dyDescent="0.2">
      <c r="B457" s="768"/>
      <c r="C457" s="768"/>
      <c r="D457" s="769"/>
      <c r="E457" s="768"/>
      <c r="F457" s="772"/>
    </row>
    <row r="458" spans="2:6" s="760" customFormat="1" x14ac:dyDescent="0.2">
      <c r="B458" s="768"/>
      <c r="C458" s="768"/>
      <c r="D458" s="769"/>
      <c r="E458" s="768"/>
      <c r="F458" s="772"/>
    </row>
    <row r="459" spans="2:6" s="760" customFormat="1" x14ac:dyDescent="0.2">
      <c r="B459" s="768"/>
      <c r="C459" s="768"/>
      <c r="D459" s="769"/>
      <c r="E459" s="768"/>
      <c r="F459" s="772"/>
    </row>
    <row r="460" spans="2:6" s="760" customFormat="1" x14ac:dyDescent="0.2">
      <c r="B460" s="768"/>
      <c r="C460" s="768"/>
      <c r="D460" s="769"/>
      <c r="E460" s="768"/>
      <c r="F460" s="772"/>
    </row>
    <row r="461" spans="2:6" s="760" customFormat="1" x14ac:dyDescent="0.2">
      <c r="B461" s="768"/>
      <c r="C461" s="768"/>
      <c r="D461" s="769"/>
      <c r="E461" s="768"/>
      <c r="F461" s="772"/>
    </row>
    <row r="462" spans="2:6" s="760" customFormat="1" x14ac:dyDescent="0.2">
      <c r="B462" s="768"/>
      <c r="C462" s="768"/>
      <c r="D462" s="769"/>
      <c r="E462" s="768"/>
      <c r="F462" s="772"/>
    </row>
    <row r="463" spans="2:6" s="760" customFormat="1" x14ac:dyDescent="0.2">
      <c r="B463" s="768"/>
      <c r="C463" s="768"/>
      <c r="D463" s="769"/>
      <c r="E463" s="768"/>
      <c r="F463" s="772"/>
    </row>
    <row r="464" spans="2:6" s="760" customFormat="1" x14ac:dyDescent="0.2">
      <c r="B464" s="768"/>
      <c r="C464" s="768"/>
      <c r="D464" s="769"/>
      <c r="E464" s="768"/>
      <c r="F464" s="772"/>
    </row>
    <row r="465" spans="2:6" s="760" customFormat="1" x14ac:dyDescent="0.2">
      <c r="B465" s="768"/>
      <c r="C465" s="768"/>
      <c r="D465" s="769"/>
      <c r="E465" s="768"/>
      <c r="F465" s="772"/>
    </row>
    <row r="466" spans="2:6" s="760" customFormat="1" x14ac:dyDescent="0.2">
      <c r="B466" s="768"/>
      <c r="C466" s="768"/>
      <c r="D466" s="769"/>
      <c r="E466" s="768"/>
      <c r="F466" s="772"/>
    </row>
    <row r="467" spans="2:6" s="760" customFormat="1" x14ac:dyDescent="0.2">
      <c r="B467" s="768"/>
      <c r="C467" s="768"/>
      <c r="D467" s="769"/>
      <c r="E467" s="768"/>
      <c r="F467" s="772"/>
    </row>
    <row r="468" spans="2:6" s="760" customFormat="1" x14ac:dyDescent="0.2">
      <c r="B468" s="768"/>
      <c r="C468" s="768"/>
      <c r="D468" s="769"/>
      <c r="E468" s="768"/>
      <c r="F468" s="772"/>
    </row>
    <row r="469" spans="2:6" s="760" customFormat="1" x14ac:dyDescent="0.2">
      <c r="B469" s="768"/>
      <c r="C469" s="768"/>
      <c r="D469" s="769"/>
      <c r="E469" s="768"/>
      <c r="F469" s="772"/>
    </row>
    <row r="470" spans="2:6" s="760" customFormat="1" x14ac:dyDescent="0.2">
      <c r="B470" s="768"/>
      <c r="C470" s="768"/>
      <c r="D470" s="769"/>
      <c r="E470" s="768"/>
      <c r="F470" s="772"/>
    </row>
    <row r="471" spans="2:6" s="760" customFormat="1" x14ac:dyDescent="0.2">
      <c r="B471" s="768"/>
      <c r="C471" s="768"/>
      <c r="D471" s="769"/>
      <c r="E471" s="768"/>
      <c r="F471" s="772"/>
    </row>
    <row r="472" spans="2:6" s="760" customFormat="1" x14ac:dyDescent="0.2">
      <c r="B472" s="768"/>
      <c r="C472" s="768"/>
      <c r="D472" s="769"/>
      <c r="E472" s="768"/>
      <c r="F472" s="772"/>
    </row>
    <row r="473" spans="2:6" s="760" customFormat="1" x14ac:dyDescent="0.2">
      <c r="B473" s="768"/>
      <c r="C473" s="768"/>
      <c r="D473" s="769"/>
      <c r="E473" s="768"/>
      <c r="F473" s="772"/>
    </row>
    <row r="474" spans="2:6" s="760" customFormat="1" x14ac:dyDescent="0.2">
      <c r="B474" s="768"/>
      <c r="C474" s="768"/>
      <c r="D474" s="769"/>
      <c r="E474" s="768"/>
      <c r="F474" s="772"/>
    </row>
    <row r="475" spans="2:6" s="760" customFormat="1" x14ac:dyDescent="0.2">
      <c r="B475" s="768"/>
      <c r="C475" s="768"/>
      <c r="D475" s="769"/>
      <c r="E475" s="768"/>
      <c r="F475" s="772"/>
    </row>
    <row r="476" spans="2:6" s="760" customFormat="1" x14ac:dyDescent="0.2">
      <c r="B476" s="768"/>
      <c r="C476" s="768"/>
      <c r="D476" s="769"/>
      <c r="E476" s="768"/>
      <c r="F476" s="772"/>
    </row>
    <row r="477" spans="2:6" s="760" customFormat="1" x14ac:dyDescent="0.2">
      <c r="B477" s="768"/>
      <c r="C477" s="768"/>
      <c r="D477" s="769"/>
      <c r="E477" s="768"/>
      <c r="F477" s="772"/>
    </row>
    <row r="478" spans="2:6" s="760" customFormat="1" x14ac:dyDescent="0.2">
      <c r="B478" s="768"/>
      <c r="C478" s="768"/>
      <c r="D478" s="769"/>
      <c r="E478" s="768"/>
      <c r="F478" s="772"/>
    </row>
    <row r="479" spans="2:6" s="760" customFormat="1" x14ac:dyDescent="0.2">
      <c r="B479" s="768"/>
      <c r="C479" s="768"/>
      <c r="D479" s="769"/>
      <c r="E479" s="768"/>
      <c r="F479" s="772"/>
    </row>
    <row r="480" spans="2:6" s="760" customFormat="1" x14ac:dyDescent="0.2">
      <c r="B480" s="768"/>
      <c r="C480" s="768"/>
      <c r="D480" s="769"/>
      <c r="E480" s="768"/>
      <c r="F480" s="772"/>
    </row>
    <row r="481" spans="2:6" s="760" customFormat="1" x14ac:dyDescent="0.2">
      <c r="B481" s="768"/>
      <c r="C481" s="768"/>
      <c r="D481" s="769"/>
      <c r="E481" s="768"/>
      <c r="F481" s="772"/>
    </row>
    <row r="482" spans="2:6" s="760" customFormat="1" x14ac:dyDescent="0.2">
      <c r="B482" s="768"/>
      <c r="C482" s="768"/>
      <c r="D482" s="769"/>
      <c r="E482" s="768"/>
      <c r="F482" s="772"/>
    </row>
    <row r="483" spans="2:6" s="760" customFormat="1" x14ac:dyDescent="0.2">
      <c r="B483" s="768"/>
      <c r="C483" s="768"/>
      <c r="D483" s="769"/>
      <c r="E483" s="768"/>
      <c r="F483" s="772"/>
    </row>
    <row r="484" spans="2:6" s="760" customFormat="1" x14ac:dyDescent="0.2">
      <c r="B484" s="768"/>
      <c r="C484" s="768"/>
      <c r="D484" s="769"/>
      <c r="E484" s="768"/>
      <c r="F484" s="772"/>
    </row>
    <row r="485" spans="2:6" s="760" customFormat="1" x14ac:dyDescent="0.2">
      <c r="B485" s="768"/>
      <c r="C485" s="768"/>
      <c r="D485" s="769"/>
      <c r="E485" s="768"/>
      <c r="F485" s="772"/>
    </row>
    <row r="486" spans="2:6" s="760" customFormat="1" x14ac:dyDescent="0.2">
      <c r="B486" s="768"/>
      <c r="C486" s="768"/>
      <c r="D486" s="769"/>
      <c r="E486" s="768"/>
      <c r="F486" s="772"/>
    </row>
    <row r="487" spans="2:6" s="760" customFormat="1" x14ac:dyDescent="0.2">
      <c r="B487" s="768"/>
      <c r="C487" s="768"/>
      <c r="D487" s="769"/>
      <c r="E487" s="768"/>
      <c r="F487" s="772"/>
    </row>
    <row r="488" spans="2:6" s="760" customFormat="1" x14ac:dyDescent="0.2">
      <c r="B488" s="768"/>
      <c r="C488" s="768"/>
      <c r="D488" s="769"/>
      <c r="E488" s="768"/>
      <c r="F488" s="772"/>
    </row>
    <row r="489" spans="2:6" s="760" customFormat="1" x14ac:dyDescent="0.2">
      <c r="B489" s="768"/>
      <c r="C489" s="768"/>
      <c r="D489" s="769"/>
      <c r="E489" s="768"/>
      <c r="F489" s="772"/>
    </row>
    <row r="490" spans="2:6" s="760" customFormat="1" x14ac:dyDescent="0.2">
      <c r="B490" s="768"/>
      <c r="C490" s="768"/>
      <c r="D490" s="769"/>
      <c r="E490" s="768"/>
      <c r="F490" s="772"/>
    </row>
    <row r="491" spans="2:6" s="760" customFormat="1" x14ac:dyDescent="0.2">
      <c r="B491" s="768"/>
      <c r="C491" s="768"/>
      <c r="D491" s="769"/>
      <c r="E491" s="768"/>
      <c r="F491" s="772"/>
    </row>
    <row r="492" spans="2:6" s="760" customFormat="1" x14ac:dyDescent="0.2">
      <c r="B492" s="768"/>
      <c r="C492" s="768"/>
      <c r="D492" s="769"/>
      <c r="E492" s="768"/>
      <c r="F492" s="772"/>
    </row>
    <row r="493" spans="2:6" s="760" customFormat="1" x14ac:dyDescent="0.2">
      <c r="B493" s="768"/>
      <c r="C493" s="768"/>
      <c r="D493" s="769"/>
      <c r="E493" s="768"/>
      <c r="F493" s="772"/>
    </row>
    <row r="494" spans="2:6" s="760" customFormat="1" x14ac:dyDescent="0.2">
      <c r="B494" s="768"/>
      <c r="C494" s="768"/>
      <c r="D494" s="769"/>
      <c r="E494" s="768"/>
      <c r="F494" s="772"/>
    </row>
    <row r="495" spans="2:6" s="760" customFormat="1" x14ac:dyDescent="0.2">
      <c r="B495" s="768"/>
      <c r="C495" s="768"/>
      <c r="D495" s="769"/>
      <c r="E495" s="768"/>
      <c r="F495" s="772"/>
    </row>
    <row r="496" spans="2:6" s="760" customFormat="1" x14ac:dyDescent="0.2">
      <c r="B496" s="768"/>
      <c r="C496" s="768"/>
      <c r="D496" s="769"/>
      <c r="E496" s="768"/>
      <c r="F496" s="772"/>
    </row>
    <row r="497" spans="2:6" s="760" customFormat="1" x14ac:dyDescent="0.2">
      <c r="B497" s="768"/>
      <c r="C497" s="768"/>
      <c r="D497" s="769"/>
      <c r="E497" s="768"/>
      <c r="F497" s="772"/>
    </row>
    <row r="498" spans="2:6" s="760" customFormat="1" x14ac:dyDescent="0.2">
      <c r="B498" s="768"/>
      <c r="C498" s="768"/>
      <c r="D498" s="769"/>
      <c r="E498" s="768"/>
      <c r="F498" s="772"/>
    </row>
    <row r="499" spans="2:6" s="760" customFormat="1" x14ac:dyDescent="0.2">
      <c r="B499" s="768"/>
      <c r="C499" s="768"/>
      <c r="D499" s="769"/>
      <c r="E499" s="768"/>
      <c r="F499" s="772"/>
    </row>
    <row r="500" spans="2:6" s="760" customFormat="1" x14ac:dyDescent="0.2">
      <c r="B500" s="768"/>
      <c r="C500" s="768"/>
      <c r="D500" s="769"/>
      <c r="E500" s="768"/>
      <c r="F500" s="772"/>
    </row>
    <row r="501" spans="2:6" s="760" customFormat="1" x14ac:dyDescent="0.2">
      <c r="B501" s="768"/>
      <c r="C501" s="768"/>
      <c r="D501" s="769"/>
      <c r="E501" s="768"/>
      <c r="F501" s="772"/>
    </row>
    <row r="502" spans="2:6" s="760" customFormat="1" x14ac:dyDescent="0.2">
      <c r="B502" s="768"/>
      <c r="C502" s="768"/>
      <c r="D502" s="769"/>
      <c r="E502" s="768"/>
      <c r="F502" s="772"/>
    </row>
    <row r="503" spans="2:6" s="760" customFormat="1" x14ac:dyDescent="0.2">
      <c r="B503" s="768"/>
      <c r="C503" s="768"/>
      <c r="D503" s="769"/>
      <c r="E503" s="768"/>
      <c r="F503" s="772"/>
    </row>
    <row r="504" spans="2:6" s="760" customFormat="1" x14ac:dyDescent="0.2">
      <c r="B504" s="768"/>
      <c r="C504" s="768"/>
      <c r="D504" s="769"/>
      <c r="E504" s="768"/>
      <c r="F504" s="772"/>
    </row>
    <row r="505" spans="2:6" s="760" customFormat="1" x14ac:dyDescent="0.2">
      <c r="B505" s="768"/>
      <c r="C505" s="768"/>
      <c r="D505" s="769"/>
      <c r="E505" s="768"/>
      <c r="F505" s="772"/>
    </row>
    <row r="506" spans="2:6" s="760" customFormat="1" x14ac:dyDescent="0.2">
      <c r="B506" s="768"/>
      <c r="C506" s="768"/>
      <c r="D506" s="769"/>
      <c r="E506" s="768"/>
      <c r="F506" s="772"/>
    </row>
    <row r="507" spans="2:6" s="760" customFormat="1" x14ac:dyDescent="0.2">
      <c r="B507" s="768"/>
      <c r="C507" s="768"/>
      <c r="D507" s="769"/>
      <c r="E507" s="768"/>
      <c r="F507" s="772"/>
    </row>
    <row r="508" spans="2:6" s="760" customFormat="1" x14ac:dyDescent="0.2">
      <c r="B508" s="768"/>
      <c r="C508" s="768"/>
      <c r="D508" s="769"/>
      <c r="E508" s="768"/>
      <c r="F508" s="772"/>
    </row>
    <row r="509" spans="2:6" s="760" customFormat="1" x14ac:dyDescent="0.2">
      <c r="B509" s="768"/>
      <c r="C509" s="768"/>
      <c r="D509" s="769"/>
      <c r="E509" s="768"/>
      <c r="F509" s="772"/>
    </row>
    <row r="510" spans="2:6" s="760" customFormat="1" x14ac:dyDescent="0.2">
      <c r="B510" s="768"/>
      <c r="C510" s="768"/>
      <c r="D510" s="769"/>
      <c r="E510" s="768"/>
      <c r="F510" s="772"/>
    </row>
    <row r="511" spans="2:6" s="760" customFormat="1" x14ac:dyDescent="0.2">
      <c r="B511" s="768"/>
      <c r="C511" s="768"/>
      <c r="D511" s="769"/>
      <c r="E511" s="768"/>
      <c r="F511" s="772"/>
    </row>
    <row r="512" spans="2:6" s="760" customFormat="1" x14ac:dyDescent="0.2">
      <c r="B512" s="768"/>
      <c r="C512" s="768"/>
      <c r="D512" s="769"/>
      <c r="E512" s="768"/>
      <c r="F512" s="772"/>
    </row>
    <row r="513" spans="2:6" s="760" customFormat="1" x14ac:dyDescent="0.2">
      <c r="B513" s="768"/>
      <c r="C513" s="768"/>
      <c r="D513" s="769"/>
      <c r="E513" s="768"/>
      <c r="F513" s="772"/>
    </row>
    <row r="514" spans="2:6" s="760" customFormat="1" x14ac:dyDescent="0.2">
      <c r="B514" s="768"/>
      <c r="C514" s="768"/>
      <c r="D514" s="769"/>
      <c r="E514" s="768"/>
      <c r="F514" s="772"/>
    </row>
    <row r="515" spans="2:6" s="760" customFormat="1" x14ac:dyDescent="0.2">
      <c r="B515" s="768"/>
      <c r="C515" s="768"/>
      <c r="D515" s="769"/>
      <c r="E515" s="768"/>
      <c r="F515" s="772"/>
    </row>
    <row r="516" spans="2:6" s="760" customFormat="1" x14ac:dyDescent="0.2">
      <c r="B516" s="768"/>
      <c r="C516" s="768"/>
      <c r="D516" s="769"/>
      <c r="E516" s="768"/>
      <c r="F516" s="772"/>
    </row>
    <row r="517" spans="2:6" s="760" customFormat="1" x14ac:dyDescent="0.2">
      <c r="B517" s="768"/>
      <c r="C517" s="768"/>
      <c r="D517" s="769"/>
      <c r="E517" s="768"/>
      <c r="F517" s="772"/>
    </row>
    <row r="518" spans="2:6" s="760" customFormat="1" x14ac:dyDescent="0.2">
      <c r="B518" s="768"/>
      <c r="C518" s="768"/>
      <c r="D518" s="769"/>
      <c r="E518" s="768"/>
      <c r="F518" s="772"/>
    </row>
    <row r="519" spans="2:6" s="760" customFormat="1" x14ac:dyDescent="0.2">
      <c r="B519" s="768"/>
      <c r="C519" s="768"/>
      <c r="D519" s="769"/>
      <c r="E519" s="768"/>
      <c r="F519" s="772"/>
    </row>
    <row r="520" spans="2:6" s="760" customFormat="1" x14ac:dyDescent="0.2">
      <c r="B520" s="768"/>
      <c r="C520" s="768"/>
      <c r="D520" s="769"/>
      <c r="E520" s="768"/>
      <c r="F520" s="772"/>
    </row>
    <row r="521" spans="2:6" s="760" customFormat="1" x14ac:dyDescent="0.2">
      <c r="B521" s="768"/>
      <c r="C521" s="768"/>
      <c r="D521" s="769"/>
      <c r="E521" s="768"/>
      <c r="F521" s="772"/>
    </row>
    <row r="522" spans="2:6" s="760" customFormat="1" x14ac:dyDescent="0.2">
      <c r="B522" s="768"/>
      <c r="C522" s="768"/>
      <c r="D522" s="769"/>
      <c r="E522" s="768"/>
      <c r="F522" s="772"/>
    </row>
    <row r="523" spans="2:6" s="760" customFormat="1" x14ac:dyDescent="0.2">
      <c r="B523" s="768"/>
      <c r="C523" s="768"/>
      <c r="D523" s="769"/>
      <c r="E523" s="768"/>
      <c r="F523" s="772"/>
    </row>
    <row r="524" spans="2:6" s="760" customFormat="1" x14ac:dyDescent="0.2">
      <c r="B524" s="768"/>
      <c r="C524" s="768"/>
      <c r="D524" s="769"/>
      <c r="E524" s="768"/>
      <c r="F524" s="772"/>
    </row>
    <row r="525" spans="2:6" s="760" customFormat="1" x14ac:dyDescent="0.2">
      <c r="B525" s="768"/>
      <c r="C525" s="768"/>
      <c r="D525" s="769"/>
      <c r="E525" s="768"/>
      <c r="F525" s="772"/>
    </row>
    <row r="526" spans="2:6" s="760" customFormat="1" x14ac:dyDescent="0.2">
      <c r="B526" s="768"/>
      <c r="C526" s="768"/>
      <c r="D526" s="769"/>
      <c r="E526" s="768"/>
      <c r="F526" s="772"/>
    </row>
    <row r="527" spans="2:6" s="760" customFormat="1" x14ac:dyDescent="0.2">
      <c r="B527" s="768"/>
      <c r="C527" s="768"/>
      <c r="D527" s="769"/>
      <c r="E527" s="768"/>
      <c r="F527" s="772"/>
    </row>
    <row r="528" spans="2:6" s="760" customFormat="1" x14ac:dyDescent="0.2">
      <c r="B528" s="768"/>
      <c r="C528" s="768"/>
      <c r="D528" s="769"/>
      <c r="E528" s="768"/>
      <c r="F528" s="772"/>
    </row>
    <row r="529" spans="2:6" s="760" customFormat="1" x14ac:dyDescent="0.2">
      <c r="B529" s="768"/>
      <c r="C529" s="768"/>
      <c r="D529" s="769"/>
      <c r="E529" s="768"/>
      <c r="F529" s="772"/>
    </row>
    <row r="530" spans="2:6" s="760" customFormat="1" x14ac:dyDescent="0.2">
      <c r="B530" s="768"/>
      <c r="C530" s="768"/>
      <c r="D530" s="769"/>
      <c r="E530" s="768"/>
      <c r="F530" s="772"/>
    </row>
    <row r="531" spans="2:6" s="760" customFormat="1" x14ac:dyDescent="0.2">
      <c r="B531" s="768"/>
      <c r="C531" s="768"/>
      <c r="D531" s="769"/>
      <c r="E531" s="768"/>
      <c r="F531" s="772"/>
    </row>
    <row r="532" spans="2:6" s="760" customFormat="1" x14ac:dyDescent="0.2">
      <c r="B532" s="768"/>
      <c r="C532" s="768"/>
      <c r="D532" s="769"/>
      <c r="E532" s="768"/>
      <c r="F532" s="772"/>
    </row>
    <row r="533" spans="2:6" s="760" customFormat="1" x14ac:dyDescent="0.2">
      <c r="B533" s="768"/>
      <c r="C533" s="768"/>
      <c r="D533" s="769"/>
      <c r="E533" s="768"/>
      <c r="F533" s="772"/>
    </row>
    <row r="534" spans="2:6" s="760" customFormat="1" x14ac:dyDescent="0.2">
      <c r="B534" s="768"/>
      <c r="C534" s="768"/>
      <c r="D534" s="769"/>
      <c r="E534" s="768"/>
      <c r="F534" s="772"/>
    </row>
    <row r="535" spans="2:6" s="760" customFormat="1" x14ac:dyDescent="0.2">
      <c r="B535" s="768"/>
      <c r="C535" s="768"/>
      <c r="D535" s="769"/>
      <c r="E535" s="768"/>
      <c r="F535" s="772"/>
    </row>
    <row r="536" spans="2:6" s="760" customFormat="1" x14ac:dyDescent="0.2">
      <c r="B536" s="768"/>
      <c r="C536" s="768"/>
      <c r="D536" s="769"/>
      <c r="E536" s="768"/>
      <c r="F536" s="772"/>
    </row>
    <row r="537" spans="2:6" s="760" customFormat="1" x14ac:dyDescent="0.2">
      <c r="B537" s="768"/>
      <c r="C537" s="768"/>
      <c r="D537" s="769"/>
      <c r="E537" s="768"/>
      <c r="F537" s="772"/>
    </row>
    <row r="538" spans="2:6" s="760" customFormat="1" x14ac:dyDescent="0.2">
      <c r="B538" s="768"/>
      <c r="C538" s="768"/>
      <c r="D538" s="769"/>
      <c r="E538" s="768"/>
      <c r="F538" s="772"/>
    </row>
    <row r="539" spans="2:6" s="760" customFormat="1" x14ac:dyDescent="0.2">
      <c r="B539" s="768"/>
      <c r="C539" s="768"/>
      <c r="D539" s="769"/>
      <c r="E539" s="768"/>
      <c r="F539" s="772"/>
    </row>
    <row r="540" spans="2:6" s="760" customFormat="1" x14ac:dyDescent="0.2">
      <c r="B540" s="768"/>
      <c r="C540" s="768"/>
      <c r="D540" s="769"/>
      <c r="E540" s="768"/>
      <c r="F540" s="772"/>
    </row>
    <row r="541" spans="2:6" s="760" customFormat="1" x14ac:dyDescent="0.2">
      <c r="B541" s="768"/>
      <c r="C541" s="768"/>
      <c r="D541" s="769"/>
      <c r="E541" s="768"/>
      <c r="F541" s="772"/>
    </row>
    <row r="542" spans="2:6" s="760" customFormat="1" x14ac:dyDescent="0.2">
      <c r="B542" s="768"/>
      <c r="C542" s="768"/>
      <c r="D542" s="769"/>
      <c r="E542" s="768"/>
      <c r="F542" s="772"/>
    </row>
    <row r="543" spans="2:6" s="760" customFormat="1" x14ac:dyDescent="0.2">
      <c r="B543" s="768"/>
      <c r="C543" s="768"/>
      <c r="D543" s="769"/>
      <c r="E543" s="768"/>
      <c r="F543" s="772"/>
    </row>
    <row r="544" spans="2:6" s="760" customFormat="1" x14ac:dyDescent="0.2">
      <c r="B544" s="768"/>
      <c r="C544" s="768"/>
      <c r="D544" s="769"/>
      <c r="E544" s="768"/>
      <c r="F544" s="772"/>
    </row>
    <row r="545" spans="2:6" s="760" customFormat="1" x14ac:dyDescent="0.2">
      <c r="B545" s="768"/>
      <c r="C545" s="768"/>
      <c r="D545" s="769"/>
      <c r="E545" s="768"/>
      <c r="F545" s="772"/>
    </row>
    <row r="546" spans="2:6" s="760" customFormat="1" x14ac:dyDescent="0.2">
      <c r="B546" s="768"/>
      <c r="C546" s="768"/>
      <c r="D546" s="769"/>
      <c r="E546" s="768"/>
      <c r="F546" s="772"/>
    </row>
    <row r="547" spans="2:6" s="760" customFormat="1" x14ac:dyDescent="0.2">
      <c r="B547" s="768"/>
      <c r="C547" s="768"/>
      <c r="D547" s="769"/>
      <c r="E547" s="768"/>
      <c r="F547" s="772"/>
    </row>
    <row r="548" spans="2:6" s="760" customFormat="1" x14ac:dyDescent="0.2">
      <c r="B548" s="768"/>
      <c r="C548" s="768"/>
      <c r="D548" s="769"/>
      <c r="E548" s="768"/>
      <c r="F548" s="772"/>
    </row>
    <row r="549" spans="2:6" s="760" customFormat="1" x14ac:dyDescent="0.2">
      <c r="B549" s="768"/>
      <c r="C549" s="768"/>
      <c r="D549" s="769"/>
      <c r="E549" s="768"/>
      <c r="F549" s="772"/>
    </row>
    <row r="550" spans="2:6" s="760" customFormat="1" x14ac:dyDescent="0.2">
      <c r="B550" s="768"/>
      <c r="C550" s="768"/>
      <c r="D550" s="769"/>
      <c r="E550" s="768"/>
      <c r="F550" s="772"/>
    </row>
    <row r="551" spans="2:6" s="760" customFormat="1" x14ac:dyDescent="0.2">
      <c r="B551" s="768"/>
      <c r="C551" s="768"/>
      <c r="D551" s="769"/>
      <c r="E551" s="768"/>
      <c r="F551" s="772"/>
    </row>
    <row r="552" spans="2:6" s="760" customFormat="1" x14ac:dyDescent="0.2">
      <c r="B552" s="768"/>
      <c r="C552" s="768"/>
      <c r="D552" s="769"/>
      <c r="E552" s="768"/>
      <c r="F552" s="772"/>
    </row>
    <row r="553" spans="2:6" s="760" customFormat="1" x14ac:dyDescent="0.2">
      <c r="B553" s="768"/>
      <c r="C553" s="768"/>
      <c r="D553" s="769"/>
      <c r="E553" s="768"/>
      <c r="F553" s="772"/>
    </row>
    <row r="554" spans="2:6" s="760" customFormat="1" x14ac:dyDescent="0.2">
      <c r="B554" s="768"/>
      <c r="C554" s="768"/>
      <c r="D554" s="769"/>
      <c r="E554" s="768"/>
      <c r="F554" s="772"/>
    </row>
    <row r="555" spans="2:6" s="760" customFormat="1" x14ac:dyDescent="0.2">
      <c r="B555" s="768"/>
      <c r="C555" s="768"/>
      <c r="D555" s="769"/>
      <c r="E555" s="768"/>
      <c r="F555" s="772"/>
    </row>
    <row r="556" spans="2:6" s="760" customFormat="1" x14ac:dyDescent="0.2">
      <c r="B556" s="768"/>
      <c r="C556" s="768"/>
      <c r="D556" s="769"/>
      <c r="E556" s="768"/>
      <c r="F556" s="772"/>
    </row>
    <row r="557" spans="2:6" s="760" customFormat="1" x14ac:dyDescent="0.2">
      <c r="B557" s="768"/>
      <c r="C557" s="768"/>
      <c r="D557" s="769"/>
      <c r="E557" s="768"/>
      <c r="F557" s="772"/>
    </row>
    <row r="558" spans="2:6" s="760" customFormat="1" x14ac:dyDescent="0.2">
      <c r="B558" s="768"/>
      <c r="C558" s="768"/>
      <c r="D558" s="769"/>
      <c r="E558" s="768"/>
      <c r="F558" s="772"/>
    </row>
    <row r="559" spans="2:6" s="760" customFormat="1" x14ac:dyDescent="0.2">
      <c r="B559" s="768"/>
      <c r="C559" s="768"/>
      <c r="D559" s="769"/>
      <c r="E559" s="768"/>
      <c r="F559" s="772"/>
    </row>
    <row r="560" spans="2:6" s="760" customFormat="1" x14ac:dyDescent="0.2">
      <c r="B560" s="768"/>
      <c r="C560" s="768"/>
      <c r="D560" s="769"/>
      <c r="E560" s="768"/>
      <c r="F560" s="772"/>
    </row>
    <row r="561" spans="2:6" s="760" customFormat="1" x14ac:dyDescent="0.2">
      <c r="B561" s="768"/>
      <c r="C561" s="768"/>
      <c r="D561" s="769"/>
      <c r="E561" s="768"/>
      <c r="F561" s="772"/>
    </row>
    <row r="562" spans="2:6" s="760" customFormat="1" x14ac:dyDescent="0.2">
      <c r="B562" s="768"/>
      <c r="C562" s="768"/>
      <c r="D562" s="769"/>
      <c r="E562" s="768"/>
      <c r="F562" s="772"/>
    </row>
    <row r="563" spans="2:6" s="760" customFormat="1" x14ac:dyDescent="0.2">
      <c r="B563" s="768"/>
      <c r="C563" s="768"/>
      <c r="D563" s="769"/>
      <c r="E563" s="768"/>
      <c r="F563" s="772"/>
    </row>
    <row r="564" spans="2:6" s="760" customFormat="1" x14ac:dyDescent="0.2">
      <c r="B564" s="768"/>
      <c r="C564" s="768"/>
      <c r="D564" s="769"/>
      <c r="E564" s="768"/>
      <c r="F564" s="772"/>
    </row>
    <row r="565" spans="2:6" s="760" customFormat="1" x14ac:dyDescent="0.2">
      <c r="B565" s="768"/>
      <c r="C565" s="768"/>
      <c r="D565" s="769"/>
      <c r="E565" s="768"/>
      <c r="F565" s="772"/>
    </row>
    <row r="566" spans="2:6" s="760" customFormat="1" x14ac:dyDescent="0.2">
      <c r="B566" s="768"/>
      <c r="C566" s="768"/>
      <c r="D566" s="769"/>
      <c r="E566" s="768"/>
      <c r="F566" s="772"/>
    </row>
    <row r="567" spans="2:6" s="760" customFormat="1" x14ac:dyDescent="0.2">
      <c r="B567" s="768"/>
      <c r="C567" s="768"/>
      <c r="D567" s="769"/>
      <c r="E567" s="768"/>
      <c r="F567" s="772"/>
    </row>
    <row r="568" spans="2:6" s="760" customFormat="1" x14ac:dyDescent="0.2">
      <c r="B568" s="768"/>
      <c r="C568" s="768"/>
      <c r="D568" s="769"/>
      <c r="E568" s="768"/>
      <c r="F568" s="772"/>
    </row>
    <row r="569" spans="2:6" s="760" customFormat="1" x14ac:dyDescent="0.2">
      <c r="B569" s="768"/>
      <c r="C569" s="768"/>
      <c r="D569" s="769"/>
      <c r="E569" s="768"/>
      <c r="F569" s="772"/>
    </row>
    <row r="570" spans="2:6" s="760" customFormat="1" x14ac:dyDescent="0.2">
      <c r="B570" s="768"/>
      <c r="C570" s="768"/>
      <c r="D570" s="769"/>
      <c r="E570" s="768"/>
      <c r="F570" s="772"/>
    </row>
    <row r="571" spans="2:6" s="760" customFormat="1" x14ac:dyDescent="0.2">
      <c r="B571" s="768"/>
      <c r="C571" s="768"/>
      <c r="D571" s="769"/>
      <c r="E571" s="768"/>
      <c r="F571" s="772"/>
    </row>
    <row r="572" spans="2:6" s="760" customFormat="1" x14ac:dyDescent="0.2">
      <c r="B572" s="768"/>
      <c r="C572" s="768"/>
      <c r="D572" s="769"/>
      <c r="E572" s="768"/>
      <c r="F572" s="772"/>
    </row>
    <row r="573" spans="2:6" s="760" customFormat="1" x14ac:dyDescent="0.2">
      <c r="B573" s="768"/>
      <c r="C573" s="768"/>
      <c r="D573" s="769"/>
      <c r="E573" s="768"/>
      <c r="F573" s="772"/>
    </row>
    <row r="574" spans="2:6" s="760" customFormat="1" x14ac:dyDescent="0.2">
      <c r="B574" s="768"/>
      <c r="C574" s="768"/>
      <c r="D574" s="769"/>
      <c r="E574" s="768"/>
      <c r="F574" s="772"/>
    </row>
    <row r="575" spans="2:6" s="760" customFormat="1" x14ac:dyDescent="0.2">
      <c r="B575" s="768"/>
      <c r="C575" s="768"/>
      <c r="D575" s="769"/>
      <c r="E575" s="768"/>
      <c r="F575" s="772"/>
    </row>
    <row r="576" spans="2:6" s="760" customFormat="1" x14ac:dyDescent="0.2">
      <c r="B576" s="768"/>
      <c r="C576" s="768"/>
      <c r="D576" s="769"/>
      <c r="E576" s="768"/>
      <c r="F576" s="772"/>
    </row>
    <row r="577" spans="2:6" s="760" customFormat="1" x14ac:dyDescent="0.2">
      <c r="B577" s="768"/>
      <c r="C577" s="768"/>
      <c r="D577" s="769"/>
      <c r="E577" s="768"/>
      <c r="F577" s="772"/>
    </row>
    <row r="578" spans="2:6" s="760" customFormat="1" x14ac:dyDescent="0.2">
      <c r="B578" s="768"/>
      <c r="C578" s="768"/>
      <c r="D578" s="769"/>
      <c r="E578" s="768"/>
      <c r="F578" s="772"/>
    </row>
    <row r="579" spans="2:6" s="760" customFormat="1" x14ac:dyDescent="0.2">
      <c r="B579" s="768"/>
      <c r="C579" s="768"/>
      <c r="D579" s="769"/>
      <c r="E579" s="768"/>
      <c r="F579" s="772"/>
    </row>
    <row r="580" spans="2:6" s="760" customFormat="1" x14ac:dyDescent="0.2">
      <c r="B580" s="768"/>
      <c r="C580" s="768"/>
      <c r="D580" s="769"/>
      <c r="E580" s="768"/>
      <c r="F580" s="772"/>
    </row>
    <row r="581" spans="2:6" s="760" customFormat="1" x14ac:dyDescent="0.2">
      <c r="B581" s="768"/>
      <c r="C581" s="768"/>
      <c r="D581" s="769"/>
      <c r="E581" s="768"/>
      <c r="F581" s="772"/>
    </row>
    <row r="582" spans="2:6" s="760" customFormat="1" x14ac:dyDescent="0.2">
      <c r="B582" s="768"/>
      <c r="C582" s="768"/>
      <c r="D582" s="769"/>
      <c r="E582" s="768"/>
      <c r="F582" s="772"/>
    </row>
    <row r="583" spans="2:6" s="760" customFormat="1" x14ac:dyDescent="0.2">
      <c r="B583" s="768"/>
      <c r="C583" s="768"/>
      <c r="D583" s="769"/>
      <c r="E583" s="768"/>
      <c r="F583" s="772"/>
    </row>
    <row r="584" spans="2:6" s="760" customFormat="1" x14ac:dyDescent="0.2">
      <c r="B584" s="768"/>
      <c r="C584" s="768"/>
      <c r="D584" s="769"/>
      <c r="E584" s="768"/>
      <c r="F584" s="772"/>
    </row>
    <row r="585" spans="2:6" s="760" customFormat="1" x14ac:dyDescent="0.2">
      <c r="B585" s="768"/>
      <c r="C585" s="768"/>
      <c r="D585" s="769"/>
      <c r="E585" s="768"/>
      <c r="F585" s="772"/>
    </row>
    <row r="586" spans="2:6" s="760" customFormat="1" x14ac:dyDescent="0.2">
      <c r="B586" s="768"/>
      <c r="C586" s="768"/>
      <c r="D586" s="769"/>
      <c r="E586" s="768"/>
      <c r="F586" s="772"/>
    </row>
    <row r="587" spans="2:6" s="760" customFormat="1" x14ac:dyDescent="0.2">
      <c r="B587" s="768"/>
      <c r="C587" s="768"/>
      <c r="D587" s="769"/>
      <c r="E587" s="768"/>
      <c r="F587" s="772"/>
    </row>
    <row r="588" spans="2:6" s="760" customFormat="1" x14ac:dyDescent="0.2">
      <c r="B588" s="768"/>
      <c r="C588" s="768"/>
      <c r="D588" s="769"/>
      <c r="E588" s="768"/>
      <c r="F588" s="772"/>
    </row>
    <row r="589" spans="2:6" s="760" customFormat="1" x14ac:dyDescent="0.2">
      <c r="B589" s="768"/>
      <c r="C589" s="768"/>
      <c r="D589" s="769"/>
      <c r="E589" s="768"/>
      <c r="F589" s="772"/>
    </row>
    <row r="590" spans="2:6" s="760" customFormat="1" x14ac:dyDescent="0.2">
      <c r="B590" s="768"/>
      <c r="C590" s="768"/>
      <c r="D590" s="769"/>
      <c r="E590" s="768"/>
      <c r="F590" s="772"/>
    </row>
    <row r="591" spans="2:6" s="760" customFormat="1" x14ac:dyDescent="0.2">
      <c r="B591" s="768"/>
      <c r="C591" s="768"/>
      <c r="D591" s="769"/>
      <c r="E591" s="768"/>
      <c r="F591" s="772"/>
    </row>
    <row r="592" spans="2:6" s="760" customFormat="1" x14ac:dyDescent="0.2">
      <c r="B592" s="768"/>
      <c r="C592" s="768"/>
      <c r="D592" s="769"/>
      <c r="E592" s="768"/>
      <c r="F592" s="772"/>
    </row>
    <row r="593" spans="2:6" s="760" customFormat="1" x14ac:dyDescent="0.2">
      <c r="B593" s="768"/>
      <c r="C593" s="768"/>
      <c r="D593" s="769"/>
      <c r="E593" s="768"/>
      <c r="F593" s="772"/>
    </row>
    <row r="594" spans="2:6" s="760" customFormat="1" x14ac:dyDescent="0.2">
      <c r="B594" s="768"/>
      <c r="C594" s="768"/>
      <c r="D594" s="769"/>
      <c r="E594" s="768"/>
      <c r="F594" s="772"/>
    </row>
    <row r="595" spans="2:6" s="760" customFormat="1" x14ac:dyDescent="0.2">
      <c r="B595" s="768"/>
      <c r="C595" s="768"/>
      <c r="D595" s="769"/>
      <c r="E595" s="768"/>
      <c r="F595" s="772"/>
    </row>
    <row r="596" spans="2:6" s="760" customFormat="1" x14ac:dyDescent="0.2">
      <c r="B596" s="768"/>
      <c r="C596" s="768"/>
      <c r="D596" s="769"/>
      <c r="E596" s="768"/>
      <c r="F596" s="772"/>
    </row>
    <row r="597" spans="2:6" s="760" customFormat="1" x14ac:dyDescent="0.2">
      <c r="B597" s="768"/>
      <c r="C597" s="768"/>
      <c r="D597" s="769"/>
      <c r="E597" s="768"/>
      <c r="F597" s="772"/>
    </row>
    <row r="598" spans="2:6" s="760" customFormat="1" x14ac:dyDescent="0.2">
      <c r="B598" s="768"/>
      <c r="C598" s="768"/>
      <c r="D598" s="769"/>
      <c r="E598" s="768"/>
      <c r="F598" s="772"/>
    </row>
    <row r="599" spans="2:6" s="760" customFormat="1" x14ac:dyDescent="0.2">
      <c r="B599" s="768"/>
      <c r="C599" s="768"/>
      <c r="D599" s="769"/>
      <c r="E599" s="768"/>
      <c r="F599" s="772"/>
    </row>
    <row r="600" spans="2:6" s="760" customFormat="1" x14ac:dyDescent="0.2">
      <c r="B600" s="768"/>
      <c r="C600" s="768"/>
      <c r="D600" s="769"/>
      <c r="E600" s="768"/>
      <c r="F600" s="772"/>
    </row>
    <row r="601" spans="2:6" s="760" customFormat="1" x14ac:dyDescent="0.2">
      <c r="B601" s="768"/>
      <c r="C601" s="768"/>
      <c r="D601" s="769"/>
      <c r="E601" s="768"/>
      <c r="F601" s="772"/>
    </row>
    <row r="602" spans="2:6" s="760" customFormat="1" x14ac:dyDescent="0.2">
      <c r="B602" s="768"/>
      <c r="C602" s="768"/>
      <c r="D602" s="769"/>
      <c r="E602" s="768"/>
      <c r="F602" s="772"/>
    </row>
    <row r="603" spans="2:6" s="760" customFormat="1" x14ac:dyDescent="0.2">
      <c r="B603" s="768"/>
      <c r="C603" s="768"/>
      <c r="D603" s="769"/>
      <c r="E603" s="768"/>
      <c r="F603" s="772"/>
    </row>
    <row r="604" spans="2:6" s="760" customFormat="1" x14ac:dyDescent="0.2">
      <c r="B604" s="768"/>
      <c r="C604" s="768"/>
      <c r="D604" s="769"/>
      <c r="E604" s="768"/>
      <c r="F604" s="772"/>
    </row>
    <row r="605" spans="2:6" s="760" customFormat="1" x14ac:dyDescent="0.2">
      <c r="B605" s="768"/>
      <c r="C605" s="768"/>
      <c r="D605" s="769"/>
      <c r="E605" s="768"/>
      <c r="F605" s="772"/>
    </row>
    <row r="606" spans="2:6" s="760" customFormat="1" x14ac:dyDescent="0.2">
      <c r="B606" s="768"/>
      <c r="C606" s="768"/>
      <c r="D606" s="769"/>
      <c r="E606" s="768"/>
      <c r="F606" s="772"/>
    </row>
    <row r="607" spans="2:6" s="760" customFormat="1" x14ac:dyDescent="0.2">
      <c r="B607" s="768"/>
      <c r="C607" s="768"/>
      <c r="D607" s="769"/>
      <c r="E607" s="768"/>
      <c r="F607" s="772"/>
    </row>
    <row r="608" spans="2:6" s="760" customFormat="1" x14ac:dyDescent="0.2">
      <c r="B608" s="768"/>
      <c r="C608" s="768"/>
      <c r="D608" s="769"/>
      <c r="E608" s="768"/>
      <c r="F608" s="772"/>
    </row>
    <row r="609" spans="2:6" s="760" customFormat="1" x14ac:dyDescent="0.2">
      <c r="B609" s="768"/>
      <c r="C609" s="768"/>
      <c r="D609" s="769"/>
      <c r="E609" s="768"/>
      <c r="F609" s="772"/>
    </row>
    <row r="610" spans="2:6" s="760" customFormat="1" x14ac:dyDescent="0.2">
      <c r="B610" s="768"/>
      <c r="C610" s="768"/>
      <c r="D610" s="769"/>
      <c r="E610" s="768"/>
      <c r="F610" s="772"/>
    </row>
    <row r="611" spans="2:6" s="760" customFormat="1" x14ac:dyDescent="0.2">
      <c r="B611" s="768"/>
      <c r="C611" s="768"/>
      <c r="D611" s="769"/>
      <c r="E611" s="768"/>
      <c r="F611" s="772"/>
    </row>
    <row r="612" spans="2:6" s="760" customFormat="1" x14ac:dyDescent="0.2">
      <c r="B612" s="768"/>
      <c r="C612" s="768"/>
      <c r="D612" s="769"/>
      <c r="E612" s="768"/>
      <c r="F612" s="772"/>
    </row>
    <row r="613" spans="2:6" s="760" customFormat="1" x14ac:dyDescent="0.2">
      <c r="B613" s="768"/>
      <c r="C613" s="768"/>
      <c r="D613" s="769"/>
      <c r="E613" s="768"/>
      <c r="F613" s="772"/>
    </row>
    <row r="614" spans="2:6" s="760" customFormat="1" x14ac:dyDescent="0.2">
      <c r="B614" s="768"/>
      <c r="C614" s="768"/>
      <c r="D614" s="769"/>
      <c r="E614" s="768"/>
      <c r="F614" s="772"/>
    </row>
    <row r="615" spans="2:6" s="760" customFormat="1" x14ac:dyDescent="0.2">
      <c r="B615" s="768"/>
      <c r="C615" s="768"/>
      <c r="D615" s="769"/>
      <c r="E615" s="768"/>
      <c r="F615" s="772"/>
    </row>
    <row r="616" spans="2:6" s="760" customFormat="1" x14ac:dyDescent="0.2">
      <c r="B616" s="768"/>
      <c r="C616" s="768"/>
      <c r="D616" s="769"/>
      <c r="E616" s="768"/>
      <c r="F616" s="772"/>
    </row>
    <row r="617" spans="2:6" s="760" customFormat="1" x14ac:dyDescent="0.2">
      <c r="B617" s="768"/>
      <c r="C617" s="768"/>
      <c r="D617" s="769"/>
      <c r="E617" s="768"/>
      <c r="F617" s="772"/>
    </row>
    <row r="618" spans="2:6" s="760" customFormat="1" x14ac:dyDescent="0.2">
      <c r="B618" s="768"/>
      <c r="C618" s="768"/>
      <c r="D618" s="769"/>
      <c r="E618" s="768"/>
      <c r="F618" s="772"/>
    </row>
    <row r="619" spans="2:6" s="760" customFormat="1" x14ac:dyDescent="0.2">
      <c r="B619" s="768"/>
      <c r="C619" s="768"/>
      <c r="D619" s="769"/>
      <c r="E619" s="768"/>
      <c r="F619" s="772"/>
    </row>
    <row r="620" spans="2:6" s="760" customFormat="1" x14ac:dyDescent="0.2">
      <c r="B620" s="768"/>
      <c r="C620" s="768"/>
      <c r="D620" s="769"/>
      <c r="E620" s="768"/>
      <c r="F620" s="772"/>
    </row>
    <row r="621" spans="2:6" s="760" customFormat="1" x14ac:dyDescent="0.2">
      <c r="B621" s="768"/>
      <c r="C621" s="768"/>
      <c r="D621" s="769"/>
      <c r="E621" s="768"/>
      <c r="F621" s="772"/>
    </row>
    <row r="622" spans="2:6" s="760" customFormat="1" x14ac:dyDescent="0.2">
      <c r="B622" s="768"/>
      <c r="C622" s="768"/>
      <c r="D622" s="769"/>
      <c r="E622" s="768"/>
      <c r="F622" s="772"/>
    </row>
    <row r="623" spans="2:6" s="760" customFormat="1" x14ac:dyDescent="0.2">
      <c r="B623" s="768"/>
      <c r="C623" s="768"/>
      <c r="D623" s="769"/>
      <c r="E623" s="768"/>
      <c r="F623" s="772"/>
    </row>
    <row r="624" spans="2:6" s="760" customFormat="1" x14ac:dyDescent="0.2">
      <c r="B624" s="768"/>
      <c r="C624" s="768"/>
      <c r="D624" s="769"/>
      <c r="E624" s="768"/>
      <c r="F624" s="772"/>
    </row>
    <row r="625" spans="2:6" s="760" customFormat="1" x14ac:dyDescent="0.2">
      <c r="B625" s="768"/>
      <c r="C625" s="768"/>
      <c r="D625" s="769"/>
      <c r="E625" s="768"/>
      <c r="F625" s="772"/>
    </row>
    <row r="626" spans="2:6" s="760" customFormat="1" x14ac:dyDescent="0.2">
      <c r="B626" s="768"/>
      <c r="C626" s="768"/>
      <c r="D626" s="769"/>
      <c r="E626" s="768"/>
      <c r="F626" s="772"/>
    </row>
    <row r="627" spans="2:6" s="760" customFormat="1" x14ac:dyDescent="0.2">
      <c r="B627" s="768"/>
      <c r="C627" s="768"/>
      <c r="D627" s="769"/>
      <c r="E627" s="768"/>
      <c r="F627" s="772"/>
    </row>
    <row r="628" spans="2:6" s="760" customFormat="1" x14ac:dyDescent="0.2">
      <c r="B628" s="768"/>
      <c r="C628" s="768"/>
      <c r="D628" s="769"/>
      <c r="E628" s="768"/>
      <c r="F628" s="772"/>
    </row>
    <row r="629" spans="2:6" s="760" customFormat="1" x14ac:dyDescent="0.2">
      <c r="B629" s="768"/>
      <c r="C629" s="768"/>
      <c r="D629" s="769"/>
      <c r="E629" s="768"/>
      <c r="F629" s="772"/>
    </row>
    <row r="630" spans="2:6" s="760" customFormat="1" x14ac:dyDescent="0.2">
      <c r="B630" s="768"/>
      <c r="C630" s="768"/>
      <c r="D630" s="769"/>
      <c r="E630" s="768"/>
      <c r="F630" s="772"/>
    </row>
    <row r="631" spans="2:6" s="760" customFormat="1" x14ac:dyDescent="0.2">
      <c r="B631" s="768"/>
      <c r="C631" s="768"/>
      <c r="D631" s="769"/>
      <c r="E631" s="768"/>
      <c r="F631" s="772"/>
    </row>
    <row r="632" spans="2:6" s="760" customFormat="1" x14ac:dyDescent="0.2">
      <c r="B632" s="768"/>
      <c r="C632" s="768"/>
      <c r="D632" s="769"/>
      <c r="E632" s="768"/>
      <c r="F632" s="772"/>
    </row>
    <row r="633" spans="2:6" s="760" customFormat="1" x14ac:dyDescent="0.2">
      <c r="B633" s="768"/>
      <c r="C633" s="768"/>
      <c r="D633" s="769"/>
      <c r="E633" s="768"/>
      <c r="F633" s="772"/>
    </row>
    <row r="634" spans="2:6" s="760" customFormat="1" x14ac:dyDescent="0.2">
      <c r="B634" s="768"/>
      <c r="C634" s="768"/>
      <c r="D634" s="769"/>
      <c r="E634" s="768"/>
      <c r="F634" s="772"/>
    </row>
    <row r="635" spans="2:6" s="760" customFormat="1" x14ac:dyDescent="0.2">
      <c r="B635" s="768"/>
      <c r="C635" s="768"/>
      <c r="D635" s="769"/>
      <c r="E635" s="768"/>
      <c r="F635" s="772"/>
    </row>
    <row r="636" spans="2:6" s="760" customFormat="1" x14ac:dyDescent="0.2">
      <c r="B636" s="768"/>
      <c r="C636" s="768"/>
      <c r="D636" s="769"/>
      <c r="E636" s="768"/>
      <c r="F636" s="772"/>
    </row>
    <row r="637" spans="2:6" s="760" customFormat="1" x14ac:dyDescent="0.2">
      <c r="B637" s="768"/>
      <c r="C637" s="768"/>
      <c r="D637" s="769"/>
      <c r="E637" s="768"/>
      <c r="F637" s="772"/>
    </row>
    <row r="638" spans="2:6" s="760" customFormat="1" x14ac:dyDescent="0.2">
      <c r="B638" s="768"/>
      <c r="C638" s="768"/>
      <c r="D638" s="769"/>
      <c r="E638" s="768"/>
      <c r="F638" s="772"/>
    </row>
    <row r="639" spans="2:6" s="760" customFormat="1" x14ac:dyDescent="0.2">
      <c r="B639" s="768"/>
      <c r="C639" s="768"/>
      <c r="D639" s="769"/>
      <c r="E639" s="768"/>
      <c r="F639" s="772"/>
    </row>
    <row r="640" spans="2:6" s="760" customFormat="1" x14ac:dyDescent="0.2">
      <c r="B640" s="768"/>
      <c r="C640" s="768"/>
      <c r="D640" s="769"/>
      <c r="E640" s="768"/>
      <c r="F640" s="772"/>
    </row>
    <row r="641" spans="2:6" s="760" customFormat="1" x14ac:dyDescent="0.2">
      <c r="B641" s="768"/>
      <c r="C641" s="768"/>
      <c r="D641" s="769"/>
      <c r="E641" s="768"/>
      <c r="F641" s="772"/>
    </row>
    <row r="642" spans="2:6" s="760" customFormat="1" x14ac:dyDescent="0.2">
      <c r="B642" s="768"/>
      <c r="C642" s="768"/>
      <c r="D642" s="769"/>
      <c r="E642" s="768"/>
      <c r="F642" s="772"/>
    </row>
    <row r="643" spans="2:6" s="760" customFormat="1" x14ac:dyDescent="0.2">
      <c r="B643" s="768"/>
      <c r="C643" s="768"/>
      <c r="D643" s="769"/>
      <c r="E643" s="768"/>
      <c r="F643" s="772"/>
    </row>
    <row r="644" spans="2:6" s="760" customFormat="1" x14ac:dyDescent="0.2">
      <c r="B644" s="768"/>
      <c r="C644" s="768"/>
      <c r="D644" s="769"/>
      <c r="E644" s="768"/>
      <c r="F644" s="772"/>
    </row>
    <row r="645" spans="2:6" s="760" customFormat="1" x14ac:dyDescent="0.2">
      <c r="B645" s="768"/>
      <c r="C645" s="768"/>
      <c r="D645" s="769"/>
      <c r="E645" s="768"/>
      <c r="F645" s="772"/>
    </row>
    <row r="646" spans="2:6" s="760" customFormat="1" x14ac:dyDescent="0.2">
      <c r="B646" s="768"/>
      <c r="C646" s="768"/>
      <c r="D646" s="769"/>
      <c r="E646" s="768"/>
      <c r="F646" s="772"/>
    </row>
    <row r="647" spans="2:6" s="760" customFormat="1" x14ac:dyDescent="0.2">
      <c r="B647" s="768"/>
      <c r="C647" s="768"/>
      <c r="D647" s="769"/>
      <c r="E647" s="768"/>
      <c r="F647" s="772"/>
    </row>
    <row r="648" spans="2:6" s="760" customFormat="1" x14ac:dyDescent="0.2">
      <c r="B648" s="768"/>
      <c r="C648" s="768"/>
      <c r="D648" s="769"/>
      <c r="E648" s="768"/>
      <c r="F648" s="772"/>
    </row>
    <row r="649" spans="2:6" s="760" customFormat="1" x14ac:dyDescent="0.2">
      <c r="B649" s="768"/>
      <c r="C649" s="768"/>
      <c r="D649" s="769"/>
      <c r="E649" s="768"/>
      <c r="F649" s="772"/>
    </row>
    <row r="650" spans="2:6" s="760" customFormat="1" x14ac:dyDescent="0.2">
      <c r="B650" s="768"/>
      <c r="C650" s="768"/>
      <c r="D650" s="769"/>
      <c r="E650" s="768"/>
      <c r="F650" s="772"/>
    </row>
    <row r="651" spans="2:6" s="760" customFormat="1" x14ac:dyDescent="0.2">
      <c r="B651" s="768"/>
      <c r="C651" s="768"/>
      <c r="D651" s="769"/>
      <c r="E651" s="768"/>
      <c r="F651" s="772"/>
    </row>
    <row r="652" spans="2:6" s="760" customFormat="1" x14ac:dyDescent="0.2">
      <c r="B652" s="768"/>
      <c r="C652" s="768"/>
      <c r="D652" s="769"/>
      <c r="E652" s="768"/>
      <c r="F652" s="772"/>
    </row>
    <row r="653" spans="2:6" s="760" customFormat="1" x14ac:dyDescent="0.2">
      <c r="B653" s="768"/>
      <c r="C653" s="768"/>
      <c r="D653" s="769"/>
      <c r="E653" s="768"/>
      <c r="F653" s="772"/>
    </row>
    <row r="654" spans="2:6" s="760" customFormat="1" x14ac:dyDescent="0.2">
      <c r="B654" s="768"/>
      <c r="C654" s="768"/>
      <c r="D654" s="769"/>
      <c r="E654" s="768"/>
      <c r="F654" s="772"/>
    </row>
    <row r="655" spans="2:6" s="760" customFormat="1" x14ac:dyDescent="0.2">
      <c r="B655" s="768"/>
      <c r="C655" s="768"/>
      <c r="D655" s="769"/>
      <c r="E655" s="768"/>
      <c r="F655" s="772"/>
    </row>
    <row r="656" spans="2:6" s="760" customFormat="1" x14ac:dyDescent="0.2">
      <c r="B656" s="768"/>
      <c r="C656" s="768"/>
      <c r="D656" s="769"/>
      <c r="E656" s="768"/>
      <c r="F656" s="772"/>
    </row>
    <row r="657" spans="2:6" s="760" customFormat="1" x14ac:dyDescent="0.2">
      <c r="B657" s="768"/>
      <c r="C657" s="768"/>
      <c r="D657" s="769"/>
      <c r="E657" s="768"/>
      <c r="F657" s="772"/>
    </row>
    <row r="658" spans="2:6" s="760" customFormat="1" x14ac:dyDescent="0.2">
      <c r="B658" s="768"/>
      <c r="C658" s="768"/>
      <c r="D658" s="769"/>
      <c r="E658" s="768"/>
      <c r="F658" s="772"/>
    </row>
    <row r="659" spans="2:6" s="760" customFormat="1" x14ac:dyDescent="0.2">
      <c r="B659" s="768"/>
      <c r="C659" s="768"/>
      <c r="D659" s="769"/>
      <c r="E659" s="768"/>
      <c r="F659" s="772"/>
    </row>
    <row r="660" spans="2:6" s="760" customFormat="1" x14ac:dyDescent="0.2">
      <c r="B660" s="768"/>
      <c r="C660" s="768"/>
      <c r="D660" s="769"/>
      <c r="E660" s="768"/>
      <c r="F660" s="772"/>
    </row>
    <row r="661" spans="2:6" s="760" customFormat="1" x14ac:dyDescent="0.2">
      <c r="B661" s="768"/>
      <c r="C661" s="768"/>
      <c r="D661" s="769"/>
      <c r="E661" s="768"/>
      <c r="F661" s="772"/>
    </row>
    <row r="662" spans="2:6" s="760" customFormat="1" x14ac:dyDescent="0.2">
      <c r="B662" s="768"/>
      <c r="C662" s="768"/>
      <c r="D662" s="769"/>
      <c r="E662" s="768"/>
      <c r="F662" s="772"/>
    </row>
    <row r="663" spans="2:6" s="760" customFormat="1" x14ac:dyDescent="0.2">
      <c r="B663" s="768"/>
      <c r="C663" s="768"/>
      <c r="D663" s="769"/>
      <c r="E663" s="768"/>
      <c r="F663" s="772"/>
    </row>
    <row r="664" spans="2:6" s="760" customFormat="1" x14ac:dyDescent="0.2">
      <c r="B664" s="768"/>
      <c r="C664" s="768"/>
      <c r="D664" s="769"/>
      <c r="E664" s="768"/>
      <c r="F664" s="772"/>
    </row>
    <row r="665" spans="2:6" s="760" customFormat="1" x14ac:dyDescent="0.2">
      <c r="B665" s="768"/>
      <c r="C665" s="768"/>
      <c r="D665" s="769"/>
      <c r="E665" s="768"/>
      <c r="F665" s="772"/>
    </row>
    <row r="666" spans="2:6" s="760" customFormat="1" x14ac:dyDescent="0.2">
      <c r="B666" s="768"/>
      <c r="C666" s="768"/>
      <c r="D666" s="769"/>
      <c r="E666" s="768"/>
      <c r="F666" s="772"/>
    </row>
    <row r="667" spans="2:6" s="760" customFormat="1" x14ac:dyDescent="0.2">
      <c r="B667" s="768"/>
      <c r="C667" s="768"/>
      <c r="D667" s="769"/>
      <c r="E667" s="768"/>
      <c r="F667" s="772"/>
    </row>
    <row r="668" spans="2:6" s="760" customFormat="1" x14ac:dyDescent="0.2">
      <c r="B668" s="768"/>
      <c r="C668" s="768"/>
      <c r="D668" s="769"/>
      <c r="E668" s="768"/>
      <c r="F668" s="772"/>
    </row>
    <row r="669" spans="2:6" s="760" customFormat="1" x14ac:dyDescent="0.2">
      <c r="B669" s="768"/>
      <c r="C669" s="768"/>
      <c r="D669" s="769"/>
      <c r="E669" s="768"/>
      <c r="F669" s="772"/>
    </row>
    <row r="670" spans="2:6" s="760" customFormat="1" x14ac:dyDescent="0.2">
      <c r="B670" s="768"/>
      <c r="C670" s="768"/>
      <c r="D670" s="769"/>
      <c r="E670" s="768"/>
      <c r="F670" s="772"/>
    </row>
    <row r="671" spans="2:6" s="760" customFormat="1" x14ac:dyDescent="0.2">
      <c r="B671" s="768"/>
      <c r="C671" s="768"/>
      <c r="D671" s="769"/>
      <c r="E671" s="768"/>
      <c r="F671" s="772"/>
    </row>
    <row r="672" spans="2:6" s="760" customFormat="1" x14ac:dyDescent="0.2">
      <c r="B672" s="768"/>
      <c r="C672" s="768"/>
      <c r="D672" s="769"/>
      <c r="E672" s="768"/>
      <c r="F672" s="772"/>
    </row>
    <row r="673" spans="2:6" s="760" customFormat="1" x14ac:dyDescent="0.2">
      <c r="B673" s="768"/>
      <c r="C673" s="768"/>
      <c r="D673" s="769"/>
      <c r="E673" s="768"/>
      <c r="F673" s="772"/>
    </row>
    <row r="674" spans="2:6" s="760" customFormat="1" x14ac:dyDescent="0.2">
      <c r="B674" s="768"/>
      <c r="C674" s="768"/>
      <c r="D674" s="769"/>
      <c r="E674" s="768"/>
      <c r="F674" s="772"/>
    </row>
    <row r="675" spans="2:6" s="760" customFormat="1" x14ac:dyDescent="0.2">
      <c r="B675" s="768"/>
      <c r="C675" s="768"/>
      <c r="D675" s="769"/>
      <c r="E675" s="768"/>
      <c r="F675" s="772"/>
    </row>
    <row r="676" spans="2:6" s="760" customFormat="1" x14ac:dyDescent="0.2">
      <c r="B676" s="768"/>
      <c r="C676" s="768"/>
      <c r="D676" s="769"/>
      <c r="E676" s="768"/>
      <c r="F676" s="772"/>
    </row>
    <row r="677" spans="2:6" s="760" customFormat="1" x14ac:dyDescent="0.2">
      <c r="B677" s="768"/>
      <c r="C677" s="768"/>
      <c r="D677" s="769"/>
      <c r="E677" s="768"/>
      <c r="F677" s="772"/>
    </row>
    <row r="678" spans="2:6" s="760" customFormat="1" x14ac:dyDescent="0.2">
      <c r="B678" s="768"/>
      <c r="C678" s="768"/>
      <c r="D678" s="769"/>
      <c r="E678" s="768"/>
      <c r="F678" s="772"/>
    </row>
    <row r="679" spans="2:6" s="760" customFormat="1" x14ac:dyDescent="0.2">
      <c r="B679" s="768"/>
      <c r="C679" s="768"/>
      <c r="D679" s="769"/>
      <c r="E679" s="768"/>
      <c r="F679" s="772"/>
    </row>
    <row r="680" spans="2:6" s="760" customFormat="1" x14ac:dyDescent="0.2">
      <c r="B680" s="768"/>
      <c r="C680" s="768"/>
      <c r="D680" s="769"/>
      <c r="E680" s="768"/>
      <c r="F680" s="772"/>
    </row>
    <row r="681" spans="2:6" s="760" customFormat="1" x14ac:dyDescent="0.2">
      <c r="B681" s="768"/>
      <c r="C681" s="768"/>
      <c r="D681" s="769"/>
      <c r="E681" s="768"/>
      <c r="F681" s="772"/>
    </row>
    <row r="682" spans="2:6" s="760" customFormat="1" x14ac:dyDescent="0.2">
      <c r="B682" s="768"/>
      <c r="C682" s="768"/>
      <c r="D682" s="769"/>
      <c r="E682" s="768"/>
      <c r="F682" s="772"/>
    </row>
    <row r="683" spans="2:6" s="760" customFormat="1" x14ac:dyDescent="0.2">
      <c r="B683" s="768"/>
      <c r="C683" s="768"/>
      <c r="D683" s="769"/>
      <c r="E683" s="768"/>
      <c r="F683" s="772"/>
    </row>
    <row r="684" spans="2:6" s="760" customFormat="1" x14ac:dyDescent="0.2">
      <c r="B684" s="768"/>
      <c r="C684" s="768"/>
      <c r="D684" s="769"/>
      <c r="E684" s="768"/>
      <c r="F684" s="772"/>
    </row>
    <row r="685" spans="2:6" s="760" customFormat="1" x14ac:dyDescent="0.2">
      <c r="B685" s="768"/>
      <c r="C685" s="768"/>
      <c r="D685" s="769"/>
      <c r="E685" s="768"/>
      <c r="F685" s="772"/>
    </row>
    <row r="686" spans="2:6" s="760" customFormat="1" x14ac:dyDescent="0.2">
      <c r="B686" s="768"/>
      <c r="C686" s="768"/>
      <c r="D686" s="769"/>
      <c r="E686" s="768"/>
      <c r="F686" s="772"/>
    </row>
    <row r="687" spans="2:6" s="760" customFormat="1" x14ac:dyDescent="0.2">
      <c r="B687" s="768"/>
      <c r="C687" s="768"/>
      <c r="D687" s="769"/>
      <c r="E687" s="768"/>
      <c r="F687" s="772"/>
    </row>
    <row r="688" spans="2:6" s="760" customFormat="1" x14ac:dyDescent="0.2">
      <c r="B688" s="768"/>
      <c r="C688" s="768"/>
      <c r="D688" s="769"/>
      <c r="E688" s="768"/>
      <c r="F688" s="772"/>
    </row>
    <row r="689" spans="2:6" s="760" customFormat="1" x14ac:dyDescent="0.2">
      <c r="B689" s="768"/>
      <c r="C689" s="768"/>
      <c r="D689" s="769"/>
      <c r="E689" s="768"/>
      <c r="F689" s="772"/>
    </row>
    <row r="690" spans="2:6" s="760" customFormat="1" x14ac:dyDescent="0.2">
      <c r="B690" s="768"/>
      <c r="C690" s="768"/>
      <c r="D690" s="769"/>
      <c r="E690" s="768"/>
      <c r="F690" s="772"/>
    </row>
    <row r="691" spans="2:6" s="760" customFormat="1" x14ac:dyDescent="0.2">
      <c r="B691" s="768"/>
      <c r="C691" s="768"/>
      <c r="D691" s="769"/>
      <c r="E691" s="768"/>
      <c r="F691" s="772"/>
    </row>
    <row r="692" spans="2:6" s="760" customFormat="1" x14ac:dyDescent="0.2">
      <c r="B692" s="768"/>
      <c r="C692" s="768"/>
      <c r="D692" s="769"/>
      <c r="E692" s="768"/>
      <c r="F692" s="772"/>
    </row>
    <row r="693" spans="2:6" s="760" customFormat="1" x14ac:dyDescent="0.2">
      <c r="B693" s="768"/>
      <c r="C693" s="768"/>
      <c r="D693" s="769"/>
      <c r="E693" s="768"/>
      <c r="F693" s="772"/>
    </row>
    <row r="694" spans="2:6" s="760" customFormat="1" x14ac:dyDescent="0.2">
      <c r="B694" s="768"/>
      <c r="C694" s="768"/>
      <c r="D694" s="769"/>
      <c r="E694" s="768"/>
      <c r="F694" s="772"/>
    </row>
    <row r="695" spans="2:6" s="760" customFormat="1" x14ac:dyDescent="0.2">
      <c r="B695" s="768"/>
      <c r="C695" s="768"/>
      <c r="D695" s="769"/>
      <c r="E695" s="768"/>
      <c r="F695" s="772"/>
    </row>
    <row r="696" spans="2:6" s="760" customFormat="1" x14ac:dyDescent="0.2">
      <c r="B696" s="768"/>
      <c r="C696" s="768"/>
      <c r="D696" s="769"/>
      <c r="E696" s="768"/>
      <c r="F696" s="772"/>
    </row>
    <row r="697" spans="2:6" s="760" customFormat="1" x14ac:dyDescent="0.2">
      <c r="B697" s="768"/>
      <c r="C697" s="768"/>
      <c r="D697" s="769"/>
      <c r="E697" s="768"/>
      <c r="F697" s="772"/>
    </row>
    <row r="698" spans="2:6" s="760" customFormat="1" x14ac:dyDescent="0.2">
      <c r="B698" s="768"/>
      <c r="C698" s="768"/>
      <c r="D698" s="769"/>
      <c r="E698" s="768"/>
      <c r="F698" s="772"/>
    </row>
    <row r="699" spans="2:6" s="760" customFormat="1" x14ac:dyDescent="0.2">
      <c r="B699" s="768"/>
      <c r="C699" s="768"/>
      <c r="D699" s="769"/>
      <c r="E699" s="768"/>
      <c r="F699" s="772"/>
    </row>
    <row r="700" spans="2:6" s="760" customFormat="1" x14ac:dyDescent="0.2">
      <c r="B700" s="768"/>
      <c r="C700" s="768"/>
      <c r="D700" s="769"/>
      <c r="E700" s="768"/>
      <c r="F700" s="772"/>
    </row>
    <row r="701" spans="2:6" s="760" customFormat="1" x14ac:dyDescent="0.2">
      <c r="B701" s="768"/>
      <c r="C701" s="768"/>
      <c r="D701" s="769"/>
      <c r="E701" s="768"/>
      <c r="F701" s="772"/>
    </row>
    <row r="702" spans="2:6" s="760" customFormat="1" x14ac:dyDescent="0.2">
      <c r="B702" s="768"/>
      <c r="C702" s="768"/>
      <c r="D702" s="769"/>
      <c r="E702" s="768"/>
      <c r="F702" s="772"/>
    </row>
    <row r="703" spans="2:6" s="760" customFormat="1" x14ac:dyDescent="0.2">
      <c r="B703" s="768"/>
      <c r="C703" s="768"/>
      <c r="D703" s="769"/>
      <c r="E703" s="768"/>
      <c r="F703" s="772"/>
    </row>
    <row r="704" spans="2:6" s="760" customFormat="1" x14ac:dyDescent="0.2">
      <c r="B704" s="768"/>
      <c r="C704" s="768"/>
      <c r="D704" s="769"/>
      <c r="E704" s="768"/>
      <c r="F704" s="772"/>
    </row>
    <row r="705" spans="2:6" s="760" customFormat="1" x14ac:dyDescent="0.2">
      <c r="B705" s="768"/>
      <c r="C705" s="768"/>
      <c r="D705" s="769"/>
      <c r="E705" s="768"/>
      <c r="F705" s="772"/>
    </row>
    <row r="706" spans="2:6" s="760" customFormat="1" x14ac:dyDescent="0.2">
      <c r="B706" s="768"/>
      <c r="C706" s="768"/>
      <c r="D706" s="769"/>
      <c r="E706" s="768"/>
      <c r="F706" s="772"/>
    </row>
    <row r="707" spans="2:6" s="760" customFormat="1" x14ac:dyDescent="0.2">
      <c r="B707" s="768"/>
      <c r="C707" s="768"/>
      <c r="D707" s="769"/>
      <c r="E707" s="768"/>
      <c r="F707" s="772"/>
    </row>
    <row r="708" spans="2:6" s="760" customFormat="1" x14ac:dyDescent="0.2">
      <c r="B708" s="768"/>
      <c r="C708" s="768"/>
      <c r="D708" s="769"/>
      <c r="E708" s="768"/>
      <c r="F708" s="772"/>
    </row>
    <row r="709" spans="2:6" s="760" customFormat="1" x14ac:dyDescent="0.2">
      <c r="B709" s="768"/>
      <c r="C709" s="768"/>
      <c r="D709" s="769"/>
      <c r="E709" s="768"/>
      <c r="F709" s="772"/>
    </row>
    <row r="710" spans="2:6" s="760" customFormat="1" x14ac:dyDescent="0.2">
      <c r="B710" s="768"/>
      <c r="C710" s="768"/>
      <c r="D710" s="769"/>
      <c r="E710" s="768"/>
      <c r="F710" s="772"/>
    </row>
    <row r="711" spans="2:6" s="760" customFormat="1" x14ac:dyDescent="0.2">
      <c r="B711" s="768"/>
      <c r="C711" s="768"/>
      <c r="D711" s="769"/>
      <c r="E711" s="768"/>
      <c r="F711" s="772"/>
    </row>
    <row r="712" spans="2:6" s="760" customFormat="1" x14ac:dyDescent="0.2">
      <c r="B712" s="768"/>
      <c r="C712" s="768"/>
      <c r="D712" s="769"/>
      <c r="E712" s="768"/>
      <c r="F712" s="772"/>
    </row>
    <row r="713" spans="2:6" s="760" customFormat="1" x14ac:dyDescent="0.2">
      <c r="B713" s="768"/>
      <c r="C713" s="768"/>
      <c r="D713" s="769"/>
      <c r="E713" s="768"/>
      <c r="F713" s="772"/>
    </row>
    <row r="714" spans="2:6" s="760" customFormat="1" x14ac:dyDescent="0.2">
      <c r="B714" s="768"/>
      <c r="C714" s="768"/>
      <c r="D714" s="769"/>
      <c r="E714" s="768"/>
      <c r="F714" s="772"/>
    </row>
    <row r="715" spans="2:6" s="760" customFormat="1" x14ac:dyDescent="0.2">
      <c r="B715" s="768"/>
      <c r="C715" s="768"/>
      <c r="D715" s="769"/>
      <c r="E715" s="768"/>
      <c r="F715" s="772"/>
    </row>
    <row r="716" spans="2:6" s="760" customFormat="1" x14ac:dyDescent="0.2">
      <c r="B716" s="768"/>
      <c r="C716" s="768"/>
      <c r="D716" s="769"/>
      <c r="E716" s="768"/>
      <c r="F716" s="772"/>
    </row>
    <row r="717" spans="2:6" s="760" customFormat="1" x14ac:dyDescent="0.2">
      <c r="B717" s="768"/>
      <c r="C717" s="768"/>
      <c r="D717" s="769"/>
      <c r="E717" s="768"/>
      <c r="F717" s="772"/>
    </row>
    <row r="718" spans="2:6" s="760" customFormat="1" x14ac:dyDescent="0.2">
      <c r="B718" s="768"/>
      <c r="C718" s="768"/>
      <c r="D718" s="769"/>
      <c r="E718" s="768"/>
      <c r="F718" s="772"/>
    </row>
    <row r="719" spans="2:6" s="760" customFormat="1" x14ac:dyDescent="0.2">
      <c r="B719" s="768"/>
      <c r="C719" s="768"/>
      <c r="D719" s="769"/>
      <c r="E719" s="768"/>
      <c r="F719" s="772"/>
    </row>
    <row r="720" spans="2:6" s="760" customFormat="1" x14ac:dyDescent="0.2">
      <c r="B720" s="768"/>
      <c r="C720" s="768"/>
      <c r="D720" s="769"/>
      <c r="E720" s="768"/>
      <c r="F720" s="772"/>
    </row>
    <row r="721" spans="2:6" s="760" customFormat="1" x14ac:dyDescent="0.2">
      <c r="B721" s="768"/>
      <c r="C721" s="768"/>
      <c r="D721" s="769"/>
      <c r="E721" s="768"/>
      <c r="F721" s="772"/>
    </row>
    <row r="722" spans="2:6" s="760" customFormat="1" x14ac:dyDescent="0.2">
      <c r="B722" s="768"/>
      <c r="C722" s="768"/>
      <c r="D722" s="769"/>
      <c r="E722" s="768"/>
      <c r="F722" s="772"/>
    </row>
    <row r="723" spans="2:6" s="760" customFormat="1" x14ac:dyDescent="0.2">
      <c r="B723" s="768"/>
      <c r="C723" s="768"/>
      <c r="D723" s="769"/>
      <c r="E723" s="768"/>
      <c r="F723" s="772"/>
    </row>
    <row r="724" spans="2:6" s="760" customFormat="1" x14ac:dyDescent="0.2">
      <c r="B724" s="768"/>
      <c r="C724" s="768"/>
      <c r="D724" s="769"/>
      <c r="E724" s="768"/>
      <c r="F724" s="772"/>
    </row>
    <row r="725" spans="2:6" s="760" customFormat="1" x14ac:dyDescent="0.2">
      <c r="B725" s="768"/>
      <c r="C725" s="768"/>
      <c r="D725" s="769"/>
      <c r="E725" s="768"/>
      <c r="F725" s="772"/>
    </row>
    <row r="726" spans="2:6" s="760" customFormat="1" x14ac:dyDescent="0.2">
      <c r="B726" s="768"/>
      <c r="C726" s="768"/>
      <c r="D726" s="769"/>
      <c r="E726" s="768"/>
      <c r="F726" s="772"/>
    </row>
    <row r="727" spans="2:6" s="760" customFormat="1" x14ac:dyDescent="0.2">
      <c r="B727" s="768"/>
      <c r="C727" s="768"/>
      <c r="D727" s="769"/>
      <c r="E727" s="768"/>
      <c r="F727" s="772"/>
    </row>
    <row r="728" spans="2:6" s="760" customFormat="1" x14ac:dyDescent="0.2">
      <c r="B728" s="768"/>
      <c r="C728" s="768"/>
      <c r="D728" s="769"/>
      <c r="E728" s="768"/>
      <c r="F728" s="772"/>
    </row>
    <row r="729" spans="2:6" s="760" customFormat="1" x14ac:dyDescent="0.2">
      <c r="B729" s="768"/>
      <c r="C729" s="768"/>
      <c r="D729" s="769"/>
      <c r="E729" s="768"/>
      <c r="F729" s="772"/>
    </row>
    <row r="730" spans="2:6" s="760" customFormat="1" x14ac:dyDescent="0.2">
      <c r="B730" s="768"/>
      <c r="C730" s="768"/>
      <c r="D730" s="769"/>
      <c r="E730" s="768"/>
      <c r="F730" s="772"/>
    </row>
    <row r="731" spans="2:6" s="760" customFormat="1" x14ac:dyDescent="0.2">
      <c r="B731" s="768"/>
      <c r="C731" s="768"/>
      <c r="D731" s="769"/>
      <c r="E731" s="768"/>
      <c r="F731" s="772"/>
    </row>
    <row r="732" spans="2:6" s="760" customFormat="1" x14ac:dyDescent="0.2">
      <c r="B732" s="768"/>
      <c r="C732" s="768"/>
      <c r="D732" s="769"/>
      <c r="E732" s="768"/>
      <c r="F732" s="772"/>
    </row>
    <row r="733" spans="2:6" s="760" customFormat="1" x14ac:dyDescent="0.2">
      <c r="B733" s="768"/>
      <c r="C733" s="768"/>
      <c r="D733" s="769"/>
      <c r="E733" s="768"/>
      <c r="F733" s="772"/>
    </row>
    <row r="734" spans="2:6" s="760" customFormat="1" x14ac:dyDescent="0.2">
      <c r="B734" s="768"/>
      <c r="C734" s="768"/>
      <c r="D734" s="769"/>
      <c r="E734" s="768"/>
      <c r="F734" s="772"/>
    </row>
    <row r="735" spans="2:6" s="760" customFormat="1" x14ac:dyDescent="0.2">
      <c r="B735" s="768"/>
      <c r="C735" s="768"/>
      <c r="D735" s="769"/>
      <c r="E735" s="768"/>
      <c r="F735" s="772"/>
    </row>
    <row r="736" spans="2:6" s="760" customFormat="1" x14ac:dyDescent="0.2">
      <c r="B736" s="768"/>
      <c r="C736" s="768"/>
      <c r="D736" s="769"/>
      <c r="E736" s="768"/>
      <c r="F736" s="772"/>
    </row>
    <row r="737" spans="2:6" s="760" customFormat="1" x14ac:dyDescent="0.2">
      <c r="B737" s="768"/>
      <c r="C737" s="768"/>
      <c r="D737" s="769"/>
      <c r="E737" s="768"/>
      <c r="F737" s="772"/>
    </row>
    <row r="738" spans="2:6" s="760" customFormat="1" x14ac:dyDescent="0.2">
      <c r="B738" s="768"/>
      <c r="C738" s="768"/>
      <c r="D738" s="769"/>
      <c r="E738" s="768"/>
      <c r="F738" s="772"/>
    </row>
    <row r="739" spans="2:6" s="760" customFormat="1" x14ac:dyDescent="0.2">
      <c r="B739" s="768"/>
      <c r="C739" s="768"/>
      <c r="D739" s="769"/>
      <c r="E739" s="768"/>
      <c r="F739" s="772"/>
    </row>
    <row r="740" spans="2:6" s="760" customFormat="1" x14ac:dyDescent="0.2">
      <c r="B740" s="768"/>
      <c r="C740" s="768"/>
      <c r="D740" s="769"/>
      <c r="E740" s="768"/>
      <c r="F740" s="772"/>
    </row>
    <row r="741" spans="2:6" s="760" customFormat="1" x14ac:dyDescent="0.2">
      <c r="B741" s="768"/>
      <c r="C741" s="768"/>
      <c r="D741" s="769"/>
      <c r="E741" s="768"/>
      <c r="F741" s="772"/>
    </row>
    <row r="742" spans="2:6" s="760" customFormat="1" x14ac:dyDescent="0.2">
      <c r="B742" s="768"/>
      <c r="C742" s="768"/>
      <c r="D742" s="769"/>
      <c r="E742" s="768"/>
      <c r="F742" s="772"/>
    </row>
    <row r="743" spans="2:6" s="760" customFormat="1" x14ac:dyDescent="0.2">
      <c r="B743" s="768"/>
      <c r="C743" s="768"/>
      <c r="D743" s="769"/>
      <c r="E743" s="768"/>
      <c r="F743" s="772"/>
    </row>
    <row r="744" spans="2:6" s="760" customFormat="1" x14ac:dyDescent="0.2">
      <c r="B744" s="768"/>
      <c r="C744" s="768"/>
      <c r="D744" s="769"/>
      <c r="E744" s="768"/>
      <c r="F744" s="772"/>
    </row>
    <row r="745" spans="2:6" s="760" customFormat="1" x14ac:dyDescent="0.2">
      <c r="B745" s="768"/>
      <c r="C745" s="768"/>
      <c r="D745" s="769"/>
      <c r="E745" s="768"/>
      <c r="F745" s="772"/>
    </row>
    <row r="746" spans="2:6" s="760" customFormat="1" x14ac:dyDescent="0.2">
      <c r="B746" s="768"/>
      <c r="C746" s="768"/>
      <c r="D746" s="769"/>
      <c r="E746" s="768"/>
      <c r="F746" s="772"/>
    </row>
    <row r="747" spans="2:6" s="760" customFormat="1" x14ac:dyDescent="0.2">
      <c r="B747" s="768"/>
      <c r="C747" s="768"/>
      <c r="D747" s="769"/>
      <c r="E747" s="768"/>
      <c r="F747" s="772"/>
    </row>
    <row r="748" spans="2:6" s="760" customFormat="1" x14ac:dyDescent="0.2">
      <c r="B748" s="768"/>
      <c r="C748" s="768"/>
      <c r="D748" s="769"/>
      <c r="E748" s="768"/>
      <c r="F748" s="772"/>
    </row>
    <row r="749" spans="2:6" s="760" customFormat="1" x14ac:dyDescent="0.2">
      <c r="B749" s="768"/>
      <c r="C749" s="768"/>
      <c r="D749" s="769"/>
      <c r="E749" s="768"/>
      <c r="F749" s="772"/>
    </row>
    <row r="750" spans="2:6" s="760" customFormat="1" x14ac:dyDescent="0.2">
      <c r="B750" s="768"/>
      <c r="C750" s="768"/>
      <c r="D750" s="769"/>
      <c r="E750" s="768"/>
      <c r="F750" s="772"/>
    </row>
    <row r="751" spans="2:6" s="760" customFormat="1" x14ac:dyDescent="0.2">
      <c r="B751" s="768"/>
      <c r="C751" s="768"/>
      <c r="D751" s="769"/>
      <c r="E751" s="768"/>
      <c r="F751" s="772"/>
    </row>
    <row r="752" spans="2:6" s="760" customFormat="1" x14ac:dyDescent="0.2">
      <c r="B752" s="768"/>
      <c r="C752" s="768"/>
      <c r="D752" s="769"/>
      <c r="E752" s="768"/>
      <c r="F752" s="772"/>
    </row>
    <row r="753" spans="2:6" s="760" customFormat="1" x14ac:dyDescent="0.2">
      <c r="B753" s="768"/>
      <c r="C753" s="768"/>
      <c r="D753" s="769"/>
      <c r="E753" s="768"/>
      <c r="F753" s="772"/>
    </row>
    <row r="754" spans="2:6" s="760" customFormat="1" x14ac:dyDescent="0.2">
      <c r="B754" s="768"/>
      <c r="C754" s="768"/>
      <c r="D754" s="769"/>
      <c r="E754" s="768"/>
      <c r="F754" s="772"/>
    </row>
    <row r="755" spans="2:6" s="760" customFormat="1" x14ac:dyDescent="0.2">
      <c r="B755" s="768"/>
      <c r="C755" s="768"/>
      <c r="D755" s="769"/>
      <c r="E755" s="768"/>
      <c r="F755" s="772"/>
    </row>
    <row r="756" spans="2:6" s="760" customFormat="1" x14ac:dyDescent="0.2">
      <c r="B756" s="768"/>
      <c r="C756" s="768"/>
      <c r="D756" s="769"/>
      <c r="E756" s="768"/>
      <c r="F756" s="772"/>
    </row>
    <row r="757" spans="2:6" s="760" customFormat="1" x14ac:dyDescent="0.2">
      <c r="B757" s="768"/>
      <c r="C757" s="768"/>
      <c r="D757" s="769"/>
      <c r="E757" s="768"/>
      <c r="F757" s="772"/>
    </row>
    <row r="758" spans="2:6" s="760" customFormat="1" x14ac:dyDescent="0.2">
      <c r="B758" s="768"/>
      <c r="C758" s="768"/>
      <c r="D758" s="769"/>
      <c r="E758" s="768"/>
      <c r="F758" s="772"/>
    </row>
    <row r="759" spans="2:6" s="760" customFormat="1" x14ac:dyDescent="0.2">
      <c r="B759" s="768"/>
      <c r="C759" s="768"/>
      <c r="D759" s="769"/>
      <c r="E759" s="768"/>
      <c r="F759" s="772"/>
    </row>
    <row r="760" spans="2:6" s="760" customFormat="1" x14ac:dyDescent="0.2">
      <c r="B760" s="768"/>
      <c r="C760" s="768"/>
      <c r="D760" s="769"/>
      <c r="E760" s="768"/>
      <c r="F760" s="772"/>
    </row>
    <row r="761" spans="2:6" s="760" customFormat="1" x14ac:dyDescent="0.2">
      <c r="B761" s="768"/>
      <c r="C761" s="768"/>
      <c r="D761" s="769"/>
      <c r="E761" s="768"/>
      <c r="F761" s="772"/>
    </row>
    <row r="762" spans="2:6" s="760" customFormat="1" x14ac:dyDescent="0.2">
      <c r="B762" s="768"/>
      <c r="C762" s="768"/>
      <c r="D762" s="769"/>
      <c r="E762" s="768"/>
      <c r="F762" s="772"/>
    </row>
    <row r="763" spans="2:6" s="760" customFormat="1" x14ac:dyDescent="0.2">
      <c r="B763" s="768"/>
      <c r="C763" s="768"/>
      <c r="D763" s="769"/>
      <c r="E763" s="768"/>
      <c r="F763" s="772"/>
    </row>
    <row r="764" spans="2:6" s="760" customFormat="1" x14ac:dyDescent="0.2">
      <c r="B764" s="768"/>
      <c r="C764" s="768"/>
      <c r="D764" s="769"/>
      <c r="E764" s="768"/>
      <c r="F764" s="772"/>
    </row>
    <row r="765" spans="2:6" s="760" customFormat="1" x14ac:dyDescent="0.2">
      <c r="B765" s="768"/>
      <c r="C765" s="768"/>
      <c r="D765" s="769"/>
      <c r="E765" s="768"/>
      <c r="F765" s="772"/>
    </row>
    <row r="766" spans="2:6" s="760" customFormat="1" x14ac:dyDescent="0.2">
      <c r="B766" s="768"/>
      <c r="C766" s="768"/>
      <c r="D766" s="769"/>
      <c r="E766" s="768"/>
      <c r="F766" s="772"/>
    </row>
    <row r="767" spans="2:6" s="760" customFormat="1" x14ac:dyDescent="0.2">
      <c r="B767" s="768"/>
      <c r="C767" s="768"/>
      <c r="D767" s="769"/>
      <c r="E767" s="768"/>
      <c r="F767" s="772"/>
    </row>
    <row r="768" spans="2:6" s="760" customFormat="1" x14ac:dyDescent="0.2">
      <c r="B768" s="768"/>
      <c r="C768" s="768"/>
      <c r="D768" s="769"/>
      <c r="E768" s="768"/>
      <c r="F768" s="772"/>
    </row>
    <row r="769" spans="2:6" s="760" customFormat="1" x14ac:dyDescent="0.2">
      <c r="B769" s="768"/>
      <c r="C769" s="768"/>
      <c r="D769" s="769"/>
      <c r="E769" s="768"/>
      <c r="F769" s="772"/>
    </row>
    <row r="770" spans="2:6" s="760" customFormat="1" x14ac:dyDescent="0.2">
      <c r="B770" s="768"/>
      <c r="C770" s="768"/>
      <c r="D770" s="769"/>
      <c r="E770" s="768"/>
      <c r="F770" s="772"/>
    </row>
    <row r="771" spans="2:6" s="760" customFormat="1" x14ac:dyDescent="0.2">
      <c r="B771" s="768"/>
      <c r="C771" s="768"/>
      <c r="D771" s="769"/>
      <c r="E771" s="768"/>
      <c r="F771" s="772"/>
    </row>
    <row r="772" spans="2:6" s="760" customFormat="1" x14ac:dyDescent="0.2">
      <c r="B772" s="768"/>
      <c r="C772" s="768"/>
      <c r="D772" s="769"/>
      <c r="E772" s="768"/>
      <c r="F772" s="772"/>
    </row>
    <row r="773" spans="2:6" s="760" customFormat="1" x14ac:dyDescent="0.2">
      <c r="B773" s="768"/>
      <c r="C773" s="768"/>
      <c r="D773" s="769"/>
      <c r="E773" s="768"/>
      <c r="F773" s="772"/>
    </row>
    <row r="774" spans="2:6" s="760" customFormat="1" x14ac:dyDescent="0.2">
      <c r="B774" s="768"/>
      <c r="C774" s="768"/>
      <c r="D774" s="769"/>
      <c r="E774" s="768"/>
      <c r="F774" s="772"/>
    </row>
    <row r="775" spans="2:6" s="760" customFormat="1" x14ac:dyDescent="0.2">
      <c r="B775" s="768"/>
      <c r="C775" s="768"/>
      <c r="D775" s="769"/>
      <c r="E775" s="768"/>
      <c r="F775" s="772"/>
    </row>
    <row r="776" spans="2:6" s="760" customFormat="1" x14ac:dyDescent="0.2">
      <c r="B776" s="768"/>
      <c r="C776" s="768"/>
      <c r="D776" s="769"/>
      <c r="E776" s="768"/>
      <c r="F776" s="772"/>
    </row>
    <row r="777" spans="2:6" s="760" customFormat="1" x14ac:dyDescent="0.2">
      <c r="B777" s="768"/>
      <c r="C777" s="768"/>
      <c r="D777" s="769"/>
      <c r="E777" s="768"/>
      <c r="F777" s="772"/>
    </row>
  </sheetData>
  <sheetProtection password="A60F" sheet="1" objects="1" scenarios="1"/>
  <mergeCells count="78">
    <mergeCell ref="B184:C184"/>
    <mergeCell ref="B190:F190"/>
    <mergeCell ref="B191:F191"/>
    <mergeCell ref="B193:C193"/>
    <mergeCell ref="B194:C194"/>
    <mergeCell ref="A176:A180"/>
    <mergeCell ref="B176:B177"/>
    <mergeCell ref="B178:B179"/>
    <mergeCell ref="B130:B131"/>
    <mergeCell ref="B133:E133"/>
    <mergeCell ref="B134:B158"/>
    <mergeCell ref="C134:C141"/>
    <mergeCell ref="C142:C155"/>
    <mergeCell ref="C156:C158"/>
    <mergeCell ref="B181:E181"/>
    <mergeCell ref="B183:C183"/>
    <mergeCell ref="B159:E159"/>
    <mergeCell ref="B160:B161"/>
    <mergeCell ref="B162:B163"/>
    <mergeCell ref="B165:C165"/>
    <mergeCell ref="B166:F166"/>
    <mergeCell ref="B168:B174"/>
    <mergeCell ref="C168:C172"/>
    <mergeCell ref="C173:C174"/>
    <mergeCell ref="B167:E167"/>
    <mergeCell ref="B175:E175"/>
    <mergeCell ref="C122:C127"/>
    <mergeCell ref="C128:C129"/>
    <mergeCell ref="B88:E88"/>
    <mergeCell ref="B89:B91"/>
    <mergeCell ref="C89:C90"/>
    <mergeCell ref="B92:E92"/>
    <mergeCell ref="B93:B105"/>
    <mergeCell ref="C93:C103"/>
    <mergeCell ref="C104:C105"/>
    <mergeCell ref="B106:E106"/>
    <mergeCell ref="B107:B129"/>
    <mergeCell ref="C109:C115"/>
    <mergeCell ref="C116:C121"/>
    <mergeCell ref="B80:B87"/>
    <mergeCell ref="C81:C84"/>
    <mergeCell ref="B51:B53"/>
    <mergeCell ref="C51:C53"/>
    <mergeCell ref="B54:E54"/>
    <mergeCell ref="B55:B59"/>
    <mergeCell ref="C55:C58"/>
    <mergeCell ref="B60:E60"/>
    <mergeCell ref="B61:B65"/>
    <mergeCell ref="C61:C64"/>
    <mergeCell ref="B66:E66"/>
    <mergeCell ref="B67:B79"/>
    <mergeCell ref="C67:C72"/>
    <mergeCell ref="A48:A50"/>
    <mergeCell ref="B48:B50"/>
    <mergeCell ref="C49:C50"/>
    <mergeCell ref="B22:E22"/>
    <mergeCell ref="B23:B28"/>
    <mergeCell ref="A25:A28"/>
    <mergeCell ref="A29:A30"/>
    <mergeCell ref="B29:B30"/>
    <mergeCell ref="A31:A33"/>
    <mergeCell ref="B31:B35"/>
    <mergeCell ref="B36:B37"/>
    <mergeCell ref="B38:E38"/>
    <mergeCell ref="B39:B47"/>
    <mergeCell ref="A40:A41"/>
    <mergeCell ref="C45:C47"/>
    <mergeCell ref="B12:B18"/>
    <mergeCell ref="C13:C18"/>
    <mergeCell ref="B19:E19"/>
    <mergeCell ref="B20:B21"/>
    <mergeCell ref="C20:C21"/>
    <mergeCell ref="B7:E7"/>
    <mergeCell ref="B8:B10"/>
    <mergeCell ref="C8:C9"/>
    <mergeCell ref="B1:H3"/>
    <mergeCell ref="B11:E11"/>
    <mergeCell ref="B4:H4"/>
  </mergeCells>
  <pageMargins left="0.7" right="0.7" top="0.75" bottom="0.75" header="0.3" footer="0.3"/>
  <pageSetup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O39"/>
  <sheetViews>
    <sheetView showGridLines="0" zoomScale="70" zoomScaleNormal="70" workbookViewId="0">
      <selection sqref="A1:N1"/>
    </sheetView>
  </sheetViews>
  <sheetFormatPr baseColWidth="10" defaultRowHeight="12.75" x14ac:dyDescent="0.2"/>
  <cols>
    <col min="1" max="1" width="13.28515625" style="1" customWidth="1"/>
    <col min="2" max="2" width="32.140625" style="31" customWidth="1"/>
    <col min="3" max="3" width="20.7109375" style="32" customWidth="1"/>
    <col min="4" max="4" width="10.42578125" style="32" customWidth="1"/>
    <col min="5" max="5" width="21.85546875" style="32" customWidth="1"/>
    <col min="6" max="6" width="11.7109375" style="32" customWidth="1"/>
    <col min="7" max="7" width="19.28515625" style="32" customWidth="1"/>
    <col min="8" max="8" width="12.28515625" style="32" customWidth="1"/>
    <col min="9" max="9" width="19.42578125" style="32" customWidth="1"/>
    <col min="10" max="10" width="10.28515625" style="32" customWidth="1"/>
    <col min="11" max="11" width="19.140625" style="32" customWidth="1"/>
    <col min="12" max="12" width="10.42578125" style="32" customWidth="1"/>
    <col min="13" max="13" width="21.140625" style="32" customWidth="1"/>
    <col min="14" max="14" width="19.28515625" style="1" customWidth="1"/>
    <col min="15" max="256" width="11.42578125" style="1"/>
    <col min="257" max="257" width="13.28515625" style="1" customWidth="1"/>
    <col min="258" max="258" width="32.140625" style="1" customWidth="1"/>
    <col min="259" max="259" width="20.7109375" style="1" customWidth="1"/>
    <col min="260" max="260" width="10.42578125" style="1" customWidth="1"/>
    <col min="261" max="261" width="18.5703125" style="1" customWidth="1"/>
    <col min="262" max="262" width="11.7109375" style="1" customWidth="1"/>
    <col min="263" max="263" width="19.28515625" style="1" customWidth="1"/>
    <col min="264" max="264" width="10.28515625" style="1" customWidth="1"/>
    <col min="265" max="265" width="19.42578125" style="1" customWidth="1"/>
    <col min="266" max="266" width="10.28515625" style="1" customWidth="1"/>
    <col min="267" max="267" width="19.5703125" style="1" customWidth="1"/>
    <col min="268" max="268" width="10.42578125" style="1" customWidth="1"/>
    <col min="269" max="269" width="21.140625" style="1" customWidth="1"/>
    <col min="270" max="270" width="11.7109375" style="1" customWidth="1"/>
    <col min="271" max="512" width="11.42578125" style="1"/>
    <col min="513" max="513" width="13.28515625" style="1" customWidth="1"/>
    <col min="514" max="514" width="32.140625" style="1" customWidth="1"/>
    <col min="515" max="515" width="20.7109375" style="1" customWidth="1"/>
    <col min="516" max="516" width="10.42578125" style="1" customWidth="1"/>
    <col min="517" max="517" width="18.5703125" style="1" customWidth="1"/>
    <col min="518" max="518" width="11.7109375" style="1" customWidth="1"/>
    <col min="519" max="519" width="19.28515625" style="1" customWidth="1"/>
    <col min="520" max="520" width="10.28515625" style="1" customWidth="1"/>
    <col min="521" max="521" width="19.42578125" style="1" customWidth="1"/>
    <col min="522" max="522" width="10.28515625" style="1" customWidth="1"/>
    <col min="523" max="523" width="19.5703125" style="1" customWidth="1"/>
    <col min="524" max="524" width="10.42578125" style="1" customWidth="1"/>
    <col min="525" max="525" width="21.140625" style="1" customWidth="1"/>
    <col min="526" max="526" width="11.7109375" style="1" customWidth="1"/>
    <col min="527" max="768" width="11.42578125" style="1"/>
    <col min="769" max="769" width="13.28515625" style="1" customWidth="1"/>
    <col min="770" max="770" width="32.140625" style="1" customWidth="1"/>
    <col min="771" max="771" width="20.7109375" style="1" customWidth="1"/>
    <col min="772" max="772" width="10.42578125" style="1" customWidth="1"/>
    <col min="773" max="773" width="18.5703125" style="1" customWidth="1"/>
    <col min="774" max="774" width="11.7109375" style="1" customWidth="1"/>
    <col min="775" max="775" width="19.28515625" style="1" customWidth="1"/>
    <col min="776" max="776" width="10.28515625" style="1" customWidth="1"/>
    <col min="777" max="777" width="19.42578125" style="1" customWidth="1"/>
    <col min="778" max="778" width="10.28515625" style="1" customWidth="1"/>
    <col min="779" max="779" width="19.5703125" style="1" customWidth="1"/>
    <col min="780" max="780" width="10.42578125" style="1" customWidth="1"/>
    <col min="781" max="781" width="21.140625" style="1" customWidth="1"/>
    <col min="782" max="782" width="11.7109375" style="1" customWidth="1"/>
    <col min="783" max="1024" width="11.42578125" style="1"/>
    <col min="1025" max="1025" width="13.28515625" style="1" customWidth="1"/>
    <col min="1026" max="1026" width="32.140625" style="1" customWidth="1"/>
    <col min="1027" max="1027" width="20.7109375" style="1" customWidth="1"/>
    <col min="1028" max="1028" width="10.42578125" style="1" customWidth="1"/>
    <col min="1029" max="1029" width="18.5703125" style="1" customWidth="1"/>
    <col min="1030" max="1030" width="11.7109375" style="1" customWidth="1"/>
    <col min="1031" max="1031" width="19.28515625" style="1" customWidth="1"/>
    <col min="1032" max="1032" width="10.28515625" style="1" customWidth="1"/>
    <col min="1033" max="1033" width="19.42578125" style="1" customWidth="1"/>
    <col min="1034" max="1034" width="10.28515625" style="1" customWidth="1"/>
    <col min="1035" max="1035" width="19.5703125" style="1" customWidth="1"/>
    <col min="1036" max="1036" width="10.42578125" style="1" customWidth="1"/>
    <col min="1037" max="1037" width="21.140625" style="1" customWidth="1"/>
    <col min="1038" max="1038" width="11.7109375" style="1" customWidth="1"/>
    <col min="1039" max="1280" width="11.42578125" style="1"/>
    <col min="1281" max="1281" width="13.28515625" style="1" customWidth="1"/>
    <col min="1282" max="1282" width="32.140625" style="1" customWidth="1"/>
    <col min="1283" max="1283" width="20.7109375" style="1" customWidth="1"/>
    <col min="1284" max="1284" width="10.42578125" style="1" customWidth="1"/>
    <col min="1285" max="1285" width="18.5703125" style="1" customWidth="1"/>
    <col min="1286" max="1286" width="11.7109375" style="1" customWidth="1"/>
    <col min="1287" max="1287" width="19.28515625" style="1" customWidth="1"/>
    <col min="1288" max="1288" width="10.28515625" style="1" customWidth="1"/>
    <col min="1289" max="1289" width="19.42578125" style="1" customWidth="1"/>
    <col min="1290" max="1290" width="10.28515625" style="1" customWidth="1"/>
    <col min="1291" max="1291" width="19.5703125" style="1" customWidth="1"/>
    <col min="1292" max="1292" width="10.42578125" style="1" customWidth="1"/>
    <col min="1293" max="1293" width="21.140625" style="1" customWidth="1"/>
    <col min="1294" max="1294" width="11.7109375" style="1" customWidth="1"/>
    <col min="1295" max="1536" width="11.42578125" style="1"/>
    <col min="1537" max="1537" width="13.28515625" style="1" customWidth="1"/>
    <col min="1538" max="1538" width="32.140625" style="1" customWidth="1"/>
    <col min="1539" max="1539" width="20.7109375" style="1" customWidth="1"/>
    <col min="1540" max="1540" width="10.42578125" style="1" customWidth="1"/>
    <col min="1541" max="1541" width="18.5703125" style="1" customWidth="1"/>
    <col min="1542" max="1542" width="11.7109375" style="1" customWidth="1"/>
    <col min="1543" max="1543" width="19.28515625" style="1" customWidth="1"/>
    <col min="1544" max="1544" width="10.28515625" style="1" customWidth="1"/>
    <col min="1545" max="1545" width="19.42578125" style="1" customWidth="1"/>
    <col min="1546" max="1546" width="10.28515625" style="1" customWidth="1"/>
    <col min="1547" max="1547" width="19.5703125" style="1" customWidth="1"/>
    <col min="1548" max="1548" width="10.42578125" style="1" customWidth="1"/>
    <col min="1549" max="1549" width="21.140625" style="1" customWidth="1"/>
    <col min="1550" max="1550" width="11.7109375" style="1" customWidth="1"/>
    <col min="1551" max="1792" width="11.42578125" style="1"/>
    <col min="1793" max="1793" width="13.28515625" style="1" customWidth="1"/>
    <col min="1794" max="1794" width="32.140625" style="1" customWidth="1"/>
    <col min="1795" max="1795" width="20.7109375" style="1" customWidth="1"/>
    <col min="1796" max="1796" width="10.42578125" style="1" customWidth="1"/>
    <col min="1797" max="1797" width="18.5703125" style="1" customWidth="1"/>
    <col min="1798" max="1798" width="11.7109375" style="1" customWidth="1"/>
    <col min="1799" max="1799" width="19.28515625" style="1" customWidth="1"/>
    <col min="1800" max="1800" width="10.28515625" style="1" customWidth="1"/>
    <col min="1801" max="1801" width="19.42578125" style="1" customWidth="1"/>
    <col min="1802" max="1802" width="10.28515625" style="1" customWidth="1"/>
    <col min="1803" max="1803" width="19.5703125" style="1" customWidth="1"/>
    <col min="1804" max="1804" width="10.42578125" style="1" customWidth="1"/>
    <col min="1805" max="1805" width="21.140625" style="1" customWidth="1"/>
    <col min="1806" max="1806" width="11.7109375" style="1" customWidth="1"/>
    <col min="1807" max="2048" width="11.42578125" style="1"/>
    <col min="2049" max="2049" width="13.28515625" style="1" customWidth="1"/>
    <col min="2050" max="2050" width="32.140625" style="1" customWidth="1"/>
    <col min="2051" max="2051" width="20.7109375" style="1" customWidth="1"/>
    <col min="2052" max="2052" width="10.42578125" style="1" customWidth="1"/>
    <col min="2053" max="2053" width="18.5703125" style="1" customWidth="1"/>
    <col min="2054" max="2054" width="11.7109375" style="1" customWidth="1"/>
    <col min="2055" max="2055" width="19.28515625" style="1" customWidth="1"/>
    <col min="2056" max="2056" width="10.28515625" style="1" customWidth="1"/>
    <col min="2057" max="2057" width="19.42578125" style="1" customWidth="1"/>
    <col min="2058" max="2058" width="10.28515625" style="1" customWidth="1"/>
    <col min="2059" max="2059" width="19.5703125" style="1" customWidth="1"/>
    <col min="2060" max="2060" width="10.42578125" style="1" customWidth="1"/>
    <col min="2061" max="2061" width="21.140625" style="1" customWidth="1"/>
    <col min="2062" max="2062" width="11.7109375" style="1" customWidth="1"/>
    <col min="2063" max="2304" width="11.42578125" style="1"/>
    <col min="2305" max="2305" width="13.28515625" style="1" customWidth="1"/>
    <col min="2306" max="2306" width="32.140625" style="1" customWidth="1"/>
    <col min="2307" max="2307" width="20.7109375" style="1" customWidth="1"/>
    <col min="2308" max="2308" width="10.42578125" style="1" customWidth="1"/>
    <col min="2309" max="2309" width="18.5703125" style="1" customWidth="1"/>
    <col min="2310" max="2310" width="11.7109375" style="1" customWidth="1"/>
    <col min="2311" max="2311" width="19.28515625" style="1" customWidth="1"/>
    <col min="2312" max="2312" width="10.28515625" style="1" customWidth="1"/>
    <col min="2313" max="2313" width="19.42578125" style="1" customWidth="1"/>
    <col min="2314" max="2314" width="10.28515625" style="1" customWidth="1"/>
    <col min="2315" max="2315" width="19.5703125" style="1" customWidth="1"/>
    <col min="2316" max="2316" width="10.42578125" style="1" customWidth="1"/>
    <col min="2317" max="2317" width="21.140625" style="1" customWidth="1"/>
    <col min="2318" max="2318" width="11.7109375" style="1" customWidth="1"/>
    <col min="2319" max="2560" width="11.42578125" style="1"/>
    <col min="2561" max="2561" width="13.28515625" style="1" customWidth="1"/>
    <col min="2562" max="2562" width="32.140625" style="1" customWidth="1"/>
    <col min="2563" max="2563" width="20.7109375" style="1" customWidth="1"/>
    <col min="2564" max="2564" width="10.42578125" style="1" customWidth="1"/>
    <col min="2565" max="2565" width="18.5703125" style="1" customWidth="1"/>
    <col min="2566" max="2566" width="11.7109375" style="1" customWidth="1"/>
    <col min="2567" max="2567" width="19.28515625" style="1" customWidth="1"/>
    <col min="2568" max="2568" width="10.28515625" style="1" customWidth="1"/>
    <col min="2569" max="2569" width="19.42578125" style="1" customWidth="1"/>
    <col min="2570" max="2570" width="10.28515625" style="1" customWidth="1"/>
    <col min="2571" max="2571" width="19.5703125" style="1" customWidth="1"/>
    <col min="2572" max="2572" width="10.42578125" style="1" customWidth="1"/>
    <col min="2573" max="2573" width="21.140625" style="1" customWidth="1"/>
    <col min="2574" max="2574" width="11.7109375" style="1" customWidth="1"/>
    <col min="2575" max="2816" width="11.42578125" style="1"/>
    <col min="2817" max="2817" width="13.28515625" style="1" customWidth="1"/>
    <col min="2818" max="2818" width="32.140625" style="1" customWidth="1"/>
    <col min="2819" max="2819" width="20.7109375" style="1" customWidth="1"/>
    <col min="2820" max="2820" width="10.42578125" style="1" customWidth="1"/>
    <col min="2821" max="2821" width="18.5703125" style="1" customWidth="1"/>
    <col min="2822" max="2822" width="11.7109375" style="1" customWidth="1"/>
    <col min="2823" max="2823" width="19.28515625" style="1" customWidth="1"/>
    <col min="2824" max="2824" width="10.28515625" style="1" customWidth="1"/>
    <col min="2825" max="2825" width="19.42578125" style="1" customWidth="1"/>
    <col min="2826" max="2826" width="10.28515625" style="1" customWidth="1"/>
    <col min="2827" max="2827" width="19.5703125" style="1" customWidth="1"/>
    <col min="2828" max="2828" width="10.42578125" style="1" customWidth="1"/>
    <col min="2829" max="2829" width="21.140625" style="1" customWidth="1"/>
    <col min="2830" max="2830" width="11.7109375" style="1" customWidth="1"/>
    <col min="2831" max="3072" width="11.42578125" style="1"/>
    <col min="3073" max="3073" width="13.28515625" style="1" customWidth="1"/>
    <col min="3074" max="3074" width="32.140625" style="1" customWidth="1"/>
    <col min="3075" max="3075" width="20.7109375" style="1" customWidth="1"/>
    <col min="3076" max="3076" width="10.42578125" style="1" customWidth="1"/>
    <col min="3077" max="3077" width="18.5703125" style="1" customWidth="1"/>
    <col min="3078" max="3078" width="11.7109375" style="1" customWidth="1"/>
    <col min="3079" max="3079" width="19.28515625" style="1" customWidth="1"/>
    <col min="3080" max="3080" width="10.28515625" style="1" customWidth="1"/>
    <col min="3081" max="3081" width="19.42578125" style="1" customWidth="1"/>
    <col min="3082" max="3082" width="10.28515625" style="1" customWidth="1"/>
    <col min="3083" max="3083" width="19.5703125" style="1" customWidth="1"/>
    <col min="3084" max="3084" width="10.42578125" style="1" customWidth="1"/>
    <col min="3085" max="3085" width="21.140625" style="1" customWidth="1"/>
    <col min="3086" max="3086" width="11.7109375" style="1" customWidth="1"/>
    <col min="3087" max="3328" width="11.42578125" style="1"/>
    <col min="3329" max="3329" width="13.28515625" style="1" customWidth="1"/>
    <col min="3330" max="3330" width="32.140625" style="1" customWidth="1"/>
    <col min="3331" max="3331" width="20.7109375" style="1" customWidth="1"/>
    <col min="3332" max="3332" width="10.42578125" style="1" customWidth="1"/>
    <col min="3333" max="3333" width="18.5703125" style="1" customWidth="1"/>
    <col min="3334" max="3334" width="11.7109375" style="1" customWidth="1"/>
    <col min="3335" max="3335" width="19.28515625" style="1" customWidth="1"/>
    <col min="3336" max="3336" width="10.28515625" style="1" customWidth="1"/>
    <col min="3337" max="3337" width="19.42578125" style="1" customWidth="1"/>
    <col min="3338" max="3338" width="10.28515625" style="1" customWidth="1"/>
    <col min="3339" max="3339" width="19.5703125" style="1" customWidth="1"/>
    <col min="3340" max="3340" width="10.42578125" style="1" customWidth="1"/>
    <col min="3341" max="3341" width="21.140625" style="1" customWidth="1"/>
    <col min="3342" max="3342" width="11.7109375" style="1" customWidth="1"/>
    <col min="3343" max="3584" width="11.42578125" style="1"/>
    <col min="3585" max="3585" width="13.28515625" style="1" customWidth="1"/>
    <col min="3586" max="3586" width="32.140625" style="1" customWidth="1"/>
    <col min="3587" max="3587" width="20.7109375" style="1" customWidth="1"/>
    <col min="3588" max="3588" width="10.42578125" style="1" customWidth="1"/>
    <col min="3589" max="3589" width="18.5703125" style="1" customWidth="1"/>
    <col min="3590" max="3590" width="11.7109375" style="1" customWidth="1"/>
    <col min="3591" max="3591" width="19.28515625" style="1" customWidth="1"/>
    <col min="3592" max="3592" width="10.28515625" style="1" customWidth="1"/>
    <col min="3593" max="3593" width="19.42578125" style="1" customWidth="1"/>
    <col min="3594" max="3594" width="10.28515625" style="1" customWidth="1"/>
    <col min="3595" max="3595" width="19.5703125" style="1" customWidth="1"/>
    <col min="3596" max="3596" width="10.42578125" style="1" customWidth="1"/>
    <col min="3597" max="3597" width="21.140625" style="1" customWidth="1"/>
    <col min="3598" max="3598" width="11.7109375" style="1" customWidth="1"/>
    <col min="3599" max="3840" width="11.42578125" style="1"/>
    <col min="3841" max="3841" width="13.28515625" style="1" customWidth="1"/>
    <col min="3842" max="3842" width="32.140625" style="1" customWidth="1"/>
    <col min="3843" max="3843" width="20.7109375" style="1" customWidth="1"/>
    <col min="3844" max="3844" width="10.42578125" style="1" customWidth="1"/>
    <col min="3845" max="3845" width="18.5703125" style="1" customWidth="1"/>
    <col min="3846" max="3846" width="11.7109375" style="1" customWidth="1"/>
    <col min="3847" max="3847" width="19.28515625" style="1" customWidth="1"/>
    <col min="3848" max="3848" width="10.28515625" style="1" customWidth="1"/>
    <col min="3849" max="3849" width="19.42578125" style="1" customWidth="1"/>
    <col min="3850" max="3850" width="10.28515625" style="1" customWidth="1"/>
    <col min="3851" max="3851" width="19.5703125" style="1" customWidth="1"/>
    <col min="3852" max="3852" width="10.42578125" style="1" customWidth="1"/>
    <col min="3853" max="3853" width="21.140625" style="1" customWidth="1"/>
    <col min="3854" max="3854" width="11.7109375" style="1" customWidth="1"/>
    <col min="3855" max="4096" width="11.42578125" style="1"/>
    <col min="4097" max="4097" width="13.28515625" style="1" customWidth="1"/>
    <col min="4098" max="4098" width="32.140625" style="1" customWidth="1"/>
    <col min="4099" max="4099" width="20.7109375" style="1" customWidth="1"/>
    <col min="4100" max="4100" width="10.42578125" style="1" customWidth="1"/>
    <col min="4101" max="4101" width="18.5703125" style="1" customWidth="1"/>
    <col min="4102" max="4102" width="11.7109375" style="1" customWidth="1"/>
    <col min="4103" max="4103" width="19.28515625" style="1" customWidth="1"/>
    <col min="4104" max="4104" width="10.28515625" style="1" customWidth="1"/>
    <col min="4105" max="4105" width="19.42578125" style="1" customWidth="1"/>
    <col min="4106" max="4106" width="10.28515625" style="1" customWidth="1"/>
    <col min="4107" max="4107" width="19.5703125" style="1" customWidth="1"/>
    <col min="4108" max="4108" width="10.42578125" style="1" customWidth="1"/>
    <col min="4109" max="4109" width="21.140625" style="1" customWidth="1"/>
    <col min="4110" max="4110" width="11.7109375" style="1" customWidth="1"/>
    <col min="4111" max="4352" width="11.42578125" style="1"/>
    <col min="4353" max="4353" width="13.28515625" style="1" customWidth="1"/>
    <col min="4354" max="4354" width="32.140625" style="1" customWidth="1"/>
    <col min="4355" max="4355" width="20.7109375" style="1" customWidth="1"/>
    <col min="4356" max="4356" width="10.42578125" style="1" customWidth="1"/>
    <col min="4357" max="4357" width="18.5703125" style="1" customWidth="1"/>
    <col min="4358" max="4358" width="11.7109375" style="1" customWidth="1"/>
    <col min="4359" max="4359" width="19.28515625" style="1" customWidth="1"/>
    <col min="4360" max="4360" width="10.28515625" style="1" customWidth="1"/>
    <col min="4361" max="4361" width="19.42578125" style="1" customWidth="1"/>
    <col min="4362" max="4362" width="10.28515625" style="1" customWidth="1"/>
    <col min="4363" max="4363" width="19.5703125" style="1" customWidth="1"/>
    <col min="4364" max="4364" width="10.42578125" style="1" customWidth="1"/>
    <col min="4365" max="4365" width="21.140625" style="1" customWidth="1"/>
    <col min="4366" max="4366" width="11.7109375" style="1" customWidth="1"/>
    <col min="4367" max="4608" width="11.42578125" style="1"/>
    <col min="4609" max="4609" width="13.28515625" style="1" customWidth="1"/>
    <col min="4610" max="4610" width="32.140625" style="1" customWidth="1"/>
    <col min="4611" max="4611" width="20.7109375" style="1" customWidth="1"/>
    <col min="4612" max="4612" width="10.42578125" style="1" customWidth="1"/>
    <col min="4613" max="4613" width="18.5703125" style="1" customWidth="1"/>
    <col min="4614" max="4614" width="11.7109375" style="1" customWidth="1"/>
    <col min="4615" max="4615" width="19.28515625" style="1" customWidth="1"/>
    <col min="4616" max="4616" width="10.28515625" style="1" customWidth="1"/>
    <col min="4617" max="4617" width="19.42578125" style="1" customWidth="1"/>
    <col min="4618" max="4618" width="10.28515625" style="1" customWidth="1"/>
    <col min="4619" max="4619" width="19.5703125" style="1" customWidth="1"/>
    <col min="4620" max="4620" width="10.42578125" style="1" customWidth="1"/>
    <col min="4621" max="4621" width="21.140625" style="1" customWidth="1"/>
    <col min="4622" max="4622" width="11.7109375" style="1" customWidth="1"/>
    <col min="4623" max="4864" width="11.42578125" style="1"/>
    <col min="4865" max="4865" width="13.28515625" style="1" customWidth="1"/>
    <col min="4866" max="4866" width="32.140625" style="1" customWidth="1"/>
    <col min="4867" max="4867" width="20.7109375" style="1" customWidth="1"/>
    <col min="4868" max="4868" width="10.42578125" style="1" customWidth="1"/>
    <col min="4869" max="4869" width="18.5703125" style="1" customWidth="1"/>
    <col min="4870" max="4870" width="11.7109375" style="1" customWidth="1"/>
    <col min="4871" max="4871" width="19.28515625" style="1" customWidth="1"/>
    <col min="4872" max="4872" width="10.28515625" style="1" customWidth="1"/>
    <col min="4873" max="4873" width="19.42578125" style="1" customWidth="1"/>
    <col min="4874" max="4874" width="10.28515625" style="1" customWidth="1"/>
    <col min="4875" max="4875" width="19.5703125" style="1" customWidth="1"/>
    <col min="4876" max="4876" width="10.42578125" style="1" customWidth="1"/>
    <col min="4877" max="4877" width="21.140625" style="1" customWidth="1"/>
    <col min="4878" max="4878" width="11.7109375" style="1" customWidth="1"/>
    <col min="4879" max="5120" width="11.42578125" style="1"/>
    <col min="5121" max="5121" width="13.28515625" style="1" customWidth="1"/>
    <col min="5122" max="5122" width="32.140625" style="1" customWidth="1"/>
    <col min="5123" max="5123" width="20.7109375" style="1" customWidth="1"/>
    <col min="5124" max="5124" width="10.42578125" style="1" customWidth="1"/>
    <col min="5125" max="5125" width="18.5703125" style="1" customWidth="1"/>
    <col min="5126" max="5126" width="11.7109375" style="1" customWidth="1"/>
    <col min="5127" max="5127" width="19.28515625" style="1" customWidth="1"/>
    <col min="5128" max="5128" width="10.28515625" style="1" customWidth="1"/>
    <col min="5129" max="5129" width="19.42578125" style="1" customWidth="1"/>
    <col min="5130" max="5130" width="10.28515625" style="1" customWidth="1"/>
    <col min="5131" max="5131" width="19.5703125" style="1" customWidth="1"/>
    <col min="5132" max="5132" width="10.42578125" style="1" customWidth="1"/>
    <col min="5133" max="5133" width="21.140625" style="1" customWidth="1"/>
    <col min="5134" max="5134" width="11.7109375" style="1" customWidth="1"/>
    <col min="5135" max="5376" width="11.42578125" style="1"/>
    <col min="5377" max="5377" width="13.28515625" style="1" customWidth="1"/>
    <col min="5378" max="5378" width="32.140625" style="1" customWidth="1"/>
    <col min="5379" max="5379" width="20.7109375" style="1" customWidth="1"/>
    <col min="5380" max="5380" width="10.42578125" style="1" customWidth="1"/>
    <col min="5381" max="5381" width="18.5703125" style="1" customWidth="1"/>
    <col min="5382" max="5382" width="11.7109375" style="1" customWidth="1"/>
    <col min="5383" max="5383" width="19.28515625" style="1" customWidth="1"/>
    <col min="5384" max="5384" width="10.28515625" style="1" customWidth="1"/>
    <col min="5385" max="5385" width="19.42578125" style="1" customWidth="1"/>
    <col min="5386" max="5386" width="10.28515625" style="1" customWidth="1"/>
    <col min="5387" max="5387" width="19.5703125" style="1" customWidth="1"/>
    <col min="5388" max="5388" width="10.42578125" style="1" customWidth="1"/>
    <col min="5389" max="5389" width="21.140625" style="1" customWidth="1"/>
    <col min="5390" max="5390" width="11.7109375" style="1" customWidth="1"/>
    <col min="5391" max="5632" width="11.42578125" style="1"/>
    <col min="5633" max="5633" width="13.28515625" style="1" customWidth="1"/>
    <col min="5634" max="5634" width="32.140625" style="1" customWidth="1"/>
    <col min="5635" max="5635" width="20.7109375" style="1" customWidth="1"/>
    <col min="5636" max="5636" width="10.42578125" style="1" customWidth="1"/>
    <col min="5637" max="5637" width="18.5703125" style="1" customWidth="1"/>
    <col min="5638" max="5638" width="11.7109375" style="1" customWidth="1"/>
    <col min="5639" max="5639" width="19.28515625" style="1" customWidth="1"/>
    <col min="5640" max="5640" width="10.28515625" style="1" customWidth="1"/>
    <col min="5641" max="5641" width="19.42578125" style="1" customWidth="1"/>
    <col min="5642" max="5642" width="10.28515625" style="1" customWidth="1"/>
    <col min="5643" max="5643" width="19.5703125" style="1" customWidth="1"/>
    <col min="5644" max="5644" width="10.42578125" style="1" customWidth="1"/>
    <col min="5645" max="5645" width="21.140625" style="1" customWidth="1"/>
    <col min="5646" max="5646" width="11.7109375" style="1" customWidth="1"/>
    <col min="5647" max="5888" width="11.42578125" style="1"/>
    <col min="5889" max="5889" width="13.28515625" style="1" customWidth="1"/>
    <col min="5890" max="5890" width="32.140625" style="1" customWidth="1"/>
    <col min="5891" max="5891" width="20.7109375" style="1" customWidth="1"/>
    <col min="5892" max="5892" width="10.42578125" style="1" customWidth="1"/>
    <col min="5893" max="5893" width="18.5703125" style="1" customWidth="1"/>
    <col min="5894" max="5894" width="11.7109375" style="1" customWidth="1"/>
    <col min="5895" max="5895" width="19.28515625" style="1" customWidth="1"/>
    <col min="5896" max="5896" width="10.28515625" style="1" customWidth="1"/>
    <col min="5897" max="5897" width="19.42578125" style="1" customWidth="1"/>
    <col min="5898" max="5898" width="10.28515625" style="1" customWidth="1"/>
    <col min="5899" max="5899" width="19.5703125" style="1" customWidth="1"/>
    <col min="5900" max="5900" width="10.42578125" style="1" customWidth="1"/>
    <col min="5901" max="5901" width="21.140625" style="1" customWidth="1"/>
    <col min="5902" max="5902" width="11.7109375" style="1" customWidth="1"/>
    <col min="5903" max="6144" width="11.42578125" style="1"/>
    <col min="6145" max="6145" width="13.28515625" style="1" customWidth="1"/>
    <col min="6146" max="6146" width="32.140625" style="1" customWidth="1"/>
    <col min="6147" max="6147" width="20.7109375" style="1" customWidth="1"/>
    <col min="6148" max="6148" width="10.42578125" style="1" customWidth="1"/>
    <col min="6149" max="6149" width="18.5703125" style="1" customWidth="1"/>
    <col min="6150" max="6150" width="11.7109375" style="1" customWidth="1"/>
    <col min="6151" max="6151" width="19.28515625" style="1" customWidth="1"/>
    <col min="6152" max="6152" width="10.28515625" style="1" customWidth="1"/>
    <col min="6153" max="6153" width="19.42578125" style="1" customWidth="1"/>
    <col min="6154" max="6154" width="10.28515625" style="1" customWidth="1"/>
    <col min="6155" max="6155" width="19.5703125" style="1" customWidth="1"/>
    <col min="6156" max="6156" width="10.42578125" style="1" customWidth="1"/>
    <col min="6157" max="6157" width="21.140625" style="1" customWidth="1"/>
    <col min="6158" max="6158" width="11.7109375" style="1" customWidth="1"/>
    <col min="6159" max="6400" width="11.42578125" style="1"/>
    <col min="6401" max="6401" width="13.28515625" style="1" customWidth="1"/>
    <col min="6402" max="6402" width="32.140625" style="1" customWidth="1"/>
    <col min="6403" max="6403" width="20.7109375" style="1" customWidth="1"/>
    <col min="6404" max="6404" width="10.42578125" style="1" customWidth="1"/>
    <col min="6405" max="6405" width="18.5703125" style="1" customWidth="1"/>
    <col min="6406" max="6406" width="11.7109375" style="1" customWidth="1"/>
    <col min="6407" max="6407" width="19.28515625" style="1" customWidth="1"/>
    <col min="6408" max="6408" width="10.28515625" style="1" customWidth="1"/>
    <col min="6409" max="6409" width="19.42578125" style="1" customWidth="1"/>
    <col min="6410" max="6410" width="10.28515625" style="1" customWidth="1"/>
    <col min="6411" max="6411" width="19.5703125" style="1" customWidth="1"/>
    <col min="6412" max="6412" width="10.42578125" style="1" customWidth="1"/>
    <col min="6413" max="6413" width="21.140625" style="1" customWidth="1"/>
    <col min="6414" max="6414" width="11.7109375" style="1" customWidth="1"/>
    <col min="6415" max="6656" width="11.42578125" style="1"/>
    <col min="6657" max="6657" width="13.28515625" style="1" customWidth="1"/>
    <col min="6658" max="6658" width="32.140625" style="1" customWidth="1"/>
    <col min="6659" max="6659" width="20.7109375" style="1" customWidth="1"/>
    <col min="6660" max="6660" width="10.42578125" style="1" customWidth="1"/>
    <col min="6661" max="6661" width="18.5703125" style="1" customWidth="1"/>
    <col min="6662" max="6662" width="11.7109375" style="1" customWidth="1"/>
    <col min="6663" max="6663" width="19.28515625" style="1" customWidth="1"/>
    <col min="6664" max="6664" width="10.28515625" style="1" customWidth="1"/>
    <col min="6665" max="6665" width="19.42578125" style="1" customWidth="1"/>
    <col min="6666" max="6666" width="10.28515625" style="1" customWidth="1"/>
    <col min="6667" max="6667" width="19.5703125" style="1" customWidth="1"/>
    <col min="6668" max="6668" width="10.42578125" style="1" customWidth="1"/>
    <col min="6669" max="6669" width="21.140625" style="1" customWidth="1"/>
    <col min="6670" max="6670" width="11.7109375" style="1" customWidth="1"/>
    <col min="6671" max="6912" width="11.42578125" style="1"/>
    <col min="6913" max="6913" width="13.28515625" style="1" customWidth="1"/>
    <col min="6914" max="6914" width="32.140625" style="1" customWidth="1"/>
    <col min="6915" max="6915" width="20.7109375" style="1" customWidth="1"/>
    <col min="6916" max="6916" width="10.42578125" style="1" customWidth="1"/>
    <col min="6917" max="6917" width="18.5703125" style="1" customWidth="1"/>
    <col min="6918" max="6918" width="11.7109375" style="1" customWidth="1"/>
    <col min="6919" max="6919" width="19.28515625" style="1" customWidth="1"/>
    <col min="6920" max="6920" width="10.28515625" style="1" customWidth="1"/>
    <col min="6921" max="6921" width="19.42578125" style="1" customWidth="1"/>
    <col min="6922" max="6922" width="10.28515625" style="1" customWidth="1"/>
    <col min="6923" max="6923" width="19.5703125" style="1" customWidth="1"/>
    <col min="6924" max="6924" width="10.42578125" style="1" customWidth="1"/>
    <col min="6925" max="6925" width="21.140625" style="1" customWidth="1"/>
    <col min="6926" max="6926" width="11.7109375" style="1" customWidth="1"/>
    <col min="6927" max="7168" width="11.42578125" style="1"/>
    <col min="7169" max="7169" width="13.28515625" style="1" customWidth="1"/>
    <col min="7170" max="7170" width="32.140625" style="1" customWidth="1"/>
    <col min="7171" max="7171" width="20.7109375" style="1" customWidth="1"/>
    <col min="7172" max="7172" width="10.42578125" style="1" customWidth="1"/>
    <col min="7173" max="7173" width="18.5703125" style="1" customWidth="1"/>
    <col min="7174" max="7174" width="11.7109375" style="1" customWidth="1"/>
    <col min="7175" max="7175" width="19.28515625" style="1" customWidth="1"/>
    <col min="7176" max="7176" width="10.28515625" style="1" customWidth="1"/>
    <col min="7177" max="7177" width="19.42578125" style="1" customWidth="1"/>
    <col min="7178" max="7178" width="10.28515625" style="1" customWidth="1"/>
    <col min="7179" max="7179" width="19.5703125" style="1" customWidth="1"/>
    <col min="7180" max="7180" width="10.42578125" style="1" customWidth="1"/>
    <col min="7181" max="7181" width="21.140625" style="1" customWidth="1"/>
    <col min="7182" max="7182" width="11.7109375" style="1" customWidth="1"/>
    <col min="7183" max="7424" width="11.42578125" style="1"/>
    <col min="7425" max="7425" width="13.28515625" style="1" customWidth="1"/>
    <col min="7426" max="7426" width="32.140625" style="1" customWidth="1"/>
    <col min="7427" max="7427" width="20.7109375" style="1" customWidth="1"/>
    <col min="7428" max="7428" width="10.42578125" style="1" customWidth="1"/>
    <col min="7429" max="7429" width="18.5703125" style="1" customWidth="1"/>
    <col min="7430" max="7430" width="11.7109375" style="1" customWidth="1"/>
    <col min="7431" max="7431" width="19.28515625" style="1" customWidth="1"/>
    <col min="7432" max="7432" width="10.28515625" style="1" customWidth="1"/>
    <col min="7433" max="7433" width="19.42578125" style="1" customWidth="1"/>
    <col min="7434" max="7434" width="10.28515625" style="1" customWidth="1"/>
    <col min="7435" max="7435" width="19.5703125" style="1" customWidth="1"/>
    <col min="7436" max="7436" width="10.42578125" style="1" customWidth="1"/>
    <col min="7437" max="7437" width="21.140625" style="1" customWidth="1"/>
    <col min="7438" max="7438" width="11.7109375" style="1" customWidth="1"/>
    <col min="7439" max="7680" width="11.42578125" style="1"/>
    <col min="7681" max="7681" width="13.28515625" style="1" customWidth="1"/>
    <col min="7682" max="7682" width="32.140625" style="1" customWidth="1"/>
    <col min="7683" max="7683" width="20.7109375" style="1" customWidth="1"/>
    <col min="7684" max="7684" width="10.42578125" style="1" customWidth="1"/>
    <col min="7685" max="7685" width="18.5703125" style="1" customWidth="1"/>
    <col min="7686" max="7686" width="11.7109375" style="1" customWidth="1"/>
    <col min="7687" max="7687" width="19.28515625" style="1" customWidth="1"/>
    <col min="7688" max="7688" width="10.28515625" style="1" customWidth="1"/>
    <col min="7689" max="7689" width="19.42578125" style="1" customWidth="1"/>
    <col min="7690" max="7690" width="10.28515625" style="1" customWidth="1"/>
    <col min="7691" max="7691" width="19.5703125" style="1" customWidth="1"/>
    <col min="7692" max="7692" width="10.42578125" style="1" customWidth="1"/>
    <col min="7693" max="7693" width="21.140625" style="1" customWidth="1"/>
    <col min="7694" max="7694" width="11.7109375" style="1" customWidth="1"/>
    <col min="7695" max="7936" width="11.42578125" style="1"/>
    <col min="7937" max="7937" width="13.28515625" style="1" customWidth="1"/>
    <col min="7938" max="7938" width="32.140625" style="1" customWidth="1"/>
    <col min="7939" max="7939" width="20.7109375" style="1" customWidth="1"/>
    <col min="7940" max="7940" width="10.42578125" style="1" customWidth="1"/>
    <col min="7941" max="7941" width="18.5703125" style="1" customWidth="1"/>
    <col min="7942" max="7942" width="11.7109375" style="1" customWidth="1"/>
    <col min="7943" max="7943" width="19.28515625" style="1" customWidth="1"/>
    <col min="7944" max="7944" width="10.28515625" style="1" customWidth="1"/>
    <col min="7945" max="7945" width="19.42578125" style="1" customWidth="1"/>
    <col min="7946" max="7946" width="10.28515625" style="1" customWidth="1"/>
    <col min="7947" max="7947" width="19.5703125" style="1" customWidth="1"/>
    <col min="7948" max="7948" width="10.42578125" style="1" customWidth="1"/>
    <col min="7949" max="7949" width="21.140625" style="1" customWidth="1"/>
    <col min="7950" max="7950" width="11.7109375" style="1" customWidth="1"/>
    <col min="7951" max="8192" width="11.42578125" style="1"/>
    <col min="8193" max="8193" width="13.28515625" style="1" customWidth="1"/>
    <col min="8194" max="8194" width="32.140625" style="1" customWidth="1"/>
    <col min="8195" max="8195" width="20.7109375" style="1" customWidth="1"/>
    <col min="8196" max="8196" width="10.42578125" style="1" customWidth="1"/>
    <col min="8197" max="8197" width="18.5703125" style="1" customWidth="1"/>
    <col min="8198" max="8198" width="11.7109375" style="1" customWidth="1"/>
    <col min="8199" max="8199" width="19.28515625" style="1" customWidth="1"/>
    <col min="8200" max="8200" width="10.28515625" style="1" customWidth="1"/>
    <col min="8201" max="8201" width="19.42578125" style="1" customWidth="1"/>
    <col min="8202" max="8202" width="10.28515625" style="1" customWidth="1"/>
    <col min="8203" max="8203" width="19.5703125" style="1" customWidth="1"/>
    <col min="8204" max="8204" width="10.42578125" style="1" customWidth="1"/>
    <col min="8205" max="8205" width="21.140625" style="1" customWidth="1"/>
    <col min="8206" max="8206" width="11.7109375" style="1" customWidth="1"/>
    <col min="8207" max="8448" width="11.42578125" style="1"/>
    <col min="8449" max="8449" width="13.28515625" style="1" customWidth="1"/>
    <col min="8450" max="8450" width="32.140625" style="1" customWidth="1"/>
    <col min="8451" max="8451" width="20.7109375" style="1" customWidth="1"/>
    <col min="8452" max="8452" width="10.42578125" style="1" customWidth="1"/>
    <col min="8453" max="8453" width="18.5703125" style="1" customWidth="1"/>
    <col min="8454" max="8454" width="11.7109375" style="1" customWidth="1"/>
    <col min="8455" max="8455" width="19.28515625" style="1" customWidth="1"/>
    <col min="8456" max="8456" width="10.28515625" style="1" customWidth="1"/>
    <col min="8457" max="8457" width="19.42578125" style="1" customWidth="1"/>
    <col min="8458" max="8458" width="10.28515625" style="1" customWidth="1"/>
    <col min="8459" max="8459" width="19.5703125" style="1" customWidth="1"/>
    <col min="8460" max="8460" width="10.42578125" style="1" customWidth="1"/>
    <col min="8461" max="8461" width="21.140625" style="1" customWidth="1"/>
    <col min="8462" max="8462" width="11.7109375" style="1" customWidth="1"/>
    <col min="8463" max="8704" width="11.42578125" style="1"/>
    <col min="8705" max="8705" width="13.28515625" style="1" customWidth="1"/>
    <col min="8706" max="8706" width="32.140625" style="1" customWidth="1"/>
    <col min="8707" max="8707" width="20.7109375" style="1" customWidth="1"/>
    <col min="8708" max="8708" width="10.42578125" style="1" customWidth="1"/>
    <col min="8709" max="8709" width="18.5703125" style="1" customWidth="1"/>
    <col min="8710" max="8710" width="11.7109375" style="1" customWidth="1"/>
    <col min="8711" max="8711" width="19.28515625" style="1" customWidth="1"/>
    <col min="8712" max="8712" width="10.28515625" style="1" customWidth="1"/>
    <col min="8713" max="8713" width="19.42578125" style="1" customWidth="1"/>
    <col min="8714" max="8714" width="10.28515625" style="1" customWidth="1"/>
    <col min="8715" max="8715" width="19.5703125" style="1" customWidth="1"/>
    <col min="8716" max="8716" width="10.42578125" style="1" customWidth="1"/>
    <col min="8717" max="8717" width="21.140625" style="1" customWidth="1"/>
    <col min="8718" max="8718" width="11.7109375" style="1" customWidth="1"/>
    <col min="8719" max="8960" width="11.42578125" style="1"/>
    <col min="8961" max="8961" width="13.28515625" style="1" customWidth="1"/>
    <col min="8962" max="8962" width="32.140625" style="1" customWidth="1"/>
    <col min="8963" max="8963" width="20.7109375" style="1" customWidth="1"/>
    <col min="8964" max="8964" width="10.42578125" style="1" customWidth="1"/>
    <col min="8965" max="8965" width="18.5703125" style="1" customWidth="1"/>
    <col min="8966" max="8966" width="11.7109375" style="1" customWidth="1"/>
    <col min="8967" max="8967" width="19.28515625" style="1" customWidth="1"/>
    <col min="8968" max="8968" width="10.28515625" style="1" customWidth="1"/>
    <col min="8969" max="8969" width="19.42578125" style="1" customWidth="1"/>
    <col min="8970" max="8970" width="10.28515625" style="1" customWidth="1"/>
    <col min="8971" max="8971" width="19.5703125" style="1" customWidth="1"/>
    <col min="8972" max="8972" width="10.42578125" style="1" customWidth="1"/>
    <col min="8973" max="8973" width="21.140625" style="1" customWidth="1"/>
    <col min="8974" max="8974" width="11.7109375" style="1" customWidth="1"/>
    <col min="8975" max="9216" width="11.42578125" style="1"/>
    <col min="9217" max="9217" width="13.28515625" style="1" customWidth="1"/>
    <col min="9218" max="9218" width="32.140625" style="1" customWidth="1"/>
    <col min="9219" max="9219" width="20.7109375" style="1" customWidth="1"/>
    <col min="9220" max="9220" width="10.42578125" style="1" customWidth="1"/>
    <col min="9221" max="9221" width="18.5703125" style="1" customWidth="1"/>
    <col min="9222" max="9222" width="11.7109375" style="1" customWidth="1"/>
    <col min="9223" max="9223" width="19.28515625" style="1" customWidth="1"/>
    <col min="9224" max="9224" width="10.28515625" style="1" customWidth="1"/>
    <col min="9225" max="9225" width="19.42578125" style="1" customWidth="1"/>
    <col min="9226" max="9226" width="10.28515625" style="1" customWidth="1"/>
    <col min="9227" max="9227" width="19.5703125" style="1" customWidth="1"/>
    <col min="9228" max="9228" width="10.42578125" style="1" customWidth="1"/>
    <col min="9229" max="9229" width="21.140625" style="1" customWidth="1"/>
    <col min="9230" max="9230" width="11.7109375" style="1" customWidth="1"/>
    <col min="9231" max="9472" width="11.42578125" style="1"/>
    <col min="9473" max="9473" width="13.28515625" style="1" customWidth="1"/>
    <col min="9474" max="9474" width="32.140625" style="1" customWidth="1"/>
    <col min="9475" max="9475" width="20.7109375" style="1" customWidth="1"/>
    <col min="9476" max="9476" width="10.42578125" style="1" customWidth="1"/>
    <col min="9477" max="9477" width="18.5703125" style="1" customWidth="1"/>
    <col min="9478" max="9478" width="11.7109375" style="1" customWidth="1"/>
    <col min="9479" max="9479" width="19.28515625" style="1" customWidth="1"/>
    <col min="9480" max="9480" width="10.28515625" style="1" customWidth="1"/>
    <col min="9481" max="9481" width="19.42578125" style="1" customWidth="1"/>
    <col min="9482" max="9482" width="10.28515625" style="1" customWidth="1"/>
    <col min="9483" max="9483" width="19.5703125" style="1" customWidth="1"/>
    <col min="9484" max="9484" width="10.42578125" style="1" customWidth="1"/>
    <col min="9485" max="9485" width="21.140625" style="1" customWidth="1"/>
    <col min="9486" max="9486" width="11.7109375" style="1" customWidth="1"/>
    <col min="9487" max="9728" width="11.42578125" style="1"/>
    <col min="9729" max="9729" width="13.28515625" style="1" customWidth="1"/>
    <col min="9730" max="9730" width="32.140625" style="1" customWidth="1"/>
    <col min="9731" max="9731" width="20.7109375" style="1" customWidth="1"/>
    <col min="9732" max="9732" width="10.42578125" style="1" customWidth="1"/>
    <col min="9733" max="9733" width="18.5703125" style="1" customWidth="1"/>
    <col min="9734" max="9734" width="11.7109375" style="1" customWidth="1"/>
    <col min="9735" max="9735" width="19.28515625" style="1" customWidth="1"/>
    <col min="9736" max="9736" width="10.28515625" style="1" customWidth="1"/>
    <col min="9737" max="9737" width="19.42578125" style="1" customWidth="1"/>
    <col min="9738" max="9738" width="10.28515625" style="1" customWidth="1"/>
    <col min="9739" max="9739" width="19.5703125" style="1" customWidth="1"/>
    <col min="9740" max="9740" width="10.42578125" style="1" customWidth="1"/>
    <col min="9741" max="9741" width="21.140625" style="1" customWidth="1"/>
    <col min="9742" max="9742" width="11.7109375" style="1" customWidth="1"/>
    <col min="9743" max="9984" width="11.42578125" style="1"/>
    <col min="9985" max="9985" width="13.28515625" style="1" customWidth="1"/>
    <col min="9986" max="9986" width="32.140625" style="1" customWidth="1"/>
    <col min="9987" max="9987" width="20.7109375" style="1" customWidth="1"/>
    <col min="9988" max="9988" width="10.42578125" style="1" customWidth="1"/>
    <col min="9989" max="9989" width="18.5703125" style="1" customWidth="1"/>
    <col min="9990" max="9990" width="11.7109375" style="1" customWidth="1"/>
    <col min="9991" max="9991" width="19.28515625" style="1" customWidth="1"/>
    <col min="9992" max="9992" width="10.28515625" style="1" customWidth="1"/>
    <col min="9993" max="9993" width="19.42578125" style="1" customWidth="1"/>
    <col min="9994" max="9994" width="10.28515625" style="1" customWidth="1"/>
    <col min="9995" max="9995" width="19.5703125" style="1" customWidth="1"/>
    <col min="9996" max="9996" width="10.42578125" style="1" customWidth="1"/>
    <col min="9997" max="9997" width="21.140625" style="1" customWidth="1"/>
    <col min="9998" max="9998" width="11.7109375" style="1" customWidth="1"/>
    <col min="9999" max="10240" width="11.42578125" style="1"/>
    <col min="10241" max="10241" width="13.28515625" style="1" customWidth="1"/>
    <col min="10242" max="10242" width="32.140625" style="1" customWidth="1"/>
    <col min="10243" max="10243" width="20.7109375" style="1" customWidth="1"/>
    <col min="10244" max="10244" width="10.42578125" style="1" customWidth="1"/>
    <col min="10245" max="10245" width="18.5703125" style="1" customWidth="1"/>
    <col min="10246" max="10246" width="11.7109375" style="1" customWidth="1"/>
    <col min="10247" max="10247" width="19.28515625" style="1" customWidth="1"/>
    <col min="10248" max="10248" width="10.28515625" style="1" customWidth="1"/>
    <col min="10249" max="10249" width="19.42578125" style="1" customWidth="1"/>
    <col min="10250" max="10250" width="10.28515625" style="1" customWidth="1"/>
    <col min="10251" max="10251" width="19.5703125" style="1" customWidth="1"/>
    <col min="10252" max="10252" width="10.42578125" style="1" customWidth="1"/>
    <col min="10253" max="10253" width="21.140625" style="1" customWidth="1"/>
    <col min="10254" max="10254" width="11.7109375" style="1" customWidth="1"/>
    <col min="10255" max="10496" width="11.42578125" style="1"/>
    <col min="10497" max="10497" width="13.28515625" style="1" customWidth="1"/>
    <col min="10498" max="10498" width="32.140625" style="1" customWidth="1"/>
    <col min="10499" max="10499" width="20.7109375" style="1" customWidth="1"/>
    <col min="10500" max="10500" width="10.42578125" style="1" customWidth="1"/>
    <col min="10501" max="10501" width="18.5703125" style="1" customWidth="1"/>
    <col min="10502" max="10502" width="11.7109375" style="1" customWidth="1"/>
    <col min="10503" max="10503" width="19.28515625" style="1" customWidth="1"/>
    <col min="10504" max="10504" width="10.28515625" style="1" customWidth="1"/>
    <col min="10505" max="10505" width="19.42578125" style="1" customWidth="1"/>
    <col min="10506" max="10506" width="10.28515625" style="1" customWidth="1"/>
    <col min="10507" max="10507" width="19.5703125" style="1" customWidth="1"/>
    <col min="10508" max="10508" width="10.42578125" style="1" customWidth="1"/>
    <col min="10509" max="10509" width="21.140625" style="1" customWidth="1"/>
    <col min="10510" max="10510" width="11.7109375" style="1" customWidth="1"/>
    <col min="10511" max="10752" width="11.42578125" style="1"/>
    <col min="10753" max="10753" width="13.28515625" style="1" customWidth="1"/>
    <col min="10754" max="10754" width="32.140625" style="1" customWidth="1"/>
    <col min="10755" max="10755" width="20.7109375" style="1" customWidth="1"/>
    <col min="10756" max="10756" width="10.42578125" style="1" customWidth="1"/>
    <col min="10757" max="10757" width="18.5703125" style="1" customWidth="1"/>
    <col min="10758" max="10758" width="11.7109375" style="1" customWidth="1"/>
    <col min="10759" max="10759" width="19.28515625" style="1" customWidth="1"/>
    <col min="10760" max="10760" width="10.28515625" style="1" customWidth="1"/>
    <col min="10761" max="10761" width="19.42578125" style="1" customWidth="1"/>
    <col min="10762" max="10762" width="10.28515625" style="1" customWidth="1"/>
    <col min="10763" max="10763" width="19.5703125" style="1" customWidth="1"/>
    <col min="10764" max="10764" width="10.42578125" style="1" customWidth="1"/>
    <col min="10765" max="10765" width="21.140625" style="1" customWidth="1"/>
    <col min="10766" max="10766" width="11.7109375" style="1" customWidth="1"/>
    <col min="10767" max="11008" width="11.42578125" style="1"/>
    <col min="11009" max="11009" width="13.28515625" style="1" customWidth="1"/>
    <col min="11010" max="11010" width="32.140625" style="1" customWidth="1"/>
    <col min="11011" max="11011" width="20.7109375" style="1" customWidth="1"/>
    <col min="11012" max="11012" width="10.42578125" style="1" customWidth="1"/>
    <col min="11013" max="11013" width="18.5703125" style="1" customWidth="1"/>
    <col min="11014" max="11014" width="11.7109375" style="1" customWidth="1"/>
    <col min="11015" max="11015" width="19.28515625" style="1" customWidth="1"/>
    <col min="11016" max="11016" width="10.28515625" style="1" customWidth="1"/>
    <col min="11017" max="11017" width="19.42578125" style="1" customWidth="1"/>
    <col min="11018" max="11018" width="10.28515625" style="1" customWidth="1"/>
    <col min="11019" max="11019" width="19.5703125" style="1" customWidth="1"/>
    <col min="11020" max="11020" width="10.42578125" style="1" customWidth="1"/>
    <col min="11021" max="11021" width="21.140625" style="1" customWidth="1"/>
    <col min="11022" max="11022" width="11.7109375" style="1" customWidth="1"/>
    <col min="11023" max="11264" width="11.42578125" style="1"/>
    <col min="11265" max="11265" width="13.28515625" style="1" customWidth="1"/>
    <col min="11266" max="11266" width="32.140625" style="1" customWidth="1"/>
    <col min="11267" max="11267" width="20.7109375" style="1" customWidth="1"/>
    <col min="11268" max="11268" width="10.42578125" style="1" customWidth="1"/>
    <col min="11269" max="11269" width="18.5703125" style="1" customWidth="1"/>
    <col min="11270" max="11270" width="11.7109375" style="1" customWidth="1"/>
    <col min="11271" max="11271" width="19.28515625" style="1" customWidth="1"/>
    <col min="11272" max="11272" width="10.28515625" style="1" customWidth="1"/>
    <col min="11273" max="11273" width="19.42578125" style="1" customWidth="1"/>
    <col min="11274" max="11274" width="10.28515625" style="1" customWidth="1"/>
    <col min="11275" max="11275" width="19.5703125" style="1" customWidth="1"/>
    <col min="11276" max="11276" width="10.42578125" style="1" customWidth="1"/>
    <col min="11277" max="11277" width="21.140625" style="1" customWidth="1"/>
    <col min="11278" max="11278" width="11.7109375" style="1" customWidth="1"/>
    <col min="11279" max="11520" width="11.42578125" style="1"/>
    <col min="11521" max="11521" width="13.28515625" style="1" customWidth="1"/>
    <col min="11522" max="11522" width="32.140625" style="1" customWidth="1"/>
    <col min="11523" max="11523" width="20.7109375" style="1" customWidth="1"/>
    <col min="11524" max="11524" width="10.42578125" style="1" customWidth="1"/>
    <col min="11525" max="11525" width="18.5703125" style="1" customWidth="1"/>
    <col min="11526" max="11526" width="11.7109375" style="1" customWidth="1"/>
    <col min="11527" max="11527" width="19.28515625" style="1" customWidth="1"/>
    <col min="11528" max="11528" width="10.28515625" style="1" customWidth="1"/>
    <col min="11529" max="11529" width="19.42578125" style="1" customWidth="1"/>
    <col min="11530" max="11530" width="10.28515625" style="1" customWidth="1"/>
    <col min="11531" max="11531" width="19.5703125" style="1" customWidth="1"/>
    <col min="11532" max="11532" width="10.42578125" style="1" customWidth="1"/>
    <col min="11533" max="11533" width="21.140625" style="1" customWidth="1"/>
    <col min="11534" max="11534" width="11.7109375" style="1" customWidth="1"/>
    <col min="11535" max="11776" width="11.42578125" style="1"/>
    <col min="11777" max="11777" width="13.28515625" style="1" customWidth="1"/>
    <col min="11778" max="11778" width="32.140625" style="1" customWidth="1"/>
    <col min="11779" max="11779" width="20.7109375" style="1" customWidth="1"/>
    <col min="11780" max="11780" width="10.42578125" style="1" customWidth="1"/>
    <col min="11781" max="11781" width="18.5703125" style="1" customWidth="1"/>
    <col min="11782" max="11782" width="11.7109375" style="1" customWidth="1"/>
    <col min="11783" max="11783" width="19.28515625" style="1" customWidth="1"/>
    <col min="11784" max="11784" width="10.28515625" style="1" customWidth="1"/>
    <col min="11785" max="11785" width="19.42578125" style="1" customWidth="1"/>
    <col min="11786" max="11786" width="10.28515625" style="1" customWidth="1"/>
    <col min="11787" max="11787" width="19.5703125" style="1" customWidth="1"/>
    <col min="11788" max="11788" width="10.42578125" style="1" customWidth="1"/>
    <col min="11789" max="11789" width="21.140625" style="1" customWidth="1"/>
    <col min="11790" max="11790" width="11.7109375" style="1" customWidth="1"/>
    <col min="11791" max="12032" width="11.42578125" style="1"/>
    <col min="12033" max="12033" width="13.28515625" style="1" customWidth="1"/>
    <col min="12034" max="12034" width="32.140625" style="1" customWidth="1"/>
    <col min="12035" max="12035" width="20.7109375" style="1" customWidth="1"/>
    <col min="12036" max="12036" width="10.42578125" style="1" customWidth="1"/>
    <col min="12037" max="12037" width="18.5703125" style="1" customWidth="1"/>
    <col min="12038" max="12038" width="11.7109375" style="1" customWidth="1"/>
    <col min="12039" max="12039" width="19.28515625" style="1" customWidth="1"/>
    <col min="12040" max="12040" width="10.28515625" style="1" customWidth="1"/>
    <col min="12041" max="12041" width="19.42578125" style="1" customWidth="1"/>
    <col min="12042" max="12042" width="10.28515625" style="1" customWidth="1"/>
    <col min="12043" max="12043" width="19.5703125" style="1" customWidth="1"/>
    <col min="12044" max="12044" width="10.42578125" style="1" customWidth="1"/>
    <col min="12045" max="12045" width="21.140625" style="1" customWidth="1"/>
    <col min="12046" max="12046" width="11.7109375" style="1" customWidth="1"/>
    <col min="12047" max="12288" width="11.42578125" style="1"/>
    <col min="12289" max="12289" width="13.28515625" style="1" customWidth="1"/>
    <col min="12290" max="12290" width="32.140625" style="1" customWidth="1"/>
    <col min="12291" max="12291" width="20.7109375" style="1" customWidth="1"/>
    <col min="12292" max="12292" width="10.42578125" style="1" customWidth="1"/>
    <col min="12293" max="12293" width="18.5703125" style="1" customWidth="1"/>
    <col min="12294" max="12294" width="11.7109375" style="1" customWidth="1"/>
    <col min="12295" max="12295" width="19.28515625" style="1" customWidth="1"/>
    <col min="12296" max="12296" width="10.28515625" style="1" customWidth="1"/>
    <col min="12297" max="12297" width="19.42578125" style="1" customWidth="1"/>
    <col min="12298" max="12298" width="10.28515625" style="1" customWidth="1"/>
    <col min="12299" max="12299" width="19.5703125" style="1" customWidth="1"/>
    <col min="12300" max="12300" width="10.42578125" style="1" customWidth="1"/>
    <col min="12301" max="12301" width="21.140625" style="1" customWidth="1"/>
    <col min="12302" max="12302" width="11.7109375" style="1" customWidth="1"/>
    <col min="12303" max="12544" width="11.42578125" style="1"/>
    <col min="12545" max="12545" width="13.28515625" style="1" customWidth="1"/>
    <col min="12546" max="12546" width="32.140625" style="1" customWidth="1"/>
    <col min="12547" max="12547" width="20.7109375" style="1" customWidth="1"/>
    <col min="12548" max="12548" width="10.42578125" style="1" customWidth="1"/>
    <col min="12549" max="12549" width="18.5703125" style="1" customWidth="1"/>
    <col min="12550" max="12550" width="11.7109375" style="1" customWidth="1"/>
    <col min="12551" max="12551" width="19.28515625" style="1" customWidth="1"/>
    <col min="12552" max="12552" width="10.28515625" style="1" customWidth="1"/>
    <col min="12553" max="12553" width="19.42578125" style="1" customWidth="1"/>
    <col min="12554" max="12554" width="10.28515625" style="1" customWidth="1"/>
    <col min="12555" max="12555" width="19.5703125" style="1" customWidth="1"/>
    <col min="12556" max="12556" width="10.42578125" style="1" customWidth="1"/>
    <col min="12557" max="12557" width="21.140625" style="1" customWidth="1"/>
    <col min="12558" max="12558" width="11.7109375" style="1" customWidth="1"/>
    <col min="12559" max="12800" width="11.42578125" style="1"/>
    <col min="12801" max="12801" width="13.28515625" style="1" customWidth="1"/>
    <col min="12802" max="12802" width="32.140625" style="1" customWidth="1"/>
    <col min="12803" max="12803" width="20.7109375" style="1" customWidth="1"/>
    <col min="12804" max="12804" width="10.42578125" style="1" customWidth="1"/>
    <col min="12805" max="12805" width="18.5703125" style="1" customWidth="1"/>
    <col min="12806" max="12806" width="11.7109375" style="1" customWidth="1"/>
    <col min="12807" max="12807" width="19.28515625" style="1" customWidth="1"/>
    <col min="12808" max="12808" width="10.28515625" style="1" customWidth="1"/>
    <col min="12809" max="12809" width="19.42578125" style="1" customWidth="1"/>
    <col min="12810" max="12810" width="10.28515625" style="1" customWidth="1"/>
    <col min="12811" max="12811" width="19.5703125" style="1" customWidth="1"/>
    <col min="12812" max="12812" width="10.42578125" style="1" customWidth="1"/>
    <col min="12813" max="12813" width="21.140625" style="1" customWidth="1"/>
    <col min="12814" max="12814" width="11.7109375" style="1" customWidth="1"/>
    <col min="12815" max="13056" width="11.42578125" style="1"/>
    <col min="13057" max="13057" width="13.28515625" style="1" customWidth="1"/>
    <col min="13058" max="13058" width="32.140625" style="1" customWidth="1"/>
    <col min="13059" max="13059" width="20.7109375" style="1" customWidth="1"/>
    <col min="13060" max="13060" width="10.42578125" style="1" customWidth="1"/>
    <col min="13061" max="13061" width="18.5703125" style="1" customWidth="1"/>
    <col min="13062" max="13062" width="11.7109375" style="1" customWidth="1"/>
    <col min="13063" max="13063" width="19.28515625" style="1" customWidth="1"/>
    <col min="13064" max="13064" width="10.28515625" style="1" customWidth="1"/>
    <col min="13065" max="13065" width="19.42578125" style="1" customWidth="1"/>
    <col min="13066" max="13066" width="10.28515625" style="1" customWidth="1"/>
    <col min="13067" max="13067" width="19.5703125" style="1" customWidth="1"/>
    <col min="13068" max="13068" width="10.42578125" style="1" customWidth="1"/>
    <col min="13069" max="13069" width="21.140625" style="1" customWidth="1"/>
    <col min="13070" max="13070" width="11.7109375" style="1" customWidth="1"/>
    <col min="13071" max="13312" width="11.42578125" style="1"/>
    <col min="13313" max="13313" width="13.28515625" style="1" customWidth="1"/>
    <col min="13314" max="13314" width="32.140625" style="1" customWidth="1"/>
    <col min="13315" max="13315" width="20.7109375" style="1" customWidth="1"/>
    <col min="13316" max="13316" width="10.42578125" style="1" customWidth="1"/>
    <col min="13317" max="13317" width="18.5703125" style="1" customWidth="1"/>
    <col min="13318" max="13318" width="11.7109375" style="1" customWidth="1"/>
    <col min="13319" max="13319" width="19.28515625" style="1" customWidth="1"/>
    <col min="13320" max="13320" width="10.28515625" style="1" customWidth="1"/>
    <col min="13321" max="13321" width="19.42578125" style="1" customWidth="1"/>
    <col min="13322" max="13322" width="10.28515625" style="1" customWidth="1"/>
    <col min="13323" max="13323" width="19.5703125" style="1" customWidth="1"/>
    <col min="13324" max="13324" width="10.42578125" style="1" customWidth="1"/>
    <col min="13325" max="13325" width="21.140625" style="1" customWidth="1"/>
    <col min="13326" max="13326" width="11.7109375" style="1" customWidth="1"/>
    <col min="13327" max="13568" width="11.42578125" style="1"/>
    <col min="13569" max="13569" width="13.28515625" style="1" customWidth="1"/>
    <col min="13570" max="13570" width="32.140625" style="1" customWidth="1"/>
    <col min="13571" max="13571" width="20.7109375" style="1" customWidth="1"/>
    <col min="13572" max="13572" width="10.42578125" style="1" customWidth="1"/>
    <col min="13573" max="13573" width="18.5703125" style="1" customWidth="1"/>
    <col min="13574" max="13574" width="11.7109375" style="1" customWidth="1"/>
    <col min="13575" max="13575" width="19.28515625" style="1" customWidth="1"/>
    <col min="13576" max="13576" width="10.28515625" style="1" customWidth="1"/>
    <col min="13577" max="13577" width="19.42578125" style="1" customWidth="1"/>
    <col min="13578" max="13578" width="10.28515625" style="1" customWidth="1"/>
    <col min="13579" max="13579" width="19.5703125" style="1" customWidth="1"/>
    <col min="13580" max="13580" width="10.42578125" style="1" customWidth="1"/>
    <col min="13581" max="13581" width="21.140625" style="1" customWidth="1"/>
    <col min="13582" max="13582" width="11.7109375" style="1" customWidth="1"/>
    <col min="13583" max="13824" width="11.42578125" style="1"/>
    <col min="13825" max="13825" width="13.28515625" style="1" customWidth="1"/>
    <col min="13826" max="13826" width="32.140625" style="1" customWidth="1"/>
    <col min="13827" max="13827" width="20.7109375" style="1" customWidth="1"/>
    <col min="13828" max="13828" width="10.42578125" style="1" customWidth="1"/>
    <col min="13829" max="13829" width="18.5703125" style="1" customWidth="1"/>
    <col min="13830" max="13830" width="11.7109375" style="1" customWidth="1"/>
    <col min="13831" max="13831" width="19.28515625" style="1" customWidth="1"/>
    <col min="13832" max="13832" width="10.28515625" style="1" customWidth="1"/>
    <col min="13833" max="13833" width="19.42578125" style="1" customWidth="1"/>
    <col min="13834" max="13834" width="10.28515625" style="1" customWidth="1"/>
    <col min="13835" max="13835" width="19.5703125" style="1" customWidth="1"/>
    <col min="13836" max="13836" width="10.42578125" style="1" customWidth="1"/>
    <col min="13837" max="13837" width="21.140625" style="1" customWidth="1"/>
    <col min="13838" max="13838" width="11.7109375" style="1" customWidth="1"/>
    <col min="13839" max="14080" width="11.42578125" style="1"/>
    <col min="14081" max="14081" width="13.28515625" style="1" customWidth="1"/>
    <col min="14082" max="14082" width="32.140625" style="1" customWidth="1"/>
    <col min="14083" max="14083" width="20.7109375" style="1" customWidth="1"/>
    <col min="14084" max="14084" width="10.42578125" style="1" customWidth="1"/>
    <col min="14085" max="14085" width="18.5703125" style="1" customWidth="1"/>
    <col min="14086" max="14086" width="11.7109375" style="1" customWidth="1"/>
    <col min="14087" max="14087" width="19.28515625" style="1" customWidth="1"/>
    <col min="14088" max="14088" width="10.28515625" style="1" customWidth="1"/>
    <col min="14089" max="14089" width="19.42578125" style="1" customWidth="1"/>
    <col min="14090" max="14090" width="10.28515625" style="1" customWidth="1"/>
    <col min="14091" max="14091" width="19.5703125" style="1" customWidth="1"/>
    <col min="14092" max="14092" width="10.42578125" style="1" customWidth="1"/>
    <col min="14093" max="14093" width="21.140625" style="1" customWidth="1"/>
    <col min="14094" max="14094" width="11.7109375" style="1" customWidth="1"/>
    <col min="14095" max="14336" width="11.42578125" style="1"/>
    <col min="14337" max="14337" width="13.28515625" style="1" customWidth="1"/>
    <col min="14338" max="14338" width="32.140625" style="1" customWidth="1"/>
    <col min="14339" max="14339" width="20.7109375" style="1" customWidth="1"/>
    <col min="14340" max="14340" width="10.42578125" style="1" customWidth="1"/>
    <col min="14341" max="14341" width="18.5703125" style="1" customWidth="1"/>
    <col min="14342" max="14342" width="11.7109375" style="1" customWidth="1"/>
    <col min="14343" max="14343" width="19.28515625" style="1" customWidth="1"/>
    <col min="14344" max="14344" width="10.28515625" style="1" customWidth="1"/>
    <col min="14345" max="14345" width="19.42578125" style="1" customWidth="1"/>
    <col min="14346" max="14346" width="10.28515625" style="1" customWidth="1"/>
    <col min="14347" max="14347" width="19.5703125" style="1" customWidth="1"/>
    <col min="14348" max="14348" width="10.42578125" style="1" customWidth="1"/>
    <col min="14349" max="14349" width="21.140625" style="1" customWidth="1"/>
    <col min="14350" max="14350" width="11.7109375" style="1" customWidth="1"/>
    <col min="14351" max="14592" width="11.42578125" style="1"/>
    <col min="14593" max="14593" width="13.28515625" style="1" customWidth="1"/>
    <col min="14594" max="14594" width="32.140625" style="1" customWidth="1"/>
    <col min="14595" max="14595" width="20.7109375" style="1" customWidth="1"/>
    <col min="14596" max="14596" width="10.42578125" style="1" customWidth="1"/>
    <col min="14597" max="14597" width="18.5703125" style="1" customWidth="1"/>
    <col min="14598" max="14598" width="11.7109375" style="1" customWidth="1"/>
    <col min="14599" max="14599" width="19.28515625" style="1" customWidth="1"/>
    <col min="14600" max="14600" width="10.28515625" style="1" customWidth="1"/>
    <col min="14601" max="14601" width="19.42578125" style="1" customWidth="1"/>
    <col min="14602" max="14602" width="10.28515625" style="1" customWidth="1"/>
    <col min="14603" max="14603" width="19.5703125" style="1" customWidth="1"/>
    <col min="14604" max="14604" width="10.42578125" style="1" customWidth="1"/>
    <col min="14605" max="14605" width="21.140625" style="1" customWidth="1"/>
    <col min="14606" max="14606" width="11.7109375" style="1" customWidth="1"/>
    <col min="14607" max="14848" width="11.42578125" style="1"/>
    <col min="14849" max="14849" width="13.28515625" style="1" customWidth="1"/>
    <col min="14850" max="14850" width="32.140625" style="1" customWidth="1"/>
    <col min="14851" max="14851" width="20.7109375" style="1" customWidth="1"/>
    <col min="14852" max="14852" width="10.42578125" style="1" customWidth="1"/>
    <col min="14853" max="14853" width="18.5703125" style="1" customWidth="1"/>
    <col min="14854" max="14854" width="11.7109375" style="1" customWidth="1"/>
    <col min="14855" max="14855" width="19.28515625" style="1" customWidth="1"/>
    <col min="14856" max="14856" width="10.28515625" style="1" customWidth="1"/>
    <col min="14857" max="14857" width="19.42578125" style="1" customWidth="1"/>
    <col min="14858" max="14858" width="10.28515625" style="1" customWidth="1"/>
    <col min="14859" max="14859" width="19.5703125" style="1" customWidth="1"/>
    <col min="14860" max="14860" width="10.42578125" style="1" customWidth="1"/>
    <col min="14861" max="14861" width="21.140625" style="1" customWidth="1"/>
    <col min="14862" max="14862" width="11.7109375" style="1" customWidth="1"/>
    <col min="14863" max="15104" width="11.42578125" style="1"/>
    <col min="15105" max="15105" width="13.28515625" style="1" customWidth="1"/>
    <col min="15106" max="15106" width="32.140625" style="1" customWidth="1"/>
    <col min="15107" max="15107" width="20.7109375" style="1" customWidth="1"/>
    <col min="15108" max="15108" width="10.42578125" style="1" customWidth="1"/>
    <col min="15109" max="15109" width="18.5703125" style="1" customWidth="1"/>
    <col min="15110" max="15110" width="11.7109375" style="1" customWidth="1"/>
    <col min="15111" max="15111" width="19.28515625" style="1" customWidth="1"/>
    <col min="15112" max="15112" width="10.28515625" style="1" customWidth="1"/>
    <col min="15113" max="15113" width="19.42578125" style="1" customWidth="1"/>
    <col min="15114" max="15114" width="10.28515625" style="1" customWidth="1"/>
    <col min="15115" max="15115" width="19.5703125" style="1" customWidth="1"/>
    <col min="15116" max="15116" width="10.42578125" style="1" customWidth="1"/>
    <col min="15117" max="15117" width="21.140625" style="1" customWidth="1"/>
    <col min="15118" max="15118" width="11.7109375" style="1" customWidth="1"/>
    <col min="15119" max="15360" width="11.42578125" style="1"/>
    <col min="15361" max="15361" width="13.28515625" style="1" customWidth="1"/>
    <col min="15362" max="15362" width="32.140625" style="1" customWidth="1"/>
    <col min="15363" max="15363" width="20.7109375" style="1" customWidth="1"/>
    <col min="15364" max="15364" width="10.42578125" style="1" customWidth="1"/>
    <col min="15365" max="15365" width="18.5703125" style="1" customWidth="1"/>
    <col min="15366" max="15366" width="11.7109375" style="1" customWidth="1"/>
    <col min="15367" max="15367" width="19.28515625" style="1" customWidth="1"/>
    <col min="15368" max="15368" width="10.28515625" style="1" customWidth="1"/>
    <col min="15369" max="15369" width="19.42578125" style="1" customWidth="1"/>
    <col min="15370" max="15370" width="10.28515625" style="1" customWidth="1"/>
    <col min="15371" max="15371" width="19.5703125" style="1" customWidth="1"/>
    <col min="15372" max="15372" width="10.42578125" style="1" customWidth="1"/>
    <col min="15373" max="15373" width="21.140625" style="1" customWidth="1"/>
    <col min="15374" max="15374" width="11.7109375" style="1" customWidth="1"/>
    <col min="15375" max="15616" width="11.42578125" style="1"/>
    <col min="15617" max="15617" width="13.28515625" style="1" customWidth="1"/>
    <col min="15618" max="15618" width="32.140625" style="1" customWidth="1"/>
    <col min="15619" max="15619" width="20.7109375" style="1" customWidth="1"/>
    <col min="15620" max="15620" width="10.42578125" style="1" customWidth="1"/>
    <col min="15621" max="15621" width="18.5703125" style="1" customWidth="1"/>
    <col min="15622" max="15622" width="11.7109375" style="1" customWidth="1"/>
    <col min="15623" max="15623" width="19.28515625" style="1" customWidth="1"/>
    <col min="15624" max="15624" width="10.28515625" style="1" customWidth="1"/>
    <col min="15625" max="15625" width="19.42578125" style="1" customWidth="1"/>
    <col min="15626" max="15626" width="10.28515625" style="1" customWidth="1"/>
    <col min="15627" max="15627" width="19.5703125" style="1" customWidth="1"/>
    <col min="15628" max="15628" width="10.42578125" style="1" customWidth="1"/>
    <col min="15629" max="15629" width="21.140625" style="1" customWidth="1"/>
    <col min="15630" max="15630" width="11.7109375" style="1" customWidth="1"/>
    <col min="15631" max="15872" width="11.42578125" style="1"/>
    <col min="15873" max="15873" width="13.28515625" style="1" customWidth="1"/>
    <col min="15874" max="15874" width="32.140625" style="1" customWidth="1"/>
    <col min="15875" max="15875" width="20.7109375" style="1" customWidth="1"/>
    <col min="15876" max="15876" width="10.42578125" style="1" customWidth="1"/>
    <col min="15877" max="15877" width="18.5703125" style="1" customWidth="1"/>
    <col min="15878" max="15878" width="11.7109375" style="1" customWidth="1"/>
    <col min="15879" max="15879" width="19.28515625" style="1" customWidth="1"/>
    <col min="15880" max="15880" width="10.28515625" style="1" customWidth="1"/>
    <col min="15881" max="15881" width="19.42578125" style="1" customWidth="1"/>
    <col min="15882" max="15882" width="10.28515625" style="1" customWidth="1"/>
    <col min="15883" max="15883" width="19.5703125" style="1" customWidth="1"/>
    <col min="15884" max="15884" width="10.42578125" style="1" customWidth="1"/>
    <col min="15885" max="15885" width="21.140625" style="1" customWidth="1"/>
    <col min="15886" max="15886" width="11.7109375" style="1" customWidth="1"/>
    <col min="15887" max="16128" width="11.42578125" style="1"/>
    <col min="16129" max="16129" width="13.28515625" style="1" customWidth="1"/>
    <col min="16130" max="16130" width="32.140625" style="1" customWidth="1"/>
    <col min="16131" max="16131" width="20.7109375" style="1" customWidth="1"/>
    <col min="16132" max="16132" width="10.42578125" style="1" customWidth="1"/>
    <col min="16133" max="16133" width="18.5703125" style="1" customWidth="1"/>
    <col min="16134" max="16134" width="11.7109375" style="1" customWidth="1"/>
    <col min="16135" max="16135" width="19.28515625" style="1" customWidth="1"/>
    <col min="16136" max="16136" width="10.28515625" style="1" customWidth="1"/>
    <col min="16137" max="16137" width="19.42578125" style="1" customWidth="1"/>
    <col min="16138" max="16138" width="10.28515625" style="1" customWidth="1"/>
    <col min="16139" max="16139" width="19.5703125" style="1" customWidth="1"/>
    <col min="16140" max="16140" width="10.42578125" style="1" customWidth="1"/>
    <col min="16141" max="16141" width="21.140625" style="1" customWidth="1"/>
    <col min="16142" max="16142" width="11.7109375" style="1" customWidth="1"/>
    <col min="16143" max="16384" width="11.42578125" style="1"/>
  </cols>
  <sheetData>
    <row r="1" spans="1:14" ht="67.5" customHeight="1" x14ac:dyDescent="0.2">
      <c r="A1" s="1018" t="s">
        <v>53</v>
      </c>
      <c r="B1" s="1019"/>
      <c r="C1" s="1019"/>
      <c r="D1" s="1019"/>
      <c r="E1" s="1019"/>
      <c r="F1" s="1019"/>
      <c r="G1" s="1019"/>
      <c r="H1" s="1019"/>
      <c r="I1" s="1019"/>
      <c r="J1" s="1019"/>
      <c r="K1" s="1019"/>
      <c r="L1" s="1019"/>
      <c r="M1" s="1019"/>
      <c r="N1" s="1019"/>
    </row>
    <row r="2" spans="1:14" s="4" customFormat="1" ht="103.5" customHeight="1" x14ac:dyDescent="0.2">
      <c r="A2" s="2" t="s">
        <v>12</v>
      </c>
      <c r="B2" s="2" t="s">
        <v>12</v>
      </c>
      <c r="C2" s="3" t="s">
        <v>13</v>
      </c>
      <c r="D2" s="3" t="s">
        <v>14</v>
      </c>
      <c r="E2" s="3" t="s">
        <v>15</v>
      </c>
      <c r="F2" s="3" t="s">
        <v>16</v>
      </c>
      <c r="G2" s="3" t="s">
        <v>17</v>
      </c>
      <c r="H2" s="3" t="s">
        <v>18</v>
      </c>
      <c r="I2" s="3" t="s">
        <v>19</v>
      </c>
      <c r="J2" s="3" t="s">
        <v>20</v>
      </c>
      <c r="K2" s="3" t="s">
        <v>21</v>
      </c>
      <c r="L2" s="3" t="s">
        <v>22</v>
      </c>
      <c r="M2" s="3" t="s">
        <v>23</v>
      </c>
      <c r="N2" s="3" t="s">
        <v>24</v>
      </c>
    </row>
    <row r="3" spans="1:14" s="16" customFormat="1" ht="15" x14ac:dyDescent="0.25">
      <c r="A3" s="5">
        <v>304</v>
      </c>
      <c r="B3" s="6" t="s">
        <v>25</v>
      </c>
      <c r="C3" s="7">
        <f>'SGTO POAI JUNIO 2020'!BG8</f>
        <v>146122927.59999999</v>
      </c>
      <c r="D3" s="8">
        <v>1</v>
      </c>
      <c r="E3" s="7"/>
      <c r="F3" s="9">
        <f>E3/C3</f>
        <v>0</v>
      </c>
      <c r="G3" s="7"/>
      <c r="H3" s="10">
        <f>G3/C3</f>
        <v>0</v>
      </c>
      <c r="I3" s="11"/>
      <c r="J3" s="10">
        <v>0</v>
      </c>
      <c r="K3" s="12"/>
      <c r="L3" s="13">
        <v>0</v>
      </c>
      <c r="M3" s="14">
        <f t="shared" ref="M3:M15" si="0">C3-E3</f>
        <v>146122927.59999999</v>
      </c>
      <c r="N3" s="15">
        <f t="shared" ref="N3:N20" si="1">M3/C3</f>
        <v>1</v>
      </c>
    </row>
    <row r="4" spans="1:14" s="16" customFormat="1" ht="15" x14ac:dyDescent="0.25">
      <c r="A4" s="5">
        <v>305</v>
      </c>
      <c r="B4" s="6" t="s">
        <v>26</v>
      </c>
      <c r="C4" s="7">
        <f>'SGTO POAI JUNIO 2020'!BG16</f>
        <v>1063529522.3</v>
      </c>
      <c r="D4" s="8">
        <v>1</v>
      </c>
      <c r="E4" s="7">
        <v>270768332</v>
      </c>
      <c r="F4" s="9">
        <f>E4/C4</f>
        <v>0.2545940910172701</v>
      </c>
      <c r="G4" s="7">
        <f>'SGTO POAI JUNIO 2020'!BH16</f>
        <v>270768332</v>
      </c>
      <c r="H4" s="10">
        <f t="shared" ref="H4:H15" si="2">G4/C4</f>
        <v>0.2545940910172701</v>
      </c>
      <c r="I4" s="17">
        <f>'SGTO POAI JUNIO 2020'!BI16</f>
        <v>190375000</v>
      </c>
      <c r="J4" s="10">
        <f>I4/G4</f>
        <v>0.70309182242183332</v>
      </c>
      <c r="K4" s="18" t="e">
        <f>#REF!</f>
        <v>#REF!</v>
      </c>
      <c r="L4" s="10" t="e">
        <f>K4/G4</f>
        <v>#REF!</v>
      </c>
      <c r="M4" s="14">
        <f t="shared" si="0"/>
        <v>792761190.29999995</v>
      </c>
      <c r="N4" s="15">
        <f t="shared" si="1"/>
        <v>0.74540590898272985</v>
      </c>
    </row>
    <row r="5" spans="1:14" s="16" customFormat="1" ht="15" x14ac:dyDescent="0.25">
      <c r="A5" s="5">
        <v>307</v>
      </c>
      <c r="B5" s="6" t="s">
        <v>27</v>
      </c>
      <c r="C5" s="7">
        <f>'SGTO POAI JUNIO 2020'!BG33</f>
        <v>2291134000</v>
      </c>
      <c r="D5" s="8">
        <v>1</v>
      </c>
      <c r="E5" s="7">
        <v>785519199</v>
      </c>
      <c r="F5" s="9">
        <f t="shared" ref="F5:F15" si="3">E5/C5</f>
        <v>0.34285170531274034</v>
      </c>
      <c r="G5" s="7">
        <f>E5</f>
        <v>785519199</v>
      </c>
      <c r="H5" s="10">
        <f t="shared" si="2"/>
        <v>0.34285170531274034</v>
      </c>
      <c r="I5" s="17">
        <f>'SGTO POAI JUNIO 2020'!BI33</f>
        <v>412572565</v>
      </c>
      <c r="J5" s="10">
        <f t="shared" ref="J5:J15" si="4">I5/G5</f>
        <v>0.52522276416059943</v>
      </c>
      <c r="K5" s="18">
        <f>I5</f>
        <v>412572565</v>
      </c>
      <c r="L5" s="10">
        <f t="shared" ref="L5:L15" si="5">K5/G5</f>
        <v>0.52522276416059943</v>
      </c>
      <c r="M5" s="14">
        <f t="shared" si="0"/>
        <v>1505614801</v>
      </c>
      <c r="N5" s="15">
        <f t="shared" si="1"/>
        <v>0.65714829468725966</v>
      </c>
    </row>
    <row r="6" spans="1:14" s="16" customFormat="1" ht="15" x14ac:dyDescent="0.25">
      <c r="A6" s="5">
        <v>308</v>
      </c>
      <c r="B6" s="6" t="s">
        <v>28</v>
      </c>
      <c r="C6" s="14">
        <f>'SGTO POAI JUNIO 2020'!BG39</f>
        <v>11377317547.619999</v>
      </c>
      <c r="D6" s="8">
        <v>1</v>
      </c>
      <c r="E6" s="14">
        <v>495649665</v>
      </c>
      <c r="F6" s="9">
        <f t="shared" si="3"/>
        <v>4.3564721027205933E-2</v>
      </c>
      <c r="G6" s="14">
        <f>E6</f>
        <v>495649665</v>
      </c>
      <c r="H6" s="10">
        <f t="shared" si="2"/>
        <v>4.3564721027205933E-2</v>
      </c>
      <c r="I6" s="17">
        <f>'SGTO POAI JUNIO 2020'!BI39</f>
        <v>328786008</v>
      </c>
      <c r="J6" s="10">
        <f t="shared" si="4"/>
        <v>0.66334354931925554</v>
      </c>
      <c r="K6" s="18">
        <f>I6</f>
        <v>328786008</v>
      </c>
      <c r="L6" s="10">
        <f t="shared" si="5"/>
        <v>0.66334354931925554</v>
      </c>
      <c r="M6" s="14">
        <f t="shared" si="0"/>
        <v>10881667882.619999</v>
      </c>
      <c r="N6" s="15">
        <f t="shared" si="1"/>
        <v>0.95643527897279412</v>
      </c>
    </row>
    <row r="7" spans="1:14" s="16" customFormat="1" ht="15" x14ac:dyDescent="0.25">
      <c r="A7" s="5">
        <v>309</v>
      </c>
      <c r="B7" s="6" t="s">
        <v>29</v>
      </c>
      <c r="C7" s="14">
        <f>'SGTO POAI JUNIO 2020'!BG80</f>
        <v>6845730354.1600008</v>
      </c>
      <c r="D7" s="8">
        <v>1</v>
      </c>
      <c r="E7" s="14">
        <v>322548460</v>
      </c>
      <c r="F7" s="9">
        <f t="shared" si="3"/>
        <v>4.7116734564924011E-2</v>
      </c>
      <c r="G7" s="14">
        <f>E7</f>
        <v>322548460</v>
      </c>
      <c r="H7" s="10">
        <f t="shared" si="2"/>
        <v>4.7116734564924011E-2</v>
      </c>
      <c r="I7" s="17">
        <f>'SGTO POAI JUNIO 2020'!BI80</f>
        <v>180071568</v>
      </c>
      <c r="J7" s="10">
        <f t="shared" si="4"/>
        <v>0.55827756238550941</v>
      </c>
      <c r="K7" s="18">
        <f>I7</f>
        <v>180071568</v>
      </c>
      <c r="L7" s="10">
        <f t="shared" si="5"/>
        <v>0.55827756238550941</v>
      </c>
      <c r="M7" s="14">
        <f t="shared" si="0"/>
        <v>6523181894.1600008</v>
      </c>
      <c r="N7" s="15">
        <f t="shared" si="1"/>
        <v>0.95288326543507595</v>
      </c>
    </row>
    <row r="8" spans="1:14" s="16" customFormat="1" ht="15" x14ac:dyDescent="0.25">
      <c r="A8" s="5">
        <v>310</v>
      </c>
      <c r="B8" s="6" t="s">
        <v>30</v>
      </c>
      <c r="C8" s="7">
        <f>'SGTO POAI JUNIO 2020'!BG118</f>
        <v>3798881706.1300001</v>
      </c>
      <c r="D8" s="8">
        <v>1</v>
      </c>
      <c r="E8" s="7">
        <v>117800000</v>
      </c>
      <c r="F8" s="9">
        <f t="shared" si="3"/>
        <v>3.1009125609232333E-2</v>
      </c>
      <c r="G8" s="14">
        <f t="shared" ref="G8:G15" si="6">E8</f>
        <v>117800000</v>
      </c>
      <c r="H8" s="10">
        <f t="shared" si="2"/>
        <v>3.1009125609232333E-2</v>
      </c>
      <c r="I8" s="17">
        <f>'SGTO POAI JUNIO 2020'!BI118</f>
        <v>115000000</v>
      </c>
      <c r="J8" s="10">
        <f t="shared" si="4"/>
        <v>0.97623089983022071</v>
      </c>
      <c r="K8" s="18">
        <f t="shared" ref="K8:K15" si="7">I8</f>
        <v>115000000</v>
      </c>
      <c r="L8" s="10">
        <f t="shared" si="5"/>
        <v>0.97623089983022071</v>
      </c>
      <c r="M8" s="14">
        <f t="shared" si="0"/>
        <v>3681081706.1300001</v>
      </c>
      <c r="N8" s="15">
        <f t="shared" si="1"/>
        <v>0.9689908743907677</v>
      </c>
    </row>
    <row r="9" spans="1:14" s="16" customFormat="1" ht="19.5" customHeight="1" x14ac:dyDescent="0.25">
      <c r="A9" s="5">
        <v>311</v>
      </c>
      <c r="B9" s="19" t="s">
        <v>31</v>
      </c>
      <c r="C9" s="7">
        <f>'SGTO POAI JUNIO 2020'!BG131</f>
        <v>1572671841.8499999</v>
      </c>
      <c r="D9" s="8">
        <v>1</v>
      </c>
      <c r="E9" s="7">
        <v>402279998</v>
      </c>
      <c r="F9" s="9">
        <f t="shared" si="3"/>
        <v>0.25579398530260522</v>
      </c>
      <c r="G9" s="14">
        <f t="shared" si="6"/>
        <v>402279998</v>
      </c>
      <c r="H9" s="10">
        <f t="shared" si="2"/>
        <v>0.25579398530260522</v>
      </c>
      <c r="I9" s="17">
        <f>'SGTO POAI JUNIO 2020'!BI131</f>
        <v>389373332</v>
      </c>
      <c r="J9" s="10">
        <f t="shared" si="4"/>
        <v>0.96791621242873727</v>
      </c>
      <c r="K9" s="18">
        <f t="shared" si="7"/>
        <v>389373332</v>
      </c>
      <c r="L9" s="10">
        <f t="shared" si="5"/>
        <v>0.96791621242873727</v>
      </c>
      <c r="M9" s="14">
        <f t="shared" si="0"/>
        <v>1170391843.8499999</v>
      </c>
      <c r="N9" s="15">
        <f t="shared" si="1"/>
        <v>0.74420601469739478</v>
      </c>
    </row>
    <row r="10" spans="1:14" s="16" customFormat="1" ht="30" x14ac:dyDescent="0.25">
      <c r="A10" s="5">
        <v>312</v>
      </c>
      <c r="B10" s="19" t="s">
        <v>32</v>
      </c>
      <c r="C10" s="7">
        <f>'SGTO POAI JUNIO 2020'!BG148</f>
        <v>2852390196.25</v>
      </c>
      <c r="D10" s="8">
        <v>1</v>
      </c>
      <c r="E10" s="7">
        <v>346616664</v>
      </c>
      <c r="F10" s="9">
        <f t="shared" si="3"/>
        <v>0.12151796919499036</v>
      </c>
      <c r="G10" s="14">
        <f t="shared" si="6"/>
        <v>346616664</v>
      </c>
      <c r="H10" s="10">
        <f t="shared" si="2"/>
        <v>0.12151796919499036</v>
      </c>
      <c r="I10" s="17">
        <f>'SGTO POAI JUNIO 2020'!BI148</f>
        <v>295466664</v>
      </c>
      <c r="J10" s="10">
        <f t="shared" si="4"/>
        <v>0.8524306378991634</v>
      </c>
      <c r="K10" s="18">
        <f t="shared" si="7"/>
        <v>295466664</v>
      </c>
      <c r="L10" s="10">
        <f t="shared" si="5"/>
        <v>0.8524306378991634</v>
      </c>
      <c r="M10" s="14">
        <f t="shared" si="0"/>
        <v>2505773532.25</v>
      </c>
      <c r="N10" s="15">
        <f t="shared" si="1"/>
        <v>0.87848203080500964</v>
      </c>
    </row>
    <row r="11" spans="1:14" s="24" customFormat="1" ht="15" x14ac:dyDescent="0.25">
      <c r="A11" s="20">
        <v>313</v>
      </c>
      <c r="B11" s="6" t="s">
        <v>33</v>
      </c>
      <c r="C11" s="21">
        <f>'SGTO POAI JUNIO 2020'!BG196</f>
        <v>991267429</v>
      </c>
      <c r="D11" s="8">
        <v>1</v>
      </c>
      <c r="E11" s="22">
        <v>275754000</v>
      </c>
      <c r="F11" s="9">
        <f t="shared" si="3"/>
        <v>0.27818325502552149</v>
      </c>
      <c r="G11" s="14">
        <f t="shared" si="6"/>
        <v>275754000</v>
      </c>
      <c r="H11" s="10">
        <f t="shared" si="2"/>
        <v>0.27818325502552149</v>
      </c>
      <c r="I11" s="17">
        <f>'SGTO POAI JUNIO 2020'!BI196</f>
        <v>191841333.32999998</v>
      </c>
      <c r="J11" s="10">
        <f t="shared" si="4"/>
        <v>0.69569737276703147</v>
      </c>
      <c r="K11" s="18">
        <f t="shared" si="7"/>
        <v>191841333.32999998</v>
      </c>
      <c r="L11" s="10">
        <f t="shared" si="5"/>
        <v>0.69569737276703147</v>
      </c>
      <c r="M11" s="23">
        <f t="shared" si="0"/>
        <v>715513429</v>
      </c>
      <c r="N11" s="15">
        <f t="shared" si="1"/>
        <v>0.72181674497447856</v>
      </c>
    </row>
    <row r="12" spans="1:14" s="24" customFormat="1" ht="15" x14ac:dyDescent="0.25">
      <c r="A12" s="20">
        <v>314</v>
      </c>
      <c r="B12" s="6" t="s">
        <v>34</v>
      </c>
      <c r="C12" s="23">
        <f>'SGTO POAI JUNIO 2020'!BG204</f>
        <v>176193619689.29831</v>
      </c>
      <c r="D12" s="8">
        <v>1</v>
      </c>
      <c r="E12" s="23">
        <v>84149120164</v>
      </c>
      <c r="F12" s="9">
        <f t="shared" si="3"/>
        <v>0.47759459345003213</v>
      </c>
      <c r="G12" s="14">
        <f t="shared" si="6"/>
        <v>84149120164</v>
      </c>
      <c r="H12" s="10">
        <f t="shared" si="2"/>
        <v>0.47759459345003213</v>
      </c>
      <c r="I12" s="17">
        <f>'SGTO POAI JUNIO 2020'!BI204</f>
        <v>73045021484</v>
      </c>
      <c r="J12" s="10">
        <f t="shared" si="4"/>
        <v>0.86804260509962572</v>
      </c>
      <c r="K12" s="18">
        <v>73021892984</v>
      </c>
      <c r="L12" s="10">
        <f t="shared" si="5"/>
        <v>0.86776775374105031</v>
      </c>
      <c r="M12" s="23">
        <f t="shared" si="0"/>
        <v>92044499525.298309</v>
      </c>
      <c r="N12" s="15">
        <f t="shared" si="1"/>
        <v>0.52240540654996792</v>
      </c>
    </row>
    <row r="13" spans="1:14" s="16" customFormat="1" ht="15" x14ac:dyDescent="0.25">
      <c r="A13" s="5">
        <v>316</v>
      </c>
      <c r="B13" s="6" t="s">
        <v>35</v>
      </c>
      <c r="C13" s="21">
        <f>'SGTO POAI JUNIO 2020'!BG233</f>
        <v>6196772069.3899994</v>
      </c>
      <c r="D13" s="8">
        <v>1</v>
      </c>
      <c r="E13" s="21">
        <v>1413487570</v>
      </c>
      <c r="F13" s="9">
        <f t="shared" si="3"/>
        <v>0.22810062306182927</v>
      </c>
      <c r="G13" s="14">
        <f t="shared" si="6"/>
        <v>1413487570</v>
      </c>
      <c r="H13" s="10">
        <f t="shared" si="2"/>
        <v>0.22810062306182927</v>
      </c>
      <c r="I13" s="17">
        <f>'SGTO POAI JUNIO 2020'!BI233</f>
        <v>1374887570</v>
      </c>
      <c r="J13" s="10">
        <f t="shared" si="4"/>
        <v>0.97269165939676427</v>
      </c>
      <c r="K13" s="18">
        <f t="shared" si="7"/>
        <v>1374887570</v>
      </c>
      <c r="L13" s="10">
        <f t="shared" si="5"/>
        <v>0.97269165939676427</v>
      </c>
      <c r="M13" s="14">
        <f t="shared" si="0"/>
        <v>4783284499.3899994</v>
      </c>
      <c r="N13" s="15">
        <f t="shared" si="1"/>
        <v>0.77189937693817068</v>
      </c>
    </row>
    <row r="14" spans="1:14" s="16" customFormat="1" ht="15" x14ac:dyDescent="0.25">
      <c r="A14" s="5">
        <v>318</v>
      </c>
      <c r="B14" s="6" t="s">
        <v>36</v>
      </c>
      <c r="C14" s="7">
        <f>'SGTO POAI JUNIO 2020'!BG279</f>
        <v>40546938920.18</v>
      </c>
      <c r="D14" s="8">
        <v>1</v>
      </c>
      <c r="E14" s="7">
        <v>22142167576</v>
      </c>
      <c r="F14" s="9">
        <f t="shared" si="3"/>
        <v>0.54608727972261206</v>
      </c>
      <c r="G14" s="14">
        <f t="shared" si="6"/>
        <v>22142167576</v>
      </c>
      <c r="H14" s="10">
        <f t="shared" si="2"/>
        <v>0.54608727972261206</v>
      </c>
      <c r="I14" s="17">
        <f>'SGTO POAI JUNIO 2020'!BI279</f>
        <v>1240835921</v>
      </c>
      <c r="J14" s="10">
        <f t="shared" si="4"/>
        <v>5.603949643778091E-2</v>
      </c>
      <c r="K14" s="18">
        <v>1232635021</v>
      </c>
      <c r="L14" s="10">
        <f t="shared" si="5"/>
        <v>5.5669121677864045E-2</v>
      </c>
      <c r="M14" s="14">
        <f t="shared" si="0"/>
        <v>18404771344.18</v>
      </c>
      <c r="N14" s="15">
        <f t="shared" si="1"/>
        <v>0.45391272027738799</v>
      </c>
    </row>
    <row r="15" spans="1:14" s="16" customFormat="1" ht="30" x14ac:dyDescent="0.25">
      <c r="A15" s="5">
        <v>324</v>
      </c>
      <c r="B15" s="19" t="s">
        <v>37</v>
      </c>
      <c r="C15" s="7">
        <f>'SGTO POAI JUNIO 2020'!BG347</f>
        <v>491885000</v>
      </c>
      <c r="D15" s="8">
        <v>1</v>
      </c>
      <c r="E15" s="7">
        <v>146689132</v>
      </c>
      <c r="F15" s="9">
        <f t="shared" si="3"/>
        <v>0.29821834778454315</v>
      </c>
      <c r="G15" s="14">
        <f t="shared" si="6"/>
        <v>146689132</v>
      </c>
      <c r="H15" s="10">
        <f t="shared" si="2"/>
        <v>0.29821834778454315</v>
      </c>
      <c r="I15" s="17">
        <f>'SGTO POAI JUNIO 2020'!BI347</f>
        <v>134611132</v>
      </c>
      <c r="J15" s="10">
        <f t="shared" si="4"/>
        <v>0.91766261184230058</v>
      </c>
      <c r="K15" s="18">
        <f t="shared" si="7"/>
        <v>134611132</v>
      </c>
      <c r="L15" s="10">
        <f t="shared" si="5"/>
        <v>0.91766261184230058</v>
      </c>
      <c r="M15" s="14">
        <f t="shared" si="0"/>
        <v>345195868</v>
      </c>
      <c r="N15" s="15">
        <f t="shared" si="1"/>
        <v>0.70178165221545685</v>
      </c>
    </row>
    <row r="16" spans="1:14" s="30" customFormat="1" ht="32.25" customHeight="1" x14ac:dyDescent="0.25">
      <c r="A16" s="25"/>
      <c r="B16" s="25" t="s">
        <v>38</v>
      </c>
      <c r="C16" s="26">
        <f>SUM(C3:C15)</f>
        <v>254368261203.77832</v>
      </c>
      <c r="D16" s="27">
        <v>1</v>
      </c>
      <c r="E16" s="26">
        <f>SUM(E3:E15)</f>
        <v>110868400760</v>
      </c>
      <c r="F16" s="28">
        <f>E16/C16</f>
        <v>0.43585783947778617</v>
      </c>
      <c r="G16" s="26">
        <f>SUM(G3:G15)</f>
        <v>110868400760</v>
      </c>
      <c r="H16" s="28">
        <f>G16/C16</f>
        <v>0.43585783947778617</v>
      </c>
      <c r="I16" s="26">
        <f>SUM(I3:I15)</f>
        <v>77898842577.330002</v>
      </c>
      <c r="J16" s="28">
        <f>I16/G16</f>
        <v>0.70262439110995978</v>
      </c>
      <c r="K16" s="26" t="e">
        <f>SUM(K3:K15)</f>
        <v>#REF!</v>
      </c>
      <c r="L16" s="28" t="e">
        <f>K16/G16</f>
        <v>#REF!</v>
      </c>
      <c r="M16" s="26">
        <f>SUM(M3:M15)</f>
        <v>143499860443.77832</v>
      </c>
      <c r="N16" s="29">
        <f t="shared" si="1"/>
        <v>0.56414216052221378</v>
      </c>
    </row>
    <row r="17" spans="1:15" s="16" customFormat="1" ht="15" x14ac:dyDescent="0.25">
      <c r="A17" s="5">
        <v>319</v>
      </c>
      <c r="B17" s="6" t="s">
        <v>39</v>
      </c>
      <c r="C17" s="21">
        <f>'SGTO POAI JUNIO 2020'!BG365</f>
        <v>1398778115</v>
      </c>
      <c r="D17" s="8">
        <v>1</v>
      </c>
      <c r="E17" s="21">
        <f>'SGTO POAI JUNIO 2020'!BH365</f>
        <v>303932098</v>
      </c>
      <c r="F17" s="9">
        <f>E17/C17</f>
        <v>0.21728399575367963</v>
      </c>
      <c r="G17" s="21">
        <f>E17</f>
        <v>303932098</v>
      </c>
      <c r="H17" s="10">
        <f>G17/C17</f>
        <v>0.21728399575367963</v>
      </c>
      <c r="I17" s="17">
        <f>'SGTO POAI JUNIO 2020'!BI365</f>
        <v>223586507</v>
      </c>
      <c r="J17" s="10">
        <f>I17/G17</f>
        <v>0.73564624622174657</v>
      </c>
      <c r="K17" s="18">
        <f>I17</f>
        <v>223586507</v>
      </c>
      <c r="L17" s="10">
        <f>K17/G17</f>
        <v>0.73564624622174657</v>
      </c>
      <c r="M17" s="14">
        <f>C17-E17</f>
        <v>1094846017</v>
      </c>
      <c r="N17" s="15">
        <f t="shared" si="1"/>
        <v>0.78271600424632037</v>
      </c>
    </row>
    <row r="18" spans="1:15" s="16" customFormat="1" ht="15" x14ac:dyDescent="0.25">
      <c r="A18" s="5">
        <v>320</v>
      </c>
      <c r="B18" s="6" t="s">
        <v>40</v>
      </c>
      <c r="C18" s="7">
        <f>'SGTO POAI JUNIO 2020'!BG379</f>
        <v>1903518104</v>
      </c>
      <c r="D18" s="8">
        <v>1</v>
      </c>
      <c r="E18" s="7">
        <f>'SGTO POAI JUNIO 2020'!BH379</f>
        <v>594636903.99000001</v>
      </c>
      <c r="F18" s="9">
        <f>E18/C18</f>
        <v>0.31238836275864496</v>
      </c>
      <c r="G18" s="7">
        <f>E18</f>
        <v>594636903.99000001</v>
      </c>
      <c r="H18" s="10">
        <f>G18/C18</f>
        <v>0.31238836275864496</v>
      </c>
      <c r="I18" s="17">
        <f>'SGTO POAI JUNIO 2020'!BI379</f>
        <v>431430704</v>
      </c>
      <c r="J18" s="10">
        <f>I18/G18</f>
        <v>0.72553637540002958</v>
      </c>
      <c r="K18" s="18">
        <f>I18</f>
        <v>431430704</v>
      </c>
      <c r="L18" s="10">
        <f>K18/G18</f>
        <v>0.72553637540002958</v>
      </c>
      <c r="M18" s="14">
        <f>C18-E18</f>
        <v>1308881200.01</v>
      </c>
      <c r="N18" s="15">
        <f t="shared" si="1"/>
        <v>0.6876116372413551</v>
      </c>
    </row>
    <row r="19" spans="1:15" s="16" customFormat="1" ht="15" x14ac:dyDescent="0.25">
      <c r="A19" s="5">
        <v>321</v>
      </c>
      <c r="B19" s="19" t="s">
        <v>41</v>
      </c>
      <c r="C19" s="7">
        <v>107000000</v>
      </c>
      <c r="D19" s="8">
        <v>1</v>
      </c>
      <c r="E19" s="7">
        <v>23052000</v>
      </c>
      <c r="F19" s="9">
        <f>E19/C19</f>
        <v>0.21543925233644859</v>
      </c>
      <c r="G19" s="7">
        <v>23052000</v>
      </c>
      <c r="H19" s="10">
        <f>G19/C19</f>
        <v>0.21543925233644859</v>
      </c>
      <c r="I19" s="17">
        <v>16218000</v>
      </c>
      <c r="J19" s="10">
        <f>I19/G19</f>
        <v>0.70353982300884954</v>
      </c>
      <c r="K19" s="17">
        <v>16218000</v>
      </c>
      <c r="L19" s="10">
        <f>K19/G19</f>
        <v>0.70353982300884954</v>
      </c>
      <c r="M19" s="14">
        <f>C19-E19</f>
        <v>83948000</v>
      </c>
      <c r="N19" s="15">
        <f t="shared" si="1"/>
        <v>0.78456074766355144</v>
      </c>
    </row>
    <row r="20" spans="1:15" s="30" customFormat="1" ht="32.25" customHeight="1" x14ac:dyDescent="0.25">
      <c r="A20" s="25"/>
      <c r="B20" s="25" t="s">
        <v>42</v>
      </c>
      <c r="C20" s="26">
        <f>SUM(C17:C19)</f>
        <v>3409296219</v>
      </c>
      <c r="D20" s="27">
        <v>1</v>
      </c>
      <c r="E20" s="26">
        <f>SUM(E17:E19)</f>
        <v>921621001.99000001</v>
      </c>
      <c r="F20" s="28">
        <f>E20/C20</f>
        <v>0.27032588041303313</v>
      </c>
      <c r="G20" s="26">
        <f>SUM(G17:G19)</f>
        <v>921621001.99000001</v>
      </c>
      <c r="H20" s="28">
        <f>G20/C20</f>
        <v>0.27032588041303313</v>
      </c>
      <c r="I20" s="26">
        <f>SUM(I17:I19)</f>
        <v>671235211</v>
      </c>
      <c r="J20" s="28">
        <f>I20/G20</f>
        <v>0.72832022008031805</v>
      </c>
      <c r="K20" s="26">
        <f>SUM(K17:K19)</f>
        <v>671235211</v>
      </c>
      <c r="L20" s="28">
        <f>K20/G20</f>
        <v>0.72832022008031805</v>
      </c>
      <c r="M20" s="26">
        <f>SUM(M17:M19)</f>
        <v>2487675217.0100002</v>
      </c>
      <c r="N20" s="29">
        <f t="shared" si="1"/>
        <v>0.72967411958696693</v>
      </c>
    </row>
    <row r="21" spans="1:15" ht="7.5" customHeight="1" x14ac:dyDescent="0.2"/>
    <row r="22" spans="1:15" s="30" customFormat="1" ht="32.25" customHeight="1" x14ac:dyDescent="0.25">
      <c r="A22" s="25"/>
      <c r="B22" s="25" t="s">
        <v>43</v>
      </c>
      <c r="C22" s="26">
        <f>C16+C20</f>
        <v>257777557422.77832</v>
      </c>
      <c r="D22" s="27">
        <v>1</v>
      </c>
      <c r="E22" s="26">
        <f>E16+E20</f>
        <v>111790021761.99001</v>
      </c>
      <c r="F22" s="28">
        <f>E22/C22</f>
        <v>0.43366855858070041</v>
      </c>
      <c r="G22" s="26">
        <f>G16+G20</f>
        <v>111790021761.99001</v>
      </c>
      <c r="H22" s="28">
        <f>G22/C22</f>
        <v>0.43366855858070041</v>
      </c>
      <c r="I22" s="26">
        <f>I16+I20</f>
        <v>78570077788.330002</v>
      </c>
      <c r="J22" s="28">
        <f>I22/G22</f>
        <v>0.70283623305496845</v>
      </c>
      <c r="K22" s="26" t="e">
        <f>K16+K20</f>
        <v>#REF!</v>
      </c>
      <c r="L22" s="28" t="e">
        <f>K22/G22</f>
        <v>#REF!</v>
      </c>
      <c r="M22" s="26">
        <f>M16+M20</f>
        <v>145987535660.78833</v>
      </c>
      <c r="N22" s="29">
        <f>M22/C22</f>
        <v>0.5663314414192997</v>
      </c>
    </row>
    <row r="24" spans="1:15" s="32" customFormat="1" x14ac:dyDescent="0.2">
      <c r="A24" s="1"/>
      <c r="B24" s="31"/>
      <c r="C24" s="1020"/>
      <c r="D24" s="1020"/>
      <c r="E24" s="1020"/>
      <c r="F24" s="33"/>
      <c r="N24" s="1"/>
    </row>
    <row r="25" spans="1:15" s="32" customFormat="1" x14ac:dyDescent="0.2">
      <c r="A25" s="1"/>
      <c r="B25" s="31"/>
      <c r="C25" s="34"/>
      <c r="D25" s="34"/>
      <c r="E25" s="34"/>
      <c r="F25" s="34"/>
      <c r="N25" s="1"/>
    </row>
    <row r="26" spans="1:15" s="32" customFormat="1" x14ac:dyDescent="0.2">
      <c r="A26" s="1"/>
      <c r="B26" s="31"/>
      <c r="C26" s="35"/>
      <c r="D26" s="34"/>
      <c r="E26" s="36"/>
      <c r="F26" s="36"/>
      <c r="N26" s="1"/>
    </row>
    <row r="27" spans="1:15" s="32" customFormat="1" x14ac:dyDescent="0.2">
      <c r="A27" s="1"/>
      <c r="B27" s="31"/>
      <c r="C27" s="35"/>
      <c r="D27" s="34"/>
      <c r="E27" s="36"/>
      <c r="F27" s="36"/>
      <c r="N27" s="1"/>
    </row>
    <row r="28" spans="1:15" s="32" customFormat="1" ht="30.75" customHeight="1" x14ac:dyDescent="0.2">
      <c r="A28" s="1"/>
      <c r="B28" s="1021" t="s">
        <v>55</v>
      </c>
      <c r="C28" s="1021"/>
      <c r="D28" s="1021"/>
      <c r="M28" s="1021" t="s">
        <v>54</v>
      </c>
      <c r="N28" s="1021"/>
      <c r="O28" s="1021"/>
    </row>
    <row r="29" spans="1:15" s="32" customFormat="1" ht="15" x14ac:dyDescent="0.25">
      <c r="A29" s="1"/>
      <c r="B29" s="39" t="s">
        <v>44</v>
      </c>
      <c r="C29" s="40" t="s">
        <v>45</v>
      </c>
      <c r="D29" s="41" t="s">
        <v>46</v>
      </c>
      <c r="E29" s="42"/>
      <c r="M29" s="39" t="s">
        <v>44</v>
      </c>
      <c r="N29" s="40" t="s">
        <v>45</v>
      </c>
      <c r="O29" s="41" t="s">
        <v>46</v>
      </c>
    </row>
    <row r="30" spans="1:15" s="32" customFormat="1" ht="15.75" x14ac:dyDescent="0.25">
      <c r="A30" s="1"/>
      <c r="B30" s="43" t="s">
        <v>47</v>
      </c>
      <c r="C30" s="44">
        <f>C16</f>
        <v>254368261203.77832</v>
      </c>
      <c r="D30" s="45">
        <f>C30/C30</f>
        <v>1</v>
      </c>
      <c r="E30" s="42"/>
      <c r="M30" s="43" t="s">
        <v>47</v>
      </c>
      <c r="N30" s="44">
        <f>C22</f>
        <v>257777557422.77832</v>
      </c>
      <c r="O30" s="45">
        <f>N30/N30</f>
        <v>1</v>
      </c>
    </row>
    <row r="31" spans="1:15" s="32" customFormat="1" ht="15.75" x14ac:dyDescent="0.25">
      <c r="A31" s="1"/>
      <c r="B31" s="43" t="s">
        <v>48</v>
      </c>
      <c r="C31" s="44">
        <f>E16</f>
        <v>110868400760</v>
      </c>
      <c r="D31" s="46">
        <f>C31/C30</f>
        <v>0.43585783947778617</v>
      </c>
      <c r="E31" s="42"/>
      <c r="M31" s="43" t="s">
        <v>48</v>
      </c>
      <c r="N31" s="44">
        <f>E22</f>
        <v>111790021761.99001</v>
      </c>
      <c r="O31" s="46">
        <f>N31/N30</f>
        <v>0.43366855858070041</v>
      </c>
    </row>
    <row r="32" spans="1:15" s="32" customFormat="1" ht="15.75" x14ac:dyDescent="0.25">
      <c r="A32" s="1"/>
      <c r="B32" s="43" t="s">
        <v>49</v>
      </c>
      <c r="C32" s="44">
        <f>G16</f>
        <v>110868400760</v>
      </c>
      <c r="D32" s="47">
        <f>C32/C30</f>
        <v>0.43585783947778617</v>
      </c>
      <c r="E32" s="42"/>
      <c r="M32" s="43" t="s">
        <v>49</v>
      </c>
      <c r="N32" s="44">
        <f>G22</f>
        <v>111790021761.99001</v>
      </c>
      <c r="O32" s="47">
        <f>N32/N30</f>
        <v>0.43366855858070041</v>
      </c>
    </row>
    <row r="33" spans="1:15" s="32" customFormat="1" ht="15.75" x14ac:dyDescent="0.25">
      <c r="A33" s="1"/>
      <c r="B33" s="43" t="s">
        <v>50</v>
      </c>
      <c r="C33" s="44">
        <f>I16</f>
        <v>77898842577.330002</v>
      </c>
      <c r="D33" s="47">
        <f>C33/C32</f>
        <v>0.70262439110995978</v>
      </c>
      <c r="E33" s="42"/>
      <c r="M33" s="43" t="s">
        <v>50</v>
      </c>
      <c r="N33" s="44">
        <f>I22</f>
        <v>78570077788.330002</v>
      </c>
      <c r="O33" s="47">
        <f>N33/N32</f>
        <v>0.70283623305496845</v>
      </c>
    </row>
    <row r="34" spans="1:15" s="32" customFormat="1" ht="15.75" x14ac:dyDescent="0.25">
      <c r="A34" s="1"/>
      <c r="B34" s="43" t="s">
        <v>51</v>
      </c>
      <c r="C34" s="44" t="e">
        <f>K16</f>
        <v>#REF!</v>
      </c>
      <c r="D34" s="47" t="e">
        <f>C34/C32</f>
        <v>#REF!</v>
      </c>
      <c r="E34" s="42"/>
      <c r="M34" s="43" t="s">
        <v>51</v>
      </c>
      <c r="N34" s="44" t="e">
        <f>K22</f>
        <v>#REF!</v>
      </c>
      <c r="O34" s="47" t="e">
        <f>N34/N32</f>
        <v>#REF!</v>
      </c>
    </row>
    <row r="35" spans="1:15" ht="15.75" x14ac:dyDescent="0.25">
      <c r="B35" s="48" t="s">
        <v>52</v>
      </c>
      <c r="C35" s="44">
        <f>M16</f>
        <v>143499860443.77832</v>
      </c>
      <c r="D35" s="47">
        <f>C35/C30</f>
        <v>0.56414216052221378</v>
      </c>
      <c r="E35" s="42"/>
      <c r="M35" s="48" t="s">
        <v>52</v>
      </c>
      <c r="N35" s="44">
        <f>M22</f>
        <v>145987535660.78833</v>
      </c>
      <c r="O35" s="47">
        <f>N35/N30</f>
        <v>0.5663314414192997</v>
      </c>
    </row>
    <row r="36" spans="1:15" x14ac:dyDescent="0.2">
      <c r="B36" s="49"/>
      <c r="C36" s="42"/>
      <c r="D36" s="42"/>
      <c r="E36" s="42"/>
    </row>
    <row r="37" spans="1:15" x14ac:dyDescent="0.2">
      <c r="B37" s="50"/>
      <c r="C37" s="34"/>
      <c r="D37" s="51"/>
      <c r="E37" s="42"/>
    </row>
    <row r="38" spans="1:15" x14ac:dyDescent="0.2">
      <c r="B38" s="37"/>
      <c r="C38" s="38"/>
      <c r="D38" s="38"/>
    </row>
    <row r="39" spans="1:15" x14ac:dyDescent="0.2">
      <c r="B39" s="37"/>
      <c r="C39" s="38"/>
      <c r="D39" s="38"/>
    </row>
  </sheetData>
  <sheetProtection password="A60F" sheet="1" objects="1" scenarios="1"/>
  <mergeCells count="4">
    <mergeCell ref="A1:N1"/>
    <mergeCell ref="C24:E24"/>
    <mergeCell ref="B28:D28"/>
    <mergeCell ref="M28:O28"/>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SGTO POAI JUNIO 2020</vt:lpstr>
      <vt:lpstr>LISTA PROYECTOS</vt:lpstr>
      <vt:lpstr>UNIDADES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AUXPLANEACION03</dc:creator>
  <cp:lastModifiedBy>AUXPLANEACION03</cp:lastModifiedBy>
  <dcterms:created xsi:type="dcterms:W3CDTF">2020-07-04T13:49:41Z</dcterms:created>
  <dcterms:modified xsi:type="dcterms:W3CDTF">2020-09-28T17:25:36Z</dcterms:modified>
</cp:coreProperties>
</file>