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GOBERNACION QUINDIO 2020\PAGINA WEB\SEPTIEMBRE\"/>
    </mc:Choice>
  </mc:AlternateContent>
  <bookViews>
    <workbookView xWindow="0" yWindow="0" windowWidth="11805" windowHeight="6945"/>
  </bookViews>
  <sheets>
    <sheet name="POAI JUNIO 2020" sheetId="6" r:id="rId1"/>
  </sheets>
  <definedNames>
    <definedName name="_1._Apoyo_con_equipos_para_la_seguridad_vial_Licenciamiento_de_software_para_comunicaciones" localSheetId="0">#REF!</definedName>
    <definedName name="_1._Apoyo_con_equipos_para_la_seguridad_vial_Licenciamiento_de_software_para_comunicaciones">#REF!</definedName>
    <definedName name="CODIGO_DIVIPOLA" localSheetId="0">#REF!</definedName>
    <definedName name="CODIGO_DIVIPOLA">#REF!</definedName>
    <definedName name="DboREGISTRO_LEY_617" localSheetId="0">#REF!</definedName>
    <definedName name="DboREGISTRO_LEY_617">#REF!</definedName>
    <definedName name="ññ" localSheetId="0">#REF!</definedName>
    <definedName name="ññ">#REF!</definedName>
  </definedNames>
  <calcPr calcId="152511"/>
</workbook>
</file>

<file path=xl/calcChain.xml><?xml version="1.0" encoding="utf-8"?>
<calcChain xmlns="http://schemas.openxmlformats.org/spreadsheetml/2006/main">
  <c r="AC174" i="6" l="1"/>
  <c r="AF402" i="6" l="1"/>
  <c r="AF401" i="6"/>
  <c r="AF400" i="6"/>
  <c r="AF399" i="6"/>
  <c r="AE398" i="6"/>
  <c r="AE397" i="6" s="1"/>
  <c r="AE396" i="6" s="1"/>
  <c r="AD398" i="6"/>
  <c r="AC398" i="6"/>
  <c r="AC397" i="6" s="1"/>
  <c r="AC396" i="6" s="1"/>
  <c r="AB398" i="6"/>
  <c r="AA398" i="6"/>
  <c r="AA397" i="6" s="1"/>
  <c r="AA396" i="6" s="1"/>
  <c r="Z398" i="6"/>
  <c r="Z397" i="6" s="1"/>
  <c r="Z396" i="6" s="1"/>
  <c r="Y398" i="6"/>
  <c r="Y397" i="6" s="1"/>
  <c r="Y396" i="6" s="1"/>
  <c r="X398" i="6"/>
  <c r="X397" i="6" s="1"/>
  <c r="X396" i="6" s="1"/>
  <c r="W398" i="6"/>
  <c r="W397" i="6" s="1"/>
  <c r="W396" i="6" s="1"/>
  <c r="V398" i="6"/>
  <c r="V397" i="6" s="1"/>
  <c r="V396" i="6" s="1"/>
  <c r="U398" i="6"/>
  <c r="U397" i="6" s="1"/>
  <c r="U396" i="6" s="1"/>
  <c r="T398" i="6"/>
  <c r="T397" i="6" s="1"/>
  <c r="T396" i="6" s="1"/>
  <c r="S398" i="6"/>
  <c r="S397" i="6" s="1"/>
  <c r="S396" i="6" s="1"/>
  <c r="AD397" i="6"/>
  <c r="AD396" i="6" s="1"/>
  <c r="AB397" i="6"/>
  <c r="AB396" i="6" s="1"/>
  <c r="AD394" i="6"/>
  <c r="AE393" i="6"/>
  <c r="AC393" i="6"/>
  <c r="AB393" i="6"/>
  <c r="AA393" i="6"/>
  <c r="AA392" i="6" s="1"/>
  <c r="Z393" i="6"/>
  <c r="Z392" i="6" s="1"/>
  <c r="Y393" i="6"/>
  <c r="Y392" i="6" s="1"/>
  <c r="X393" i="6"/>
  <c r="X392" i="6" s="1"/>
  <c r="W393" i="6"/>
  <c r="W392" i="6" s="1"/>
  <c r="V393" i="6"/>
  <c r="V392" i="6" s="1"/>
  <c r="U393" i="6"/>
  <c r="U392" i="6" s="1"/>
  <c r="T393" i="6"/>
  <c r="T392" i="6" s="1"/>
  <c r="S393" i="6"/>
  <c r="S392" i="6" s="1"/>
  <c r="AE392" i="6"/>
  <c r="AC392" i="6"/>
  <c r="AB392" i="6"/>
  <c r="AF391" i="6"/>
  <c r="AF390" i="6"/>
  <c r="AF389" i="6"/>
  <c r="AF388" i="6"/>
  <c r="AE387" i="6"/>
  <c r="AD387" i="6"/>
  <c r="AC387" i="6"/>
  <c r="AB387" i="6"/>
  <c r="AA387" i="6"/>
  <c r="Z387" i="6"/>
  <c r="Y387" i="6"/>
  <c r="X387" i="6"/>
  <c r="W387" i="6"/>
  <c r="V387" i="6"/>
  <c r="U387" i="6"/>
  <c r="T387" i="6"/>
  <c r="S387" i="6"/>
  <c r="AF386" i="6"/>
  <c r="AE385" i="6"/>
  <c r="AD385" i="6"/>
  <c r="AC385" i="6"/>
  <c r="AB385" i="6"/>
  <c r="AA385" i="6"/>
  <c r="Z385" i="6"/>
  <c r="Y385" i="6"/>
  <c r="X385" i="6"/>
  <c r="W385" i="6"/>
  <c r="V385" i="6"/>
  <c r="U385" i="6"/>
  <c r="T385" i="6"/>
  <c r="S385" i="6"/>
  <c r="AD383" i="6"/>
  <c r="AD379" i="6" s="1"/>
  <c r="S383" i="6"/>
  <c r="AE382" i="6"/>
  <c r="AC382" i="6"/>
  <c r="AB382" i="6"/>
  <c r="AA382" i="6"/>
  <c r="Z382" i="6"/>
  <c r="Y382" i="6"/>
  <c r="X382" i="6"/>
  <c r="W382" i="6"/>
  <c r="V382" i="6"/>
  <c r="U382" i="6"/>
  <c r="T382" i="6"/>
  <c r="S381" i="6"/>
  <c r="AE380" i="6"/>
  <c r="AD380" i="6"/>
  <c r="AC380" i="6"/>
  <c r="AB380" i="6"/>
  <c r="AA380" i="6"/>
  <c r="Z380" i="6"/>
  <c r="Y380" i="6"/>
  <c r="X380" i="6"/>
  <c r="W380" i="6"/>
  <c r="V380" i="6"/>
  <c r="U380" i="6"/>
  <c r="T380" i="6"/>
  <c r="AE379" i="6"/>
  <c r="AC379" i="6"/>
  <c r="AB379" i="6"/>
  <c r="AA379" i="6"/>
  <c r="Z379" i="6"/>
  <c r="Y379" i="6"/>
  <c r="X379" i="6"/>
  <c r="W379" i="6"/>
  <c r="V379" i="6"/>
  <c r="U379" i="6"/>
  <c r="T379" i="6"/>
  <c r="AF376" i="6"/>
  <c r="AD375" i="6"/>
  <c r="AD374" i="6" s="1"/>
  <c r="AE374" i="6"/>
  <c r="AC374" i="6"/>
  <c r="AB374" i="6"/>
  <c r="AA374" i="6"/>
  <c r="Z374" i="6"/>
  <c r="Y374" i="6"/>
  <c r="X374" i="6"/>
  <c r="W374" i="6"/>
  <c r="V374" i="6"/>
  <c r="U374" i="6"/>
  <c r="T374" i="6"/>
  <c r="S374" i="6"/>
  <c r="AF373" i="6"/>
  <c r="AF372" i="6"/>
  <c r="AF371" i="6"/>
  <c r="AD370" i="6"/>
  <c r="AF369" i="6"/>
  <c r="AF368" i="6"/>
  <c r="AF367" i="6"/>
  <c r="AE366" i="6"/>
  <c r="AC366" i="6"/>
  <c r="AB366" i="6"/>
  <c r="AA366" i="6"/>
  <c r="Z366" i="6"/>
  <c r="Y366" i="6"/>
  <c r="X366" i="6"/>
  <c r="W366" i="6"/>
  <c r="V366" i="6"/>
  <c r="U366" i="6"/>
  <c r="T366" i="6"/>
  <c r="S366" i="6"/>
  <c r="AF361" i="6"/>
  <c r="AC360" i="6"/>
  <c r="AF360" i="6" s="1"/>
  <c r="AE359" i="6"/>
  <c r="AD359" i="6"/>
  <c r="AD358" i="6" s="1"/>
  <c r="AB359" i="6"/>
  <c r="AB358" i="6" s="1"/>
  <c r="AA359" i="6"/>
  <c r="AA358" i="6" s="1"/>
  <c r="Z359" i="6"/>
  <c r="Z358" i="6" s="1"/>
  <c r="Y359" i="6"/>
  <c r="Y358" i="6" s="1"/>
  <c r="X359" i="6"/>
  <c r="X358" i="6" s="1"/>
  <c r="W359" i="6"/>
  <c r="W358" i="6" s="1"/>
  <c r="V359" i="6"/>
  <c r="V358" i="6" s="1"/>
  <c r="U359" i="6"/>
  <c r="U358" i="6" s="1"/>
  <c r="T359" i="6"/>
  <c r="T358" i="6" s="1"/>
  <c r="S359" i="6"/>
  <c r="S358" i="6" s="1"/>
  <c r="AE358" i="6"/>
  <c r="AF357" i="6"/>
  <c r="AE356" i="6"/>
  <c r="AD356" i="6"/>
  <c r="AC356" i="6"/>
  <c r="AB356" i="6"/>
  <c r="AA356" i="6"/>
  <c r="Z356" i="6"/>
  <c r="Y356" i="6"/>
  <c r="X356" i="6"/>
  <c r="W356" i="6"/>
  <c r="V356" i="6"/>
  <c r="U356" i="6"/>
  <c r="T356" i="6"/>
  <c r="S356" i="6"/>
  <c r="AF354" i="6"/>
  <c r="AE354" i="6"/>
  <c r="AD354" i="6"/>
  <c r="AC354" i="6"/>
  <c r="AB354" i="6"/>
  <c r="AA354" i="6"/>
  <c r="Z354" i="6"/>
  <c r="Y354" i="6"/>
  <c r="X354" i="6"/>
  <c r="W354" i="6"/>
  <c r="V354" i="6"/>
  <c r="U354" i="6"/>
  <c r="T354" i="6"/>
  <c r="S354" i="6"/>
  <c r="AF352" i="6"/>
  <c r="AE351" i="6"/>
  <c r="AD351" i="6"/>
  <c r="AC351" i="6"/>
  <c r="AB351" i="6"/>
  <c r="AA351" i="6"/>
  <c r="Z351" i="6"/>
  <c r="Y351" i="6"/>
  <c r="X351" i="6"/>
  <c r="W351" i="6"/>
  <c r="V351" i="6"/>
  <c r="U351" i="6"/>
  <c r="T351" i="6"/>
  <c r="S351" i="6"/>
  <c r="AF350" i="6"/>
  <c r="AF349" i="6"/>
  <c r="AE348" i="6"/>
  <c r="AD348" i="6"/>
  <c r="AC348" i="6"/>
  <c r="AB348" i="6"/>
  <c r="AA348" i="6"/>
  <c r="Z348" i="6"/>
  <c r="Y348" i="6"/>
  <c r="X348" i="6"/>
  <c r="W348" i="6"/>
  <c r="V348" i="6"/>
  <c r="U348" i="6"/>
  <c r="T348" i="6"/>
  <c r="S348" i="6"/>
  <c r="AC344" i="6"/>
  <c r="AF344" i="6" s="1"/>
  <c r="AE343" i="6"/>
  <c r="X343" i="6"/>
  <c r="W342" i="6"/>
  <c r="AF342" i="6" s="1"/>
  <c r="AE340" i="6"/>
  <c r="AF340" i="6" s="1"/>
  <c r="X339" i="6"/>
  <c r="AF339" i="6" s="1"/>
  <c r="AF338" i="6"/>
  <c r="AD337" i="6"/>
  <c r="AB337" i="6"/>
  <c r="AA337" i="6"/>
  <c r="Z337" i="6"/>
  <c r="Y337" i="6"/>
  <c r="V337" i="6"/>
  <c r="U337" i="6"/>
  <c r="T337" i="6"/>
  <c r="S337" i="6"/>
  <c r="W336" i="6"/>
  <c r="AF336" i="6" s="1"/>
  <c r="AC335" i="6"/>
  <c r="AF335" i="6" s="1"/>
  <c r="W334" i="6"/>
  <c r="AF334" i="6" s="1"/>
  <c r="AF333" i="6"/>
  <c r="AF332" i="6"/>
  <c r="AF331" i="6"/>
  <c r="AF330" i="6"/>
  <c r="AE329" i="6"/>
  <c r="AF328" i="6"/>
  <c r="AE327" i="6"/>
  <c r="AF327" i="6" s="1"/>
  <c r="AE326" i="6"/>
  <c r="AC326" i="6"/>
  <c r="AC325" i="6"/>
  <c r="AF325" i="6" s="1"/>
  <c r="AF324" i="6"/>
  <c r="AF323" i="6"/>
  <c r="AF322" i="6"/>
  <c r="AF321" i="6"/>
  <c r="AF320" i="6"/>
  <c r="AF319" i="6"/>
  <c r="AF318" i="6"/>
  <c r="AF317" i="6"/>
  <c r="AF316" i="6"/>
  <c r="AF315" i="6"/>
  <c r="AF314" i="6"/>
  <c r="AF313" i="6"/>
  <c r="AF312" i="6"/>
  <c r="AF311" i="6"/>
  <c r="AF310" i="6"/>
  <c r="AF309" i="6"/>
  <c r="AF308" i="6"/>
  <c r="AF307" i="6"/>
  <c r="AD306" i="6"/>
  <c r="AB306" i="6"/>
  <c r="AA306" i="6"/>
  <c r="Z306" i="6"/>
  <c r="Y306" i="6"/>
  <c r="X306" i="6"/>
  <c r="V306" i="6"/>
  <c r="U306" i="6"/>
  <c r="T306" i="6"/>
  <c r="S306" i="6"/>
  <c r="AF305" i="6"/>
  <c r="AF304" i="6"/>
  <c r="AF303" i="6"/>
  <c r="AF302" i="6"/>
  <c r="AF301" i="6"/>
  <c r="AF300" i="6"/>
  <c r="AF299" i="6"/>
  <c r="AF298" i="6"/>
  <c r="AF297" i="6"/>
  <c r="AF296" i="6"/>
  <c r="W295" i="6"/>
  <c r="AF294" i="6"/>
  <c r="AF293" i="6"/>
  <c r="AF292" i="6"/>
  <c r="AC291" i="6"/>
  <c r="AF291" i="6" s="1"/>
  <c r="AF290" i="6"/>
  <c r="AF289" i="6"/>
  <c r="AF288" i="6"/>
  <c r="AF287" i="6"/>
  <c r="AF286" i="6"/>
  <c r="AF285" i="6"/>
  <c r="AF284" i="6"/>
  <c r="X283" i="6"/>
  <c r="AC282" i="6"/>
  <c r="AF281" i="6"/>
  <c r="AE280" i="6"/>
  <c r="AD280" i="6"/>
  <c r="AB280" i="6"/>
  <c r="AA280" i="6"/>
  <c r="Z280" i="6"/>
  <c r="Y280" i="6"/>
  <c r="V280" i="6"/>
  <c r="U280" i="6"/>
  <c r="T280" i="6"/>
  <c r="S280" i="6"/>
  <c r="AF276" i="6"/>
  <c r="AE275" i="6"/>
  <c r="AE274" i="6" s="1"/>
  <c r="AD275" i="6"/>
  <c r="AD274" i="6" s="1"/>
  <c r="AC275" i="6"/>
  <c r="AC274" i="6" s="1"/>
  <c r="AB275" i="6"/>
  <c r="AB274" i="6" s="1"/>
  <c r="AA275" i="6"/>
  <c r="AA274" i="6" s="1"/>
  <c r="Z275" i="6"/>
  <c r="Z274" i="6" s="1"/>
  <c r="Y275" i="6"/>
  <c r="Y274" i="6" s="1"/>
  <c r="X275" i="6"/>
  <c r="X274" i="6" s="1"/>
  <c r="W275" i="6"/>
  <c r="W274" i="6" s="1"/>
  <c r="V275" i="6"/>
  <c r="V274" i="6" s="1"/>
  <c r="U275" i="6"/>
  <c r="U274" i="6" s="1"/>
  <c r="T275" i="6"/>
  <c r="T274" i="6" s="1"/>
  <c r="S275" i="6"/>
  <c r="S274" i="6" s="1"/>
  <c r="AF273" i="6"/>
  <c r="AE272" i="6"/>
  <c r="AD272" i="6"/>
  <c r="AC272" i="6"/>
  <c r="AB272" i="6"/>
  <c r="AA272" i="6"/>
  <c r="Z272" i="6"/>
  <c r="Y272" i="6"/>
  <c r="X272" i="6"/>
  <c r="W272" i="6"/>
  <c r="V272" i="6"/>
  <c r="U272" i="6"/>
  <c r="T272" i="6"/>
  <c r="S272" i="6"/>
  <c r="AF271" i="6"/>
  <c r="AE270" i="6"/>
  <c r="AD270" i="6"/>
  <c r="AC270" i="6"/>
  <c r="AB270" i="6"/>
  <c r="AA270" i="6"/>
  <c r="Z270" i="6"/>
  <c r="Y270" i="6"/>
  <c r="X270" i="6"/>
  <c r="W270" i="6"/>
  <c r="V270" i="6"/>
  <c r="U270" i="6"/>
  <c r="T270" i="6"/>
  <c r="S270" i="6"/>
  <c r="AF268" i="6"/>
  <c r="AF267" i="6"/>
  <c r="AE266" i="6"/>
  <c r="AD266" i="6"/>
  <c r="AC266" i="6"/>
  <c r="AB266" i="6"/>
  <c r="AA266" i="6"/>
  <c r="Z266" i="6"/>
  <c r="Y266" i="6"/>
  <c r="X266" i="6"/>
  <c r="W266" i="6"/>
  <c r="V266" i="6"/>
  <c r="U266" i="6"/>
  <c r="T266" i="6"/>
  <c r="S266" i="6"/>
  <c r="AF265" i="6"/>
  <c r="AF264" i="6"/>
  <c r="AF263" i="6"/>
  <c r="AF262" i="6"/>
  <c r="AF261" i="6"/>
  <c r="AF260" i="6"/>
  <c r="AF259" i="6"/>
  <c r="AF258" i="6"/>
  <c r="AF257" i="6"/>
  <c r="AE256" i="6"/>
  <c r="AD256" i="6"/>
  <c r="AC256" i="6"/>
  <c r="AB256" i="6"/>
  <c r="AA256" i="6"/>
  <c r="Z256" i="6"/>
  <c r="Y256" i="6"/>
  <c r="X256" i="6"/>
  <c r="W256" i="6"/>
  <c r="V256" i="6"/>
  <c r="U256" i="6"/>
  <c r="T256" i="6"/>
  <c r="S256" i="6"/>
  <c r="AF255" i="6"/>
  <c r="AF254" i="6"/>
  <c r="AF253" i="6"/>
  <c r="AF252" i="6"/>
  <c r="AF251" i="6"/>
  <c r="AF250" i="6"/>
  <c r="AF249" i="6"/>
  <c r="AE248" i="6"/>
  <c r="AD248" i="6"/>
  <c r="AC248" i="6"/>
  <c r="AB248" i="6"/>
  <c r="AA248" i="6"/>
  <c r="Z248" i="6"/>
  <c r="Y248" i="6"/>
  <c r="X248" i="6"/>
  <c r="W248" i="6"/>
  <c r="V248" i="6"/>
  <c r="U248" i="6"/>
  <c r="T248" i="6"/>
  <c r="S248" i="6"/>
  <c r="AF247" i="6"/>
  <c r="AC246" i="6"/>
  <c r="AF246" i="6" s="1"/>
  <c r="AF245" i="6"/>
  <c r="AF244" i="6"/>
  <c r="AF243" i="6"/>
  <c r="AF242" i="6"/>
  <c r="AF241" i="6"/>
  <c r="AF240" i="6"/>
  <c r="AE239" i="6"/>
  <c r="AD239" i="6"/>
  <c r="AB239" i="6"/>
  <c r="AA239" i="6"/>
  <c r="Z239" i="6"/>
  <c r="Y239" i="6"/>
  <c r="X239" i="6"/>
  <c r="W239" i="6"/>
  <c r="V239" i="6"/>
  <c r="U239" i="6"/>
  <c r="T239" i="6"/>
  <c r="S239" i="6"/>
  <c r="AC238" i="6"/>
  <c r="AF238" i="6" s="1"/>
  <c r="AE237" i="6"/>
  <c r="AD237" i="6"/>
  <c r="AB237" i="6"/>
  <c r="AA237" i="6"/>
  <c r="Z237" i="6"/>
  <c r="Y237" i="6"/>
  <c r="X237" i="6"/>
  <c r="W237" i="6"/>
  <c r="V237" i="6"/>
  <c r="U237" i="6"/>
  <c r="T237" i="6"/>
  <c r="S237" i="6"/>
  <c r="AF236" i="6"/>
  <c r="AF235" i="6"/>
  <c r="AE234" i="6"/>
  <c r="AD234" i="6"/>
  <c r="AC234" i="6"/>
  <c r="AB234" i="6"/>
  <c r="AA234" i="6"/>
  <c r="Z234" i="6"/>
  <c r="Y234" i="6"/>
  <c r="X234" i="6"/>
  <c r="W234" i="6"/>
  <c r="V234" i="6"/>
  <c r="U234" i="6"/>
  <c r="T234" i="6"/>
  <c r="S234" i="6"/>
  <c r="AC230" i="6"/>
  <c r="AF230" i="6" s="1"/>
  <c r="AC229" i="6"/>
  <c r="AF229" i="6" s="1"/>
  <c r="AE228" i="6"/>
  <c r="AD228" i="6"/>
  <c r="AB228" i="6"/>
  <c r="AA228" i="6"/>
  <c r="Z228" i="6"/>
  <c r="Y228" i="6"/>
  <c r="X228" i="6"/>
  <c r="W228" i="6"/>
  <c r="V228" i="6"/>
  <c r="U228" i="6"/>
  <c r="T228" i="6"/>
  <c r="S228" i="6"/>
  <c r="AF227" i="6"/>
  <c r="AF226" i="6"/>
  <c r="AF225" i="6"/>
  <c r="AF224" i="6"/>
  <c r="AF222" i="6"/>
  <c r="AC221" i="6"/>
  <c r="AF221" i="6" s="1"/>
  <c r="AF220" i="6"/>
  <c r="AF219" i="6"/>
  <c r="AF218" i="6"/>
  <c r="AC217" i="6"/>
  <c r="AF217" i="6" s="1"/>
  <c r="AC216" i="6"/>
  <c r="AF216" i="6" s="1"/>
  <c r="AC215" i="6"/>
  <c r="AF215" i="6" s="1"/>
  <c r="AF214" i="6"/>
  <c r="AC213" i="6"/>
  <c r="AF213" i="6" s="1"/>
  <c r="AF212" i="6"/>
  <c r="Z211" i="6"/>
  <c r="Z205" i="6" s="1"/>
  <c r="Y211" i="6"/>
  <c r="AF210" i="6"/>
  <c r="AF209" i="6"/>
  <c r="AC208" i="6"/>
  <c r="V208" i="6"/>
  <c r="AA207" i="6"/>
  <c r="AF207" i="6" s="1"/>
  <c r="AC206" i="6"/>
  <c r="V206" i="6"/>
  <c r="AE205" i="6"/>
  <c r="AD205" i="6"/>
  <c r="AB205" i="6"/>
  <c r="X205" i="6"/>
  <c r="W205" i="6"/>
  <c r="U205" i="6"/>
  <c r="T205" i="6"/>
  <c r="S205" i="6"/>
  <c r="AF201" i="6"/>
  <c r="AE200" i="6"/>
  <c r="AD200" i="6"/>
  <c r="AC200" i="6"/>
  <c r="AB200" i="6"/>
  <c r="AA200" i="6"/>
  <c r="Z200" i="6"/>
  <c r="Y200" i="6"/>
  <c r="X200" i="6"/>
  <c r="W200" i="6"/>
  <c r="V200" i="6"/>
  <c r="U200" i="6"/>
  <c r="T200" i="6"/>
  <c r="S200" i="6"/>
  <c r="AF199" i="6"/>
  <c r="AF198" i="6"/>
  <c r="AE197" i="6"/>
  <c r="AD197" i="6"/>
  <c r="AC197" i="6"/>
  <c r="AB197" i="6"/>
  <c r="AA197" i="6"/>
  <c r="Z197" i="6"/>
  <c r="Y197" i="6"/>
  <c r="X197" i="6"/>
  <c r="W197" i="6"/>
  <c r="V197" i="6"/>
  <c r="U197" i="6"/>
  <c r="T197" i="6"/>
  <c r="S197" i="6"/>
  <c r="AF193" i="6"/>
  <c r="AE192" i="6"/>
  <c r="AD192" i="6"/>
  <c r="AC192" i="6"/>
  <c r="AB192" i="6"/>
  <c r="AA192" i="6"/>
  <c r="Z192" i="6"/>
  <c r="Y192" i="6"/>
  <c r="X192" i="6"/>
  <c r="W192" i="6"/>
  <c r="V192" i="6"/>
  <c r="U192" i="6"/>
  <c r="T192" i="6"/>
  <c r="S192" i="6"/>
  <c r="AF191" i="6"/>
  <c r="AE190" i="6"/>
  <c r="AD190" i="6"/>
  <c r="AC190" i="6"/>
  <c r="AB190" i="6"/>
  <c r="AA190" i="6"/>
  <c r="Z190" i="6"/>
  <c r="Y190" i="6"/>
  <c r="X190" i="6"/>
  <c r="W190" i="6"/>
  <c r="V190" i="6"/>
  <c r="U190" i="6"/>
  <c r="T190" i="6"/>
  <c r="S190" i="6"/>
  <c r="AF189" i="6"/>
  <c r="AE188" i="6"/>
  <c r="AD188" i="6"/>
  <c r="AC188" i="6"/>
  <c r="AB188" i="6"/>
  <c r="AA188" i="6"/>
  <c r="Z188" i="6"/>
  <c r="Y188" i="6"/>
  <c r="X188" i="6"/>
  <c r="W188" i="6"/>
  <c r="V188" i="6"/>
  <c r="U188" i="6"/>
  <c r="T188" i="6"/>
  <c r="S188" i="6"/>
  <c r="AF187" i="6"/>
  <c r="AF186" i="6"/>
  <c r="AC185" i="6"/>
  <c r="AF184" i="6"/>
  <c r="AF183" i="6"/>
  <c r="AE182" i="6"/>
  <c r="AD182" i="6"/>
  <c r="AB182" i="6"/>
  <c r="AA182" i="6"/>
  <c r="Z182" i="6"/>
  <c r="Y182" i="6"/>
  <c r="X182" i="6"/>
  <c r="W182" i="6"/>
  <c r="V182" i="6"/>
  <c r="U182" i="6"/>
  <c r="T182" i="6"/>
  <c r="S182" i="6"/>
  <c r="AF181" i="6"/>
  <c r="AE180" i="6"/>
  <c r="AD180" i="6"/>
  <c r="AC180" i="6"/>
  <c r="AB180" i="6"/>
  <c r="AA180" i="6"/>
  <c r="Z180" i="6"/>
  <c r="Y180" i="6"/>
  <c r="X180" i="6"/>
  <c r="W180" i="6"/>
  <c r="V180" i="6"/>
  <c r="U180" i="6"/>
  <c r="T180" i="6"/>
  <c r="S180" i="6"/>
  <c r="AF178" i="6"/>
  <c r="AF177" i="6"/>
  <c r="AE176" i="6"/>
  <c r="AD176" i="6"/>
  <c r="AC176" i="6"/>
  <c r="AB176" i="6"/>
  <c r="AA176" i="6"/>
  <c r="Z176" i="6"/>
  <c r="Y176" i="6"/>
  <c r="X176" i="6"/>
  <c r="W176" i="6"/>
  <c r="V176" i="6"/>
  <c r="U176" i="6"/>
  <c r="T176" i="6"/>
  <c r="S176" i="6"/>
  <c r="AF175" i="6"/>
  <c r="AF174" i="6"/>
  <c r="AE173" i="6"/>
  <c r="AD173" i="6"/>
  <c r="AC173" i="6"/>
  <c r="AB173" i="6"/>
  <c r="AA173" i="6"/>
  <c r="Z173" i="6"/>
  <c r="Y173" i="6"/>
  <c r="X173" i="6"/>
  <c r="W173" i="6"/>
  <c r="V173" i="6"/>
  <c r="U173" i="6"/>
  <c r="T173" i="6"/>
  <c r="S173" i="6"/>
  <c r="AC172" i="6"/>
  <c r="AE171" i="6"/>
  <c r="AD171" i="6"/>
  <c r="AB171" i="6"/>
  <c r="AA171" i="6"/>
  <c r="Z171" i="6"/>
  <c r="Y171" i="6"/>
  <c r="X171" i="6"/>
  <c r="W171" i="6"/>
  <c r="V171" i="6"/>
  <c r="U171" i="6"/>
  <c r="T171" i="6"/>
  <c r="S171" i="6"/>
  <c r="AF170" i="6"/>
  <c r="AE169" i="6"/>
  <c r="AD169" i="6"/>
  <c r="AC169" i="6"/>
  <c r="AB169" i="6"/>
  <c r="AA169" i="6"/>
  <c r="Z169" i="6"/>
  <c r="Y169" i="6"/>
  <c r="X169" i="6"/>
  <c r="W169" i="6"/>
  <c r="V169" i="6"/>
  <c r="U169" i="6"/>
  <c r="T169" i="6"/>
  <c r="S169" i="6"/>
  <c r="AF168" i="6"/>
  <c r="AE167" i="6"/>
  <c r="AD167" i="6"/>
  <c r="AC167" i="6"/>
  <c r="AB167" i="6"/>
  <c r="AA167" i="6"/>
  <c r="Z167" i="6"/>
  <c r="Y167" i="6"/>
  <c r="X167" i="6"/>
  <c r="W167" i="6"/>
  <c r="V167" i="6"/>
  <c r="U167" i="6"/>
  <c r="T167" i="6"/>
  <c r="S167" i="6"/>
  <c r="AF166" i="6"/>
  <c r="AF165" i="6"/>
  <c r="AE164" i="6"/>
  <c r="AD164" i="6"/>
  <c r="AC164" i="6"/>
  <c r="AB164" i="6"/>
  <c r="AA164" i="6"/>
  <c r="Z164" i="6"/>
  <c r="Y164" i="6"/>
  <c r="X164" i="6"/>
  <c r="W164" i="6"/>
  <c r="V164" i="6"/>
  <c r="U164" i="6"/>
  <c r="T164" i="6"/>
  <c r="S164" i="6"/>
  <c r="AF163" i="6"/>
  <c r="AE162" i="6"/>
  <c r="AD162" i="6"/>
  <c r="AC162" i="6"/>
  <c r="AB162" i="6"/>
  <c r="AA162" i="6"/>
  <c r="Z162" i="6"/>
  <c r="Y162" i="6"/>
  <c r="X162" i="6"/>
  <c r="W162" i="6"/>
  <c r="V162" i="6"/>
  <c r="U162" i="6"/>
  <c r="T162" i="6"/>
  <c r="S162" i="6"/>
  <c r="AF161" i="6"/>
  <c r="AF160" i="6"/>
  <c r="AF159" i="6"/>
  <c r="AF158" i="6"/>
  <c r="AF157" i="6"/>
  <c r="AF156" i="6"/>
  <c r="AF155" i="6"/>
  <c r="AF154" i="6"/>
  <c r="AF153" i="6"/>
  <c r="AF152" i="6"/>
  <c r="AF151" i="6"/>
  <c r="AF150" i="6"/>
  <c r="AE149" i="6"/>
  <c r="AD149" i="6"/>
  <c r="AC149" i="6"/>
  <c r="AB149" i="6"/>
  <c r="AA149" i="6"/>
  <c r="Z149" i="6"/>
  <c r="Y149" i="6"/>
  <c r="X149" i="6"/>
  <c r="W149" i="6"/>
  <c r="V149" i="6"/>
  <c r="U149" i="6"/>
  <c r="T149" i="6"/>
  <c r="S149" i="6"/>
  <c r="AF145" i="6"/>
  <c r="AF144" i="6"/>
  <c r="AC143" i="6"/>
  <c r="AF143" i="6" s="1"/>
  <c r="AC142" i="6"/>
  <c r="AE141" i="6"/>
  <c r="AD141" i="6"/>
  <c r="AB141" i="6"/>
  <c r="AA141" i="6"/>
  <c r="Z141" i="6"/>
  <c r="Y141" i="6"/>
  <c r="X141" i="6"/>
  <c r="W141" i="6"/>
  <c r="V141" i="6"/>
  <c r="U141" i="6"/>
  <c r="T141" i="6"/>
  <c r="S141" i="6"/>
  <c r="AD140" i="6"/>
  <c r="AF139" i="6"/>
  <c r="AF138" i="6"/>
  <c r="AC137" i="6"/>
  <c r="AF137" i="6" s="1"/>
  <c r="AF136" i="6"/>
  <c r="AC135" i="6"/>
  <c r="AF135" i="6" s="1"/>
  <c r="AC134" i="6"/>
  <c r="AF134" i="6" s="1"/>
  <c r="AC133" i="6"/>
  <c r="AF133" i="6" s="1"/>
  <c r="AE132" i="6"/>
  <c r="AB132" i="6"/>
  <c r="AA132" i="6"/>
  <c r="Z132" i="6"/>
  <c r="Y132" i="6"/>
  <c r="X132" i="6"/>
  <c r="W132" i="6"/>
  <c r="V132" i="6"/>
  <c r="U132" i="6"/>
  <c r="T132" i="6"/>
  <c r="S132" i="6"/>
  <c r="AF128" i="6"/>
  <c r="AF127" i="6"/>
  <c r="AE126" i="6"/>
  <c r="AD126" i="6"/>
  <c r="AC126" i="6"/>
  <c r="AB126" i="6"/>
  <c r="AA126" i="6"/>
  <c r="Z126" i="6"/>
  <c r="Y126" i="6"/>
  <c r="X126" i="6"/>
  <c r="W126" i="6"/>
  <c r="V126" i="6"/>
  <c r="U126" i="6"/>
  <c r="T126" i="6"/>
  <c r="S126" i="6"/>
  <c r="AF125" i="6"/>
  <c r="AC124" i="6"/>
  <c r="AF124" i="6" s="1"/>
  <c r="S123" i="6"/>
  <c r="S119" i="6" s="1"/>
  <c r="AF122" i="6"/>
  <c r="AF121" i="6"/>
  <c r="AF120" i="6"/>
  <c r="AE119" i="6"/>
  <c r="AD119" i="6"/>
  <c r="AB119" i="6"/>
  <c r="AA119" i="6"/>
  <c r="Z119" i="6"/>
  <c r="Y119" i="6"/>
  <c r="X119" i="6"/>
  <c r="W119" i="6"/>
  <c r="V119" i="6"/>
  <c r="U119" i="6"/>
  <c r="T119" i="6"/>
  <c r="AC115" i="6"/>
  <c r="AF115" i="6" s="1"/>
  <c r="AF114" i="6"/>
  <c r="AF113" i="6"/>
  <c r="AF112" i="6"/>
  <c r="AF111" i="6"/>
  <c r="AE110" i="6"/>
  <c r="AE109" i="6" s="1"/>
  <c r="AD110" i="6"/>
  <c r="AD109" i="6" s="1"/>
  <c r="AB110" i="6"/>
  <c r="AB109" i="6" s="1"/>
  <c r="AA110" i="6"/>
  <c r="AA109" i="6" s="1"/>
  <c r="Z110" i="6"/>
  <c r="Z109" i="6" s="1"/>
  <c r="Y110" i="6"/>
  <c r="Y109" i="6" s="1"/>
  <c r="X110" i="6"/>
  <c r="X109" i="6" s="1"/>
  <c r="W110" i="6"/>
  <c r="W109" i="6" s="1"/>
  <c r="V110" i="6"/>
  <c r="V109" i="6" s="1"/>
  <c r="U110" i="6"/>
  <c r="U109" i="6" s="1"/>
  <c r="T110" i="6"/>
  <c r="T109" i="6" s="1"/>
  <c r="S110" i="6"/>
  <c r="S109" i="6" s="1"/>
  <c r="AF108" i="6"/>
  <c r="AF107" i="6"/>
  <c r="AF106" i="6"/>
  <c r="AE105" i="6"/>
  <c r="AD105" i="6"/>
  <c r="AC105" i="6"/>
  <c r="AB105" i="6"/>
  <c r="AA105" i="6"/>
  <c r="Z105" i="6"/>
  <c r="Y105" i="6"/>
  <c r="X105" i="6"/>
  <c r="W105" i="6"/>
  <c r="V105" i="6"/>
  <c r="U105" i="6"/>
  <c r="T105" i="6"/>
  <c r="S105" i="6"/>
  <c r="AF104" i="6"/>
  <c r="AF103" i="6"/>
  <c r="AE102" i="6"/>
  <c r="AD102" i="6"/>
  <c r="AC102" i="6"/>
  <c r="AB102" i="6"/>
  <c r="AA102" i="6"/>
  <c r="Z102" i="6"/>
  <c r="Y102" i="6"/>
  <c r="X102" i="6"/>
  <c r="W102" i="6"/>
  <c r="V102" i="6"/>
  <c r="U102" i="6"/>
  <c r="T102" i="6"/>
  <c r="S102" i="6"/>
  <c r="AF100" i="6"/>
  <c r="AF99" i="6"/>
  <c r="AF98" i="6"/>
  <c r="AE97" i="6"/>
  <c r="AD97" i="6"/>
  <c r="AC97" i="6"/>
  <c r="AB97" i="6"/>
  <c r="AA97" i="6"/>
  <c r="Z97" i="6"/>
  <c r="Y97" i="6"/>
  <c r="X97" i="6"/>
  <c r="W97" i="6"/>
  <c r="V97" i="6"/>
  <c r="U97" i="6"/>
  <c r="T97" i="6"/>
  <c r="S97" i="6"/>
  <c r="AF96" i="6"/>
  <c r="AE95" i="6"/>
  <c r="AD95" i="6"/>
  <c r="AC95" i="6"/>
  <c r="AB95" i="6"/>
  <c r="AA95" i="6"/>
  <c r="Z95" i="6"/>
  <c r="Y95" i="6"/>
  <c r="X95" i="6"/>
  <c r="W95" i="6"/>
  <c r="V95" i="6"/>
  <c r="U95" i="6"/>
  <c r="T95" i="6"/>
  <c r="S95" i="6"/>
  <c r="AF94" i="6"/>
  <c r="AF93" i="6"/>
  <c r="AF92" i="6"/>
  <c r="AF91" i="6"/>
  <c r="AF90" i="6"/>
  <c r="AE89" i="6"/>
  <c r="AD89" i="6"/>
  <c r="AC89" i="6"/>
  <c r="AB89" i="6"/>
  <c r="AA89" i="6"/>
  <c r="Z89" i="6"/>
  <c r="Y89" i="6"/>
  <c r="X89" i="6"/>
  <c r="W89" i="6"/>
  <c r="V89" i="6"/>
  <c r="U89" i="6"/>
  <c r="T89" i="6"/>
  <c r="S89" i="6"/>
  <c r="AF88" i="6"/>
  <c r="AE87" i="6"/>
  <c r="AD87" i="6"/>
  <c r="AC87" i="6"/>
  <c r="AB87" i="6"/>
  <c r="AA87" i="6"/>
  <c r="Z87" i="6"/>
  <c r="Y87" i="6"/>
  <c r="X87" i="6"/>
  <c r="W87" i="6"/>
  <c r="V87" i="6"/>
  <c r="U87" i="6"/>
  <c r="T87" i="6"/>
  <c r="S87" i="6"/>
  <c r="AC86" i="6"/>
  <c r="AF86" i="6" s="1"/>
  <c r="AE85" i="6"/>
  <c r="AD85" i="6"/>
  <c r="AB85" i="6"/>
  <c r="AA85" i="6"/>
  <c r="Z85" i="6"/>
  <c r="Y85" i="6"/>
  <c r="X85" i="6"/>
  <c r="W85" i="6"/>
  <c r="V85" i="6"/>
  <c r="U85" i="6"/>
  <c r="T85" i="6"/>
  <c r="S85" i="6"/>
  <c r="AC84" i="6"/>
  <c r="AE83" i="6"/>
  <c r="AD83" i="6"/>
  <c r="AB83" i="6"/>
  <c r="AA83" i="6"/>
  <c r="Z83" i="6"/>
  <c r="Y83" i="6"/>
  <c r="X83" i="6"/>
  <c r="W83" i="6"/>
  <c r="V83" i="6"/>
  <c r="U83" i="6"/>
  <c r="T83" i="6"/>
  <c r="S83" i="6"/>
  <c r="AF82" i="6"/>
  <c r="AE81" i="6"/>
  <c r="AD81" i="6"/>
  <c r="AC81" i="6"/>
  <c r="AB81" i="6"/>
  <c r="AA81" i="6"/>
  <c r="Z81" i="6"/>
  <c r="Y81" i="6"/>
  <c r="X81" i="6"/>
  <c r="W81" i="6"/>
  <c r="V81" i="6"/>
  <c r="U81" i="6"/>
  <c r="T81" i="6"/>
  <c r="S81" i="6"/>
  <c r="AF76" i="6"/>
  <c r="AE75" i="6"/>
  <c r="AD75" i="6"/>
  <c r="AC75" i="6"/>
  <c r="AB75" i="6"/>
  <c r="AA75" i="6"/>
  <c r="Z75" i="6"/>
  <c r="Y75" i="6"/>
  <c r="X75" i="6"/>
  <c r="W75" i="6"/>
  <c r="V75" i="6"/>
  <c r="U75" i="6"/>
  <c r="T75" i="6"/>
  <c r="S75" i="6"/>
  <c r="AF74" i="6"/>
  <c r="AE73" i="6"/>
  <c r="AD73" i="6"/>
  <c r="AC73" i="6"/>
  <c r="AB73" i="6"/>
  <c r="AA73" i="6"/>
  <c r="Z73" i="6"/>
  <c r="Y73" i="6"/>
  <c r="X73" i="6"/>
  <c r="W73" i="6"/>
  <c r="V73" i="6"/>
  <c r="U73" i="6"/>
  <c r="T73" i="6"/>
  <c r="S73" i="6"/>
  <c r="AF71" i="6"/>
  <c r="AF70" i="6"/>
  <c r="AF69" i="6"/>
  <c r="AF68" i="6"/>
  <c r="AF67" i="6"/>
  <c r="AE66" i="6"/>
  <c r="AD66" i="6"/>
  <c r="AC66" i="6"/>
  <c r="AB66" i="6"/>
  <c r="AA66" i="6"/>
  <c r="Z66" i="6"/>
  <c r="Y66" i="6"/>
  <c r="X66" i="6"/>
  <c r="W66" i="6"/>
  <c r="V66" i="6"/>
  <c r="U66" i="6"/>
  <c r="T66" i="6"/>
  <c r="S66" i="6"/>
  <c r="AF65" i="6"/>
  <c r="AE64" i="6"/>
  <c r="AD64" i="6"/>
  <c r="AC64" i="6"/>
  <c r="AB64" i="6"/>
  <c r="AA64" i="6"/>
  <c r="Z64" i="6"/>
  <c r="Y64" i="6"/>
  <c r="X64" i="6"/>
  <c r="W64" i="6"/>
  <c r="V64" i="6"/>
  <c r="U64" i="6"/>
  <c r="T64" i="6"/>
  <c r="S64" i="6"/>
  <c r="AC63" i="6"/>
  <c r="AF63" i="6" s="1"/>
  <c r="AE62" i="6"/>
  <c r="AD62" i="6"/>
  <c r="AB62" i="6"/>
  <c r="AA62" i="6"/>
  <c r="Z62" i="6"/>
  <c r="Y62" i="6"/>
  <c r="X62" i="6"/>
  <c r="W62" i="6"/>
  <c r="V62" i="6"/>
  <c r="U62" i="6"/>
  <c r="T62" i="6"/>
  <c r="S62" i="6"/>
  <c r="AF61" i="6"/>
  <c r="AE60" i="6"/>
  <c r="AD60" i="6"/>
  <c r="AC60" i="6"/>
  <c r="AB60" i="6"/>
  <c r="AA60" i="6"/>
  <c r="Z60" i="6"/>
  <c r="Y60" i="6"/>
  <c r="X60" i="6"/>
  <c r="W60" i="6"/>
  <c r="V60" i="6"/>
  <c r="U60" i="6"/>
  <c r="T60" i="6"/>
  <c r="S60" i="6"/>
  <c r="AC59" i="6"/>
  <c r="AF59" i="6" s="1"/>
  <c r="AE58" i="6"/>
  <c r="AD58" i="6"/>
  <c r="AB58" i="6"/>
  <c r="AA58" i="6"/>
  <c r="Z58" i="6"/>
  <c r="Y58" i="6"/>
  <c r="X58" i="6"/>
  <c r="W58" i="6"/>
  <c r="V58" i="6"/>
  <c r="U58" i="6"/>
  <c r="T58" i="6"/>
  <c r="S58" i="6"/>
  <c r="AF56" i="6"/>
  <c r="AE55" i="6"/>
  <c r="AD55" i="6"/>
  <c r="AC55" i="6"/>
  <c r="AB55" i="6"/>
  <c r="AA55" i="6"/>
  <c r="Z55" i="6"/>
  <c r="Y55" i="6"/>
  <c r="X55" i="6"/>
  <c r="W55" i="6"/>
  <c r="V55" i="6"/>
  <c r="U55" i="6"/>
  <c r="T55" i="6"/>
  <c r="S55" i="6"/>
  <c r="AC54" i="6"/>
  <c r="AF54" i="6" s="1"/>
  <c r="AE53" i="6"/>
  <c r="AD53" i="6"/>
  <c r="AB53" i="6"/>
  <c r="AA53" i="6"/>
  <c r="Z53" i="6"/>
  <c r="Y53" i="6"/>
  <c r="X53" i="6"/>
  <c r="W53" i="6"/>
  <c r="V53" i="6"/>
  <c r="U53" i="6"/>
  <c r="T53" i="6"/>
  <c r="S53" i="6"/>
  <c r="AF51" i="6"/>
  <c r="AE50" i="6"/>
  <c r="AD50" i="6"/>
  <c r="AC50" i="6"/>
  <c r="AB50" i="6"/>
  <c r="AA50" i="6"/>
  <c r="Z50" i="6"/>
  <c r="Y50" i="6"/>
  <c r="X50" i="6"/>
  <c r="W50" i="6"/>
  <c r="V50" i="6"/>
  <c r="U50" i="6"/>
  <c r="T50" i="6"/>
  <c r="S50" i="6"/>
  <c r="AF49" i="6"/>
  <c r="AE48" i="6"/>
  <c r="AD48" i="6"/>
  <c r="AC48" i="6"/>
  <c r="AB48" i="6"/>
  <c r="AA48" i="6"/>
  <c r="Z48" i="6"/>
  <c r="Y48" i="6"/>
  <c r="X48" i="6"/>
  <c r="W48" i="6"/>
  <c r="V48" i="6"/>
  <c r="U48" i="6"/>
  <c r="T48" i="6"/>
  <c r="S48" i="6"/>
  <c r="AC47" i="6"/>
  <c r="AF47" i="6" s="1"/>
  <c r="AE46" i="6"/>
  <c r="AD46" i="6"/>
  <c r="AB46" i="6"/>
  <c r="AA46" i="6"/>
  <c r="Z46" i="6"/>
  <c r="Y46" i="6"/>
  <c r="X46" i="6"/>
  <c r="W46" i="6"/>
  <c r="V46" i="6"/>
  <c r="U46" i="6"/>
  <c r="T46" i="6"/>
  <c r="S46" i="6"/>
  <c r="AF45" i="6"/>
  <c r="AE44" i="6"/>
  <c r="AD44" i="6"/>
  <c r="AC44" i="6"/>
  <c r="AB44" i="6"/>
  <c r="AA44" i="6"/>
  <c r="Z44" i="6"/>
  <c r="Y44" i="6"/>
  <c r="X44" i="6"/>
  <c r="W44" i="6"/>
  <c r="V44" i="6"/>
  <c r="U44" i="6"/>
  <c r="T44" i="6"/>
  <c r="S44" i="6"/>
  <c r="AF43" i="6"/>
  <c r="AE42" i="6"/>
  <c r="AD42" i="6"/>
  <c r="AC42" i="6"/>
  <c r="AB42" i="6"/>
  <c r="AA42" i="6"/>
  <c r="Z42" i="6"/>
  <c r="Y42" i="6"/>
  <c r="X42" i="6"/>
  <c r="W42" i="6"/>
  <c r="V42" i="6"/>
  <c r="U42" i="6"/>
  <c r="T42" i="6"/>
  <c r="S42" i="6"/>
  <c r="AF41" i="6"/>
  <c r="AE40" i="6"/>
  <c r="AD40" i="6"/>
  <c r="AC40" i="6"/>
  <c r="AB40" i="6"/>
  <c r="AA40" i="6"/>
  <c r="Z40" i="6"/>
  <c r="Y40" i="6"/>
  <c r="X40" i="6"/>
  <c r="W40" i="6"/>
  <c r="V40" i="6"/>
  <c r="U40" i="6"/>
  <c r="T40" i="6"/>
  <c r="S40" i="6"/>
  <c r="AF36" i="6"/>
  <c r="AF35" i="6"/>
  <c r="AE34" i="6"/>
  <c r="AE33" i="6" s="1"/>
  <c r="AE32" i="6" s="1"/>
  <c r="AD34" i="6"/>
  <c r="AD33" i="6" s="1"/>
  <c r="AD32" i="6" s="1"/>
  <c r="AC34" i="6"/>
  <c r="AC33" i="6" s="1"/>
  <c r="AC32" i="6" s="1"/>
  <c r="AB34" i="6"/>
  <c r="AB33" i="6" s="1"/>
  <c r="AB32" i="6" s="1"/>
  <c r="AA34" i="6"/>
  <c r="AA33" i="6" s="1"/>
  <c r="AA32" i="6" s="1"/>
  <c r="Z34" i="6"/>
  <c r="Z33" i="6" s="1"/>
  <c r="Z32" i="6" s="1"/>
  <c r="Y34" i="6"/>
  <c r="Y33" i="6" s="1"/>
  <c r="Y32" i="6" s="1"/>
  <c r="X34" i="6"/>
  <c r="X33" i="6" s="1"/>
  <c r="X32" i="6" s="1"/>
  <c r="W34" i="6"/>
  <c r="W33" i="6" s="1"/>
  <c r="W32" i="6" s="1"/>
  <c r="V34" i="6"/>
  <c r="V33" i="6" s="1"/>
  <c r="V32" i="6" s="1"/>
  <c r="U34" i="6"/>
  <c r="U33" i="6" s="1"/>
  <c r="U32" i="6" s="1"/>
  <c r="T34" i="6"/>
  <c r="T33" i="6" s="1"/>
  <c r="T32" i="6" s="1"/>
  <c r="S34" i="6"/>
  <c r="S33" i="6" s="1"/>
  <c r="S32" i="6" s="1"/>
  <c r="AF30" i="6"/>
  <c r="AC29" i="6"/>
  <c r="AF29" i="6" s="1"/>
  <c r="AC28" i="6"/>
  <c r="AF28" i="6" s="1"/>
  <c r="AF27" i="6"/>
  <c r="AC26" i="6"/>
  <c r="AF26" i="6" s="1"/>
  <c r="AF25" i="6"/>
  <c r="AC24" i="6"/>
  <c r="AF24" i="6" s="1"/>
  <c r="AC23" i="6"/>
  <c r="AF23" i="6" s="1"/>
  <c r="AF22" i="6"/>
  <c r="AC21" i="6"/>
  <c r="AF21" i="6" s="1"/>
  <c r="AF20" i="6"/>
  <c r="AE19" i="6"/>
  <c r="AD19" i="6"/>
  <c r="AB19" i="6"/>
  <c r="AA19" i="6"/>
  <c r="Z19" i="6"/>
  <c r="Y19" i="6"/>
  <c r="X19" i="6"/>
  <c r="W19" i="6"/>
  <c r="V19" i="6"/>
  <c r="U19" i="6"/>
  <c r="T19" i="6"/>
  <c r="S19" i="6"/>
  <c r="AC18" i="6"/>
  <c r="AF18" i="6" s="1"/>
  <c r="AE17" i="6"/>
  <c r="AD17" i="6"/>
  <c r="AB17" i="6"/>
  <c r="AA17" i="6"/>
  <c r="Z17" i="6"/>
  <c r="Y17" i="6"/>
  <c r="X17" i="6"/>
  <c r="W17" i="6"/>
  <c r="V17" i="6"/>
  <c r="U17" i="6"/>
  <c r="T17" i="6"/>
  <c r="S17" i="6"/>
  <c r="AC13" i="6"/>
  <c r="AF13" i="6" s="1"/>
  <c r="AE12" i="6"/>
  <c r="AD12" i="6"/>
  <c r="AB12" i="6"/>
  <c r="AA12" i="6"/>
  <c r="Z12" i="6"/>
  <c r="Y12" i="6"/>
  <c r="X12" i="6"/>
  <c r="W12" i="6"/>
  <c r="V12" i="6"/>
  <c r="U12" i="6"/>
  <c r="T12" i="6"/>
  <c r="S12" i="6"/>
  <c r="AF11" i="6"/>
  <c r="AF10" i="6"/>
  <c r="AE9" i="6"/>
  <c r="AD9" i="6"/>
  <c r="AC9" i="6"/>
  <c r="AB9" i="6"/>
  <c r="AA9" i="6"/>
  <c r="Z9" i="6"/>
  <c r="Y9" i="6"/>
  <c r="X9" i="6"/>
  <c r="W9" i="6"/>
  <c r="V9" i="6"/>
  <c r="U9" i="6"/>
  <c r="T9" i="6"/>
  <c r="S9" i="6"/>
  <c r="U353" i="6" l="1"/>
  <c r="Y353" i="6"/>
  <c r="AC353" i="6"/>
  <c r="X384" i="6"/>
  <c r="AB384" i="6"/>
  <c r="V365" i="6"/>
  <c r="V364" i="6" s="1"/>
  <c r="Z365" i="6"/>
  <c r="Z364" i="6" s="1"/>
  <c r="AE365" i="6"/>
  <c r="AE364" i="6" s="1"/>
  <c r="Z353" i="6"/>
  <c r="S353" i="6"/>
  <c r="W353" i="6"/>
  <c r="AA353" i="6"/>
  <c r="AE353" i="6"/>
  <c r="W118" i="6"/>
  <c r="W117" i="6" s="1"/>
  <c r="U384" i="6"/>
  <c r="U378" i="6" s="1"/>
  <c r="Y384" i="6"/>
  <c r="Y378" i="6" s="1"/>
  <c r="AC384" i="6"/>
  <c r="AC378" i="6" s="1"/>
  <c r="T365" i="6"/>
  <c r="T364" i="6" s="1"/>
  <c r="X365" i="6"/>
  <c r="X364" i="6" s="1"/>
  <c r="AB365" i="6"/>
  <c r="AB364" i="6" s="1"/>
  <c r="AD8" i="6"/>
  <c r="AD7" i="6" s="1"/>
  <c r="S204" i="6"/>
  <c r="S203" i="6" s="1"/>
  <c r="AC337" i="6"/>
  <c r="AE8" i="6"/>
  <c r="AE7" i="6" s="1"/>
  <c r="AE204" i="6"/>
  <c r="AE203" i="6" s="1"/>
  <c r="AA52" i="6"/>
  <c r="S16" i="6"/>
  <c r="S15" i="6" s="1"/>
  <c r="T347" i="6"/>
  <c r="U52" i="6"/>
  <c r="Y52" i="6"/>
  <c r="V269" i="6"/>
  <c r="Z269" i="6"/>
  <c r="U131" i="6"/>
  <c r="U130" i="6" s="1"/>
  <c r="Y131" i="6"/>
  <c r="Y130" i="6" s="1"/>
  <c r="AC72" i="6"/>
  <c r="W337" i="6"/>
  <c r="S52" i="6"/>
  <c r="U118" i="6"/>
  <c r="U117" i="6" s="1"/>
  <c r="Y118" i="6"/>
  <c r="Y117" i="6" s="1"/>
  <c r="AA118" i="6"/>
  <c r="AA117" i="6" s="1"/>
  <c r="S101" i="6"/>
  <c r="AF211" i="6"/>
  <c r="Z204" i="6"/>
  <c r="Z203" i="6" s="1"/>
  <c r="V279" i="6"/>
  <c r="V278" i="6" s="1"/>
  <c r="AB279" i="6"/>
  <c r="AB278" i="6" s="1"/>
  <c r="W306" i="6"/>
  <c r="AD52" i="6"/>
  <c r="T72" i="6"/>
  <c r="Z72" i="6"/>
  <c r="AD72" i="6"/>
  <c r="T16" i="6"/>
  <c r="T15" i="6" s="1"/>
  <c r="X16" i="6"/>
  <c r="X15" i="6" s="1"/>
  <c r="AB16" i="6"/>
  <c r="AB15" i="6" s="1"/>
  <c r="S72" i="6"/>
  <c r="W72" i="6"/>
  <c r="AA72" i="6"/>
  <c r="AE72" i="6"/>
  <c r="AE118" i="6"/>
  <c r="AE117" i="6" s="1"/>
  <c r="S118" i="6"/>
  <c r="S117" i="6" s="1"/>
  <c r="T196" i="6"/>
  <c r="T195" i="6" s="1"/>
  <c r="X196" i="6"/>
  <c r="X195" i="6" s="1"/>
  <c r="AB196" i="6"/>
  <c r="AB195" i="6" s="1"/>
  <c r="Z347" i="6"/>
  <c r="S131" i="6"/>
  <c r="S130" i="6" s="1"/>
  <c r="W131" i="6"/>
  <c r="W130" i="6" s="1"/>
  <c r="AA131" i="6"/>
  <c r="AA130" i="6" s="1"/>
  <c r="AE347" i="6"/>
  <c r="W365" i="6"/>
  <c r="W364" i="6" s="1"/>
  <c r="V72" i="6"/>
  <c r="X72" i="6"/>
  <c r="AB72" i="6"/>
  <c r="AB378" i="6"/>
  <c r="AC17" i="6"/>
  <c r="AE16" i="6"/>
  <c r="AE15" i="6" s="1"/>
  <c r="V52" i="6"/>
  <c r="Z52" i="6"/>
  <c r="AF126" i="6"/>
  <c r="T269" i="6"/>
  <c r="AD382" i="6"/>
  <c r="V118" i="6"/>
  <c r="V117" i="6" s="1"/>
  <c r="Z118" i="6"/>
  <c r="Z117" i="6" s="1"/>
  <c r="U8" i="6"/>
  <c r="U7" i="6" s="1"/>
  <c r="Y8" i="6"/>
  <c r="Y7" i="6" s="1"/>
  <c r="AC110" i="6"/>
  <c r="AC109" i="6" s="1"/>
  <c r="AC228" i="6"/>
  <c r="AE196" i="6"/>
  <c r="AE195" i="6" s="1"/>
  <c r="AB347" i="6"/>
  <c r="AF55" i="6"/>
  <c r="U196" i="6"/>
  <c r="U195" i="6" s="1"/>
  <c r="Y196" i="6"/>
  <c r="Y195" i="6" s="1"/>
  <c r="AC196" i="6"/>
  <c r="AC195" i="6" s="1"/>
  <c r="AF375" i="6"/>
  <c r="T52" i="6"/>
  <c r="AC46" i="6"/>
  <c r="AC39" i="6" s="1"/>
  <c r="X57" i="6"/>
  <c r="X101" i="6"/>
  <c r="Y205" i="6"/>
  <c r="Y204" i="6" s="1"/>
  <c r="Y203" i="6" s="1"/>
  <c r="Z233" i="6"/>
  <c r="AC237" i="6"/>
  <c r="V347" i="6"/>
  <c r="AD347" i="6"/>
  <c r="S347" i="6"/>
  <c r="AA347" i="6"/>
  <c r="AD353" i="6"/>
  <c r="X52" i="6"/>
  <c r="AB52" i="6"/>
  <c r="AD384" i="6"/>
  <c r="T80" i="6"/>
  <c r="W101" i="6"/>
  <c r="AA101" i="6"/>
  <c r="AE101" i="6"/>
  <c r="AC239" i="6"/>
  <c r="AA279" i="6"/>
  <c r="AA278" i="6" s="1"/>
  <c r="AD279" i="6"/>
  <c r="AD278" i="6" s="1"/>
  <c r="AF343" i="6"/>
  <c r="X347" i="6"/>
  <c r="T353" i="6"/>
  <c r="X353" i="6"/>
  <c r="AB353" i="6"/>
  <c r="AF356" i="6"/>
  <c r="AF353" i="6" s="1"/>
  <c r="W16" i="6"/>
  <c r="W15" i="6" s="1"/>
  <c r="AA16" i="6"/>
  <c r="AA15" i="6" s="1"/>
  <c r="AC58" i="6"/>
  <c r="AF89" i="6"/>
  <c r="T118" i="6"/>
  <c r="T117" i="6" s="1"/>
  <c r="X118" i="6"/>
  <c r="X117" i="6" s="1"/>
  <c r="AB118" i="6"/>
  <c r="AB117" i="6" s="1"/>
  <c r="AA269" i="6"/>
  <c r="S365" i="6"/>
  <c r="S364" i="6" s="1"/>
  <c r="AA365" i="6"/>
  <c r="AA364" i="6" s="1"/>
  <c r="T8" i="6"/>
  <c r="T7" i="6" s="1"/>
  <c r="X8" i="6"/>
  <c r="X7" i="6" s="1"/>
  <c r="AB8" i="6"/>
  <c r="AB7" i="6" s="1"/>
  <c r="AD16" i="6"/>
  <c r="AD15" i="6" s="1"/>
  <c r="AF329" i="6"/>
  <c r="AE306" i="6"/>
  <c r="AF295" i="6"/>
  <c r="W280" i="6"/>
  <c r="AF374" i="6"/>
  <c r="X131" i="6"/>
  <c r="X130" i="6" s="1"/>
  <c r="AB131" i="6"/>
  <c r="AB130" i="6" s="1"/>
  <c r="Z148" i="6"/>
  <c r="AF228" i="6"/>
  <c r="T279" i="6"/>
  <c r="T278" i="6" s="1"/>
  <c r="AF60" i="6"/>
  <c r="V39" i="6"/>
  <c r="AD39" i="6"/>
  <c r="S8" i="6"/>
  <c r="S7" i="6" s="1"/>
  <c r="W8" i="6"/>
  <c r="W7" i="6" s="1"/>
  <c r="AA8" i="6"/>
  <c r="AA7" i="6" s="1"/>
  <c r="V8" i="6"/>
  <c r="V7" i="6" s="1"/>
  <c r="Z8" i="6"/>
  <c r="Z7" i="6" s="1"/>
  <c r="AF46" i="6"/>
  <c r="U72" i="6"/>
  <c r="Y72" i="6"/>
  <c r="S80" i="6"/>
  <c r="S79" i="6" s="1"/>
  <c r="AA80" i="6"/>
  <c r="AF84" i="6"/>
  <c r="AF83" i="6" s="1"/>
  <c r="AC83" i="6"/>
  <c r="AD204" i="6"/>
  <c r="AD203" i="6" s="1"/>
  <c r="AF370" i="6"/>
  <c r="AD366" i="6"/>
  <c r="AD365" i="6" s="1"/>
  <c r="AD364" i="6" s="1"/>
  <c r="X378" i="6"/>
  <c r="T101" i="6"/>
  <c r="AB101" i="6"/>
  <c r="U101" i="6"/>
  <c r="Y101" i="6"/>
  <c r="AC101" i="6"/>
  <c r="AD118" i="6"/>
  <c r="AD117" i="6" s="1"/>
  <c r="AE131" i="6"/>
  <c r="AE130" i="6" s="1"/>
  <c r="W148" i="6"/>
  <c r="S196" i="6"/>
  <c r="S195" i="6" s="1"/>
  <c r="W196" i="6"/>
  <c r="W195" i="6" s="1"/>
  <c r="AA196" i="6"/>
  <c r="AA195" i="6" s="1"/>
  <c r="AC205" i="6"/>
  <c r="U204" i="6"/>
  <c r="U203" i="6" s="1"/>
  <c r="W204" i="6"/>
  <c r="W203" i="6" s="1"/>
  <c r="S279" i="6"/>
  <c r="S278" i="6" s="1"/>
  <c r="X337" i="6"/>
  <c r="V353" i="6"/>
  <c r="AC359" i="6"/>
  <c r="AC358" i="6" s="1"/>
  <c r="V384" i="6"/>
  <c r="V378" i="6" s="1"/>
  <c r="V403" i="6" s="1"/>
  <c r="Z384" i="6"/>
  <c r="Z378" i="6" s="1"/>
  <c r="Z403" i="6" s="1"/>
  <c r="AF398" i="6"/>
  <c r="AF397" i="6" s="1"/>
  <c r="AF396" i="6" s="1"/>
  <c r="AE52" i="6"/>
  <c r="Y57" i="6"/>
  <c r="T57" i="6"/>
  <c r="AB57" i="6"/>
  <c r="AF73" i="6"/>
  <c r="AB80" i="6"/>
  <c r="V101" i="6"/>
  <c r="Z101" i="6"/>
  <c r="AD101" i="6"/>
  <c r="AA233" i="6"/>
  <c r="Z279" i="6"/>
  <c r="Z278" i="6" s="1"/>
  <c r="W347" i="6"/>
  <c r="T384" i="6"/>
  <c r="T378" i="6" s="1"/>
  <c r="S384" i="6"/>
  <c r="W384" i="6"/>
  <c r="W378" i="6" s="1"/>
  <c r="AA384" i="6"/>
  <c r="AA378" i="6" s="1"/>
  <c r="AE384" i="6"/>
  <c r="AE378" i="6" s="1"/>
  <c r="AE403" i="6" s="1"/>
  <c r="T204" i="6"/>
  <c r="T203" i="6" s="1"/>
  <c r="U269" i="6"/>
  <c r="Y269" i="6"/>
  <c r="AC269" i="6"/>
  <c r="AE269" i="6"/>
  <c r="S269" i="6"/>
  <c r="W269" i="6"/>
  <c r="U365" i="6"/>
  <c r="U364" i="6" s="1"/>
  <c r="AC365" i="6"/>
  <c r="AC364" i="6" s="1"/>
  <c r="AF385" i="6"/>
  <c r="AF12" i="6"/>
  <c r="U16" i="6"/>
  <c r="U15" i="6" s="1"/>
  <c r="Y16" i="6"/>
  <c r="Y15" i="6" s="1"/>
  <c r="S39" i="6"/>
  <c r="AE39" i="6"/>
  <c r="AF87" i="6"/>
  <c r="AF95" i="6"/>
  <c r="AF44" i="6"/>
  <c r="W39" i="6"/>
  <c r="AA39" i="6"/>
  <c r="W52" i="6"/>
  <c r="W233" i="6"/>
  <c r="V16" i="6"/>
  <c r="V15" i="6" s="1"/>
  <c r="Z16" i="6"/>
  <c r="Z15" i="6" s="1"/>
  <c r="AF34" i="6"/>
  <c r="AF33" i="6" s="1"/>
  <c r="AF32" i="6" s="1"/>
  <c r="T39" i="6"/>
  <c r="X39" i="6"/>
  <c r="AB39" i="6"/>
  <c r="AF40" i="6"/>
  <c r="AF42" i="6"/>
  <c r="AF48" i="6"/>
  <c r="AF50" i="6"/>
  <c r="AF53" i="6"/>
  <c r="AF58" i="6"/>
  <c r="U57" i="6"/>
  <c r="AF64" i="6"/>
  <c r="AF66" i="6"/>
  <c r="AF85" i="6"/>
  <c r="AC119" i="6"/>
  <c r="AC118" i="6" s="1"/>
  <c r="AC117" i="6" s="1"/>
  <c r="AF123" i="6"/>
  <c r="AF119" i="6" s="1"/>
  <c r="S148" i="6"/>
  <c r="AA148" i="6"/>
  <c r="AF176" i="6"/>
  <c r="AF200" i="6"/>
  <c r="AF326" i="6"/>
  <c r="AC306" i="6"/>
  <c r="AF348" i="6"/>
  <c r="U347" i="6"/>
  <c r="U346" i="6" s="1"/>
  <c r="Y347" i="6"/>
  <c r="Y346" i="6" s="1"/>
  <c r="AC347" i="6"/>
  <c r="Y365" i="6"/>
  <c r="Y364" i="6" s="1"/>
  <c r="AF97" i="6"/>
  <c r="AF9" i="6"/>
  <c r="AC12" i="6"/>
  <c r="AC8" i="6" s="1"/>
  <c r="AC7" i="6" s="1"/>
  <c r="AF17" i="6"/>
  <c r="Z39" i="6"/>
  <c r="W80" i="6"/>
  <c r="AE80" i="6"/>
  <c r="X80" i="6"/>
  <c r="AF110" i="6"/>
  <c r="AF109" i="6" s="1"/>
  <c r="T131" i="6"/>
  <c r="T130" i="6" s="1"/>
  <c r="V131" i="6"/>
  <c r="V130" i="6" s="1"/>
  <c r="AF180" i="6"/>
  <c r="AF197" i="6"/>
  <c r="AF239" i="6"/>
  <c r="AF272" i="6"/>
  <c r="AF62" i="6"/>
  <c r="AF75" i="6"/>
  <c r="AF81" i="6"/>
  <c r="AF102" i="6"/>
  <c r="AF162" i="6"/>
  <c r="AF172" i="6"/>
  <c r="AC171" i="6"/>
  <c r="AC148" i="6" s="1"/>
  <c r="V179" i="6"/>
  <c r="Z179" i="6"/>
  <c r="AF192" i="6"/>
  <c r="AD196" i="6"/>
  <c r="AD195" i="6" s="1"/>
  <c r="X204" i="6"/>
  <c r="X203" i="6" s="1"/>
  <c r="AB204" i="6"/>
  <c r="AB203" i="6" s="1"/>
  <c r="AF234" i="6"/>
  <c r="AF237" i="6"/>
  <c r="AF248" i="6"/>
  <c r="AF270" i="6"/>
  <c r="X269" i="6"/>
  <c r="AB269" i="6"/>
  <c r="AD269" i="6"/>
  <c r="AF387" i="6"/>
  <c r="Z131" i="6"/>
  <c r="Z130" i="6" s="1"/>
  <c r="U148" i="6"/>
  <c r="Y148" i="6"/>
  <c r="AE148" i="6"/>
  <c r="AF164" i="6"/>
  <c r="AF169" i="6"/>
  <c r="AF190" i="6"/>
  <c r="V233" i="6"/>
  <c r="U279" i="6"/>
  <c r="U278" i="6" s="1"/>
  <c r="Y279" i="6"/>
  <c r="Y278" i="6" s="1"/>
  <c r="AF383" i="6"/>
  <c r="AC132" i="6"/>
  <c r="V148" i="6"/>
  <c r="AF167" i="6"/>
  <c r="AF173" i="6"/>
  <c r="S179" i="6"/>
  <c r="W179" i="6"/>
  <c r="AA179" i="6"/>
  <c r="AF188" i="6"/>
  <c r="AF208" i="6"/>
  <c r="S233" i="6"/>
  <c r="U233" i="6"/>
  <c r="Y233" i="6"/>
  <c r="AE233" i="6"/>
  <c r="AF266" i="6"/>
  <c r="AF275" i="6"/>
  <c r="AF274" i="6" s="1"/>
  <c r="AE337" i="6"/>
  <c r="AF351" i="6"/>
  <c r="AF359" i="6"/>
  <c r="AF358" i="6" s="1"/>
  <c r="AF19" i="6"/>
  <c r="U39" i="6"/>
  <c r="Y39" i="6"/>
  <c r="AC53" i="6"/>
  <c r="AC52" i="6" s="1"/>
  <c r="U80" i="6"/>
  <c r="Y80" i="6"/>
  <c r="S57" i="6"/>
  <c r="W57" i="6"/>
  <c r="AA57" i="6"/>
  <c r="AE57" i="6"/>
  <c r="AF142" i="6"/>
  <c r="AC141" i="6"/>
  <c r="AC19" i="6"/>
  <c r="V57" i="6"/>
  <c r="Z57" i="6"/>
  <c r="AD57" i="6"/>
  <c r="AC62" i="6"/>
  <c r="V80" i="6"/>
  <c r="Z80" i="6"/>
  <c r="AD80" i="6"/>
  <c r="AC85" i="6"/>
  <c r="AF105" i="6"/>
  <c r="AF140" i="6"/>
  <c r="AD132" i="6"/>
  <c r="AD131" i="6" s="1"/>
  <c r="AD130" i="6" s="1"/>
  <c r="T148" i="6"/>
  <c r="X148" i="6"/>
  <c r="AB148" i="6"/>
  <c r="AD148" i="6"/>
  <c r="U179" i="6"/>
  <c r="Y179" i="6"/>
  <c r="AE179" i="6"/>
  <c r="AF206" i="6"/>
  <c r="V205" i="6"/>
  <c r="V204" i="6" s="1"/>
  <c r="V203" i="6" s="1"/>
  <c r="AF381" i="6"/>
  <c r="S380" i="6"/>
  <c r="S379" i="6"/>
  <c r="AC182" i="6"/>
  <c r="AC179" i="6" s="1"/>
  <c r="AF185" i="6"/>
  <c r="AF182" i="6" s="1"/>
  <c r="T233" i="6"/>
  <c r="X233" i="6"/>
  <c r="AB233" i="6"/>
  <c r="AD233" i="6"/>
  <c r="AF149" i="6"/>
  <c r="T179" i="6"/>
  <c r="X179" i="6"/>
  <c r="AB179" i="6"/>
  <c r="AD179" i="6"/>
  <c r="V196" i="6"/>
  <c r="V195" i="6" s="1"/>
  <c r="Z196" i="6"/>
  <c r="Z195" i="6" s="1"/>
  <c r="AF256" i="6"/>
  <c r="S382" i="6"/>
  <c r="X280" i="6"/>
  <c r="AF283" i="6"/>
  <c r="AA205" i="6"/>
  <c r="AA204" i="6" s="1"/>
  <c r="AA203" i="6" s="1"/>
  <c r="AF282" i="6"/>
  <c r="AC280" i="6"/>
  <c r="AF394" i="6"/>
  <c r="AD393" i="6"/>
  <c r="AD392" i="6" s="1"/>
  <c r="Z346" i="6" l="1"/>
  <c r="X403" i="6"/>
  <c r="V346" i="6"/>
  <c r="S346" i="6"/>
  <c r="AC346" i="6"/>
  <c r="AA346" i="6"/>
  <c r="AB403" i="6"/>
  <c r="W346" i="6"/>
  <c r="T232" i="6"/>
  <c r="AE346" i="6"/>
  <c r="AF72" i="6"/>
  <c r="T403" i="6"/>
  <c r="U403" i="6"/>
  <c r="AA403" i="6"/>
  <c r="AD378" i="6"/>
  <c r="AD403" i="6" s="1"/>
  <c r="AF101" i="6"/>
  <c r="AA79" i="6"/>
  <c r="W279" i="6"/>
  <c r="W278" i="6" s="1"/>
  <c r="AC57" i="6"/>
  <c r="AC38" i="6" s="1"/>
  <c r="AA147" i="6"/>
  <c r="X279" i="6"/>
  <c r="X278" i="6" s="1"/>
  <c r="V232" i="6"/>
  <c r="T346" i="6"/>
  <c r="AB232" i="6"/>
  <c r="AC80" i="6"/>
  <c r="AC79" i="6" s="1"/>
  <c r="AC403" i="6"/>
  <c r="Z232" i="6"/>
  <c r="AC16" i="6"/>
  <c r="AC15" i="6" s="1"/>
  <c r="T79" i="6"/>
  <c r="AC233" i="6"/>
  <c r="AC232" i="6" s="1"/>
  <c r="AC131" i="6"/>
  <c r="AC130" i="6" s="1"/>
  <c r="Y232" i="6"/>
  <c r="W403" i="6"/>
  <c r="AB79" i="6"/>
  <c r="AF16" i="6"/>
  <c r="AF15" i="6" s="1"/>
  <c r="S232" i="6"/>
  <c r="V79" i="6"/>
  <c r="AD38" i="6"/>
  <c r="T38" i="6"/>
  <c r="S147" i="6"/>
  <c r="U232" i="6"/>
  <c r="AF196" i="6"/>
  <c r="AF195" i="6" s="1"/>
  <c r="AF118" i="6"/>
  <c r="AF117" i="6" s="1"/>
  <c r="AF52" i="6"/>
  <c r="AA232" i="6"/>
  <c r="S38" i="6"/>
  <c r="AB346" i="6"/>
  <c r="X232" i="6"/>
  <c r="AD79" i="6"/>
  <c r="W79" i="6"/>
  <c r="Y147" i="6"/>
  <c r="AF337" i="6"/>
  <c r="AD232" i="6"/>
  <c r="U38" i="6"/>
  <c r="AE79" i="6"/>
  <c r="AF39" i="6"/>
  <c r="W232" i="6"/>
  <c r="Y79" i="6"/>
  <c r="Z147" i="6"/>
  <c r="V38" i="6"/>
  <c r="Y38" i="6"/>
  <c r="AE38" i="6"/>
  <c r="W38" i="6"/>
  <c r="V147" i="6"/>
  <c r="AF179" i="6"/>
  <c r="AC204" i="6"/>
  <c r="AC203" i="6" s="1"/>
  <c r="X346" i="6"/>
  <c r="AF8" i="6"/>
  <c r="AF7" i="6" s="1"/>
  <c r="AD346" i="6"/>
  <c r="AF132" i="6"/>
  <c r="S378" i="6"/>
  <c r="S403" i="6" s="1"/>
  <c r="AE232" i="6"/>
  <c r="AB38" i="6"/>
  <c r="X79" i="6"/>
  <c r="Y403" i="6"/>
  <c r="W147" i="6"/>
  <c r="U147" i="6"/>
  <c r="X38" i="6"/>
  <c r="AF393" i="6"/>
  <c r="AF392" i="6" s="1"/>
  <c r="AC279" i="6"/>
  <c r="AC278" i="6" s="1"/>
  <c r="AF233" i="6"/>
  <c r="AE279" i="6"/>
  <c r="AE278" i="6" s="1"/>
  <c r="AF382" i="6"/>
  <c r="AF269" i="6"/>
  <c r="AF57" i="6"/>
  <c r="Z79" i="6"/>
  <c r="AA38" i="6"/>
  <c r="AF366" i="6"/>
  <c r="AF365" i="6" s="1"/>
  <c r="AF364" i="6" s="1"/>
  <c r="U79" i="6"/>
  <c r="AF384" i="6"/>
  <c r="AF280" i="6"/>
  <c r="AF205" i="6"/>
  <c r="AF204" i="6" s="1"/>
  <c r="AF203" i="6" s="1"/>
  <c r="AC147" i="6"/>
  <c r="AE147" i="6"/>
  <c r="AF171" i="6"/>
  <c r="AF148" i="6" s="1"/>
  <c r="AF80" i="6"/>
  <c r="AB147" i="6"/>
  <c r="AF347" i="6"/>
  <c r="AF346" i="6" s="1"/>
  <c r="Z38" i="6"/>
  <c r="AF306" i="6"/>
  <c r="AF141" i="6"/>
  <c r="T147" i="6"/>
  <c r="AD147" i="6"/>
  <c r="AF380" i="6"/>
  <c r="AF379" i="6"/>
  <c r="X147" i="6"/>
  <c r="S362" i="6" l="1"/>
  <c r="S404" i="6" s="1"/>
  <c r="AA362" i="6"/>
  <c r="AA404" i="6" s="1"/>
  <c r="AF147" i="6"/>
  <c r="AF79" i="6"/>
  <c r="Y362" i="6"/>
  <c r="Y404" i="6" s="1"/>
  <c r="W362" i="6"/>
  <c r="W404" i="6" s="1"/>
  <c r="AF38" i="6"/>
  <c r="V362" i="6"/>
  <c r="V404" i="6" s="1"/>
  <c r="AF131" i="6"/>
  <c r="AF130" i="6" s="1"/>
  <c r="T362" i="6"/>
  <c r="T404" i="6" s="1"/>
  <c r="U362" i="6"/>
  <c r="U404" i="6" s="1"/>
  <c r="AD362" i="6"/>
  <c r="AD404" i="6" s="1"/>
  <c r="AE362" i="6"/>
  <c r="AE404" i="6" s="1"/>
  <c r="X362" i="6"/>
  <c r="X404" i="6" s="1"/>
  <c r="AB362" i="6"/>
  <c r="AB404" i="6" s="1"/>
  <c r="AF232" i="6"/>
  <c r="AF378" i="6"/>
  <c r="AC362" i="6"/>
  <c r="AC404" i="6" s="1"/>
  <c r="Z362" i="6"/>
  <c r="Z404" i="6" s="1"/>
  <c r="AF279" i="6"/>
  <c r="AF278" i="6" s="1"/>
  <c r="AF403" i="6" l="1"/>
  <c r="AF362" i="6"/>
  <c r="AF404" i="6" l="1"/>
</calcChain>
</file>

<file path=xl/comments1.xml><?xml version="1.0" encoding="utf-8"?>
<comments xmlns="http://schemas.openxmlformats.org/spreadsheetml/2006/main">
  <authors>
    <author>Usuario</author>
    <author>DIRPLANEACION02</author>
  </authors>
  <commentList>
    <comment ref="F127" authorId="0" shapeId="0">
      <text>
        <r>
          <rPr>
            <b/>
            <sz val="9"/>
            <color indexed="81"/>
            <rFont val="Tahoma"/>
            <family val="2"/>
          </rPr>
          <t>Usuario:</t>
        </r>
        <r>
          <rPr>
            <sz val="9"/>
            <color indexed="81"/>
            <rFont val="Tahoma"/>
            <family val="2"/>
          </rPr>
          <t xml:space="preserve">
no esta programada para la vigencia 2020</t>
        </r>
      </text>
    </comment>
    <comment ref="X327" authorId="1" shapeId="0">
      <text>
        <r>
          <rPr>
            <b/>
            <sz val="9"/>
            <color indexed="81"/>
            <rFont val="Tahoma"/>
            <family val="2"/>
          </rPr>
          <t>DIRPLANEACION02:</t>
        </r>
        <r>
          <rPr>
            <sz val="9"/>
            <color indexed="81"/>
            <rFont val="Tahoma"/>
            <family val="2"/>
          </rPr>
          <t xml:space="preserve">
VERIFICAR FUENTE DE FINANCIACION</t>
        </r>
      </text>
    </comment>
  </commentList>
</comments>
</file>

<file path=xl/sharedStrings.xml><?xml version="1.0" encoding="utf-8"?>
<sst xmlns="http://schemas.openxmlformats.org/spreadsheetml/2006/main" count="2408" uniqueCount="1412">
  <si>
    <t>Implementación del Sistema Departamental de Servicio a la Ciudadanía SDSC   en la Administración Departamental.</t>
  </si>
  <si>
    <t>INCLUSIÓN SOCIAL Y EQUIDAD</t>
  </si>
  <si>
    <t>PRODUCTIVIDAD Y COMPETITIVIDAD</t>
  </si>
  <si>
    <t>TERRITORIO, AMBIENTE Y DESARROLLO SOSTENIBLE</t>
  </si>
  <si>
    <t>Implementación de procesos productivos agropecuarios familiares campesinos en busca de la soberanía y seguridad alimentaria.</t>
  </si>
  <si>
    <t>Implementación de procesos de extensión agropecuaria e inocuidad (estatus sanitario, BPA, BPG) alimentaria.</t>
  </si>
  <si>
    <t>Implementación de acciones de Gestión del Cambio Climatico en el marco del PIGCC.</t>
  </si>
  <si>
    <t>Fortalecimiento territoral para una gestión educativa integral en la Secretaría de Educación Departamental del Quindío</t>
  </si>
  <si>
    <t>Aplicación funcionamiento y prestación del servicio educativo de las instituciones educativas.</t>
  </si>
  <si>
    <t>Aprovechamiento biológico y consumo de  alimentos idóneos  en el Departamento del Quindío</t>
  </si>
  <si>
    <t xml:space="preserve">Asistencia atención a las personas y prioridades en salud pública en el  Departamento del Quindío- Plan de Intervenciones Colectivas PIC. </t>
  </si>
  <si>
    <t>UNIDAD EJECUTORA</t>
  </si>
  <si>
    <t xml:space="preserve">CODIGO:  </t>
  </si>
  <si>
    <t xml:space="preserve">VERSIÓN: </t>
  </si>
  <si>
    <t xml:space="preserve">FECHA: </t>
  </si>
  <si>
    <t>Julio 30 de 2020</t>
  </si>
  <si>
    <t>PÁGINA:</t>
  </si>
  <si>
    <t>1 de 1</t>
  </si>
  <si>
    <t>LÍNEA ESTRATÉGICA</t>
  </si>
  <si>
    <t>No. PROGRAMA INTERNO</t>
  </si>
  <si>
    <t>CÓDIGO DEL PROGRAMA KPT</t>
  </si>
  <si>
    <t>PROGRAMA</t>
  </si>
  <si>
    <t>INDICADOR DE RESULTADO Y/O BIENESTAR</t>
  </si>
  <si>
    <t>No. PRODUCTO INTERNO</t>
  </si>
  <si>
    <t>CODIGO DEL PRODUCTO KPT</t>
  </si>
  <si>
    <t>META PRODUCTO</t>
  </si>
  <si>
    <t>No. INDICADOR PRODUCTO INTERNO</t>
  </si>
  <si>
    <t>CÓDIGO INDICADOR PRODUCTO KPT</t>
  </si>
  <si>
    <t>INDICADOR DEL PRODUCTO</t>
  </si>
  <si>
    <t>TIPO DE META I/M/R</t>
  </si>
  <si>
    <t>META
 2020 -2013</t>
  </si>
  <si>
    <t>META 2020</t>
  </si>
  <si>
    <t>CÓDIGO SECTOR FUT</t>
  </si>
  <si>
    <t>CÓDIGO BPIN</t>
  </si>
  <si>
    <t>NOMBRE DEL PROYECTO</t>
  </si>
  <si>
    <t xml:space="preserve">ESTAMPILLAS 
PRO - CULTURA
PRO - ADULTO MAYOR
PRO - DESARROLLO
 </t>
  </si>
  <si>
    <t xml:space="preserve">CONTRIBUCION ESPECIAL
(FONDO DE SEGURIDAD 5%) 
 </t>
  </si>
  <si>
    <t xml:space="preserve">SOBRETASA AL ACPM  
</t>
  </si>
  <si>
    <t xml:space="preserve">MONOPOLIO EDUCACIÓN  51% DESTINACION ESPECIFICA
 </t>
  </si>
  <si>
    <t xml:space="preserve">SGP SALÚD PUBLICA - PRESTACIÓN DE SERVICIOS
 </t>
  </si>
  <si>
    <t>FONDO LOCAL DE SALUD  - MONOPOLIO RENTAS CEDIDAS -LOTERIAS-RIFAS-PREMIO</t>
  </si>
  <si>
    <t xml:space="preserve">SGP PRESTACIÓN DE SERVICIOS - EDUCACIÓN  - Y CONECTIVIDAD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</si>
  <si>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</si>
  <si>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</si>
  <si>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</si>
  <si>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</si>
  <si>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</si>
  <si>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</si>
  <si>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 xml:space="preserve">TOTAL
</t>
  </si>
  <si>
    <t xml:space="preserve">304 -SECRETARÍA ADMINISTRATIVA </t>
  </si>
  <si>
    <t xml:space="preserve">LIDERAZGO, GOBERNABILIDAD Y TRANSPARENCIA.   </t>
  </si>
  <si>
    <t>DNP</t>
  </si>
  <si>
    <t>Fortalecimiento de la Gestión  y Desempeño Institucional. "Quindío con una administración al servicio de la ciudadanía "</t>
  </si>
  <si>
    <t>Índice de Gestión del Modelo Integrado de Planeación y de Gestión MIPG  de la Administración Departamental</t>
  </si>
  <si>
    <t>45.1</t>
  </si>
  <si>
    <t>Implementación de  las Dimensiones y Politicas  del Modelo Integrado de Planeación y de Gestión MIPG</t>
  </si>
  <si>
    <t>45.1.1</t>
  </si>
  <si>
    <t>Número de Dimensiones y Políticas   de MIPG implementadas.</t>
  </si>
  <si>
    <t>M</t>
  </si>
  <si>
    <t xml:space="preserve">17. Fortalecimiento Institucional </t>
  </si>
  <si>
    <t>202000363-0003</t>
  </si>
  <si>
    <t>Implementación del  Modelo Integrado de Planeación y de Gestión MIPG  de la  Administración Departamental del Quindío (Dimensiones  de Talento humano,  Información y Comunicación y Gestión del Conocimiento).</t>
  </si>
  <si>
    <t>45.9</t>
  </si>
  <si>
    <t>Estrategias  de actualización, depuración, seguimiento y evaluación de las bases de datos  del Pasivo Pensional  de la Administración Departamental.</t>
  </si>
  <si>
    <t>45.9.1</t>
  </si>
  <si>
    <t>Estrategias  de actualización, depuración, seguimiento y evaluación de las bases de datos  del Pasivo Pensional  de la Administración Departamental</t>
  </si>
  <si>
    <t>202000363-0004</t>
  </si>
  <si>
    <t>Actualización, depuración, seguimiento y evaluación   del  Pasivo Pensional  de la Administración Departamental del Quindío</t>
  </si>
  <si>
    <t>Participación ciudadana y política y respeto por los derechos humanos y diversidad de creencias. "Quindío integrado y participativo"</t>
  </si>
  <si>
    <t>Porcentaje promedio  de participación de ciudadanos en los eventos de elección popular.</t>
  </si>
  <si>
    <t>42.3</t>
  </si>
  <si>
    <t>Implementación del Plan de Acción del Sistema Departamental de Servicio a la Ciudadanía SDSC</t>
  </si>
  <si>
    <t>42.3.1</t>
  </si>
  <si>
    <t xml:space="preserve">Plan de Acción del Sistema Departamental de Servicio a la Ciudadanía SDSC implementado. </t>
  </si>
  <si>
    <t>16. Desarrollo Comunitario</t>
  </si>
  <si>
    <t>202000363-0005</t>
  </si>
  <si>
    <t xml:space="preserve">305 SECRETARÍA DE PLANEACIÓN </t>
  </si>
  <si>
    <t>LIDERAZGO, GOBERNABILIDAD Y TRANSPARENCIA</t>
  </si>
  <si>
    <t>Porcentaje promedio  de participación de ciudadanos en los eventos de elección popular</t>
  </si>
  <si>
    <t>42.2</t>
  </si>
  <si>
    <t>Fortalecimiento técnico y logístico del  Consejo Territorial de Planeación Departamental, como representantes de la sociedad civil en la planeación  del desarrollo integral  de la entidad territorial</t>
  </si>
  <si>
    <t>42.2.1</t>
  </si>
  <si>
    <t xml:space="preserve">Consejo Territorial de Planeación Departamental fortalecido.   </t>
  </si>
  <si>
    <t>201663000-0007</t>
  </si>
  <si>
    <t>Asistencia al Consejo Territorial de Planeación del Departamento del Quindío</t>
  </si>
  <si>
    <t>Fortalecimiento de la Gestión  y Desempeño Institucional. "Quindío con una administración al servicio de la ciudadanía"</t>
  </si>
  <si>
    <t>45.5</t>
  </si>
  <si>
    <t>Instrumentos de planificación para  el  Ordenamiento y la Gestión Territorial Departamental (Plan de Desarrollo Departamental PDD, Politicas y Directrices de Ordenamiento Territorial, Sistema de Información Geográfica, Catastro Multiproposito  y mecanismos de integración)</t>
  </si>
  <si>
    <t>45.5.1</t>
  </si>
  <si>
    <t xml:space="preserve">Instrumentos de planificación de ordenamiento y gestión territorial departamental implementados. </t>
  </si>
  <si>
    <t>201900363-0002</t>
  </si>
  <si>
    <t>Formulación  e implementación del  Plan de Desarrollo Departamental 2020-2023</t>
  </si>
  <si>
    <t>Instrumentos de planificación para el ordenamiento y la gestión territorial departamental (Plan de Desarrollo Departamental PDD, Ordenamiento Territorial, Sistema de Información Geográfica, Mecanismos de Integración, Catastro multipropósito etc.).</t>
  </si>
  <si>
    <t>201663000-0009</t>
  </si>
  <si>
    <t>Diseño e implementación instrumentos de  planificación para el  ordenamiento  territorial, social y económico del  Departamento del Quindío</t>
  </si>
  <si>
    <t>45.4</t>
  </si>
  <si>
    <t>Observatorio económico del departamento, con procesos de fortalecimiento</t>
  </si>
  <si>
    <t>45.4.1</t>
  </si>
  <si>
    <t>Observatorio económico del Departamento del Quindío actualizado y dotado.</t>
  </si>
  <si>
    <t>201663000-0010</t>
  </si>
  <si>
    <t xml:space="preserve">Diseño e implementación del Observatorio  de Desarrollo Humano en el Departamento del Quindío </t>
  </si>
  <si>
    <t>45.3</t>
  </si>
  <si>
    <t>Banco de Programas y Proyectos del Departamento  con procesos de fortalecimiento.</t>
  </si>
  <si>
    <t>45.3.1</t>
  </si>
  <si>
    <t>Banco de Programas y Proyectos del Departamento fortalecido</t>
  </si>
  <si>
    <t>201663000-0012</t>
  </si>
  <si>
    <t>Implementación Sistema de Cooperación Internacional y  de Gestión de proyectos  del Depratamento del Quindío - "Fabrica de Proyectos"</t>
  </si>
  <si>
    <t>Índice de Gestión del Modelo Integrado de Planeación y de Gestión MIPG   Departamental (Entes Territoriales Municipales)</t>
  </si>
  <si>
    <t>45.17</t>
  </si>
  <si>
    <t xml:space="preserve">Entes territoriales  con servicio de asistencia técnica de los Instrumentos de Planificación para  el Ordenamiento y la Gestión Territorial departamental. </t>
  </si>
  <si>
    <t>45.17.1</t>
  </si>
  <si>
    <t>Entes territoriales con procesos de asistencia técnica realizadas.</t>
  </si>
  <si>
    <t>201663000-0014</t>
  </si>
  <si>
    <t>Asistencia  técnica, seguimiento y evaluación  de la gestión  territorial en los  municipios del Departamento del  Quindío</t>
  </si>
  <si>
    <t>45.12</t>
  </si>
  <si>
    <t>Entes territoriales con servicio de asistencia  técnica del Modelo Integrado de Planeación y de Gestión MIPG</t>
  </si>
  <si>
    <t>45.12.1</t>
  </si>
  <si>
    <t>Entes Territoriales con procesos de asistencia técnica realizadas.</t>
  </si>
  <si>
    <t>45.13</t>
  </si>
  <si>
    <t>Entes territoriales  con servicio de asistencia técnica en la Medición del Desempeño Municipal.</t>
  </si>
  <si>
    <t>45.13.1</t>
  </si>
  <si>
    <t>45.15</t>
  </si>
  <si>
    <t xml:space="preserve">Entes territoriales  con servicio de asistencia técnica  en el Sistema de Identificación de Potenciales Beneficiarios de Programas Sociales (SISBEN). </t>
  </si>
  <si>
    <t>45.15.1</t>
  </si>
  <si>
    <t>45.16</t>
  </si>
  <si>
    <t>Entes territoriales con servicio de asistencia técnica en la formulación, preparación, seguimiento y evaluación de las políticas públicas.</t>
  </si>
  <si>
    <t>45.16.1</t>
  </si>
  <si>
    <t>45.14</t>
  </si>
  <si>
    <t xml:space="preserve">Entes territoriales  con servicio de asistencia técnica en Banco de Programas y Proyectos de Inversión Nacional (BPIN).  </t>
  </si>
  <si>
    <t>45.14.1</t>
  </si>
  <si>
    <t>202000363-0006</t>
  </si>
  <si>
    <t xml:space="preserve">Implementación  del Modelo Integrado de Planeación y de Gestión MIPG en la Administración Departamental del Quindío </t>
  </si>
  <si>
    <t>307 SECREATRÍA DE HACIENDA</t>
  </si>
  <si>
    <t>Índice de Desempeño Fiscal Administración Departamental</t>
  </si>
  <si>
    <t>45.2</t>
  </si>
  <si>
    <t>Estrategia para el mejoramiento del Índice de Desempeño Fiscal en la Administración Departamental.</t>
  </si>
  <si>
    <t>45.2.1</t>
  </si>
  <si>
    <t>Estrategia  de fortalecimiento  del Índice de Desempeño  Fiscal implementadas.</t>
  </si>
  <si>
    <t>201663000-0016</t>
  </si>
  <si>
    <t>Mejoramiento de la sostenibilidad de los procesos de fiscalización liquidación control y cobranza de los tributos en el Departamento del Quindío</t>
  </si>
  <si>
    <t>45.11</t>
  </si>
  <si>
    <t xml:space="preserve">Programa para el cumplimiento de las políticas y prácticas contables para la administración departamental         </t>
  </si>
  <si>
    <t>45.11.1</t>
  </si>
  <si>
    <t>Programa para el cumplimiento de las políticas y prácticas contables implementado</t>
  </si>
  <si>
    <t>201663000-0017</t>
  </si>
  <si>
    <t xml:space="preserve">Implementación de un programa de gestión fianciera para la optimización de los procesos en el área de tesorería, presupuesto y contabilidad en el Departamento del Quindío </t>
  </si>
  <si>
    <t xml:space="preserve">308 SECRETARÍA DE AGUAS E INFRAESTRUTURA </t>
  </si>
  <si>
    <t>Promoción al acceso a la justicia."Tú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</si>
  <si>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</si>
  <si>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1.2</t>
  </si>
  <si>
    <t>Infraestructura de las Instituciones de Seguridad del Estado con procesos constructivos, y/o mejorados, y/o ampliados, y/o mantenidos, y/o reforzados</t>
  </si>
  <si>
    <t>1.2.1</t>
  </si>
  <si>
    <t>Infraestructura de las Instituciones de Seguridad del Estado construida, mejorada, ampliada, mantenida, y/o reforzada</t>
  </si>
  <si>
    <t>I</t>
  </si>
  <si>
    <t>18, Justicia y Seguridad</t>
  </si>
  <si>
    <t>202000363-0007</t>
  </si>
  <si>
    <t>Construcción y/o mejoramiento de las instituciones públicas y/o de seguridad y  justicia  del estado en el Departamento Quindío</t>
  </si>
  <si>
    <t>Prestación de servicios de salud. "Tú y yo con servicios de salud"</t>
  </si>
  <si>
    <t>Índice Departamental de Competitividad</t>
  </si>
  <si>
    <t>13.11</t>
  </si>
  <si>
    <t xml:space="preserve">Infraestructura hospitalaria con procesos constructivos, mejorados, ampliados, mantenidos, y/o reforzados </t>
  </si>
  <si>
    <t>13.11.1</t>
  </si>
  <si>
    <t>Infraestructura hospitalaria con procesos constructivos, mejorados, ampliados, mantenidos, y/o reforzados realizados</t>
  </si>
  <si>
    <t>2. Salud</t>
  </si>
  <si>
    <t>202000363-0008</t>
  </si>
  <si>
    <t>Construcción y/o mejoramiento de la infraestructura física de las instituciones de salud pública y bienestar social del departamento del Quindío</t>
  </si>
  <si>
    <t>Calidad, cobertura y fortalecimiento de la educación inicial, prescolar, básica y media." Tú y yo con educación y de calidad"</t>
  </si>
  <si>
    <t>mantenidos, y/o reforzados</t>
  </si>
  <si>
    <t>Tasa de cobertura bruta en transición
Tasa de cobertura bruta en educación básica
Tasa de cobertura en educación media
Tasa de deserción escolar intra-anual</t>
  </si>
  <si>
    <t>15.32</t>
  </si>
  <si>
    <t>Infraestructura de Instituciones Educativas con procesos constructivos, mejorados, ampliados, mantenidos, y/o reforzados.</t>
  </si>
  <si>
    <t>15.32.1</t>
  </si>
  <si>
    <t>Infraestructura de Instituciones Educativas construida, mejorada, ampliada, mantenida, y/o reforzada.</t>
  </si>
  <si>
    <t>1. Educación</t>
  </si>
  <si>
    <t>201663000-0021</t>
  </si>
  <si>
    <t>Construir, mantener, mejorar y/o rehabilitar la infraestructura social del Departamento del Quindío</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</si>
  <si>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</si>
  <si>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</si>
  <si>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25.3</t>
  </si>
  <si>
    <t>3301068</t>
  </si>
  <si>
    <t>Servicio de mantenimiento de infraestructura cultural</t>
  </si>
  <si>
    <t>25.3.1</t>
  </si>
  <si>
    <t>330106800</t>
  </si>
  <si>
    <t>Infraestructura cultural intervenida</t>
  </si>
  <si>
    <t xml:space="preserve">5. Cultura </t>
  </si>
  <si>
    <t>Fomento a la recreación, la actividad física y el deporte. "Tú y yo en la recreación y el deporte"</t>
  </si>
  <si>
    <t>Cobertura de municipios que participan en programas de recreación, actividad física y deporte social y comunitario en el Departamento del Quindío.
Cobertura de ligas apoyadas en el departamento del Quindío.
Porcentaje de medallería del departamento del Quindío en los Juegos Nacionales.</t>
  </si>
  <si>
    <t>39.4</t>
  </si>
  <si>
    <t xml:space="preserve">Infraestructura  deportiva y/o recreativa con procesos   constructivos ,  y/o mejorados, y/o ampliados, y/o mantenidos, y/o  reforzados </t>
  </si>
  <si>
    <t>39.4.1</t>
  </si>
  <si>
    <t xml:space="preserve">Infraestructura   deportiva y/o recreativa construída y/o mejorada, y/o ampliada, y/o mantenida, y/o  reforzada </t>
  </si>
  <si>
    <t>4. Deporte y Recreación</t>
  </si>
  <si>
    <t>Formación y preparación de deportistas. "Tú y yo campeones"</t>
  </si>
  <si>
    <t>40.1</t>
  </si>
  <si>
    <t>Piscinas construidas y dotadas</t>
  </si>
  <si>
    <t>40.1.1</t>
  </si>
  <si>
    <t>Infraestructura productiva y comercialización. "Tú y yo con agro competitivo"</t>
  </si>
  <si>
    <t>Crecimiento económico del sector agropecuario (PIB)</t>
  </si>
  <si>
    <t>10.4</t>
  </si>
  <si>
    <t>Plazas de mercado adecuadas</t>
  </si>
  <si>
    <t>10.4.1</t>
  </si>
  <si>
    <t>13. Promoción del Desarrollo</t>
  </si>
  <si>
    <t>202000363-0009</t>
  </si>
  <si>
    <t>Construcción y/o mejoramiento  de la infraestructura turística y/o  productiva y  competitiva para el desarrollo del Departamento del Quindío</t>
  </si>
  <si>
    <t xml:space="preserve">Productividad y competitividad de las empresas colombianas. "Tú y yo con empresas competitivas" </t>
  </si>
  <si>
    <t>Índice Departamental de Competitividad Turìstica
Tasa desempleo</t>
  </si>
  <si>
    <t>27.8</t>
  </si>
  <si>
    <t>Mirador turístico construido</t>
  </si>
  <si>
    <t>27.8.1</t>
  </si>
  <si>
    <t>Construcción y/o mejoramiento  de la infraestructura turística y/o  productiva y  competitiva para el desarrollo del Departamento del Quindío.</t>
  </si>
  <si>
    <t>Infraestructura red vial regional. "Tú y yo con movilidad vial"</t>
  </si>
  <si>
    <t xml:space="preserve">Indice de competitividad  en el sector de infraestructura vial </t>
  </si>
  <si>
    <t>18.2</t>
  </si>
  <si>
    <t>Infraestructura   vial  con procesos  de construcción, mejoramiento, ampliación, mantenimiento y/o  reforzamiento.</t>
  </si>
  <si>
    <t>18.2.1</t>
  </si>
  <si>
    <t xml:space="preserve">Infraestructura  vial    construída, mejorada, ampliada,  mantenida, y/o  reforzada </t>
  </si>
  <si>
    <t>9. Transporte</t>
  </si>
  <si>
    <t>201663000-0019</t>
  </si>
  <si>
    <t>Mantener, mejorar, rehabilitar y/o atender las vías y sus emergencias, en cumplimiento del Plan Vial del Departamento del Quindío</t>
  </si>
  <si>
    <t>3202</t>
  </si>
  <si>
    <t>Conservación de la biodiversidad y sus servicios ecosistémicos. "Tú y yo en territorios biodiversos"</t>
  </si>
  <si>
    <t xml:space="preserve">Porcentaje de Ecosistemas protegidos y/o en procesos de restauración en el Departamento </t>
  </si>
  <si>
    <t>21.3</t>
  </si>
  <si>
    <t xml:space="preserve">Infraestructura ecoturística construida </t>
  </si>
  <si>
    <t>21.3.1</t>
  </si>
  <si>
    <t>Ordenamiento Ambiental Territorial. "Tú y yo planificamos con sentido ambiental"</t>
  </si>
  <si>
    <t>23.5.1</t>
  </si>
  <si>
    <t>Obras de infraestructura para mitigación y atención a desastres</t>
  </si>
  <si>
    <t xml:space="preserve">Obras de infraestructura para mitigación y atención a desastres realizadas </t>
  </si>
  <si>
    <t>Acceso a soluciones de vivienda. "Tú y yo con vivienda digna"</t>
  </si>
  <si>
    <t>Deficid cualitativo de viviendas por hogares</t>
  </si>
  <si>
    <t>33.3</t>
  </si>
  <si>
    <t>Viviendas de interés social urbanas mejoradas</t>
  </si>
  <si>
    <t>33.3.1</t>
  </si>
  <si>
    <t>Viviendas de Interés Social urbanas mejoradas</t>
  </si>
  <si>
    <t>7. Vivienda</t>
  </si>
  <si>
    <t>Acceso de la población a los servicios de agua potable y saneamiento básico. "Tú y yo con calidad del agua"</t>
  </si>
  <si>
    <t xml:space="preserve">Cobertura de acueducto
Cobertura  de alcantarillado </t>
  </si>
  <si>
    <t>34.6</t>
  </si>
  <si>
    <t xml:space="preserve">Adoptar e implementar la Política Pública de Producción Consumo Sostenible y Gestión Integral de Aseo  </t>
  </si>
  <si>
    <t>34.6.1</t>
  </si>
  <si>
    <t>ND</t>
  </si>
  <si>
    <t>Política Pública de Producción Consumo Sostenible y Gestión Integral de Aseo  adoptada e implementada.</t>
  </si>
  <si>
    <t>3. Agua Potable y Saneamiento Básico</t>
  </si>
  <si>
    <t>202000363-0010</t>
  </si>
  <si>
    <t>Implementación del plan departamental para el mamenjo empresarial de los servicios de agua y saneamiento básico en el Departameno del Quindío</t>
  </si>
  <si>
    <t xml:space="preserve">Cobertura  de alcantarillado </t>
  </si>
  <si>
    <t>34.1</t>
  </si>
  <si>
    <t>Alcantarillados construidos</t>
  </si>
  <si>
    <t>34.1.1</t>
  </si>
  <si>
    <t>Plantas de tratamiento de aguas residuales  construidas</t>
  </si>
  <si>
    <t>34.2</t>
  </si>
  <si>
    <t>Servicios de apoyo financiero para la ejecución de proyectos de acueductos y alcantarillado</t>
  </si>
  <si>
    <t>34.2.1</t>
  </si>
  <si>
    <t>Proyectos de acueducto y alcantarillado en área urbana financiados</t>
  </si>
  <si>
    <t>34.4</t>
  </si>
  <si>
    <t>Servicios de educación informal en agua potable y saneamiento básico</t>
  </si>
  <si>
    <t>34.4.1</t>
  </si>
  <si>
    <t>Eventos de educación informal en agua y saneamiento básico realizados</t>
  </si>
  <si>
    <t>34.5</t>
  </si>
  <si>
    <t>Estudios de pre inversión e inversión</t>
  </si>
  <si>
    <t>34.5.1</t>
  </si>
  <si>
    <t xml:space="preserve">Estudios o diseños realizados </t>
  </si>
  <si>
    <t>Indice de Gestión del Modelo Integrado de Planeación y de Gestión MIPG  de la Administración Departamental</t>
  </si>
  <si>
    <t>45.10</t>
  </si>
  <si>
    <t>Infraestructura institucional o  de edificios públicos de atención  de servicios ciudadanos con procesos constructivos y/o mejorados, y/o ampliados, y/o mantenidos, y/o  reforzados</t>
  </si>
  <si>
    <t>45.10.1</t>
  </si>
  <si>
    <t>Infraestructura Institucional o edificios públicos construida mejorada, ampliada, mantenida, y/o reforzada</t>
  </si>
  <si>
    <t>42.7</t>
  </si>
  <si>
    <t>Salones comunales adecuados</t>
  </si>
  <si>
    <t>42.7.1</t>
  </si>
  <si>
    <t>16, Desarrollo Comunitario</t>
  </si>
  <si>
    <t xml:space="preserve">309  SECRETARÍA DEL INTERIOR </t>
  </si>
  <si>
    <t>1.1</t>
  </si>
  <si>
    <t>Servicio de asistencia técnica para la articulación de los operadores de los servicio de justicia</t>
  </si>
  <si>
    <t>1.1.1</t>
  </si>
  <si>
    <t>Entidades territoriales asistidas técnicamente</t>
  </si>
  <si>
    <t>18. Justicia y Seguridad</t>
  </si>
  <si>
    <t>201663000-0029</t>
  </si>
  <si>
    <t>Apoyo a la convivencia, justicia y cultura de paz en el Departamento del  Quindío</t>
  </si>
  <si>
    <t>Promoción de los métodos de resolución de conflictos. "Tú y yo resolvemos los conflictos"</t>
  </si>
  <si>
    <t>2.1</t>
  </si>
  <si>
    <t>Servicio de asistencia técnica para la implementación de los métodos de resolución de conflictos</t>
  </si>
  <si>
    <t>2.1.1</t>
  </si>
  <si>
    <t>Instituciones públicas y privadas asistidas técnicamente en métodos de resolución de conflictos</t>
  </si>
  <si>
    <t>201663000-0028</t>
  </si>
  <si>
    <t xml:space="preserve">Construcción integral de la seguridad humana en el Departamento de Quindío  </t>
  </si>
  <si>
    <t>Sistema penitenciario y carcelario en el marco de los derechos humanos. "Quindío respeta derechos penitenciarios"</t>
  </si>
  <si>
    <t>3.1</t>
  </si>
  <si>
    <t>Servicio de resocialización de personas privadas de la libertad</t>
  </si>
  <si>
    <t>3.1.1</t>
  </si>
  <si>
    <t>Personas privadas de la libertad (PPL) que reciben Servicio de resocialización</t>
  </si>
  <si>
    <t>Cobertura de Instituciones Educativas con Planes Escolares de Gestión del Riesgo de Desastres-PEGERD</t>
  </si>
  <si>
    <t>15.28</t>
  </si>
  <si>
    <t>Servicio de gestión de riesgos y desastres en establecimientos educativos</t>
  </si>
  <si>
    <t>15.28.1</t>
  </si>
  <si>
    <t>Establecimientos educativos con acciones de gestión del riesgo implementadas</t>
  </si>
  <si>
    <t>i</t>
  </si>
  <si>
    <t>201663000-0036</t>
  </si>
  <si>
    <t xml:space="preserve">Administración del  riesgo mediante el conocimiento, la reducción y el manejo del desastre  en el Departamento del Quindío </t>
  </si>
  <si>
    <t>Atención, asistencia y reparación integral a las víctimas. "Tú y yo con reparación integral"</t>
  </si>
  <si>
    <t>Cobertura de la población victima atendida con procesos de atención, prevención y asistencia humanitaria</t>
  </si>
  <si>
    <t>35.2</t>
  </si>
  <si>
    <t>Servicio de orientación y comunicación a las víctimas</t>
  </si>
  <si>
    <t>35.2.1</t>
  </si>
  <si>
    <t>Solicitudes tramitadas</t>
  </si>
  <si>
    <t>14. Atención a Grupos Vulnerables Promoción Social</t>
  </si>
  <si>
    <t>201663000-0030</t>
  </si>
  <si>
    <t>Implementación del Plan de Acción Territorial para la prevención, protección, asistencia, atención, reparación integral en el Departamento del Quindío</t>
  </si>
  <si>
    <t>35.3</t>
  </si>
  <si>
    <t>Servicio de ayuda y atención humanitaria</t>
  </si>
  <si>
    <t>35.3.1</t>
  </si>
  <si>
    <t>Personas víctimas con ayuda humanitaria</t>
  </si>
  <si>
    <t>35.4</t>
  </si>
  <si>
    <t>Servicio de asistencia técnica para la participación de las víctimas</t>
  </si>
  <si>
    <t>35.4.1</t>
  </si>
  <si>
    <t>Eventos de participación realizados</t>
  </si>
  <si>
    <t>Cobertura de víctimas atendidas con la línea de emprendimiento y fortalecimiento.</t>
  </si>
  <si>
    <t>35.5</t>
  </si>
  <si>
    <t>Servicio de apoyo para la generación de ingresos</t>
  </si>
  <si>
    <t>35.5.1</t>
  </si>
  <si>
    <t>Hogares con asistencia técnica para la generación de ingresos</t>
  </si>
  <si>
    <t>Cobertura de Personas víctimas del conflicto beneficiadas con medidas de satisfacción (Construcción de memoria, Reparación simbólica y Construcción de lugares de memoria)</t>
  </si>
  <si>
    <t>35.1</t>
  </si>
  <si>
    <t>Servicio de asistencia técnica para la realización de iniciativas de memoria histórica</t>
  </si>
  <si>
    <t>35.1.1</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</si>
  <si>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</si>
  <si>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</si>
  <si>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</si>
  <si>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37.8</t>
  </si>
  <si>
    <t>Servicio de atención y asistencia para la población excombatiente del Departamento del Quindío</t>
  </si>
  <si>
    <t>37.8.1</t>
  </si>
  <si>
    <t>Población excombatiente beneficiada</t>
  </si>
  <si>
    <t>201663000-0032</t>
  </si>
  <si>
    <t>Implementación del Plan Integral de prevención de vulneraciones de los Derechos Humanos DDHH e infracciones  al Derecho Internacional Humanitario DIH en el Departamento del Quindío</t>
  </si>
  <si>
    <t>Fortalecimiento de la convivencia y la seguridad ciudadana. "Tú y yo seguros"</t>
  </si>
  <si>
    <t>41.3</t>
  </si>
  <si>
    <t>Fortalecimiento institucional a organismos de seguridad</t>
  </si>
  <si>
    <t>41.3.1</t>
  </si>
  <si>
    <t>Organismos de seguridad fortalecidos</t>
  </si>
  <si>
    <t>Cobertura de asistencia a los municipios del departamento del Quindío en los procesos de la garantia y prevención de derechos humanos.</t>
  </si>
  <si>
    <t>41.2</t>
  </si>
  <si>
    <t>Servicio de apoyo para la implementación de medidas en derechos humanos y derecho internacional humanitario</t>
  </si>
  <si>
    <t>41.2.1</t>
  </si>
  <si>
    <t>Medidas implementadas en cumplimiento de las obligaciones internacionales en materia de Derechos Humanos y Derecho Internacional Humanitario</t>
  </si>
  <si>
    <t>41.1</t>
  </si>
  <si>
    <t>Servicio de asistencia técnica</t>
  </si>
  <si>
    <t>41.1.1</t>
  </si>
  <si>
    <t>Instancias territoriales de coordinación institucional asistidas y apoyadas</t>
  </si>
  <si>
    <t>201663000-0039</t>
  </si>
  <si>
    <t>Construcción de la participación ciudadana y control social en el Departamento del Quindío</t>
  </si>
  <si>
    <t>Cobertura  de municipios del departamento del Quindio  atendidos con estudios y/o construciónde obras   para mitigación y atención a desastres realizadas.</t>
  </si>
  <si>
    <t>23.1</t>
  </si>
  <si>
    <t>Documentos de estudios técnicos para el ordenamiento ambiental territorial</t>
  </si>
  <si>
    <t>23.1.1</t>
  </si>
  <si>
    <t>Documentos de estudios técnicos para el conocimiento y reducción del riesgo de desastres elaborados</t>
  </si>
  <si>
    <t>12. Prevención y Atención de Desastres</t>
  </si>
  <si>
    <t>Cobertura  de municipios del departamento del Quindio  atendidos con estudios y/o construción de obras   para mitigación y atención a desastres realizadas.</t>
  </si>
  <si>
    <t>23.5</t>
  </si>
  <si>
    <t>Prevención y atención de desastres y emergencias. "Tú y yo preparados en gestión del riesgo"</t>
  </si>
  <si>
    <t>Cobertura de   personas capacitadas en Gestión del Riesgo de Desastres  en el Departamento del Quindio, bajo el marco de Ciudades resilientes</t>
  </si>
  <si>
    <t>43.1</t>
  </si>
  <si>
    <t>Servicio de educación informal</t>
  </si>
  <si>
    <t>43.1.1</t>
  </si>
  <si>
    <t>Personas capacitadas</t>
  </si>
  <si>
    <t>Cobertura de atención  del Sistema Departamental de Gestión del Riesgo de Desastres del Quindío.</t>
  </si>
  <si>
    <t>43.2</t>
  </si>
  <si>
    <t>43.2.1</t>
  </si>
  <si>
    <t>Instancias territoriales asistidas</t>
  </si>
  <si>
    <t>43.3</t>
  </si>
  <si>
    <t>Servicio de atención a emergencias y desastres</t>
  </si>
  <si>
    <t>43.3.1</t>
  </si>
  <si>
    <t>Centro de reserva  para la atención a emergencias y desastres dotado</t>
  </si>
  <si>
    <t>201663000-0038</t>
  </si>
  <si>
    <t>Apoyo institucional en la gestión del riesgo  en el Departamento del Quindío</t>
  </si>
  <si>
    <t>42.8</t>
  </si>
  <si>
    <t>Servicio de promoción a la participación ciudadana</t>
  </si>
  <si>
    <t>42.8.1</t>
  </si>
  <si>
    <t>Iniciativas para la promoción de la participación ciudadana implementada.</t>
  </si>
  <si>
    <t>42.9</t>
  </si>
  <si>
    <t>Implementar la Política de Libertad Religiosa</t>
  </si>
  <si>
    <t>42.9.1</t>
  </si>
  <si>
    <t>Política de Libertad Religiosa Implementado</t>
  </si>
  <si>
    <t>42.5</t>
  </si>
  <si>
    <t>Fortalecimiento de los organismos  de acción comunal (OAC)  de los doce municipios del Departamento en lo relacionado a sus procesos formativos, participativos, de organización y  gestión.</t>
  </si>
  <si>
    <t>42.5.1</t>
  </si>
  <si>
    <t>Municipos con organismos de acción comunal fortalecidos.</t>
  </si>
  <si>
    <t>201663000-0040</t>
  </si>
  <si>
    <t xml:space="preserve">Desarrollo de los Organismos Comunales en el Departamento del Quindío </t>
  </si>
  <si>
    <t>42.6</t>
  </si>
  <si>
    <t xml:space="preserve">Formulación de la  Política Pública Departamental para la  Acción Comunal </t>
  </si>
  <si>
    <t>42.6.1</t>
  </si>
  <si>
    <t>Una Política Pública formulada.</t>
  </si>
  <si>
    <t>201663000-0042</t>
  </si>
  <si>
    <t xml:space="preserve">Fortalecimiento de las veedurias ciudadanas en el Departamento del Quindío </t>
  </si>
  <si>
    <t xml:space="preserve">310 SECRETARÍA DE CULTURA </t>
  </si>
  <si>
    <t>Cobertura en formación artística y cultural
Tasa de consumo de sustancias sicoactivas por 100.000 habitantes en el departamento del Quindío.</t>
  </si>
  <si>
    <t>25.6</t>
  </si>
  <si>
    <t>Servicio de educación informal en áreas artísticas y culturales</t>
  </si>
  <si>
    <t>25.6.1</t>
  </si>
  <si>
    <t>201663000-0046</t>
  </si>
  <si>
    <t>Apoyo al arte y la cultura en todo el Departamento del Quindío</t>
  </si>
  <si>
    <t>25.4</t>
  </si>
  <si>
    <t>Servicio de circulación artística y cultural</t>
  </si>
  <si>
    <t>25.4.1</t>
  </si>
  <si>
    <t>Producciones artísticas en circulación</t>
  </si>
  <si>
    <t>Tasa de lectura
Tasa de consumo de sustancias sicoactivas por 100.000 habitantes en el departamento del Quindío.</t>
  </si>
  <si>
    <t>25.5</t>
  </si>
  <si>
    <t>Servicios bibliotecarios</t>
  </si>
  <si>
    <t>25.5.1</t>
  </si>
  <si>
    <t>330108500</t>
  </si>
  <si>
    <t>Usuarios atendidos</t>
  </si>
  <si>
    <t>202000363-0011</t>
  </si>
  <si>
    <t xml:space="preserve">Implementación del programa "Tú y Yo Somos Cultura", para el fortalecimiento a la léctura,  escitura  y bibliotecas en el Departamento del Quindío </t>
  </si>
  <si>
    <t>25.9</t>
  </si>
  <si>
    <t>Servicio de divulgación y publicaciones</t>
  </si>
  <si>
    <t>25.9.1</t>
  </si>
  <si>
    <t>330110000</t>
  </si>
  <si>
    <t>Publicaciones realizadas</t>
  </si>
  <si>
    <t>25.8</t>
  </si>
  <si>
    <t>Servicio de información para el sector artístico y cultural</t>
  </si>
  <si>
    <t>25.8.1</t>
  </si>
  <si>
    <t>330109900</t>
  </si>
  <si>
    <t>Sistema de información del sector artístico y cultural en operación</t>
  </si>
  <si>
    <t>202000363-0012</t>
  </si>
  <si>
    <t xml:space="preserve"> Implementación de la "Ruta de la felicidad y la identidad quindiana", para  el fortalecimiento y visibilización de los procesos   artisticos  y culturales   en el Departamento del Quindío</t>
  </si>
  <si>
    <t>25.7</t>
  </si>
  <si>
    <t>Servicio de asistencia técnica en gestión artística y cultural</t>
  </si>
  <si>
    <t>25.7.1</t>
  </si>
  <si>
    <t>330109500</t>
  </si>
  <si>
    <t>Personas asistidas técnicamente</t>
  </si>
  <si>
    <t>201663000-0045</t>
  </si>
  <si>
    <t xml:space="preserve">Apoyo a seguridad social del creador y gestor cultural del Departamento del Quindío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</si>
  <si>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</si>
  <si>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</si>
  <si>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26.1</t>
  </si>
  <si>
    <t>Servicio de asistencia técnica en el manejo y gestión del patrimonio arqueológico, antropológico e histórico.</t>
  </si>
  <si>
    <t>26.1.1</t>
  </si>
  <si>
    <t>330204200</t>
  </si>
  <si>
    <t xml:space="preserve">Asistencias técnicas realizadas a entidades territoriales </t>
  </si>
  <si>
    <t>201663000-0049</t>
  </si>
  <si>
    <t>Apoyo al reconocimiento, apropiación y salvaguardia y difusión del patrimonio cultural en todo el Departamento del Quindío</t>
  </si>
  <si>
    <t>26.2</t>
  </si>
  <si>
    <t>Servicio de divulgación y publicación del Patrimonio cultural</t>
  </si>
  <si>
    <t>26.2.1</t>
  </si>
  <si>
    <t>330207000</t>
  </si>
  <si>
    <t xml:space="preserve">311 SECRETARÍA DE TURISMO INDUSTRIA Y COMERCIO </t>
  </si>
  <si>
    <t>Índice Departamental de Competitividad
Tasa de desempleo</t>
  </si>
  <si>
    <t>27.1</t>
  </si>
  <si>
    <t>Servicio de apoyo y consolidación de las Comisiones Regionales de Competitividad - CRC</t>
  </si>
  <si>
    <t>27.1.1</t>
  </si>
  <si>
    <t>350200600</t>
  </si>
  <si>
    <t xml:space="preserve">Planes de trabajo concertados con las CRC para su consolidación </t>
  </si>
  <si>
    <t>201663000-0051</t>
  </si>
  <si>
    <t>Apoyo al mejoramiento de la competitividad a iniciativas  productivas en el  Departamento del Quindío</t>
  </si>
  <si>
    <t>27.2</t>
  </si>
  <si>
    <t>Servicio de asistencia tècnica para el desarrollo de iniciativas Clústers</t>
  </si>
  <si>
    <t>27.2.1</t>
  </si>
  <si>
    <t>350200700</t>
  </si>
  <si>
    <t>Clústeres asistidos en la implementación de los planes de acción</t>
  </si>
  <si>
    <t>27.4</t>
  </si>
  <si>
    <t>Servicio de asistencia técnica a las Mipymes para el acceso a nuevos mercados</t>
  </si>
  <si>
    <t>27.4.1</t>
  </si>
  <si>
    <t>350202200</t>
  </si>
  <si>
    <t>Empresas asistidas técnicamente</t>
  </si>
  <si>
    <t>201663000-0056</t>
  </si>
  <si>
    <t xml:space="preserve">Fortalecimiento del sector empresarial  hacia mercados globales en el Departamento del Quindío .   </t>
  </si>
  <si>
    <t>27.7</t>
  </si>
  <si>
    <t>Documentos de planeación</t>
  </si>
  <si>
    <t>27.7.1</t>
  </si>
  <si>
    <t>350204700</t>
  </si>
  <si>
    <t>Documentos de planeación elaborados</t>
  </si>
  <si>
    <t>Índice Departamental de Competitividad Turìstica
Tasa de desempleo</t>
  </si>
  <si>
    <t>27.5</t>
  </si>
  <si>
    <t>Servicio de asistencia técnica a los entes territoriales para el desarrollo turístico</t>
  </si>
  <si>
    <t>27.5.1</t>
  </si>
  <si>
    <t>350203900</t>
  </si>
  <si>
    <t>201663000-0059</t>
  </si>
  <si>
    <t>Fortalecimiento de la oferta de prestadores de servicos, productos y atractivos turísticos en el Departamento del Quindío</t>
  </si>
  <si>
    <t>27.5.2</t>
  </si>
  <si>
    <t>350203910</t>
  </si>
  <si>
    <t>Proyectos de infraestructura turística apoyados</t>
  </si>
  <si>
    <t>27.6</t>
  </si>
  <si>
    <t>Servicio de promoción turística</t>
  </si>
  <si>
    <t>27.6.1</t>
  </si>
  <si>
    <t>350204600</t>
  </si>
  <si>
    <t>Campañas realizadas</t>
  </si>
  <si>
    <t>201663000-0062</t>
  </si>
  <si>
    <t>Apoyo a la promoción nacional e internacional como destino  turísmo del Departamento del Quindío</t>
  </si>
  <si>
    <t>Generación y formalización del empleo. "Tú y yo con empleo de calidad"</t>
  </si>
  <si>
    <t>28.1</t>
  </si>
  <si>
    <t>Servicios de apoyo financiero para la creación de empresas</t>
  </si>
  <si>
    <t>28.1.1</t>
  </si>
  <si>
    <t>Planes de negocio financiados</t>
  </si>
  <si>
    <t>201663000-0053</t>
  </si>
  <si>
    <t>Apoyo al emprendimiento, empresarismo, asociatividad y generación de empleo en el departamento del Quindío</t>
  </si>
  <si>
    <t>28.4</t>
  </si>
  <si>
    <t>Servicio de asesoría técnica para el emprendimiento.</t>
  </si>
  <si>
    <t>28.4.1</t>
  </si>
  <si>
    <t>Emprendimientos fortalecidos</t>
  </si>
  <si>
    <t>28.2</t>
  </si>
  <si>
    <t>Servicio de asìstencia técnica para la generación y formalización del empleo</t>
  </si>
  <si>
    <t>28.2.1</t>
  </si>
  <si>
    <t>Talleres de oferta institucional realizados</t>
  </si>
  <si>
    <t>28.3</t>
  </si>
  <si>
    <t>Servicio de información y monitoreo del mercado de trabajo</t>
  </si>
  <si>
    <t>28.3.1</t>
  </si>
  <si>
    <t>360203000</t>
  </si>
  <si>
    <t>Reportes realizados</t>
  </si>
  <si>
    <t xml:space="preserve">312 SECRETARÍA DE AGRICULTURA, DESARROLLO RURAL Y MEDIO AMBIENTE </t>
  </si>
  <si>
    <t>Inclusión productiva de pequeños productores rurales. "Tú y yo con oportunidades para el pequeño campesino"</t>
  </si>
  <si>
    <t>4.3</t>
  </si>
  <si>
    <t>Servicio de asesoría para el fortalecimiento de la asociatividad</t>
  </si>
  <si>
    <t>4.3.1</t>
  </si>
  <si>
    <t>170201100</t>
  </si>
  <si>
    <t>Asociaciones fortalecidas</t>
  </si>
  <si>
    <t>201663000-0075</t>
  </si>
  <si>
    <t xml:space="preserve">Fomento al emprendimiento y  al empleo rural en el Departamento del Quindío  </t>
  </si>
  <si>
    <t>4.1</t>
  </si>
  <si>
    <t>Servicio de apoyo financiero para proyectos productivos</t>
  </si>
  <si>
    <t>4.1.1</t>
  </si>
  <si>
    <t>170200700</t>
  </si>
  <si>
    <t>Proyectos productivos cofinanciados</t>
  </si>
  <si>
    <t>4.2</t>
  </si>
  <si>
    <t>Servicio de apoyo financiero para el acceso a activos productivos y de comercialización</t>
  </si>
  <si>
    <t>4.2.1</t>
  </si>
  <si>
    <t>Productores apoyados con activos productivos y de comercialización</t>
  </si>
  <si>
    <t>4.5</t>
  </si>
  <si>
    <t>Servicio de apoyo para el fomento organizativo de la agricultura campesina, familiar y comunitaria</t>
  </si>
  <si>
    <t>4.5.1</t>
  </si>
  <si>
    <t>170201700</t>
  </si>
  <si>
    <t>Productores agropecuarios apoyados</t>
  </si>
  <si>
    <t>8. Agropecuario</t>
  </si>
  <si>
    <t>201663000-0079</t>
  </si>
  <si>
    <t>Fomento a la agricultura familiar , urbana y  mercados campesinos para la soberanía y  Seguridad alimentaria en el Departamento del Quindío</t>
  </si>
  <si>
    <t>4.10</t>
  </si>
  <si>
    <t>Servicio de apoyo a la comercialización</t>
  </si>
  <si>
    <t>4.10.1</t>
  </si>
  <si>
    <t>170203800</t>
  </si>
  <si>
    <t>Organizaciones de productores formales apoyadas</t>
  </si>
  <si>
    <t>201663000-0078</t>
  </si>
  <si>
    <t>Fortalecimiento a la competitividad productiva y empresarial del sector rural en el Departamento del Quindío</t>
  </si>
  <si>
    <t>4.10.2</t>
  </si>
  <si>
    <t>170203801</t>
  </si>
  <si>
    <t>Productores apoyados para la participación en mercados campesinos</t>
  </si>
  <si>
    <t>4.7</t>
  </si>
  <si>
    <t>4.7.1</t>
  </si>
  <si>
    <t>170202301</t>
  </si>
  <si>
    <t>Planes de Desarrollo Agropecuario y Rural elaborados</t>
  </si>
  <si>
    <t>202000363-0013</t>
  </si>
  <si>
    <t>Implementación de procesos de extensión agropecuaria e inocuidad (estatus sanitario, BPA, BPG) alimentaria; en el Departamento del Quindío</t>
  </si>
  <si>
    <t>4.8</t>
  </si>
  <si>
    <t>Servicios de acompañamiento en la implementación de planes de desarrollo agropecuario y rural</t>
  </si>
  <si>
    <t>4.8.1</t>
  </si>
  <si>
    <t>170202400</t>
  </si>
  <si>
    <t>Planes de Desarrollo Agropecuario y Rural acompañados</t>
  </si>
  <si>
    <t>4.4</t>
  </si>
  <si>
    <t>Servicio de apoyo para el acceso a maquinaria y equipos</t>
  </si>
  <si>
    <t>4.4.1</t>
  </si>
  <si>
    <t>170201400</t>
  </si>
  <si>
    <t>Productores beneficiados con acceso a maquinaria y equipo</t>
  </si>
  <si>
    <t>202000363-0014</t>
  </si>
  <si>
    <t>Implementación de procesos productivos agropecuarios familiares campesinos en busca de la soberanía y seguridad alimentaria en el Departamento del Quindío</t>
  </si>
  <si>
    <t>Servicio de apoyo para el fomento organizativo de la Agricultura Campesina, Familiar y Comunitaria</t>
  </si>
  <si>
    <t>4.6</t>
  </si>
  <si>
    <t>Servicio de acompañamiento productivo y empresarial</t>
  </si>
  <si>
    <t>4.6.1</t>
  </si>
  <si>
    <t>170202100</t>
  </si>
  <si>
    <t>Unidades productivas beneficiadas</t>
  </si>
  <si>
    <t>4.9</t>
  </si>
  <si>
    <t>Servicio de apoyo en la formulación y estructuración de proyectos</t>
  </si>
  <si>
    <t>4.9.1</t>
  </si>
  <si>
    <t>170202500</t>
  </si>
  <si>
    <t>Proyectos estructurados</t>
  </si>
  <si>
    <t>202000363-0015</t>
  </si>
  <si>
    <t xml:space="preserve">Implementación de procesos de agro industrialización con calidad e inocuidad en el Departamento del Quindío </t>
  </si>
  <si>
    <t>Servicios financieros y gestión del riesgo para las actividades agropecuarias y rurales. "Tú y yo con un campo protegido"</t>
  </si>
  <si>
    <t>5.1</t>
  </si>
  <si>
    <t>Servicio de apoyo a la implementación de mecanismos y herramientas para el conocimiento, reducción y manejo de riesgos agropecuarios</t>
  </si>
  <si>
    <t>5.1.1</t>
  </si>
  <si>
    <t>170301300</t>
  </si>
  <si>
    <t>Personas beneficiadas</t>
  </si>
  <si>
    <t>Ordenamiento social y uso productivo del territorio rural. "Tú y yo con un campo planificado"</t>
  </si>
  <si>
    <t>6.1</t>
  </si>
  <si>
    <t>Documentos de lineamientos técnicos</t>
  </si>
  <si>
    <t>6.1.1</t>
  </si>
  <si>
    <t>170400203</t>
  </si>
  <si>
    <t>Documentos de lineamientos para el ordenamiento social y productivo elaborados</t>
  </si>
  <si>
    <t>202000363-0016</t>
  </si>
  <si>
    <t>Implementación de procesos de ordenamiento productivo y social territorial</t>
  </si>
  <si>
    <t>6.2</t>
  </si>
  <si>
    <t>Servicio de apoyo para el fomento de la formalidad</t>
  </si>
  <si>
    <t>6.2.1</t>
  </si>
  <si>
    <t>170401700</t>
  </si>
  <si>
    <t xml:space="preserve">Personas sensibilizadas en la formalización </t>
  </si>
  <si>
    <t>Aprovechamiento de mercados externos. "Tú y yo a los mercados internacionales"</t>
  </si>
  <si>
    <t>7.1</t>
  </si>
  <si>
    <t>Servicio de apoyo financiero para la participación en ferias nacionales e internacionales</t>
  </si>
  <si>
    <t>7.1.1</t>
  </si>
  <si>
    <t>170600400</t>
  </si>
  <si>
    <t>Participaciones en ferias nacionales e internacionales</t>
  </si>
  <si>
    <t>Sanidad agropecuaria e inocuidad agroalimentaria. "Tú y yo con un agro saludable"</t>
  </si>
  <si>
    <t>8.1</t>
  </si>
  <si>
    <t>Servicio de divulgación y socialización</t>
  </si>
  <si>
    <t>8.1.1</t>
  </si>
  <si>
    <t>170706900</t>
  </si>
  <si>
    <t>Eventos realizados</t>
  </si>
  <si>
    <t>Ciencia, tecnología e innovación agropecuaria. "Tú y yo con un agro interconectado"</t>
  </si>
  <si>
    <t>9.1</t>
  </si>
  <si>
    <t>9.1.1</t>
  </si>
  <si>
    <t>170801600</t>
  </si>
  <si>
    <t>Documentos de lineamientos técnicos elaborados</t>
  </si>
  <si>
    <t>202000363-0017</t>
  </si>
  <si>
    <t xml:space="preserve">Implementación de procesos de innovación, ciencia y tecnología agropecuario en el Departamento del Quindío </t>
  </si>
  <si>
    <t>10.1</t>
  </si>
  <si>
    <t>Centros logísticos agropecuarios adecuados</t>
  </si>
  <si>
    <t>10.1.1</t>
  </si>
  <si>
    <t>170901900</t>
  </si>
  <si>
    <t>Implementación de procesos de agro industrialización con calidad e inocuidad en el Departamento del Quindío</t>
  </si>
  <si>
    <t>10.2</t>
  </si>
  <si>
    <t>Infraestructura de pos cosecha adecuada</t>
  </si>
  <si>
    <t>10.2.1</t>
  </si>
  <si>
    <t>170903400</t>
  </si>
  <si>
    <t>Crecimiento económico del sector agropecuario (PIB)
Tasa desempleo</t>
  </si>
  <si>
    <t>27.3</t>
  </si>
  <si>
    <t>Servicio de asistencia técnica para emprendedores y/o empresas en edad temprana</t>
  </si>
  <si>
    <t>27.3.1</t>
  </si>
  <si>
    <t>350201701</t>
  </si>
  <si>
    <t xml:space="preserve">Necesidades empresariales atendidas a partir de emprendimientos </t>
  </si>
  <si>
    <t>Servicio de asistencia técnica para el desarrollo de iniciativas clústeres</t>
  </si>
  <si>
    <t>3201</t>
  </si>
  <si>
    <t>Fortalecimiento del desempeño ambiental de los sectores productivos. "Tú y yo guardianes de la biodiversidad.</t>
  </si>
  <si>
    <t>20.2</t>
  </si>
  <si>
    <t>Documentos de lineamientos técnicos para mejorar la calidad ambiental de las áreas urbanas</t>
  </si>
  <si>
    <t>20.2.1</t>
  </si>
  <si>
    <t>320101300</t>
  </si>
  <si>
    <t>Documentos de lineamientos técnicos para para mejorar la calidad ambiental de las áreas urbanas elaborados</t>
  </si>
  <si>
    <t>10. Ambiental</t>
  </si>
  <si>
    <t>202000363-0018</t>
  </si>
  <si>
    <t xml:space="preserve">Fortalecimiento de los procesos de gestión ambiental urbana y rural para la protección del paisaje y la biodiversidad en el Departamento del Quindío </t>
  </si>
  <si>
    <t>21.2</t>
  </si>
  <si>
    <t>Servicio apoyo financiero para la implementación de esquemas de pago por servicio ambientales</t>
  </si>
  <si>
    <t>21.2.1</t>
  </si>
  <si>
    <t>320201700</t>
  </si>
  <si>
    <t xml:space="preserve">Esquemas de pago por servicio ambientales implementados </t>
  </si>
  <si>
    <t>201663000-0067</t>
  </si>
  <si>
    <t>Gestón integral de cuencas hidrográficas en el Departamento del Quindío</t>
  </si>
  <si>
    <t>21.4</t>
  </si>
  <si>
    <t>Servicio de recuperación de cuerpos de agua lénticos y lóticos</t>
  </si>
  <si>
    <t>21.4.1</t>
  </si>
  <si>
    <t>320203704</t>
  </si>
  <si>
    <t>Bosque ripario recuperado</t>
  </si>
  <si>
    <t>201663000-0068</t>
  </si>
  <si>
    <t>Aplicación de mecanismos de protección ambiental en el Departamento del Quindío</t>
  </si>
  <si>
    <t>21.7</t>
  </si>
  <si>
    <t>PEND DNP</t>
  </si>
  <si>
    <t>Adquisición, mantenimiento y administración de áreas de importancia estrategica para la conservación y regulación del recurso hidríco.</t>
  </si>
  <si>
    <t>21.7.1</t>
  </si>
  <si>
    <t xml:space="preserve">Numero de Hectáreas intervenidas </t>
  </si>
  <si>
    <t>21.5</t>
  </si>
  <si>
    <t xml:space="preserve">Estrategia  departamental para la protección y bienestar de los animales domésticos y silvestres del Departamento </t>
  </si>
  <si>
    <t>21.5.1</t>
  </si>
  <si>
    <t>Estrategia  para la protección y bienestar de los animales domésticos y silvestres adoptada</t>
  </si>
  <si>
    <t>202000363-0019</t>
  </si>
  <si>
    <t>Apoyo a la generación de entornos  amigables para nuestros animales en el departamento del Quindío</t>
  </si>
  <si>
    <t>21.6</t>
  </si>
  <si>
    <t>Realizar  campaña  de sensibilización y apropiación del patrimonio ambiental en el Departamento</t>
  </si>
  <si>
    <t>21.6.1</t>
  </si>
  <si>
    <t>Campaña  de sensibilización y apropiación del patrimonio ambiental realizada</t>
  </si>
  <si>
    <t>201663000-0069</t>
  </si>
  <si>
    <t>Fortalecimiento  y potencialización de los servicios ecosistemicos en el Departamento del Quindío</t>
  </si>
  <si>
    <t>3204</t>
  </si>
  <si>
    <t>Gestión de la información y el conocimiento ambiental. "Tú y yo conscientes con la naturaleza"</t>
  </si>
  <si>
    <t>22.1</t>
  </si>
  <si>
    <t>Servicio de apoyo financiero a emprendimientos</t>
  </si>
  <si>
    <t>22.1.1</t>
  </si>
  <si>
    <t>320401200</t>
  </si>
  <si>
    <t xml:space="preserve">Emprendimientos apoyados </t>
  </si>
  <si>
    <t>202000363-0020</t>
  </si>
  <si>
    <t xml:space="preserve">Apoyo a nuevos modelos de vida sostenibles, sustentables y eficientes en el suelo rural y urbano en el Departamento del Quindío </t>
  </si>
  <si>
    <t>Obras para estabilización de taludes</t>
  </si>
  <si>
    <t>23.3.1</t>
  </si>
  <si>
    <t>320501000</t>
  </si>
  <si>
    <t>Obras para estabilización de taludes realizadas</t>
  </si>
  <si>
    <t xml:space="preserve">10 Ambiental </t>
  </si>
  <si>
    <t>3206</t>
  </si>
  <si>
    <t>Gestión del cambio climático para un desarrollo bajo en carbono y resiliente al clima. "Tú y yo preparados para el cambio climático"</t>
  </si>
  <si>
    <t>24.2</t>
  </si>
  <si>
    <t>Servicio de producción de plántulas en viveros</t>
  </si>
  <si>
    <t>24.2.1</t>
  </si>
  <si>
    <t>320601400</t>
  </si>
  <si>
    <t>Plántulas producidas</t>
  </si>
  <si>
    <t>202000363-0021</t>
  </si>
  <si>
    <t xml:space="preserve">313 DIRECCIÓN OFICINA PRIVADA </t>
  </si>
  <si>
    <t>Fortalecimiento de la Gestión  y Desempeño Institucional</t>
  </si>
  <si>
    <t>45.8</t>
  </si>
  <si>
    <t>Desarrollo de  la Política  de Transparencia, Acceso a la Información Pública y Lucha Contra la Corrupción del Modelo Integrado de Planificación y Gestión MIPG, articulada con el "Pacto por la Integridad , Transparencia y Legalidad" del Gobierno Nacional</t>
  </si>
  <si>
    <t>45.8.1</t>
  </si>
  <si>
    <r>
      <t xml:space="preserve">Política de Transparencia, Acceso a la Información Pública y Lucha Contra la Corrupción  articulada   con el "Pacto por la Integridad , Transparencia y Legalidad" del Gobierno Nacional desarrollada.                                                                           </t>
    </r>
    <r>
      <rPr>
        <sz val="12"/>
        <color rgb="FF000000"/>
        <rFont val="Calibri"/>
        <family val="2"/>
        <scheme val="minor"/>
      </rPr>
      <t xml:space="preserve">        </t>
    </r>
  </si>
  <si>
    <t>201663000-0082</t>
  </si>
  <si>
    <t>Desarrollar y fortalecer la cultura de la transparencia, participación, buen gobierno  y valores éticos y morales en el Departamento del Quindío</t>
  </si>
  <si>
    <t>45.7</t>
  </si>
  <si>
    <t>Desarrollo e implementación de la estrategia de comunicaciones para la Administración Departamental</t>
  </si>
  <si>
    <t>45.7.1</t>
  </si>
  <si>
    <t>Estrategia de comunicaciones desarrollada e implementada</t>
  </si>
  <si>
    <t>201663000-0081</t>
  </si>
  <si>
    <t>Implementación de  la estrategia de comunicaciones para  la divulgación de  los programas, proyectos,  actividades y servicios del Departamento del Quindío</t>
  </si>
  <si>
    <t>42.4</t>
  </si>
  <si>
    <t xml:space="preserve">Encuentros ciudadanos en el Departamento del Quindio en aplicación de la Política de Transparencia, Acceso a la Información Pública y Lucha contra la Corrupción.  </t>
  </si>
  <si>
    <t>42.4.1</t>
  </si>
  <si>
    <t>Encuentros  ciudadanos realizados.</t>
  </si>
  <si>
    <t>202000363-0022</t>
  </si>
  <si>
    <t>Fortalecimiento de  las capacidades institucionales de la administración departamental del Quindío, para generar condiciones de gobernanza territorial, participación, administración eficiente y transparente.</t>
  </si>
  <si>
    <t xml:space="preserve">314 SECRETARÍA DE EDUCACIÓN </t>
  </si>
  <si>
    <t>Tasa de deserción escolar intra -anual</t>
  </si>
  <si>
    <t>15.13</t>
  </si>
  <si>
    <t>Servicio de fomento para la permanencia en programas de educación formal</t>
  </si>
  <si>
    <t>15.13.1</t>
  </si>
  <si>
    <t>Personas beneficiarias de estrategias de permanencia</t>
  </si>
  <si>
    <t>201663000-0084</t>
  </si>
  <si>
    <t xml:space="preserve">Fortalecimiento de las estrategias para el acceso,  permanencia y seguridad  de los niños, niñas y jóvenes en el  sistema educativo del Departamento del Quindío </t>
  </si>
  <si>
    <t>Tasa de cobertura bruta en transición
Tasa de cobertura bruta en educación básica
Tasa de cobertura en educación media
Tasa de deserción escolar intra-anual
Tasa de repitencia</t>
  </si>
  <si>
    <t>15.9</t>
  </si>
  <si>
    <t>Servicio de apoyo a la permanencia con alimentación escolar</t>
  </si>
  <si>
    <t>15.9.1</t>
  </si>
  <si>
    <t>Beneficiarios de la alimentación escolar</t>
  </si>
  <si>
    <t>15.10</t>
  </si>
  <si>
    <t>Servicio de apoyo a la permanencia con transporte escolar</t>
  </si>
  <si>
    <t>15.10.1</t>
  </si>
  <si>
    <t>Beneficiarios de transporte escolar</t>
  </si>
  <si>
    <t xml:space="preserve">Tasa de cobertura bruta en educación básica
Tasa de cobertura en educación media
</t>
  </si>
  <si>
    <t>15.22</t>
  </si>
  <si>
    <t>Servicio de apoyo para la implementación de la estrategia educativa del sistema de responsabilidad penal para adolescentes</t>
  </si>
  <si>
    <t>15.22.1</t>
  </si>
  <si>
    <t>Entidades Territoriales certificadas con asistencia técnica para el fortalecimiento de la estrategia educativa del sistema de responsabilidad penal para adolescentes</t>
  </si>
  <si>
    <t>201663000-0086</t>
  </si>
  <si>
    <t>Implementación de estrategias de inclusión para garantizar la atención educativa a población vulnerable en el  Departamento del  Quindío</t>
  </si>
  <si>
    <t>Tasa de cobertura bruta en educación básica
Tasa de cobertura en educación media
Tasa de Analfabetismo
Tasa de deserción escolar intra-anual
Tasa de repitencia</t>
  </si>
  <si>
    <t>15.11</t>
  </si>
  <si>
    <t>Servicio educación formal por modelos educativos flexibles</t>
  </si>
  <si>
    <t>15.11.1</t>
  </si>
  <si>
    <t>Beneficiarios atendidos con modelos educativos flexibles</t>
  </si>
  <si>
    <t xml:space="preserve">Tasa de cobertura bruta en transición
Tasa de cobertura bruta en educación básica
Tasa de cobertura en educación media
</t>
  </si>
  <si>
    <t>15.30</t>
  </si>
  <si>
    <t>Servicio educativo</t>
  </si>
  <si>
    <t>15.30.1</t>
  </si>
  <si>
    <t>Establecimientos educativos en operación</t>
  </si>
  <si>
    <t>201663000-0087</t>
  </si>
  <si>
    <t>201663000-0098</t>
  </si>
  <si>
    <t>Funcionamiento y prestación de servicios del sector educativo del nivel central en el Departamento del Quindío</t>
  </si>
  <si>
    <t>Tasa de cobertura bruta en transición
Tasa de cobertura bruta en educación básica
Tasa de cobertura en educación media
Tasa de Analfabetismo
Tasa de deserción escolar intra-anual
Tasa de repitencia</t>
  </si>
  <si>
    <t>15.2</t>
  </si>
  <si>
    <t>Servicio de asistencia técnica en educación inicial, preescolar, básica y media</t>
  </si>
  <si>
    <t>15.2.1</t>
  </si>
  <si>
    <t>Entidades y organizaciones asistidas técnicamente</t>
  </si>
  <si>
    <t>201663000-0090</t>
  </si>
  <si>
    <t>Mejoramiento de ambientes escolares y  fortalecimiento de modelos educativos articuladores de la ciencia, los lenguajes, las artes y el deporte en el Departamento del Quindío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</si>
  <si>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</si>
  <si>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15.18</t>
  </si>
  <si>
    <t>Servicios de asistencia técnica en innovación educativa en la educación inicial, preescolar, básica y media</t>
  </si>
  <si>
    <t>15.18.1</t>
  </si>
  <si>
    <t>Instituciones educativas asistidas técnicamente en innovación educativa</t>
  </si>
  <si>
    <t xml:space="preserve">Tasa de cobertura bruta en transición
Tasa de cobertura bruta en educación básica
Tasa de cobertura en educación media 
Tasa de deserción escolar intra-anual </t>
  </si>
  <si>
    <t>15.8</t>
  </si>
  <si>
    <t>Servicio de acondicionamiento de ambientes de aprendizaje</t>
  </si>
  <si>
    <t>15.8.1</t>
  </si>
  <si>
    <t>Ambientes de aprendizaje en funcionamiento</t>
  </si>
  <si>
    <t>201663000-0093</t>
  </si>
  <si>
    <t>Mejoramiento de estrategias que permitan una mayor eficiencia en la gestión de procesos y proyectos de las instituciones educativas del Departamento del Quindío</t>
  </si>
  <si>
    <t>201663000-0095</t>
  </si>
  <si>
    <t xml:space="preserve">Fortalecimiento de los niveles de educación  básica y media para la articulación con la educación terciaria en el Departamento del Quindío </t>
  </si>
  <si>
    <t>Tasa de cobertura bruta en transición</t>
  </si>
  <si>
    <t>15.16</t>
  </si>
  <si>
    <t>Servicio de atención integral para la primera infancia</t>
  </si>
  <si>
    <t>15.16.1</t>
  </si>
  <si>
    <t>Instituciones educativas oficiales que implementan el nivel preescolar en el marco de la atención integral</t>
  </si>
  <si>
    <t>201663000-0101</t>
  </si>
  <si>
    <t xml:space="preserve">Implementación del modelo de atención integral de la educación inicial en el Departamento del  Quindío </t>
  </si>
  <si>
    <t>15.20</t>
  </si>
  <si>
    <t>Servicio de accesibilidad a contenidos web para fines pedagógicos</t>
  </si>
  <si>
    <t>15.20.2</t>
  </si>
  <si>
    <t>Establecimientos educativos conectados a internet</t>
  </si>
  <si>
    <t>201663000-0097</t>
  </si>
  <si>
    <t xml:space="preserve">Fortalecimiento de las herramientas tecnológicas en las Instituciones Educativas del Departamento del Quindío </t>
  </si>
  <si>
    <t>15.20.1</t>
  </si>
  <si>
    <t>Estudiantes con acceso a contenidos web en el establecimiento educativo</t>
  </si>
  <si>
    <t>Porcentaje de estudiantes de grado 11 con dominio de inglés a nivel B1 (preintermedio)</t>
  </si>
  <si>
    <t>15.14</t>
  </si>
  <si>
    <t>Servicio educativos de promoción del bilingüismo</t>
  </si>
  <si>
    <t>15.14.1</t>
  </si>
  <si>
    <t>Estudiantes beneficiados con estrategias de promoción del bilingüismo</t>
  </si>
  <si>
    <t>202000363-0023</t>
  </si>
  <si>
    <t>Fortalecer las competencias comunicativas en lengua extranjera en estudiantes y docentes de las instituciones educativas oficiales del Departamento del Quindío</t>
  </si>
  <si>
    <t>15.14.2</t>
  </si>
  <si>
    <t>Instituciones educativas fortalecidas en competencias comunicativas en un segundo idioma</t>
  </si>
  <si>
    <t>15.23</t>
  </si>
  <si>
    <t>Servicio educativo de promoción del bilingüismo para docentes</t>
  </si>
  <si>
    <t>15.23.1</t>
  </si>
  <si>
    <t>Docentes beneficiados con estrategias de promoción del bilingüismo</t>
  </si>
  <si>
    <t>15.6</t>
  </si>
  <si>
    <t>Servicio de monitoreo y seguimiento a la gestión del sector educativo</t>
  </si>
  <si>
    <t>15.6.1</t>
  </si>
  <si>
    <t>Entidades territoriales con seguimiento y evaluación a la gestión.</t>
  </si>
  <si>
    <t>202000363-0024</t>
  </si>
  <si>
    <t>Fortalecimiento de la educación media para la articulación con la educación superior o terciaria. "Tú y yo preparados para la educación superior"</t>
  </si>
  <si>
    <t>Tasa de cobertura en educación superior</t>
  </si>
  <si>
    <t>44.1</t>
  </si>
  <si>
    <t>Servicio de apoyo para el acceso y la permanencia a la educación superior o terciaria</t>
  </si>
  <si>
    <t>44.1.1</t>
  </si>
  <si>
    <t>Estrategias o programas de  fomento para  acceso y  permanencia a la educación superior o terciaria implementados</t>
  </si>
  <si>
    <t>Fortalecimiento de los niveles de educación  básica y media para la articulación con la educación terciaria en el Departamento del Quindío</t>
  </si>
  <si>
    <t>2017003630-122</t>
  </si>
  <si>
    <t>Implementación de un fondo de apoyo departamental para el acceso y la permanencia de la educacion técnica, tecnológica y superior en el Departamento del Quindío</t>
  </si>
  <si>
    <t>316 SECRETARÍA DE FAMILIA</t>
  </si>
  <si>
    <t>INCLUSION SOCIAL</t>
  </si>
  <si>
    <t>Salud Pública, "Tú y yo con salud de calidad"</t>
  </si>
  <si>
    <t>Razón de mortalidad materna (por 100.000 nacidos vivos)
Porcentaje de atención institucional del parto.
Tasa  de mujeres de 10 a 14 años que han sido madres o están en embarazo.
Tasa de mujeres de 15 a 19 años que han sido madres o están en embarazo.
Prevalencia de VIH/SIDA en población de 15 a 49 años de edad.
Tasa de mortalidad asociada a VIH/SIDA.
Porcentaje transmisión materno -infantil del VIH.
Cobertura de tratamiento antiretroviral</t>
  </si>
  <si>
    <t>12.6</t>
  </si>
  <si>
    <t xml:space="preserve">Servicio de gestión del riesgo en temas de salud sexual y reproductiva </t>
  </si>
  <si>
    <t>12.6.1</t>
  </si>
  <si>
    <t>Campañas de gestión del riesgo en temas de salud sexual y reproductiva implementadas.</t>
  </si>
  <si>
    <t>202000363-0025</t>
  </si>
  <si>
    <t>Diseño e implementación de campañas para la promoción de la vida y prevención del consumo de sustancias psicoactivas "TU Y YO UNIDOS POR LA VIDA".</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</si>
  <si>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</si>
  <si>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12.7</t>
  </si>
  <si>
    <t xml:space="preserve">Servicio de gestión del riesgo en temas de trastornos mentales </t>
  </si>
  <si>
    <t>12.7.1</t>
  </si>
  <si>
    <t>Campañas de gestión del riesgo en temas de trastornos mentales implementadas</t>
  </si>
  <si>
    <t>Cobertura  de municipios   con  jóvenes en riesgo psicosocial impactados en los  Barrios vulnerables del Departamento del Quindío</t>
  </si>
  <si>
    <t>25.1</t>
  </si>
  <si>
    <t>Servicio de educación informal al sector artístico y cultural</t>
  </si>
  <si>
    <t>25.1.1</t>
  </si>
  <si>
    <t>Capacitaciones de educación informal realizadas</t>
  </si>
  <si>
    <t>201663000-0110</t>
  </si>
  <si>
    <t>Desarrollo de acciones encaminadas a la atención integral  de los adolescentes y jóvenes del Departamento del Quindío</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</si>
  <si>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</si>
  <si>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</si>
  <si>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36.4</t>
  </si>
  <si>
    <t xml:space="preserve">Diseñar e implementar un modelo de atención integral en entornos protectores para la primera infancia </t>
  </si>
  <si>
    <t>36.4.1</t>
  </si>
  <si>
    <t>Modelo de atención integral de entornos protectores implementado</t>
  </si>
  <si>
    <t>201663000-0102</t>
  </si>
  <si>
    <t>Implementación de un modelo de atención integral a niños y niñas en entornos protectores en el Departamento del Quindìo</t>
  </si>
  <si>
    <t xml:space="preserve">Cobertura  en la  implementación y seguimiento de las   Rutas integrales de atención  a la primera infancia </t>
  </si>
  <si>
    <t>36.3</t>
  </si>
  <si>
    <t xml:space="preserve">Implementar y realizar seguimiento a las rutas integrales de atención </t>
  </si>
  <si>
    <t>36.3.1</t>
  </si>
  <si>
    <t xml:space="preserve">Numero de rutas integrales de atención  a la  primera infancia implementadas y con seguimiento </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</si>
  <si>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que participan en una actividad remunerada  o no  x cada 100.000 habitantes  en el departamento del Quindío
Tasa  de mujeres de 12 a 14 años que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</si>
  <si>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36.8</t>
  </si>
  <si>
    <t xml:space="preserve">Implementar la  política pública para la protección, el fortalecimiento y el desarrollo integral de la familia Quindiana </t>
  </si>
  <si>
    <t>36.8.1</t>
  </si>
  <si>
    <t>Política Pública de Familia  implementada</t>
  </si>
  <si>
    <t>201663000-0103</t>
  </si>
  <si>
    <t>Formulación e implementación de  la politica pública  de la familia en el departamento del Quindío</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</si>
  <si>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que participan en una actividad remunerada  o no  x cada 100.000 habitantes  en el departamento del Quindío
-Tasa  de mujeres de 12 a 14 años que han sido madres o están en embarazo X 100.000 habitantes en el Departamento del Quindío
-Tasa de Consumo de Sustancias Psicoactivas  x 100.000 Habitantes en el Departamento del Quindío.</t>
  </si>
  <si>
    <t>36.7</t>
  </si>
  <si>
    <t>Revisar, ajustar e implementar  la política pública de primera infancia, infancia y adolescencia</t>
  </si>
  <si>
    <t>36.7.1</t>
  </si>
  <si>
    <t xml:space="preserve">Política Pública de Primera Infancia, Infancia y Adolescencia, revisada, ajustada e implementada. </t>
  </si>
  <si>
    <t>201663000-0109</t>
  </si>
  <si>
    <t>Implementación de la política de primera infancia, infancia y adolescencia en el Departamento del Quindío</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</si>
  <si>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</si>
  <si>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36.9</t>
  </si>
  <si>
    <t xml:space="preserve">Implementar  la política pública de juventud </t>
  </si>
  <si>
    <t>36.9.1</t>
  </si>
  <si>
    <t>Política Pública de Juventud implementada</t>
  </si>
  <si>
    <t>Tasa de Violencia Intrafamiliar x 100.000 Habitantes en el Departamento del Quindío.
Tasa de violencia de Género</t>
  </si>
  <si>
    <t>36.2</t>
  </si>
  <si>
    <t>Rutas integrales de atención en violencia intrafamiliar y  violencia de género</t>
  </si>
  <si>
    <t>36.2.1</t>
  </si>
  <si>
    <t>Capacitación en activación de las Rutas Integrales de Atención en Violencia Intrafamiliar y de Género, a trabajadores de Supermercados y Tenderos de los Municipios realizadas</t>
  </si>
  <si>
    <t>202000363-0026</t>
  </si>
  <si>
    <t>Diseño e implementación de programa de acompañamiento familiar y comunitario con enfoque preventivo en los tipos de violencias en el Departamento del Quindío "TU Y YO COMPROMETIDOS CON LA FAMILIA"</t>
  </si>
  <si>
    <t>Cobertura de atención de niños y niñas en Hogar Infantil Nocturno, hijos de trabajadoras sexuales en el Departamento del Quindío</t>
  </si>
  <si>
    <t>36.1</t>
  </si>
  <si>
    <t>Servicio de divulgación para la promoción y prevención de los derechos de los niños, niñas y adolescentes</t>
  </si>
  <si>
    <t>36.1.1</t>
  </si>
  <si>
    <t>410202200</t>
  </si>
  <si>
    <t xml:space="preserve">Eventos de divulgación realizados </t>
  </si>
  <si>
    <t>202000363-0027</t>
  </si>
  <si>
    <t>Diseño e implementación de programa comunitario para la prevención de los derechos de niños, niñas y adolescentes y su desarrollo integral. "TU Y YO COMPROMETIDOS CON LOS SUEÑOS".</t>
  </si>
  <si>
    <t>Cobertura de adolescentes y jóvenes atendidos en Post egreso, en los servicios de restablecimiento en la administración de justicia.</t>
  </si>
  <si>
    <t>36.6</t>
  </si>
  <si>
    <t>Servicios dirigidos a la atención de niños, niñas, adolescentes y jóvenes, con enfoque pedagógico y restaurativo encaminados a la inclusión social</t>
  </si>
  <si>
    <t>36.6.1</t>
  </si>
  <si>
    <t>Niños, niñas, adolescentes y jóvenes atendidos en los servicios de restablecimiento en la administración de justicia</t>
  </si>
  <si>
    <t>202000363-0028</t>
  </si>
  <si>
    <t>Atención post egreso de adolescentes y jóvenes, en los servicios de restablecimiento en la administración de justicia, con enfoque pedagógico y restaurativo encaminados a la inclusión social del Departamento del Quindío .</t>
  </si>
  <si>
    <t xml:space="preserve">Cobertura de municipios del departamemto apoyados con  emprendimientos juveniles </t>
  </si>
  <si>
    <t>37.4</t>
  </si>
  <si>
    <t>Servicio de asistencia técnica para fortalecimiento de unidades productivas colectivas para la generación de ingresos</t>
  </si>
  <si>
    <t>37.4.1</t>
  </si>
  <si>
    <t>Unidades productivas colectivas con asistencia técnica</t>
  </si>
  <si>
    <t>Cobertura para la atención al ciudadano migrante a través del plan de atención y de repatriación.</t>
  </si>
  <si>
    <t>37.2</t>
  </si>
  <si>
    <t>Servicio de gestión de oferta social para la población vulnerable</t>
  </si>
  <si>
    <t>37.2.1</t>
  </si>
  <si>
    <t xml:space="preserve">Mecanismos de articulación implementados para la gestión de oferta social </t>
  </si>
  <si>
    <t>201663000-0118</t>
  </si>
  <si>
    <t>Implementación del programa  para la atención y acompañamiento  del ciudadano migrante  y de repatriación en el Departamento del Quindío</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</si>
  <si>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</si>
  <si>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37.1</t>
  </si>
  <si>
    <t>Servicio de acompañamiento familiar y comunitario para la superación de la pobreza</t>
  </si>
  <si>
    <t>37.1.1</t>
  </si>
  <si>
    <t>Comunidades con acompañamiento familiar.</t>
  </si>
  <si>
    <t xml:space="preserve">Cobertura de municipios del departamento con procesos de implementación de proyectos  productivos  para las personas con discapacidad </t>
  </si>
  <si>
    <t>37.3</t>
  </si>
  <si>
    <t>Servicio de apoyo para el fortalecimiento de unidades productivas colectivas para la generación de ingresos</t>
  </si>
  <si>
    <t>37.3.1</t>
  </si>
  <si>
    <t>Unidades productivas colectivas fortalecidas</t>
  </si>
  <si>
    <t>202000363-0029</t>
  </si>
  <si>
    <t>Atención integral a población en condición de discapacidad en los municipios del Departamento del Quindío "TU Y YO JUNTOS EN LA INCLUSIÓN".</t>
  </si>
  <si>
    <t xml:space="preserve">Tasa planes de vida de los cabildos  indígenas construidos e implementados </t>
  </si>
  <si>
    <t>37.5</t>
  </si>
  <si>
    <t xml:space="preserve">Apoyar la construcción e Implementación de los  Planes de vida de los cabildos Indígenas asentados en el Departamento del Quindío </t>
  </si>
  <si>
    <t>37.5.1</t>
  </si>
  <si>
    <t xml:space="preserve">Planes de vida de los cabildos indígenas  construidos  e implementados </t>
  </si>
  <si>
    <t>202000363-0030</t>
  </si>
  <si>
    <t>Apoyo en la construcción e Implementación de los Planes de Vida de los Cabildos y Resguardos indígenas  asentados en el Departamento del Quindío "TU Y YO UNIDOS CON DIGNIDAD".</t>
  </si>
  <si>
    <t>Tasa de  planes de vida de los resguardos  indígenas construidos e implementados</t>
  </si>
  <si>
    <t>37.6</t>
  </si>
  <si>
    <t xml:space="preserve">Apoyar la construcción e Implementación de los  Planes de vida de los resguardos indígenas  asentados en el Departamento del Quindío </t>
  </si>
  <si>
    <t>37.6.1</t>
  </si>
  <si>
    <t xml:space="preserve">Planes de vida de los resguardos indígenas  construidos  e implementados </t>
  </si>
  <si>
    <t>Cobertura  de población diferencial,  comunidades negras, afros raizales y Palenqueras asentadas en el departamento del Quindío con una  política publica .</t>
  </si>
  <si>
    <t>37.7</t>
  </si>
  <si>
    <t>Formular e implementar la política publica para la comunidad negra, afrocolombiana, raizal y palenquera residente en el Departamento del Quindío</t>
  </si>
  <si>
    <t>37.7.1</t>
  </si>
  <si>
    <t xml:space="preserve">Política Pública para la comunidad negra, afrocolombiana, raizal y palenquera residente en el departamento del Quindío formulada e implementada </t>
  </si>
  <si>
    <t>202000363-0031</t>
  </si>
  <si>
    <t xml:space="preserve">Formulación e implementación de la política pública para la comunidad negra, afrocolombiana, raizal y palenquera residente en el Departamento del Quindío </t>
  </si>
  <si>
    <t>Atención integral de población en situación permanente de desprotección social y/o familiar "Tú y yo con atención integral"</t>
  </si>
  <si>
    <t>Cobertura  de municipios del Departamento del Quindío  con el   Programas  de Rehabilitación Basada en la Comunidad  RBC
Cobertura de municipios atendidos  con el Banco de ayudas técnicas NO POS tipo Estándar, para las personas con discapacidad .</t>
  </si>
  <si>
    <t>38.3</t>
  </si>
  <si>
    <t>4104035</t>
  </si>
  <si>
    <t>Servicios de atención integral a población en condición de discapacidad</t>
  </si>
  <si>
    <t>38.3.1</t>
  </si>
  <si>
    <t xml:space="preserve">Personas atendidas con servicios integrales de atención </t>
  </si>
  <si>
    <t>38.3.2</t>
  </si>
  <si>
    <t xml:space="preserve">Estrategia de rehabilitación basada en la comunidad implementada en los municipios  </t>
  </si>
  <si>
    <t>Cobertura de municipios del departamento del Quindío, con programas de atención a la población habitante de calle.</t>
  </si>
  <si>
    <t>38.2</t>
  </si>
  <si>
    <t>4104026</t>
  </si>
  <si>
    <t>Servicio de articulación de oferta social para la población habitante de calle</t>
  </si>
  <si>
    <t>38.2.1</t>
  </si>
  <si>
    <t xml:space="preserve">Servicio de articulación habitante de calle implementado en los municipios </t>
  </si>
  <si>
    <t>202000363-0032</t>
  </si>
  <si>
    <t xml:space="preserve"> Apoyo en  la articulación de la  oferta social para la población habitante de calle del Departamento del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</si>
  <si>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</si>
  <si>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38.7</t>
  </si>
  <si>
    <t>Implementar  la política  pública de diversidad sexual e identidad de género</t>
  </si>
  <si>
    <t>38.7.1</t>
  </si>
  <si>
    <t>Política pública de diversidad sexual implementada.</t>
  </si>
  <si>
    <t>201663000-0125</t>
  </si>
  <si>
    <t>Fomulación e implementación de la politica pública  de diversidad sexual en el Departamento del Quindío</t>
  </si>
  <si>
    <t xml:space="preserve">Tasa de Violencia Intrafamiliar x 100.000 Habitantes en el Departamento del Quindío.
Tasa de violencia de Género
Tasa  de mujeres de 12 a 14 años que han sido madres o están en embarazo X 100.000 habitantes en el Departamento del Quindío
Tasa de participación femenina en cargos de elección popular en el  departamento del Quindío
Cobertura de Asociaciones de mujeres fortalecidas  </t>
  </si>
  <si>
    <t>38.8</t>
  </si>
  <si>
    <t xml:space="preserve">Revisar, ajustar e implementar la política pública de equidad de género para la mujer </t>
  </si>
  <si>
    <t>38.8.1</t>
  </si>
  <si>
    <t>Política pública de la mujer y equidad de género revisada, ajustada e implementada.</t>
  </si>
  <si>
    <t>201663000-0128</t>
  </si>
  <si>
    <t>Implementación de la polìtica pùblica de equidad de género para la mujer en el Departamento del Quindìo</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</si>
  <si>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del la  Estampilla Pro adulto Mayor .</t>
  </si>
  <si>
    <t>38.9</t>
  </si>
  <si>
    <t xml:space="preserve">Formular e implementar la política pública de adulto mayor </t>
  </si>
  <si>
    <t>38.9.1</t>
  </si>
  <si>
    <t xml:space="preserve">Política Pública de Adulto Mayor  formulada e implementada </t>
  </si>
  <si>
    <t>201663000-0129</t>
  </si>
  <si>
    <t xml:space="preserve">Apoyo y bienestar integral a las personas mayores del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</si>
  <si>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</si>
  <si>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38.1</t>
  </si>
  <si>
    <t>Servicios de atención y protección integral al adulto mayor</t>
  </si>
  <si>
    <t>38.1.1</t>
  </si>
  <si>
    <t xml:space="preserve">Adultos mayores atendidos con servicios integrales </t>
  </si>
  <si>
    <t>Cobertura  de  centros vida y centros de bienestar del adulto mayor (Legalmente constituidos)  apoyados con los recursos  del la  Estampilla Pro adulto Mayor .</t>
  </si>
  <si>
    <t>38.5</t>
  </si>
  <si>
    <t>Transferencia estampilla para el bienestar del adulto mayor</t>
  </si>
  <si>
    <t>38.5.1</t>
  </si>
  <si>
    <t>Municipios con recursos transferidos con la estampilla Departamental para el bienestar del adulto mayor</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</si>
  <si>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</si>
  <si>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38.6</t>
  </si>
  <si>
    <t>Revisar, ajustar e implementar  la política pública de  discapacidad</t>
  </si>
  <si>
    <t>38.6.1</t>
  </si>
  <si>
    <t xml:space="preserve">Política Pública de  Discapacidad  , revisada, ajustada e implementada. </t>
  </si>
  <si>
    <t>201663000-0114</t>
  </si>
  <si>
    <t>Actualización e implementación  de   la política pública departamental de discapacidad  "Capacidad sin Limites" en el Quindío</t>
  </si>
  <si>
    <t xml:space="preserve">Mejorar las condiciones de calidad de vida de la población, el acceso incluyente y equitativo a la oferta de servicios del Estado y la ampliación de oportunidades para los Quindianos. </t>
  </si>
  <si>
    <t>41.2.2</t>
  </si>
  <si>
    <t>Casa de la Mujer Empoderada implementada</t>
  </si>
  <si>
    <t>202000363-0033</t>
  </si>
  <si>
    <t>Implementación de la Casa de la Mujer Empoderada para la promoción a la participación ciudadana de mujeres en escenarios sociales, políticos y el fortalecimiento de la Asociatividad en el departamento del Quindío "TU Y YO  CON LAS MUJERES EMPODERADAS".</t>
  </si>
  <si>
    <t>41.2.3</t>
  </si>
  <si>
    <t>Casa Refugio de la Mujer implementada</t>
  </si>
  <si>
    <t>202000363-0034</t>
  </si>
  <si>
    <t>Implementación de la Casa Refugio de la Mujer del Departamento del Quindío</t>
  </si>
  <si>
    <t xml:space="preserve">Cobertura de Asociaciones de mujeres fortalecidas  </t>
  </si>
  <si>
    <t>Servicio de asesoría para el fortalecimiento de la Asociatividad</t>
  </si>
  <si>
    <t>4.3.2</t>
  </si>
  <si>
    <t>170201102</t>
  </si>
  <si>
    <t>Asociaciones de mujeres fortalecidas</t>
  </si>
  <si>
    <t>Derechos fundamentales del trabajo y fortalecimiento del diálogo social. "Tú y yo con una niñez protegida"</t>
  </si>
  <si>
    <t>Tasa  de Niños, Niñas y Adolescentes que participan en una actividad remunerada  o no  x cada 100.000 habitantes  en el departamento del Quindío</t>
  </si>
  <si>
    <t>29.1</t>
  </si>
  <si>
    <t>Servicio de educación informal para la prevención integral del trabajo infantil</t>
  </si>
  <si>
    <t>29.1.1</t>
  </si>
  <si>
    <t>360400600</t>
  </si>
  <si>
    <t>Diseño e Implementación de programa comunitario para la prevención de los derechos de niños, niñas y adolescentes y su desarrollo integral. "TU Y YO COMPROMETIDOS CON LOS SUEÑOS".</t>
  </si>
  <si>
    <t>Tasa de participación femenina en cargos de elección popular en el  departamento del Quindío</t>
  </si>
  <si>
    <t>42.8.2</t>
  </si>
  <si>
    <t>Iniciativas para la promoción de la participación femenina en escenarios sociales y políticos implementada.</t>
  </si>
  <si>
    <t xml:space="preserve">318 SECRETARIA DE SALUD </t>
  </si>
  <si>
    <t xml:space="preserve"> INCLUSION SOCIAL Y EQUIDAD</t>
  </si>
  <si>
    <t xml:space="preserve">Inspección, vigilancia y control. "Tú y yo con salud certificada" </t>
  </si>
  <si>
    <t>Mortalidad por diarreica aguda (EDA) menores 5 años (numero de muertes anual)</t>
  </si>
  <si>
    <t>11.19</t>
  </si>
  <si>
    <t xml:space="preserve">Implementación del Modelo Operativo de Inspección, Vigilancia y Control IVC sanitario en los municipios de competencia departamental. </t>
  </si>
  <si>
    <t>11.19.1</t>
  </si>
  <si>
    <t xml:space="preserve">Modelo de IVC sanitario operando </t>
  </si>
  <si>
    <t>201663000-0132</t>
  </si>
  <si>
    <t>11.2</t>
  </si>
  <si>
    <t>Servicio de concepto sanitario</t>
  </si>
  <si>
    <t>11.2.1</t>
  </si>
  <si>
    <t>Conceptos sanitarios expedidos</t>
  </si>
  <si>
    <t>201663000-0146</t>
  </si>
  <si>
    <t xml:space="preserve">Fortalecimiento de la autoridad sanitaria en el Departamento del Quindío </t>
  </si>
  <si>
    <t>Prevalencia de niños menores de 5 años con desnutrición aguda</t>
  </si>
  <si>
    <t>11.9</t>
  </si>
  <si>
    <t>Servicio de asistencia técnica en inspección, vigilancia y control</t>
  </si>
  <si>
    <t>11.9.1</t>
  </si>
  <si>
    <t>Asistencias técnica en Inspección, Vigilancia y Control realizadas</t>
  </si>
  <si>
    <t>Mortalidad por infección respiratoria aguda (IRA) menores 5 años (numero de muertes anual)</t>
  </si>
  <si>
    <t>11.18</t>
  </si>
  <si>
    <t>Realizar la vigilancia epidemiológica de plaguicidas en el marco del programa veo (vigilancia epidemiológica de organofosforados y carba matos) en los municipios de competencia departamental.</t>
  </si>
  <si>
    <t>11.18.1</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</si>
  <si>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</si>
  <si>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</si>
  <si>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Mortalidad por dengue (casos)</t>
  </si>
  <si>
    <t>11.15</t>
  </si>
  <si>
    <t>Servicio de promoción, prevención, vigilancia y control de vectores y zoonosis</t>
  </si>
  <si>
    <t>11.15.1</t>
  </si>
  <si>
    <t>Municipios categorías 4, 5 y 6 que formulen y ejecuten real y efectivamente acciones de promoción, prevención, vigilancia y control de vectores y zoonosis realizados</t>
  </si>
  <si>
    <t>Tasa de mortalidad en menores de 1 año (por 1000 nacidos vivos).</t>
  </si>
  <si>
    <t>11.11</t>
  </si>
  <si>
    <t>Servicio de evaluación, aprobación y seguimiento de planes de gestión integral del riesgo</t>
  </si>
  <si>
    <t>11.11.1</t>
  </si>
  <si>
    <t>Informes de evaluación, aprobación y seguimiento de Planes de Gestión Integral de Riesgo realizados</t>
  </si>
  <si>
    <t>Tasa mortalidad en menores de 5 años (por 1.000 nacidos vivos).</t>
  </si>
  <si>
    <t>11.4</t>
  </si>
  <si>
    <t>Servicio de inspección, vigilancia y control</t>
  </si>
  <si>
    <t>11.4.1</t>
  </si>
  <si>
    <t>visitas realizadas</t>
  </si>
  <si>
    <t>Porcentaje de población asegurada al SGSSS
Opotunidad en la presunción diagnóstica y tratamiento oncológico en menores de 18 años (alta y media)</t>
  </si>
  <si>
    <t>11.1</t>
  </si>
  <si>
    <t>11.1.1</t>
  </si>
  <si>
    <t>Documentos técnicos publicados y/o socializados</t>
  </si>
  <si>
    <t>201663000-0148</t>
  </si>
  <si>
    <t>Implementación de programas de promoción social en poblaciones  especiales en el Departamento del Quindío</t>
  </si>
  <si>
    <t>Tasa de violencia de género</t>
  </si>
  <si>
    <t>11.6</t>
  </si>
  <si>
    <t>Servicio de adopción y seguimiento de acciones y medidas especiales</t>
  </si>
  <si>
    <t>11.6.1</t>
  </si>
  <si>
    <t>Acciones y medidas especiales ejecutadas</t>
  </si>
  <si>
    <t>Mortalidad por diarreica aguda (EDA) menores 5 años (numero de muertes anual)
Prevalencia de niños menores de 5 años con desnutrición aguda
Indice de riesgo de la calidad de agua para consumo humano IRCA</t>
  </si>
  <si>
    <t>11.5</t>
  </si>
  <si>
    <t>Servicio de análisis de laboratorio</t>
  </si>
  <si>
    <t>11.5.1</t>
  </si>
  <si>
    <t>Análisis realizados</t>
  </si>
  <si>
    <t>201663000-0151</t>
  </si>
  <si>
    <t xml:space="preserve">Fortalecimiento de las actividades de vigilancia y control del laboratorio de salud pública en el Departamento del Quindío </t>
  </si>
  <si>
    <t>Tasa ajustada por edad de mortalidad asociada a cáncer de cuello uterino (por 100.000 mujeres).</t>
  </si>
  <si>
    <t>11.7</t>
  </si>
  <si>
    <t>Servicio de auditoría y visitas inspectivas</t>
  </si>
  <si>
    <t>11.7.1</t>
  </si>
  <si>
    <t>Auditorías y visitas inspectivas realizadas</t>
  </si>
  <si>
    <t>11.4.2</t>
  </si>
  <si>
    <t xml:space="preserve">Informes de los resultados obtenidos en la vigilancia sanitaria </t>
  </si>
  <si>
    <t>11.13</t>
  </si>
  <si>
    <t>Servicio de información de vigilancia epidemiológica</t>
  </si>
  <si>
    <t>11.13.1</t>
  </si>
  <si>
    <t>Informes de evento generados en la vigencia</t>
  </si>
  <si>
    <t>201663000-0152</t>
  </si>
  <si>
    <t>Fortalecimiento del sistema de vigilancia en salud pública en el Departamento del Quindío</t>
  </si>
  <si>
    <t>11.14</t>
  </si>
  <si>
    <t>11.14.1</t>
  </si>
  <si>
    <t>Asistencias técnicas realizadas</t>
  </si>
  <si>
    <t>201663000-0155</t>
  </si>
  <si>
    <t xml:space="preserve">Asistencia técnica para el fortalecimiento de la gestión de las entidades territoriales del Departamento del Quindío </t>
  </si>
  <si>
    <t>Opotunidad en la presunción diagnóstica y tratamiento oncológico en menores de 18 años (alta y media)</t>
  </si>
  <si>
    <t>11.16</t>
  </si>
  <si>
    <t>Servicio de información para la gestión de la inspección, vigilancia y control sanitario</t>
  </si>
  <si>
    <t>11.16.1</t>
  </si>
  <si>
    <t>Usuarios del sistema</t>
  </si>
  <si>
    <t>201663000-0158</t>
  </si>
  <si>
    <t>Apoyo al proceso del sistema obligatorio de garantía de calidad a los prestadores de salud en el Departamento del Quindío</t>
  </si>
  <si>
    <t>Razón de mortalidad materna (por 100.000 nacidos vivos)</t>
  </si>
  <si>
    <t>11.3</t>
  </si>
  <si>
    <t>Servicio de certificaciones en buenas practicas</t>
  </si>
  <si>
    <t>11.3.1</t>
  </si>
  <si>
    <t>Certificaciones expedidas</t>
  </si>
  <si>
    <t>Porcentaje de atención institucional del parto por personal calificado.</t>
  </si>
  <si>
    <t>Porcentaje de población asegurada al SGSSS</t>
  </si>
  <si>
    <t>11.17</t>
  </si>
  <si>
    <t>Servicios de comunicación y divulgación en inspección, vigilancia y control</t>
  </si>
  <si>
    <t>11.17.1</t>
  </si>
  <si>
    <t>Eventos de rendición de cuentas realizados</t>
  </si>
  <si>
    <t>201663000-0160</t>
  </si>
  <si>
    <t>Apoyo operativo a la inversión social en salud en el Departamento del Quindío</t>
  </si>
  <si>
    <t>Porcentaje de nacidos vivos con 4 o mas controles prenatales</t>
  </si>
  <si>
    <t>11.8</t>
  </si>
  <si>
    <t>Servicio del ejercicio del procedimiento administrativo sancionatorio</t>
  </si>
  <si>
    <t>11.8.1</t>
  </si>
  <si>
    <t xml:space="preserve">Procesos con aplicación del procedimiento administrativo sancionatorio tramitados </t>
  </si>
  <si>
    <t>Porcentaje transmisión materno -infantil del VIH.</t>
  </si>
  <si>
    <t>11.12</t>
  </si>
  <si>
    <t>Servicio de gestión de peticiones, quejas, reclamos y denuncias</t>
  </si>
  <si>
    <t>11.12.1</t>
  </si>
  <si>
    <t>Preguntas Quejas Reclamos y Denuncias Gestionadas</t>
  </si>
  <si>
    <t>11.10</t>
  </si>
  <si>
    <t>Servicio de implementación de estrategias para el fortalecimiento del control social en salud</t>
  </si>
  <si>
    <t>11.10.1</t>
  </si>
  <si>
    <t>Estrategias para el fortalecimiento del control social en salud implementadas</t>
  </si>
  <si>
    <t>12.12</t>
  </si>
  <si>
    <t>Servicio de gestión del riesgo para temas de consumo, aprovechamiento biológico, calidad e inocuidad de los alimentos.</t>
  </si>
  <si>
    <t>12.12.1</t>
  </si>
  <si>
    <t>Campañas de gestión del riesgo para temas de consumo, aprovechamiento biológico, calidad e inocuidad de los alimentos implementadas</t>
  </si>
  <si>
    <t>12.14</t>
  </si>
  <si>
    <t>Servicios de promoción de la salud y prevención de riesgos asociados a condiciones no transmisibles</t>
  </si>
  <si>
    <t>12.14.1</t>
  </si>
  <si>
    <t>Campañas de promoción de la salud y prevención de riesgos asociados a condiciones no transmisibles implementadas</t>
  </si>
  <si>
    <t>Tasa de mortalidad por malaria.</t>
  </si>
  <si>
    <t>12.4</t>
  </si>
  <si>
    <t xml:space="preserve">Servicio de educación informal en temas de salud pública </t>
  </si>
  <si>
    <t>12.4.1</t>
  </si>
  <si>
    <t>201663000-0133</t>
  </si>
  <si>
    <t>Control Salud Ambiental Departamento del Quindío</t>
  </si>
  <si>
    <t>Tasa  de mujeres de 10 a 14 años que han sido madres o están en embarazo.
Tasa de mujeres de 15 a 19 años que han sido madres o están en embarazo.</t>
  </si>
  <si>
    <t>12.16</t>
  </si>
  <si>
    <t xml:space="preserve">Realizar seguimiento y monitoreo a las Entidades Administradoras de Planes Básicos EAPB en la implementación de la Ruta Integral de Atención para la Promoción y Mantenimiento de la Salud y Materno Perinatal en el Departamento  </t>
  </si>
  <si>
    <t>12.16.1</t>
  </si>
  <si>
    <t>Entidades Administradoras de Planes Básicos EAPB con Rutas de obligatorio cumplimiento Implementadas</t>
  </si>
  <si>
    <t>Letalidad por dengue.</t>
  </si>
  <si>
    <t>12.20</t>
  </si>
  <si>
    <t>Formular el Plan de Fortalecimiento de Capacidades en Salud Ambiental en coordinación con el Consejo Territorial de Salud Ambiental COTSA</t>
  </si>
  <si>
    <t>12.20.1</t>
  </si>
  <si>
    <t xml:space="preserve"> Plan de Fortalecimiento de Capacidades en Salud Ambiental FORMULADO </t>
  </si>
  <si>
    <t>12.17</t>
  </si>
  <si>
    <t>Implementar el protocolo de vigilancia sanitaria y ambiental de los efectos en salud relacionados con la contaminación del aire en los 11 municipios de competencia departamental.</t>
  </si>
  <si>
    <t>12.17.1</t>
  </si>
  <si>
    <t>Protocolo implementado</t>
  </si>
  <si>
    <t>Mortalidad por dengue (casos)
Letalidad por dengue.</t>
  </si>
  <si>
    <t>12.19</t>
  </si>
  <si>
    <t>Formulación e implementación del Plan Departamental en Salud Ambiental de adaptación al cambio climático.climático.</t>
  </si>
  <si>
    <t>12.19.1</t>
  </si>
  <si>
    <t>Plan Departamental en Salud Ambiental de adaptación al cambio climático implementado</t>
  </si>
  <si>
    <t>12.18</t>
  </si>
  <si>
    <t>Implementar la estrategia de entornos saludables en articulación intersectorial y sectorial en los entornos de vivienda, educativo, institucional y comunitario con énfasis en la Atención Primaria en Salud Ambiental APSA.</t>
  </si>
  <si>
    <t>12.18.1</t>
  </si>
  <si>
    <t xml:space="preserve">Estrategia de entornos saludables en articulación intersectorial y sectorial implementada </t>
  </si>
  <si>
    <t>12.21</t>
  </si>
  <si>
    <t xml:space="preserve">Implementación de la estrategia de movilidad saludable, segura y sostenible </t>
  </si>
  <si>
    <t>12.21.1</t>
  </si>
  <si>
    <t xml:space="preserve">Estrategia de movilidad saludable, segura y sostenible   implementada </t>
  </si>
  <si>
    <t>201663000-0134</t>
  </si>
  <si>
    <t>Fortalecimiento de acciones de intervención inherentes a los derechos sexuales y reproductivos  en el Departamento del Quindío</t>
  </si>
  <si>
    <t xml:space="preserve">Realizar seguimiento y Monitoreo a las Entidades Administradoras de Planes Básicos EAPB en la implementación de la Ruta Integral de Atención para la Promoción y Mantenimiento de la Salud y Materno Perinatal en el Departamento  </t>
  </si>
  <si>
    <t>12.5</t>
  </si>
  <si>
    <t>Servicio de gestión del riesgo en temas de consumo de sustancias psicoactivas</t>
  </si>
  <si>
    <t>12.5.1</t>
  </si>
  <si>
    <t>Campañas de gestión del riesgo en temas de consumo de sustancias psicoactivas implementadas</t>
  </si>
  <si>
    <t>201663000-0135</t>
  </si>
  <si>
    <t>Fortalecimiento, promoción de la salud y prevención primaria en salud mental en el Departamento del Quindío</t>
  </si>
  <si>
    <t>12.22</t>
  </si>
  <si>
    <t>Adaptar e implementar la política pública de salud mental para el Departamento del Quindío</t>
  </si>
  <si>
    <t>12.22.1</t>
  </si>
  <si>
    <t xml:space="preserve">Política pública en Salud Mental adaptada e Implementada  </t>
  </si>
  <si>
    <t>Tasa ajustada por edad de mortalidad asociada a cáncer de cuello uterino (por 100.000 mujeres).
Opotunidad en la presunción diagnóstica y tratamiento oncológico en menores de 18 años (alta y media)</t>
  </si>
  <si>
    <t>12.8</t>
  </si>
  <si>
    <t>Servicio de gestión del riesgo para abordar condiciones crónicas prevalentes</t>
  </si>
  <si>
    <t>12.8.1</t>
  </si>
  <si>
    <t>Campañas de gestión del riesgo para abordar condiciones crónicas prevalentes implementadas</t>
  </si>
  <si>
    <t>201663000-0138</t>
  </si>
  <si>
    <t xml:space="preserve">Control y vigilancia en las acciones de condiciones no transmisibles y promoción de estilos de vida saludable en el Quindío  </t>
  </si>
  <si>
    <t>Cobertura de vacunación con DPT en menores de 1 año
Cobertura de vacunación con Triple Viral en niños de 1 año
Cobertura útil con esquema completo de vacunación para la edad (triple viral a los 5 años)</t>
  </si>
  <si>
    <t>12.1</t>
  </si>
  <si>
    <t>Cuartos fríos adecuados</t>
  </si>
  <si>
    <t>12.1.1</t>
  </si>
  <si>
    <t>201663000-0139</t>
  </si>
  <si>
    <t>Fortalecimiento de las acciones de la prevención y protección en la población infantil en el Departamento del Quindío</t>
  </si>
  <si>
    <t>Cobertura útil con esquema completo de vacunación para la edad (triple viral a los 5 años)
Mortalidad por infección respiratoria aguda (IRA) menores 5 años (numero de muertes anual)
Mortalidad por diarreica aguda (EDA) menores 5 años (numero de muertes anual)
Tasa de mortalidad por malaria.</t>
  </si>
  <si>
    <t>12.10</t>
  </si>
  <si>
    <t>Servicio de gestión del riesgo para enfermedades emergentes, reemergentes y desatendidas</t>
  </si>
  <si>
    <t>12.10.1</t>
  </si>
  <si>
    <t>Campañas de gestión del riesgo para enfermedades emergentes, reemergentes y desatendidas implementadas.</t>
  </si>
  <si>
    <t>12.11</t>
  </si>
  <si>
    <t>Servicio de gestión del riesgo para enfermedades inmunoprevenibles</t>
  </si>
  <si>
    <t>12.11.1</t>
  </si>
  <si>
    <t>Campañas de gestión del riesgo para enfermedades inmunoprevenibles  implementadas</t>
  </si>
  <si>
    <t>Mortalidad por dengue (casos) 
Letalidad por dengue.</t>
  </si>
  <si>
    <t>Formulación e implementación del plan departamental en salud Ambiental de adaptación al cambio climático.</t>
  </si>
  <si>
    <t>201663000-0141</t>
  </si>
  <si>
    <t xml:space="preserve">Fortalecimiento de estrategia de gestión integral, vectores, cambio climático y zoonosis en el Departamento  del Quindío </t>
  </si>
  <si>
    <t>12.2</t>
  </si>
  <si>
    <t>12.2.1</t>
  </si>
  <si>
    <t>201663000-0142</t>
  </si>
  <si>
    <t xml:space="preserve">Fortalecimiento de la inclusión social para la disminución de riesgos de contraer enfermedades transmisibles  en el Departamento del Quindío </t>
  </si>
  <si>
    <t>Servicio de gestión del riesgo para enfermedades emergentes, reemergentes y desatendidas.</t>
  </si>
  <si>
    <t>202000363-0002</t>
  </si>
  <si>
    <t>Tu y Yo Contra  - COVID</t>
  </si>
  <si>
    <t>12.13</t>
  </si>
  <si>
    <t>Servicios de atención en salud pública en situaciones de emergencias y desastres</t>
  </si>
  <si>
    <t>12.13.1</t>
  </si>
  <si>
    <t>Personas en capacidad de ser atendidas</t>
  </si>
  <si>
    <t>201663000-0143</t>
  </si>
  <si>
    <t>Prevención en emergencias y desastres de eventos relacionados con la salud pública en el Departamento del  Quindío</t>
  </si>
  <si>
    <t>12.9</t>
  </si>
  <si>
    <t>Servicio de gestión del riesgo para abordar situaciones prevalentes de origen laboral</t>
  </si>
  <si>
    <t>12.9.1</t>
  </si>
  <si>
    <t>Campañas de gestión del riesgo para abordar situaciones prevalentes de origen laboral implementadas</t>
  </si>
  <si>
    <t>201663000-0145</t>
  </si>
  <si>
    <t xml:space="preserve"> Prevención vigilancia y control de eventos de origen laboral en el Departamento del Quindío</t>
  </si>
  <si>
    <t>12.3</t>
  </si>
  <si>
    <t>12.3.1</t>
  </si>
  <si>
    <t xml:space="preserve">Documentos de planeación en epidemiología y demografía elaborados </t>
  </si>
  <si>
    <t>Porcentaje de atención institucional del parto.</t>
  </si>
  <si>
    <t>12.15</t>
  </si>
  <si>
    <t>Centros reguladores de urgencias, emergencias y desastres funcionando y dotados</t>
  </si>
  <si>
    <t>12.15.1</t>
  </si>
  <si>
    <t>Centros reguladores de urgencias, emergencias y desastres dotados y funcionando.</t>
  </si>
  <si>
    <t>201663000-0157</t>
  </si>
  <si>
    <t xml:space="preserve">Fortalecimiento de la red de urgencias y emergencias en el Departamento del Quindío </t>
  </si>
  <si>
    <t>201663000-0150</t>
  </si>
  <si>
    <t>13.7</t>
  </si>
  <si>
    <t>Servicio de promoción de afiliaciones al régimen contributivo del Sistema General de Seguridad Social de las personas con capacidad de pago</t>
  </si>
  <si>
    <t>13.7.1</t>
  </si>
  <si>
    <t>Personas con capacidad de pago afiliadas</t>
  </si>
  <si>
    <t>201663000-0153</t>
  </si>
  <si>
    <t>Subsidio afiliación al régimen subsidiado del Sistema General de Seguridad Social en Salud en el Departamento del Quindío</t>
  </si>
  <si>
    <t>Cobertura de tratamiento antiretroviral</t>
  </si>
  <si>
    <t>13.8</t>
  </si>
  <si>
    <t>Servicio de cofinanciación para la continuidad del  régimen subsidiado en salud en 11 municipios del departamento</t>
  </si>
  <si>
    <t>13.8.1</t>
  </si>
  <si>
    <t>Personas afiliadas</t>
  </si>
  <si>
    <t>13.5</t>
  </si>
  <si>
    <t>Servicio de apoyo con tecnologías para prestación de servicios en salud</t>
  </si>
  <si>
    <t>13.5.1</t>
  </si>
  <si>
    <t>Población inimputable atendida</t>
  </si>
  <si>
    <t>201663000-0154</t>
  </si>
  <si>
    <t xml:space="preserve">Prestación de Servicios a la Población no Afiliada al Sistema General de Seguridad Social en Salud  y en los no POS  a la Población Afiliada al Régimen Subsidiado.
</t>
  </si>
  <si>
    <t>13.5.2</t>
  </si>
  <si>
    <t>Pacientes atendidos</t>
  </si>
  <si>
    <t>13.9</t>
  </si>
  <si>
    <t>Servicios de reconocimientos para el cumplimiento de metas de calidad, financiera, producción y transferencias especiales.</t>
  </si>
  <si>
    <t>13.9.1</t>
  </si>
  <si>
    <t>Porcentaje de recursos transferidos</t>
  </si>
  <si>
    <t>13.10</t>
  </si>
  <si>
    <t>Servicios de reconocimientos de deuda</t>
  </si>
  <si>
    <t>13.10.1</t>
  </si>
  <si>
    <t>Porcentaje de recursos pagados</t>
  </si>
  <si>
    <t>Tasa de mujeres de 15 a 19 años que han sido madres o están en embarazo.</t>
  </si>
  <si>
    <t>13.6</t>
  </si>
  <si>
    <t>Servicio de asistencia técnica a Instituciones prestadoras de servicios de salud</t>
  </si>
  <si>
    <t>13.6.1</t>
  </si>
  <si>
    <t>Instituciones Prestadoras de Servicios de salud asistidas técnicamente</t>
  </si>
  <si>
    <t>201663000-0159</t>
  </si>
  <si>
    <t>Fortalecimiento de la red de prestación de servicios pública  del Departamento del Quindío</t>
  </si>
  <si>
    <t>324  SECRETARÍA TECNOLÓGIAS DE LA INFORMACIÓN Y COMUNICACIÓN</t>
  </si>
  <si>
    <t>Facilitar el acceso y uso de las Tecnologías de la Información y las Comunicaciones en todo el departamento del Quindio. "Tú y yo somos ciudadanos TIC"</t>
  </si>
  <si>
    <t>Tasa de crecimiento de puntos de acceso a internet gratis 
Índice Departamental de Competitividad
Tasa de Desempleo</t>
  </si>
  <si>
    <t>16.4</t>
  </si>
  <si>
    <t>Servicio de acceso y uso de tecnologías de la información y las comunicaciones</t>
  </si>
  <si>
    <t>16.4.2</t>
  </si>
  <si>
    <t>Soluciones de conectividad en instituciones públicas instaladas</t>
  </si>
  <si>
    <t>202000363-0035</t>
  </si>
  <si>
    <t>Fortalecimiento  y apoyo a las tecnologías de la información de las comunicaciones en el departamento del Quindío</t>
  </si>
  <si>
    <t>Nivel de avance alto en el Índice de Gobierno digital
Índice Departamental de Competitividad
Tasa de Desempleo</t>
  </si>
  <si>
    <t>16.5</t>
  </si>
  <si>
    <t>Servicio de educación informal en tecnologías de la información y las comunicaciones.</t>
  </si>
  <si>
    <t>16.5.1</t>
  </si>
  <si>
    <t>Personas capacitadas en tecnologías de la información y las comunicaciones</t>
  </si>
  <si>
    <t>Fomento del desarrollo de aplicaciones, software y contenidos para impulsar la apropiación de las Tecnologías de la Información y las Comunicaciones (TIC) "Quindío paraiso empresarial TIC-Quindío TIC"</t>
  </si>
  <si>
    <t>17.8</t>
  </si>
  <si>
    <t>Servicio de promoción de la industria de tecnologías de la información</t>
  </si>
  <si>
    <t>17.8.1</t>
  </si>
  <si>
    <t xml:space="preserve">Eventos para  promoción  de productos y Servicio de la industria TI realizados </t>
  </si>
  <si>
    <t>202000363-0036</t>
  </si>
  <si>
    <t>Fortalecimiento del sector empresarial del departamento del Quindío</t>
  </si>
  <si>
    <t xml:space="preserve">PRODUCTIVIDAD Y COMPETITIVIDAD </t>
  </si>
  <si>
    <t>3903</t>
  </si>
  <si>
    <t xml:space="preserve">Desarrollo tecnológico e innovación para el crecimiento empresarial </t>
  </si>
  <si>
    <t>Tasa de crecimiento de empresas en el sector productivo transformadas digitalmente</t>
  </si>
  <si>
    <t>31.1</t>
  </si>
  <si>
    <t>Servicio de apoyo para la transferencia de conocimiento y tecnología</t>
  </si>
  <si>
    <t>31.1.1</t>
  </si>
  <si>
    <t>Nuevas tecnologías adoptadas</t>
  </si>
  <si>
    <t>201663000-0001</t>
  </si>
  <si>
    <t>Apoyo a la estrategia de gobierno en linea en el Departamento del Quindío</t>
  </si>
  <si>
    <t>Generación de una cultura que valora y gestiona el conocimiento y la innovación.</t>
  </si>
  <si>
    <t>Incremento de emprendimientos y/o empresas de base tecnologica</t>
  </si>
  <si>
    <t>32.2</t>
  </si>
  <si>
    <t>Servicios de comunicación con enfoque en ciencia tecnología y sociedad</t>
  </si>
  <si>
    <t>32.2.1</t>
  </si>
  <si>
    <t>Juguetes, juegos o videojuegos para la comunicación de la ciencia, tecnología e innovación producidos</t>
  </si>
  <si>
    <t>202000363-0037</t>
  </si>
  <si>
    <t xml:space="preserve">Implementación  y  divulgación de la estratégia    "Quindío innovador y competitivo" </t>
  </si>
  <si>
    <t>Nivel de avance alto en el Índice de Gobierno digital</t>
  </si>
  <si>
    <t>17.6</t>
  </si>
  <si>
    <t>Servicio de educación informal para la implementación de la estrategia de gobierno digital</t>
  </si>
  <si>
    <t>17.6.1</t>
  </si>
  <si>
    <t>Personas capacitadas para la implementación de la Estrategia de Gobierno digital</t>
  </si>
  <si>
    <t>201663000-0004</t>
  </si>
  <si>
    <t>Apoyo a la sostenibilidad de las tecnologías de la información y comunicación de la Gobernación del Quindío</t>
  </si>
  <si>
    <t>17.10</t>
  </si>
  <si>
    <t>Servicio de educación informal en Gestión TI y en Seguridad y Privacidad de la Información</t>
  </si>
  <si>
    <t>17.10.1</t>
  </si>
  <si>
    <t>Personas capacitadas para en Gestión TI y en Seguridad y Privacidad de la Información</t>
  </si>
  <si>
    <t>TOTAL ADMINISTRACIÓN CENTRAL:</t>
  </si>
  <si>
    <t xml:space="preserve">319 INDEPORTES QUINDÍO </t>
  </si>
  <si>
    <t>Cobertura de municipios que participan en programas de recreación, actividad física y deporte social y comunitario en el Departamento del Quindío.
Tasa de consumo de sustencias psicoactivas X100.000 habitantes en el Departamento del Quindío</t>
  </si>
  <si>
    <t>39.1</t>
  </si>
  <si>
    <t>Servicio de Escuelas Deportivas</t>
  </si>
  <si>
    <t>39.1.1</t>
  </si>
  <si>
    <t>Municipios con Escuelas Deportivas</t>
  </si>
  <si>
    <t>201663000-0163</t>
  </si>
  <si>
    <t>Apoyo al Deporte formativo, deporte social comunitario y juegos  tradicionales en el Departamento del Quindío</t>
  </si>
  <si>
    <t>39.2</t>
  </si>
  <si>
    <t>Servicio de promoción de la actividad física, la recreación y el deporte</t>
  </si>
  <si>
    <t>39.2.1</t>
  </si>
  <si>
    <t>Municipios vinculados al programa Supérate-Intercolegiados</t>
  </si>
  <si>
    <t>39.2.2</t>
  </si>
  <si>
    <t>430103704</t>
  </si>
  <si>
    <t>Municipios implementando  programas de recreación, actividad física y deporte social comunitario</t>
  </si>
  <si>
    <t>201663000-0162</t>
  </si>
  <si>
    <t>Apoyo a los juegos intercolegiados en el Deparrtamento del Quindìo</t>
  </si>
  <si>
    <t>201663000-0164</t>
  </si>
  <si>
    <t xml:space="preserve"> Apoyo a la recreación,  para el bien común en el Departamento del Quindío</t>
  </si>
  <si>
    <t>39.3</t>
  </si>
  <si>
    <t>N/A</t>
  </si>
  <si>
    <t>Formular e  implementar una  política pública para el desarrollo y acceso al deporte, la recreación, la actividad física, la educación física y el uso adecuado del tiempo libre, como ejes de transformación humana y social en el departamento del Quindío</t>
  </si>
  <si>
    <t>39.3.1</t>
  </si>
  <si>
    <t>Politica publica formulada e implementada</t>
  </si>
  <si>
    <t>201663000-0166</t>
  </si>
  <si>
    <t>Apoyo a proyectos deportivos, recreativos y de actividad fisica, en el Departamento del Quindìo</t>
  </si>
  <si>
    <t>201663000-0165</t>
  </si>
  <si>
    <t>Apoyo a la actividad fisica, salud y productiva en el Departamento del Quindío</t>
  </si>
  <si>
    <t xml:space="preserve">Cobertura de ligas apoyadas en el departamento del Quindío.
Tasa de consumo de sustencias psicoactivas X100.000 habitantes en el Departamento del Quindío
</t>
  </si>
  <si>
    <t>40.2</t>
  </si>
  <si>
    <t>Servicio de asistencia técnica para la promoción del deporte</t>
  </si>
  <si>
    <t>40.2.1</t>
  </si>
  <si>
    <t xml:space="preserve">Organismos deportivos asistidos </t>
  </si>
  <si>
    <t>201663000-0161</t>
  </si>
  <si>
    <t>Apoyo al deporte asociado en el Departamento del Quindío</t>
  </si>
  <si>
    <t>Porcentaje de medallería del departamento del Quindío en los Juegos Nacionales.
Tasa de consumo de sustencias psicoactivas X100.000 habitantes en el Departamento del Quindío</t>
  </si>
  <si>
    <t>40.2.2</t>
  </si>
  <si>
    <t>Juegos Deportivos Realizados</t>
  </si>
  <si>
    <t>202000363-0038</t>
  </si>
  <si>
    <t>Desarrollo de los  XXII JUEGOS DEPORTIVOS NACIONALES Y VI JUEGOS PARANACIONALES   2023</t>
  </si>
  <si>
    <t xml:space="preserve">320 PROMOTORA DE VIVIENDA </t>
  </si>
  <si>
    <t>4. Deporte, recreación</t>
  </si>
  <si>
    <t>201663000-0171</t>
  </si>
  <si>
    <t xml:space="preserve">Apoyo en la formulación y ejecucion de proyectos de vivienda, infraestructura y equipamientos colectivos y comunitarios en el Departamento del Quindío  </t>
  </si>
  <si>
    <t xml:space="preserve">ïndice de competitividad  en el sector de infraestructura vial </t>
  </si>
  <si>
    <t>Deficit cualitativo de viviendas por hogares</t>
  </si>
  <si>
    <t>33.1</t>
  </si>
  <si>
    <t xml:space="preserve">Servicio de asistencia técnica y jurídica en saneamiento y titulación de predios </t>
  </si>
  <si>
    <t>33.1.1</t>
  </si>
  <si>
    <t>400100100</t>
  </si>
  <si>
    <t>Entidades territoriales asistidas técnica y jurídicamente</t>
  </si>
  <si>
    <t xml:space="preserve">7. Vivienda </t>
  </si>
  <si>
    <t>Deficit cuantitativo de viviendas por hogares</t>
  </si>
  <si>
    <t>33.4</t>
  </si>
  <si>
    <t xml:space="preserve">Viviendas de Interés Prioritario urbanas costruidas </t>
  </si>
  <si>
    <t>33.4.1</t>
  </si>
  <si>
    <t>400101700</t>
  </si>
  <si>
    <t>Viviendas de Interés Prioritario urbanas construidas</t>
  </si>
  <si>
    <t>33.5</t>
  </si>
  <si>
    <t xml:space="preserve">Viviendas de Interés Prioritario urbanas mejoradas </t>
  </si>
  <si>
    <t>33.5.1</t>
  </si>
  <si>
    <t>400101800</t>
  </si>
  <si>
    <t>Viviendas de Interés Prioritario urbanas mejoradas</t>
  </si>
  <si>
    <t>33.6</t>
  </si>
  <si>
    <t>Estudios de preinversión e inversión</t>
  </si>
  <si>
    <t>33.6.1</t>
  </si>
  <si>
    <t>400103000</t>
  </si>
  <si>
    <t xml:space="preserve">Infraestructura Institucional de edificios públicos de atención de servicios ciudadanos con procesos costructivos, y/o mejorados, y/o ampliados, y/o mantenidos y/o reforzados </t>
  </si>
  <si>
    <t>321 INSTITUTO DEPARTAMENTAL DE TRANSITO</t>
  </si>
  <si>
    <t xml:space="preserve"> TERRITORIO, AMBIENTE Y DESARROLLO SOSTENIBLE</t>
  </si>
  <si>
    <t>Seguridad de Transporte. "Tú y yo seguros en la vía"</t>
  </si>
  <si>
    <t>Tasa de lesionados por siniestros viales por cada 100 habitantes.
Tasa de fallecidos por siniestros viales por cada 100 habitantes.</t>
  </si>
  <si>
    <t>19.1</t>
  </si>
  <si>
    <t>Formular e Implementar una estrategia de movilidad saludable, segura y sostenible.</t>
  </si>
  <si>
    <t>19.1.1</t>
  </si>
  <si>
    <t xml:space="preserve">Estrategia de movilidad saludable, segura y sostenible  formulada e implementada </t>
  </si>
  <si>
    <t xml:space="preserve">9. Transporte </t>
  </si>
  <si>
    <t>201663000-0172</t>
  </si>
  <si>
    <t>Fortalecimiento de la seguridad vial  en el Departamento del Quindío</t>
  </si>
  <si>
    <t>19.2</t>
  </si>
  <si>
    <t>Formular e Implementar un programa de formación en normas de tránsito y fomento de cultura  de la seguridad en la vía.</t>
  </si>
  <si>
    <t>19.2.1</t>
  </si>
  <si>
    <t>Programa de formación cultural  de la seguridad en la vía formulado e implementado.</t>
  </si>
  <si>
    <t>19.3</t>
  </si>
  <si>
    <t>Formular e Implementar un programa de control, prevención y atención del tránsito y el transporte en los municipios y vías de jurisdicción del IDTQ.</t>
  </si>
  <si>
    <t>19.3.1</t>
  </si>
  <si>
    <t>Programa de control y atención del tránsito y el transporte formulado e implementado</t>
  </si>
  <si>
    <t>19.4</t>
  </si>
  <si>
    <t>Diseñar e Implementar un programa de señalización y demarcación en los municipios y vías de jurisdicción del IDTQ.</t>
  </si>
  <si>
    <t>19.4.1</t>
  </si>
  <si>
    <t>Programa de Señalización y demarcación en los municipios y vías de jurisdicción del IDTQ diseñado e Implementado</t>
  </si>
  <si>
    <t>TOTAL ENTIDADES DESCENTRALIZADAS</t>
  </si>
  <si>
    <t>TOTAL POAI:</t>
  </si>
  <si>
    <t>PROGRAMACIÓN PLAN OPERATIVO ANUAL DE INVERSIÓN  ARMONIZACION PLAN DE DESARROLLO 2020-2023 "TÚ Y YO SOMOS QUINDIO "
JUNIO 30 DE 2020</t>
  </si>
  <si>
    <t>F-PLA-42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</si>
</sst>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240A]\ * #,##0.00_);_([$$-240A]\ * \(#,##0.00\);_([$$-240A]\ * &quot;-&quot;??_);_(@_)"/>
    <numFmt numFmtId="169" formatCode="_(* #,##0_);_(* \(#,##0\);_(* &quot;-&quot;??_);_(@_)"/>
    <numFmt numFmtId="170" formatCode="_-* #,##0.00_-;\-* #,##0.00_-;_-* &quot;-&quot;_-;_-@_-"/>
    <numFmt numFmtId="171" formatCode="_-&quot;$&quot;\ * #,##0.00_-;\-&quot;$&quot;\ * #,##0.00_-;_-&quot;$&quot;\ * &quot;-&quot;??_-;_-@_-"/>
    <numFmt numFmtId="172" formatCode="00"/>
    <numFmt numFmtId="173" formatCode="_-* #,##0_-;\-* #,##0_-;_-* &quot;-&quot;??_-;_-@_-"/>
    <numFmt numFmtId="174" formatCode="0.0"/>
    <numFmt numFmtId="175" formatCode="_-&quot;$&quot;\ * #,##0.00_-;\-&quot;$&quot;\ * #,##0.00_-;_-&quot;$&quot;\ * &quot;-&quot;_-;_-@_-"/>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rgb="FF6F6F6E"/>
      <name val="Calibri"/>
      <family val="2"/>
      <scheme val="minor"/>
    </font>
    <font>
      <sz val="12"/>
      <name val="Arial"/>
      <family val="2"/>
    </font>
    <font>
      <sz val="12"/>
      <color theme="1"/>
      <name val="Arial"/>
      <family val="2"/>
    </font>
    <font>
      <b/>
      <sz val="12"/>
      <color theme="0"/>
      <name val="Arial"/>
      <family val="2"/>
    </font>
    <font>
      <sz val="10"/>
      <name val="Arial"/>
      <family val="2"/>
    </font>
    <font>
      <b/>
      <sz val="12"/>
      <name val="Arial"/>
      <family val="2"/>
    </font>
    <font>
      <b/>
      <sz val="10"/>
      <name val="Arial"/>
      <family val="2"/>
    </font>
    <font>
      <sz val="12"/>
      <color theme="0"/>
      <name val="Arial"/>
      <family val="2"/>
    </font>
    <font>
      <sz val="12"/>
      <name val="Calibri"/>
      <family val="2"/>
      <scheme val="minor"/>
    </font>
    <font>
      <sz val="12"/>
      <color theme="1"/>
      <name val="Calibri"/>
      <family val="2"/>
      <scheme val="minor"/>
    </font>
    <font>
      <sz val="12"/>
      <color indexed="8"/>
      <name val="Arial"/>
      <family val="2"/>
    </font>
    <font>
      <sz val="12"/>
      <color rgb="FFFF0000"/>
      <name val="Arial"/>
      <family val="2"/>
    </font>
    <font>
      <sz val="12"/>
      <color rgb="FF000000"/>
      <name val="Arial"/>
      <family val="2"/>
    </font>
    <font>
      <sz val="12"/>
      <color rgb="FF000000"/>
      <name val="Calibri"/>
      <family val="2"/>
      <scheme val="minor"/>
    </font>
    <font>
      <b/>
      <sz val="12"/>
      <name val="Calibri"/>
      <family val="2"/>
      <scheme val="minor"/>
    </font>
    <font>
      <sz val="11"/>
      <name val="Arial"/>
      <family val="2"/>
    </font>
    <font>
      <sz val="12"/>
      <color indexed="8"/>
      <name val="Calibri"/>
      <family val="2"/>
      <scheme val="minor"/>
    </font>
    <font>
      <sz val="12"/>
      <color rgb="FF222222"/>
      <name val="Calibri"/>
      <family val="2"/>
      <scheme val="minor"/>
    </font>
    <font>
      <b/>
      <sz val="9"/>
      <color indexed="81"/>
      <name val="Tahoma"/>
      <family val="2"/>
    </font>
    <font>
      <sz val="9"/>
      <color indexed="81"/>
      <name val="Tahoma"/>
      <family val="2"/>
    </font>
  </fonts>
  <fills count="41">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CECEC"/>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9" tint="0.39997558519241921"/>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style="thin">
        <color indexed="64"/>
      </right>
      <top style="thin">
        <color indexed="64"/>
      </top>
      <bottom style="thin">
        <color indexed="64"/>
      </bottom>
      <diagonal/>
    </border>
    <border>
      <left/>
      <right style="thin">
        <color rgb="FF522B57"/>
      </right>
      <top style="thin">
        <color rgb="FF522B57"/>
      </top>
      <bottom style="thin">
        <color rgb="FF522B57"/>
      </bottom>
      <diagonal/>
    </border>
    <border>
      <left style="thin">
        <color theme="1"/>
      </left>
      <right/>
      <top style="thin">
        <color theme="1"/>
      </top>
      <bottom style="thin">
        <color theme="1"/>
      </bottom>
      <diagonal/>
    </border>
    <border>
      <left style="thin">
        <color indexed="64"/>
      </left>
      <right style="thin">
        <color indexed="64"/>
      </right>
      <top style="thin">
        <color rgb="FF522B57"/>
      </top>
      <bottom/>
      <diagonal/>
    </border>
    <border>
      <left style="thin">
        <color rgb="FF000000"/>
      </left>
      <right style="thin">
        <color rgb="FF000000"/>
      </right>
      <top style="thin">
        <color rgb="FF000000"/>
      </top>
      <bottom style="thin">
        <color rgb="FF000000"/>
      </bottom>
      <diagonal/>
    </border>
  </borders>
  <cellStyleXfs count="57">
    <xf numFmtId="0" fontId="0" fillId="0" borderId="0"/>
    <xf numFmtId="0" fontId="1" fillId="9"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0" fillId="5" borderId="4" applyNumberFormat="0" applyAlignment="0" applyProtection="0"/>
    <xf numFmtId="0" fontId="12" fillId="6" borderId="7" applyNumberFormat="0" applyAlignment="0" applyProtection="0"/>
    <xf numFmtId="0" fontId="11" fillId="0" borderId="6" applyNumberFormat="0" applyFill="0" applyAlignment="0" applyProtection="0"/>
    <xf numFmtId="0" fontId="3" fillId="0" borderId="1" applyNumberFormat="0" applyFill="0" applyAlignment="0" applyProtection="0"/>
    <xf numFmtId="0" fontId="5" fillId="0" borderId="0" applyNumberFormat="0" applyFill="0" applyBorder="0" applyAlignment="0" applyProtection="0"/>
    <xf numFmtId="0" fontId="16" fillId="8"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8" fillId="4" borderId="4" applyNumberFormat="0" applyAlignment="0" applyProtection="0"/>
    <xf numFmtId="0" fontId="6" fillId="2" borderId="0" applyNumberFormat="0" applyBorder="0" applyAlignment="0" applyProtection="0"/>
    <xf numFmtId="167" fontId="1" fillId="0" borderId="0" applyFont="0" applyFill="0" applyBorder="0" applyAlignment="0" applyProtection="0"/>
    <xf numFmtId="0" fontId="7" fillId="3" borderId="0" applyNumberFormat="0" applyBorder="0" applyAlignment="0" applyProtection="0"/>
    <xf numFmtId="0" fontId="1" fillId="7" borderId="8" applyNumberFormat="0" applyFont="0" applyAlignment="0" applyProtection="0"/>
    <xf numFmtId="0" fontId="9" fillId="5"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2"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15" fillId="0" borderId="9" applyNumberFormat="0" applyFill="0" applyAlignment="0" applyProtection="0"/>
    <xf numFmtId="43" fontId="17" fillId="0" borderId="0" applyFont="0" applyFill="0" applyBorder="0" applyAlignment="0" applyProtection="0"/>
    <xf numFmtId="167" fontId="1" fillId="0" borderId="0" applyFont="0" applyFill="0" applyBorder="0" applyAlignment="0" applyProtection="0"/>
    <xf numFmtId="0" fontId="18" fillId="32" borderId="10">
      <alignment horizontal="center" vertical="center" wrapText="1"/>
    </xf>
    <xf numFmtId="0" fontId="1" fillId="0" borderId="0"/>
    <xf numFmtId="9" fontId="17"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8" fontId="1" fillId="0" borderId="0"/>
    <xf numFmtId="168" fontId="18" fillId="32" borderId="10">
      <alignment horizontal="center" vertical="center" wrapText="1"/>
    </xf>
    <xf numFmtId="166"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8" fontId="22" fillId="0" borderId="0"/>
    <xf numFmtId="171" fontId="1" fillId="0" borderId="0" applyFont="0" applyFill="0" applyBorder="0" applyAlignment="0" applyProtection="0"/>
    <xf numFmtId="167" fontId="17" fillId="0" borderId="0" applyFont="0" applyFill="0" applyBorder="0" applyAlignment="0" applyProtection="0"/>
  </cellStyleXfs>
  <cellXfs count="779">
    <xf numFmtId="0" fontId="0" fillId="0" borderId="0" xfId="0"/>
    <xf numFmtId="168" fontId="23" fillId="0" borderId="11" xfId="49" applyFont="1" applyBorder="1" applyAlignment="1">
      <alignment horizontal="left" vertical="center"/>
    </xf>
    <xf numFmtId="168" fontId="19" fillId="33" borderId="0" xfId="49" applyFont="1" applyFill="1" applyBorder="1"/>
    <xf numFmtId="168" fontId="19" fillId="0" borderId="0" xfId="49" applyFont="1" applyFill="1" applyBorder="1"/>
    <xf numFmtId="168" fontId="23" fillId="0" borderId="18" xfId="49" applyFont="1" applyFill="1" applyBorder="1" applyAlignment="1">
      <alignment horizontal="left" vertical="center"/>
    </xf>
    <xf numFmtId="172" fontId="23" fillId="0" borderId="11" xfId="49" applyNumberFormat="1" applyFont="1" applyBorder="1" applyAlignment="1">
      <alignment horizontal="left" vertical="center"/>
    </xf>
    <xf numFmtId="17" fontId="23" fillId="0" borderId="11" xfId="49" applyNumberFormat="1" applyFont="1" applyBorder="1" applyAlignment="1">
      <alignment horizontal="left" vertical="center"/>
    </xf>
    <xf numFmtId="3" fontId="23" fillId="34" borderId="11" xfId="49" applyNumberFormat="1" applyFont="1" applyFill="1" applyBorder="1" applyAlignment="1">
      <alignment horizontal="left" vertical="center" wrapText="1"/>
    </xf>
    <xf numFmtId="168" fontId="24" fillId="33" borderId="0" xfId="49" applyFont="1" applyFill="1" applyBorder="1" applyAlignment="1">
      <alignment horizontal="center" vertical="center"/>
    </xf>
    <xf numFmtId="168" fontId="24" fillId="0" borderId="0" xfId="49" applyFont="1" applyFill="1" applyBorder="1" applyAlignment="1">
      <alignment horizontal="center" vertical="center"/>
    </xf>
    <xf numFmtId="169" fontId="24" fillId="35" borderId="11" xfId="42" applyNumberFormat="1" applyFont="1" applyFill="1" applyBorder="1" applyAlignment="1">
      <alignment horizontal="center" vertical="center" wrapText="1"/>
    </xf>
    <xf numFmtId="0" fontId="23" fillId="0" borderId="13" xfId="49" applyNumberFormat="1" applyFont="1" applyFill="1" applyBorder="1" applyAlignment="1">
      <alignment horizontal="left" vertical="center" wrapText="1"/>
    </xf>
    <xf numFmtId="0" fontId="23" fillId="0" borderId="13" xfId="49" applyNumberFormat="1" applyFont="1" applyFill="1" applyBorder="1" applyAlignment="1">
      <alignment horizontal="center" vertical="center" wrapText="1"/>
    </xf>
    <xf numFmtId="168" fontId="19" fillId="0" borderId="13" xfId="49" applyFont="1" applyFill="1" applyBorder="1" applyAlignment="1">
      <alignment horizontal="justify" vertical="center" wrapText="1"/>
    </xf>
    <xf numFmtId="0" fontId="19" fillId="0" borderId="13" xfId="49" applyNumberFormat="1" applyFont="1" applyFill="1" applyBorder="1" applyAlignment="1">
      <alignment horizontal="justify" vertical="center" wrapText="1"/>
    </xf>
    <xf numFmtId="0" fontId="19" fillId="0" borderId="13" xfId="49" applyNumberFormat="1" applyFont="1" applyFill="1" applyBorder="1" applyAlignment="1">
      <alignment horizontal="center" vertical="center" wrapText="1"/>
    </xf>
    <xf numFmtId="168" fontId="20" fillId="0" borderId="13" xfId="49" applyFont="1" applyFill="1" applyBorder="1" applyAlignment="1">
      <alignment horizontal="justify" vertical="center" wrapText="1"/>
    </xf>
    <xf numFmtId="168" fontId="20" fillId="0" borderId="13" xfId="49" applyFont="1" applyFill="1" applyBorder="1" applyAlignment="1">
      <alignment horizontal="center" vertical="center" wrapText="1"/>
    </xf>
    <xf numFmtId="168" fontId="19" fillId="0" borderId="13" xfId="49" applyFont="1" applyFill="1" applyBorder="1" applyAlignment="1">
      <alignment horizontal="center" vertical="center" wrapText="1"/>
    </xf>
    <xf numFmtId="0" fontId="20" fillId="0" borderId="13" xfId="49" applyNumberFormat="1" applyFont="1" applyFill="1" applyBorder="1" applyAlignment="1">
      <alignment horizontal="center" vertical="center" wrapText="1"/>
    </xf>
    <xf numFmtId="168" fontId="20" fillId="0" borderId="13" xfId="49" applyFont="1" applyBorder="1" applyAlignment="1">
      <alignment horizontal="justify" vertical="center" wrapText="1"/>
    </xf>
    <xf numFmtId="43" fontId="19" fillId="0" borderId="23" xfId="42" applyFont="1" applyFill="1" applyBorder="1" applyAlignment="1">
      <alignment horizontal="justify" vertical="center"/>
    </xf>
    <xf numFmtId="168" fontId="20" fillId="0" borderId="23" xfId="49" applyNumberFormat="1" applyFont="1" applyBorder="1" applyAlignment="1">
      <alignment vertical="center"/>
    </xf>
    <xf numFmtId="0" fontId="21" fillId="36" borderId="11" xfId="49" applyNumberFormat="1" applyFont="1" applyFill="1" applyBorder="1" applyAlignment="1">
      <alignment horizontal="left" vertical="center"/>
    </xf>
    <xf numFmtId="0" fontId="21" fillId="36" borderId="14" xfId="49" applyNumberFormat="1" applyFont="1" applyFill="1" applyBorder="1" applyAlignment="1">
      <alignment horizontal="left" vertical="center"/>
    </xf>
    <xf numFmtId="0" fontId="21" fillId="36" borderId="23" xfId="49" applyNumberFormat="1" applyFont="1" applyFill="1" applyBorder="1" applyAlignment="1">
      <alignment horizontal="left" vertical="center"/>
    </xf>
    <xf numFmtId="0" fontId="21" fillId="36" borderId="23" xfId="49" applyNumberFormat="1" applyFont="1" applyFill="1" applyBorder="1" applyAlignment="1">
      <alignment horizontal="center" vertical="center"/>
    </xf>
    <xf numFmtId="168" fontId="21" fillId="36" borderId="23" xfId="49" applyFont="1" applyFill="1" applyBorder="1" applyAlignment="1">
      <alignment horizontal="center" vertical="center"/>
    </xf>
    <xf numFmtId="0" fontId="21" fillId="36" borderId="23" xfId="49" applyNumberFormat="1" applyFont="1" applyFill="1" applyBorder="1" applyAlignment="1">
      <alignment horizontal="justify" vertical="center" wrapText="1"/>
    </xf>
    <xf numFmtId="0" fontId="21" fillId="36" borderId="23" xfId="49" applyNumberFormat="1" applyFont="1" applyFill="1" applyBorder="1" applyAlignment="1">
      <alignment horizontal="center" vertical="center" wrapText="1"/>
    </xf>
    <xf numFmtId="0" fontId="25" fillId="36" borderId="23" xfId="49" applyNumberFormat="1" applyFont="1" applyFill="1" applyBorder="1" applyAlignment="1">
      <alignment horizontal="center" vertical="center"/>
    </xf>
    <xf numFmtId="168" fontId="21" fillId="36" borderId="23" xfId="49" applyFont="1" applyFill="1" applyBorder="1" applyAlignment="1">
      <alignment horizontal="justify" vertical="center" wrapText="1"/>
    </xf>
    <xf numFmtId="168" fontId="21" fillId="36" borderId="23" xfId="49" applyFont="1" applyFill="1" applyBorder="1" applyAlignment="1">
      <alignment horizontal="center" vertical="center" wrapText="1"/>
    </xf>
    <xf numFmtId="168" fontId="25" fillId="36" borderId="11" xfId="49" applyFont="1" applyFill="1" applyBorder="1" applyAlignment="1">
      <alignment horizontal="center" vertical="center"/>
    </xf>
    <xf numFmtId="168" fontId="21" fillId="36" borderId="18" xfId="49" applyFont="1" applyFill="1" applyBorder="1" applyAlignment="1">
      <alignment horizontal="justify" vertical="center" wrapText="1"/>
    </xf>
    <xf numFmtId="43" fontId="21" fillId="36" borderId="11" xfId="49" applyNumberFormat="1" applyFont="1" applyFill="1" applyBorder="1" applyAlignment="1">
      <alignment horizontal="center" vertical="center"/>
    </xf>
    <xf numFmtId="168" fontId="23" fillId="33" borderId="0" xfId="49" applyFont="1" applyFill="1" applyBorder="1" applyAlignment="1">
      <alignment vertical="center"/>
    </xf>
    <xf numFmtId="168" fontId="23" fillId="0" borderId="0" xfId="49" applyFont="1" applyFill="1" applyBorder="1" applyAlignment="1">
      <alignment vertical="center"/>
    </xf>
    <xf numFmtId="168" fontId="23" fillId="0" borderId="25" xfId="49" applyFont="1" applyFill="1" applyBorder="1" applyAlignment="1">
      <alignment vertical="center"/>
    </xf>
    <xf numFmtId="0" fontId="23" fillId="37" borderId="22" xfId="49" applyNumberFormat="1" applyFont="1" applyFill="1" applyBorder="1" applyAlignment="1">
      <alignment horizontal="left" vertical="center" wrapText="1"/>
    </xf>
    <xf numFmtId="0" fontId="23" fillId="37" borderId="11" xfId="49" applyNumberFormat="1" applyFont="1" applyFill="1" applyBorder="1" applyAlignment="1">
      <alignment horizontal="left" vertical="center"/>
    </xf>
    <xf numFmtId="0" fontId="23" fillId="37" borderId="11" xfId="49" applyNumberFormat="1" applyFont="1" applyFill="1" applyBorder="1" applyAlignment="1">
      <alignment horizontal="center" vertical="center"/>
    </xf>
    <xf numFmtId="168" fontId="23" fillId="37" borderId="11" xfId="49" applyFont="1" applyFill="1" applyBorder="1" applyAlignment="1">
      <alignment horizontal="center" vertical="center"/>
    </xf>
    <xf numFmtId="0" fontId="23" fillId="37" borderId="11" xfId="49" applyNumberFormat="1" applyFont="1" applyFill="1" applyBorder="1" applyAlignment="1">
      <alignment horizontal="justify" vertical="center" wrapText="1"/>
    </xf>
    <xf numFmtId="0" fontId="23" fillId="37" borderId="11" xfId="49" applyNumberFormat="1" applyFont="1" applyFill="1" applyBorder="1" applyAlignment="1">
      <alignment horizontal="center" vertical="center" wrapText="1"/>
    </xf>
    <xf numFmtId="0" fontId="19" fillId="37" borderId="11" xfId="49" applyNumberFormat="1" applyFont="1" applyFill="1" applyBorder="1" applyAlignment="1">
      <alignment horizontal="center" vertical="center"/>
    </xf>
    <xf numFmtId="168" fontId="23" fillId="37" borderId="11" xfId="49" applyFont="1" applyFill="1" applyBorder="1" applyAlignment="1">
      <alignment horizontal="justify" vertical="center" wrapText="1"/>
    </xf>
    <xf numFmtId="168" fontId="23" fillId="37" borderId="11" xfId="49" applyFont="1" applyFill="1" applyBorder="1" applyAlignment="1">
      <alignment horizontal="center" vertical="center" wrapText="1"/>
    </xf>
    <xf numFmtId="168" fontId="19" fillId="37" borderId="11" xfId="49" applyFont="1" applyFill="1" applyBorder="1" applyAlignment="1">
      <alignment vertical="center"/>
    </xf>
    <xf numFmtId="0" fontId="19" fillId="37" borderId="11" xfId="49" applyNumberFormat="1" applyFont="1" applyFill="1" applyBorder="1" applyAlignment="1">
      <alignment vertical="center"/>
    </xf>
    <xf numFmtId="43" fontId="23" fillId="37" borderId="11" xfId="49" applyNumberFormat="1" applyFont="1" applyFill="1" applyBorder="1" applyAlignment="1">
      <alignment vertical="center"/>
    </xf>
    <xf numFmtId="168" fontId="19" fillId="0" borderId="25" xfId="49" applyFont="1" applyFill="1" applyBorder="1"/>
    <xf numFmtId="0" fontId="23" fillId="0" borderId="22" xfId="49" applyNumberFormat="1" applyFont="1" applyBorder="1" applyAlignment="1">
      <alignment horizontal="left" vertical="center" wrapText="1"/>
    </xf>
    <xf numFmtId="0" fontId="23" fillId="38" borderId="17" xfId="49" applyNumberFormat="1" applyFont="1" applyFill="1" applyBorder="1" applyAlignment="1">
      <alignment horizontal="left" vertical="center"/>
    </xf>
    <xf numFmtId="0" fontId="23" fillId="38" borderId="17" xfId="49" applyNumberFormat="1" applyFont="1" applyFill="1" applyBorder="1" applyAlignment="1">
      <alignment horizontal="center" vertical="center"/>
    </xf>
    <xf numFmtId="168" fontId="23" fillId="38" borderId="11" xfId="49" applyFont="1" applyFill="1" applyBorder="1" applyAlignment="1">
      <alignment horizontal="left" vertical="center"/>
    </xf>
    <xf numFmtId="0" fontId="23" fillId="38" borderId="11" xfId="49" applyNumberFormat="1" applyFont="1" applyFill="1" applyBorder="1" applyAlignment="1">
      <alignment horizontal="justify" vertical="center" wrapText="1"/>
    </xf>
    <xf numFmtId="0" fontId="23" fillId="38" borderId="11" xfId="49" applyNumberFormat="1" applyFont="1" applyFill="1" applyBorder="1" applyAlignment="1">
      <alignment horizontal="center" vertical="center" wrapText="1"/>
    </xf>
    <xf numFmtId="0" fontId="19" fillId="38" borderId="11" xfId="49" applyNumberFormat="1" applyFont="1" applyFill="1" applyBorder="1" applyAlignment="1">
      <alignment horizontal="center" vertical="center"/>
    </xf>
    <xf numFmtId="168" fontId="23" fillId="38" borderId="11" xfId="49" applyFont="1" applyFill="1" applyBorder="1" applyAlignment="1">
      <alignment horizontal="justify" vertical="center" wrapText="1"/>
    </xf>
    <xf numFmtId="168" fontId="23" fillId="38" borderId="11" xfId="49" applyFont="1" applyFill="1" applyBorder="1" applyAlignment="1">
      <alignment horizontal="center" vertical="center" wrapText="1"/>
    </xf>
    <xf numFmtId="168" fontId="19" fillId="38" borderId="11" xfId="49" applyFont="1" applyFill="1" applyBorder="1" applyAlignment="1">
      <alignment vertical="center"/>
    </xf>
    <xf numFmtId="0" fontId="19" fillId="38" borderId="11" xfId="49" applyNumberFormat="1" applyFont="1" applyFill="1" applyBorder="1" applyAlignment="1">
      <alignment vertical="center"/>
    </xf>
    <xf numFmtId="168" fontId="23" fillId="38" borderId="11" xfId="49" applyFont="1" applyFill="1" applyBorder="1" applyAlignment="1">
      <alignment horizontal="center" vertical="center"/>
    </xf>
    <xf numFmtId="43" fontId="23" fillId="38" borderId="11" xfId="49" applyNumberFormat="1" applyFont="1" applyFill="1" applyBorder="1" applyAlignment="1">
      <alignment vertical="center"/>
    </xf>
    <xf numFmtId="0" fontId="23" fillId="0" borderId="25" xfId="49" applyNumberFormat="1" applyFont="1" applyFill="1" applyBorder="1" applyAlignment="1">
      <alignment horizontal="left" vertical="center" wrapText="1"/>
    </xf>
    <xf numFmtId="0" fontId="23" fillId="0" borderId="16" xfId="49" applyNumberFormat="1" applyFont="1" applyFill="1" applyBorder="1" applyAlignment="1">
      <alignment horizontal="left" vertical="center" wrapText="1"/>
    </xf>
    <xf numFmtId="0" fontId="23" fillId="0" borderId="17" xfId="49" applyNumberFormat="1" applyFont="1" applyFill="1" applyBorder="1" applyAlignment="1">
      <alignment horizontal="center" vertical="center" wrapText="1"/>
    </xf>
    <xf numFmtId="168" fontId="19" fillId="0" borderId="18" xfId="49" applyFont="1" applyFill="1" applyBorder="1" applyAlignment="1">
      <alignment horizontal="center" vertical="center" wrapText="1"/>
    </xf>
    <xf numFmtId="0" fontId="20" fillId="0" borderId="11" xfId="49" applyNumberFormat="1" applyFont="1" applyFill="1" applyBorder="1" applyAlignment="1">
      <alignment horizontal="justify" vertical="center" wrapText="1"/>
    </xf>
    <xf numFmtId="0" fontId="20" fillId="0" borderId="11" xfId="49" applyNumberFormat="1" applyFont="1" applyFill="1" applyBorder="1" applyAlignment="1">
      <alignment horizontal="center" vertical="center" wrapText="1"/>
    </xf>
    <xf numFmtId="0" fontId="19" fillId="0" borderId="11" xfId="49" applyNumberFormat="1" applyFont="1" applyFill="1" applyBorder="1" applyAlignment="1">
      <alignment horizontal="center" vertical="center" wrapText="1"/>
    </xf>
    <xf numFmtId="168" fontId="20" fillId="0" borderId="11" xfId="49" applyFont="1" applyFill="1" applyBorder="1" applyAlignment="1">
      <alignment horizontal="justify" vertical="center" wrapText="1"/>
    </xf>
    <xf numFmtId="168" fontId="20" fillId="0" borderId="11" xfId="49" applyFont="1" applyFill="1" applyBorder="1" applyAlignment="1">
      <alignment horizontal="center" vertical="center" wrapText="1"/>
    </xf>
    <xf numFmtId="168" fontId="19" fillId="0" borderId="11" xfId="49" applyFont="1" applyFill="1" applyBorder="1" applyAlignment="1">
      <alignment horizontal="center" vertical="center" wrapText="1"/>
    </xf>
    <xf numFmtId="0" fontId="26" fillId="0" borderId="14" xfId="50" applyNumberFormat="1" applyFont="1" applyFill="1" applyBorder="1" applyAlignment="1">
      <alignment horizontal="center" vertical="center" wrapText="1"/>
    </xf>
    <xf numFmtId="43" fontId="19" fillId="0" borderId="11" xfId="42" applyFont="1" applyFill="1" applyBorder="1" applyAlignment="1">
      <alignment horizontal="justify" vertical="center"/>
    </xf>
    <xf numFmtId="43" fontId="19" fillId="0" borderId="11" xfId="49" applyNumberFormat="1" applyFont="1" applyFill="1" applyBorder="1" applyAlignment="1">
      <alignment vertical="center"/>
    </xf>
    <xf numFmtId="0" fontId="23" fillId="0" borderId="21" xfId="49" applyNumberFormat="1" applyFont="1" applyFill="1" applyBorder="1" applyAlignment="1">
      <alignment horizontal="center" vertical="center" wrapText="1"/>
    </xf>
    <xf numFmtId="0" fontId="23" fillId="0" borderId="25" xfId="49" applyNumberFormat="1" applyFont="1" applyBorder="1" applyAlignment="1">
      <alignment horizontal="left" vertical="center" wrapText="1"/>
    </xf>
    <xf numFmtId="0" fontId="23" fillId="38" borderId="20" xfId="49" applyNumberFormat="1" applyFont="1" applyFill="1" applyBorder="1" applyAlignment="1">
      <alignment horizontal="left" vertical="center"/>
    </xf>
    <xf numFmtId="0" fontId="23" fillId="38" borderId="0" xfId="49" applyNumberFormat="1" applyFont="1" applyFill="1" applyBorder="1" applyAlignment="1">
      <alignment horizontal="center" vertical="center"/>
    </xf>
    <xf numFmtId="168" fontId="23" fillId="38" borderId="14" xfId="49" applyFont="1" applyFill="1" applyBorder="1" applyAlignment="1">
      <alignment vertical="center"/>
    </xf>
    <xf numFmtId="0" fontId="23" fillId="38" borderId="23" xfId="49" applyNumberFormat="1" applyFont="1" applyFill="1" applyBorder="1" applyAlignment="1">
      <alignment horizontal="justify" vertical="center" wrapText="1"/>
    </xf>
    <xf numFmtId="0" fontId="23" fillId="38" borderId="23" xfId="49" applyNumberFormat="1" applyFont="1" applyFill="1" applyBorder="1" applyAlignment="1">
      <alignment horizontal="center" vertical="center" wrapText="1"/>
    </xf>
    <xf numFmtId="0" fontId="19" fillId="38" borderId="18" xfId="49" applyNumberFormat="1" applyFont="1" applyFill="1" applyBorder="1" applyAlignment="1">
      <alignment horizontal="center" vertical="center"/>
    </xf>
    <xf numFmtId="168" fontId="19" fillId="0" borderId="24" xfId="49" applyFont="1" applyFill="1" applyBorder="1"/>
    <xf numFmtId="0" fontId="23" fillId="0" borderId="24" xfId="49" applyNumberFormat="1" applyFont="1" applyFill="1" applyBorder="1" applyAlignment="1">
      <alignment horizontal="left" vertical="center" wrapText="1"/>
    </xf>
    <xf numFmtId="0" fontId="23" fillId="0" borderId="23" xfId="49" applyNumberFormat="1" applyFont="1" applyFill="1" applyBorder="1" applyAlignment="1">
      <alignment horizontal="left" vertical="center" wrapText="1"/>
    </xf>
    <xf numFmtId="0" fontId="23" fillId="0" borderId="18" xfId="49" applyNumberFormat="1" applyFont="1" applyFill="1" applyBorder="1" applyAlignment="1">
      <alignment horizontal="center" vertical="center" wrapText="1"/>
    </xf>
    <xf numFmtId="0" fontId="19" fillId="0" borderId="11" xfId="49" applyNumberFormat="1" applyFont="1" applyFill="1" applyBorder="1" applyAlignment="1">
      <alignment horizontal="justify" vertical="center" wrapText="1"/>
    </xf>
    <xf numFmtId="0" fontId="26" fillId="0" borderId="11" xfId="45" applyFont="1" applyFill="1" applyBorder="1" applyAlignment="1">
      <alignment horizontal="center" vertical="center" wrapText="1"/>
    </xf>
    <xf numFmtId="0" fontId="27" fillId="0" borderId="11" xfId="45" applyFont="1" applyFill="1" applyBorder="1" applyAlignment="1">
      <alignment horizontal="justify" vertical="center"/>
    </xf>
    <xf numFmtId="0" fontId="19" fillId="0" borderId="14" xfId="49" applyNumberFormat="1" applyFont="1" applyFill="1" applyBorder="1" applyAlignment="1">
      <alignment horizontal="center" vertical="center" wrapText="1"/>
    </xf>
    <xf numFmtId="168" fontId="20" fillId="0" borderId="14" xfId="49" applyFont="1" applyFill="1" applyBorder="1" applyAlignment="1">
      <alignment horizontal="center" vertical="center" wrapText="1"/>
    </xf>
    <xf numFmtId="168" fontId="19" fillId="0" borderId="23" xfId="49" applyFont="1" applyFill="1" applyBorder="1" applyAlignment="1">
      <alignment horizontal="justify" vertical="center" wrapText="1"/>
    </xf>
    <xf numFmtId="0" fontId="19" fillId="0" borderId="23" xfId="49" applyNumberFormat="1" applyFont="1" applyFill="1" applyBorder="1" applyAlignment="1">
      <alignment horizontal="justify" vertical="center" wrapText="1"/>
    </xf>
    <xf numFmtId="0" fontId="19" fillId="0" borderId="23" xfId="49" applyNumberFormat="1" applyFont="1" applyFill="1" applyBorder="1" applyAlignment="1">
      <alignment horizontal="center" vertical="center" wrapText="1"/>
    </xf>
    <xf numFmtId="168" fontId="20" fillId="0" borderId="23" xfId="49" applyFont="1" applyFill="1" applyBorder="1" applyAlignment="1">
      <alignment horizontal="justify" vertical="center" wrapText="1"/>
    </xf>
    <xf numFmtId="168" fontId="20" fillId="0" borderId="23" xfId="49" applyFont="1" applyFill="1" applyBorder="1" applyAlignment="1">
      <alignment horizontal="center" vertical="center" wrapText="1"/>
    </xf>
    <xf numFmtId="168" fontId="19" fillId="0" borderId="23" xfId="49" applyFont="1" applyFill="1" applyBorder="1" applyAlignment="1">
      <alignment horizontal="center" vertical="center" wrapText="1"/>
    </xf>
    <xf numFmtId="0" fontId="20" fillId="0" borderId="23" xfId="49" applyNumberFormat="1" applyFont="1" applyFill="1" applyBorder="1" applyAlignment="1">
      <alignment horizontal="center" vertical="center" wrapText="1"/>
    </xf>
    <xf numFmtId="168" fontId="20" fillId="0" borderId="23" xfId="49" applyFont="1" applyBorder="1" applyAlignment="1">
      <alignment horizontal="justify" vertical="center" wrapText="1"/>
    </xf>
    <xf numFmtId="168" fontId="20" fillId="0" borderId="18" xfId="49" applyNumberFormat="1" applyFont="1" applyBorder="1" applyAlignment="1">
      <alignment vertical="center"/>
    </xf>
    <xf numFmtId="168" fontId="25" fillId="36" borderId="23" xfId="49" applyFont="1" applyFill="1" applyBorder="1" applyAlignment="1">
      <alignment horizontal="center" vertical="center"/>
    </xf>
    <xf numFmtId="43" fontId="21" fillId="36" borderId="11" xfId="52" applyNumberFormat="1" applyFont="1" applyFill="1" applyBorder="1" applyAlignment="1">
      <alignment horizontal="center" vertical="center"/>
    </xf>
    <xf numFmtId="0" fontId="23" fillId="37" borderId="15" xfId="49" applyNumberFormat="1" applyFont="1" applyFill="1" applyBorder="1" applyAlignment="1">
      <alignment horizontal="left" vertical="center" wrapText="1"/>
    </xf>
    <xf numFmtId="0" fontId="23" fillId="37" borderId="23" xfId="49" applyNumberFormat="1" applyFont="1" applyFill="1" applyBorder="1" applyAlignment="1">
      <alignment horizontal="left" vertical="center"/>
    </xf>
    <xf numFmtId="0" fontId="23" fillId="37" borderId="23" xfId="49" applyNumberFormat="1" applyFont="1" applyFill="1" applyBorder="1" applyAlignment="1">
      <alignment horizontal="center" vertical="center"/>
    </xf>
    <xf numFmtId="168" fontId="23" fillId="37" borderId="23" xfId="49" applyFont="1" applyFill="1" applyBorder="1" applyAlignment="1">
      <alignment horizontal="center" vertical="center"/>
    </xf>
    <xf numFmtId="0" fontId="23" fillId="37" borderId="23" xfId="49" applyNumberFormat="1" applyFont="1" applyFill="1" applyBorder="1" applyAlignment="1">
      <alignment horizontal="justify" vertical="center" wrapText="1"/>
    </xf>
    <xf numFmtId="0" fontId="23" fillId="37" borderId="23" xfId="49" applyNumberFormat="1" applyFont="1" applyFill="1" applyBorder="1" applyAlignment="1">
      <alignment horizontal="center" vertical="center" wrapText="1"/>
    </xf>
    <xf numFmtId="0" fontId="19" fillId="37" borderId="23" xfId="49" applyNumberFormat="1" applyFont="1" applyFill="1" applyBorder="1" applyAlignment="1">
      <alignment horizontal="center" vertical="center"/>
    </xf>
    <xf numFmtId="168" fontId="23" fillId="37" borderId="23" xfId="49" applyFont="1" applyFill="1" applyBorder="1" applyAlignment="1">
      <alignment horizontal="justify" vertical="center" wrapText="1"/>
    </xf>
    <xf numFmtId="168" fontId="23" fillId="37" borderId="23" xfId="49" applyFont="1" applyFill="1" applyBorder="1" applyAlignment="1">
      <alignment horizontal="center" vertical="center" wrapText="1"/>
    </xf>
    <xf numFmtId="168" fontId="19" fillId="37" borderId="23" xfId="49" applyFont="1" applyFill="1" applyBorder="1" applyAlignment="1">
      <alignment vertical="center"/>
    </xf>
    <xf numFmtId="0" fontId="19" fillId="37" borderId="23" xfId="49" applyNumberFormat="1" applyFont="1" applyFill="1" applyBorder="1" applyAlignment="1">
      <alignment vertical="center"/>
    </xf>
    <xf numFmtId="43" fontId="23" fillId="37" borderId="11" xfId="52" applyNumberFormat="1" applyFont="1" applyFill="1" applyBorder="1" applyAlignment="1">
      <alignment horizontal="center" vertical="center"/>
    </xf>
    <xf numFmtId="0" fontId="23" fillId="38" borderId="16" xfId="49" applyNumberFormat="1" applyFont="1" applyFill="1" applyBorder="1" applyAlignment="1">
      <alignment horizontal="center" vertical="center"/>
    </xf>
    <xf numFmtId="168" fontId="23" fillId="38" borderId="23" xfId="49" applyFont="1" applyFill="1" applyBorder="1" applyAlignment="1">
      <alignment horizontal="left" vertical="center"/>
    </xf>
    <xf numFmtId="0" fontId="19" fillId="38" borderId="23" xfId="49" applyNumberFormat="1" applyFont="1" applyFill="1" applyBorder="1" applyAlignment="1">
      <alignment horizontal="center" vertical="center"/>
    </xf>
    <xf numFmtId="168" fontId="23" fillId="38" borderId="23" xfId="49" applyFont="1" applyFill="1" applyBorder="1" applyAlignment="1">
      <alignment horizontal="justify" vertical="center" wrapText="1"/>
    </xf>
    <xf numFmtId="168" fontId="23" fillId="38" borderId="23" xfId="49" applyFont="1" applyFill="1" applyBorder="1" applyAlignment="1">
      <alignment horizontal="center" vertical="center" wrapText="1"/>
    </xf>
    <xf numFmtId="168" fontId="19" fillId="38" borderId="23" xfId="49" applyFont="1" applyFill="1" applyBorder="1" applyAlignment="1">
      <alignment vertical="center"/>
    </xf>
    <xf numFmtId="0" fontId="19" fillId="38" borderId="23" xfId="49" applyNumberFormat="1" applyFont="1" applyFill="1" applyBorder="1" applyAlignment="1">
      <alignment vertical="center"/>
    </xf>
    <xf numFmtId="168" fontId="23" fillId="38" borderId="23" xfId="49" applyFont="1" applyFill="1" applyBorder="1" applyAlignment="1">
      <alignment horizontal="center" vertical="center"/>
    </xf>
    <xf numFmtId="43" fontId="23" fillId="38" borderId="11" xfId="52" applyNumberFormat="1" applyFont="1" applyFill="1" applyBorder="1" applyAlignment="1">
      <alignment horizontal="center" vertical="center"/>
    </xf>
    <xf numFmtId="0" fontId="19" fillId="0" borderId="23" xfId="49" applyNumberFormat="1" applyFont="1" applyFill="1" applyBorder="1" applyAlignment="1">
      <alignment horizontal="left" vertical="center" wrapText="1"/>
    </xf>
    <xf numFmtId="0" fontId="19" fillId="0" borderId="18" xfId="49" applyNumberFormat="1" applyFont="1" applyFill="1" applyBorder="1" applyAlignment="1">
      <alignment horizontal="center" vertical="center" wrapText="1"/>
    </xf>
    <xf numFmtId="0" fontId="19" fillId="0" borderId="22" xfId="49" applyNumberFormat="1" applyFont="1" applyFill="1" applyBorder="1" applyAlignment="1">
      <alignment horizontal="center" vertical="center" wrapText="1"/>
    </xf>
    <xf numFmtId="168" fontId="19" fillId="0" borderId="11" xfId="49" applyFont="1" applyFill="1" applyBorder="1" applyAlignment="1">
      <alignment horizontal="justify" vertical="center" wrapText="1"/>
    </xf>
    <xf numFmtId="43" fontId="19" fillId="0" borderId="14" xfId="42" applyFont="1" applyFill="1" applyBorder="1" applyAlignment="1">
      <alignment horizontal="justify" vertical="center"/>
    </xf>
    <xf numFmtId="43" fontId="19" fillId="0" borderId="14" xfId="52" applyNumberFormat="1" applyFont="1" applyFill="1" applyBorder="1" applyAlignment="1">
      <alignment horizontal="right" vertical="center" wrapText="1"/>
    </xf>
    <xf numFmtId="0" fontId="19" fillId="0" borderId="16" xfId="49" applyNumberFormat="1" applyFont="1" applyFill="1" applyBorder="1" applyAlignment="1">
      <alignment horizontal="left" vertical="center" wrapText="1"/>
    </xf>
    <xf numFmtId="0" fontId="19" fillId="0" borderId="17" xfId="49" applyNumberFormat="1" applyFont="1" applyFill="1" applyBorder="1" applyAlignment="1">
      <alignment horizontal="center" vertical="center" wrapText="1"/>
    </xf>
    <xf numFmtId="0" fontId="20" fillId="0" borderId="22" xfId="49" applyNumberFormat="1" applyFont="1" applyFill="1" applyBorder="1" applyAlignment="1">
      <alignment horizontal="center" vertical="center" wrapText="1"/>
    </xf>
    <xf numFmtId="168" fontId="19" fillId="0" borderId="11" xfId="49" applyFont="1" applyFill="1" applyBorder="1" applyAlignment="1">
      <alignment horizontal="center" vertical="center"/>
    </xf>
    <xf numFmtId="0" fontId="19" fillId="0" borderId="11" xfId="49" applyNumberFormat="1" applyFont="1" applyFill="1" applyBorder="1" applyAlignment="1">
      <alignment horizontal="center" vertical="center"/>
    </xf>
    <xf numFmtId="43" fontId="23" fillId="0" borderId="11" xfId="49" applyNumberFormat="1" applyFont="1" applyFill="1" applyBorder="1" applyAlignment="1">
      <alignment vertical="center"/>
    </xf>
    <xf numFmtId="43" fontId="19" fillId="0" borderId="11" xfId="52" applyNumberFormat="1" applyFont="1" applyFill="1" applyBorder="1" applyAlignment="1">
      <alignment horizontal="center" vertical="center"/>
    </xf>
    <xf numFmtId="168" fontId="20" fillId="0" borderId="25" xfId="49" applyFont="1" applyFill="1" applyBorder="1"/>
    <xf numFmtId="0" fontId="20" fillId="0" borderId="25" xfId="49" applyNumberFormat="1" applyFont="1" applyFill="1" applyBorder="1" applyAlignment="1">
      <alignment horizontal="left" vertical="center" wrapText="1"/>
    </xf>
    <xf numFmtId="0" fontId="20" fillId="0" borderId="0" xfId="49" applyNumberFormat="1" applyFont="1" applyFill="1" applyBorder="1" applyAlignment="1">
      <alignment horizontal="left" vertical="center" wrapText="1"/>
    </xf>
    <xf numFmtId="0" fontId="20" fillId="0" borderId="20" xfId="49" applyNumberFormat="1" applyFont="1" applyFill="1" applyBorder="1" applyAlignment="1">
      <alignment horizontal="center" vertical="center" wrapText="1"/>
    </xf>
    <xf numFmtId="169" fontId="20" fillId="0" borderId="24" xfId="42" applyNumberFormat="1" applyFont="1" applyFill="1" applyBorder="1" applyAlignment="1">
      <alignment horizontal="center" vertical="center" wrapText="1"/>
    </xf>
    <xf numFmtId="0" fontId="20" fillId="0" borderId="24" xfId="42" applyNumberFormat="1" applyFont="1" applyFill="1" applyBorder="1" applyAlignment="1">
      <alignment horizontal="center" vertical="center" wrapText="1"/>
    </xf>
    <xf numFmtId="168" fontId="19" fillId="0" borderId="25" xfId="49" applyFont="1" applyFill="1" applyBorder="1" applyAlignment="1">
      <alignment horizontal="center" vertical="center" wrapText="1"/>
    </xf>
    <xf numFmtId="43" fontId="20" fillId="0" borderId="24" xfId="42" applyFont="1" applyFill="1" applyBorder="1" applyAlignment="1">
      <alignment horizontal="justify" vertical="center"/>
    </xf>
    <xf numFmtId="43" fontId="20" fillId="0" borderId="12" xfId="42" applyFont="1" applyFill="1" applyBorder="1" applyAlignment="1">
      <alignment horizontal="justify" vertical="center"/>
    </xf>
    <xf numFmtId="43" fontId="20" fillId="0" borderId="12" xfId="52" applyNumberFormat="1" applyFont="1" applyFill="1" applyBorder="1" applyAlignment="1">
      <alignment horizontal="right" vertical="center" wrapText="1"/>
    </xf>
    <xf numFmtId="168" fontId="20" fillId="0" borderId="0" xfId="49" applyFont="1" applyFill="1" applyBorder="1"/>
    <xf numFmtId="0" fontId="19" fillId="0" borderId="0" xfId="49" applyNumberFormat="1" applyFont="1" applyFill="1" applyBorder="1" applyAlignment="1">
      <alignment horizontal="left" vertical="center" wrapText="1"/>
    </xf>
    <xf numFmtId="0" fontId="19" fillId="0" borderId="20" xfId="49" applyNumberFormat="1" applyFont="1" applyFill="1" applyBorder="1" applyAlignment="1">
      <alignment horizontal="center" vertical="center" wrapText="1"/>
    </xf>
    <xf numFmtId="169" fontId="19" fillId="0" borderId="11" xfId="42" applyNumberFormat="1" applyFont="1" applyFill="1" applyBorder="1" applyAlignment="1">
      <alignment horizontal="center" vertical="center" wrapText="1"/>
    </xf>
    <xf numFmtId="0" fontId="19" fillId="0" borderId="11" xfId="42" applyNumberFormat="1" applyFont="1" applyFill="1" applyBorder="1" applyAlignment="1">
      <alignment horizontal="center" vertical="center" wrapText="1"/>
    </xf>
    <xf numFmtId="168" fontId="19" fillId="0" borderId="22" xfId="49" applyFont="1" applyFill="1" applyBorder="1" applyAlignment="1">
      <alignment horizontal="justify" vertical="center" wrapText="1"/>
    </xf>
    <xf numFmtId="168" fontId="19" fillId="0" borderId="22" xfId="49" applyFont="1" applyFill="1" applyBorder="1" applyAlignment="1">
      <alignment horizontal="center" vertical="center" wrapText="1"/>
    </xf>
    <xf numFmtId="0" fontId="19" fillId="0" borderId="22" xfId="42" applyNumberFormat="1" applyFont="1" applyFill="1" applyBorder="1" applyAlignment="1">
      <alignment horizontal="center" vertical="center" wrapText="1"/>
    </xf>
    <xf numFmtId="0" fontId="26" fillId="0" borderId="26" xfId="45" applyFont="1" applyFill="1" applyBorder="1" applyAlignment="1">
      <alignment horizontal="center" vertical="center"/>
    </xf>
    <xf numFmtId="0" fontId="26" fillId="0" borderId="11" xfId="45" applyFont="1" applyFill="1" applyBorder="1" applyAlignment="1">
      <alignment horizontal="center" vertical="center"/>
    </xf>
    <xf numFmtId="2" fontId="26" fillId="0" borderId="26" xfId="45" applyNumberFormat="1" applyFont="1" applyFill="1" applyBorder="1" applyAlignment="1">
      <alignment horizontal="center" vertical="center"/>
    </xf>
    <xf numFmtId="169" fontId="19" fillId="0" borderId="22" xfId="42" applyNumberFormat="1" applyFont="1" applyFill="1" applyBorder="1" applyAlignment="1">
      <alignment horizontal="center" vertical="center" wrapText="1"/>
    </xf>
    <xf numFmtId="0" fontId="19" fillId="0" borderId="24" xfId="49" applyNumberFormat="1" applyFont="1" applyFill="1" applyBorder="1" applyAlignment="1">
      <alignment horizontal="center" vertical="center" wrapText="1"/>
    </xf>
    <xf numFmtId="43" fontId="19" fillId="0" borderId="22" xfId="42" applyFont="1" applyFill="1" applyBorder="1" applyAlignment="1">
      <alignment horizontal="justify" vertical="center"/>
    </xf>
    <xf numFmtId="43" fontId="19" fillId="0" borderId="15" xfId="42" applyFont="1" applyFill="1" applyBorder="1" applyAlignment="1">
      <alignment horizontal="justify" vertical="center"/>
    </xf>
    <xf numFmtId="43" fontId="19" fillId="0" borderId="15" xfId="52" applyNumberFormat="1" applyFont="1" applyFill="1" applyBorder="1" applyAlignment="1">
      <alignment horizontal="right" vertical="center" wrapText="1"/>
    </xf>
    <xf numFmtId="43" fontId="19" fillId="0" borderId="22" xfId="49" applyNumberFormat="1" applyFont="1" applyFill="1" applyBorder="1" applyAlignment="1">
      <alignment vertical="center"/>
    </xf>
    <xf numFmtId="0" fontId="19" fillId="0" borderId="24" xfId="49" applyNumberFormat="1" applyFont="1" applyFill="1" applyBorder="1" applyAlignment="1">
      <alignment horizontal="left" vertical="center"/>
    </xf>
    <xf numFmtId="0" fontId="19" fillId="0" borderId="13" xfId="49" applyNumberFormat="1" applyFont="1" applyFill="1" applyBorder="1" applyAlignment="1">
      <alignment horizontal="left" vertical="center"/>
    </xf>
    <xf numFmtId="0" fontId="19" fillId="0" borderId="21" xfId="49" applyNumberFormat="1" applyFont="1" applyFill="1" applyBorder="1" applyAlignment="1">
      <alignment horizontal="center" vertical="center"/>
    </xf>
    <xf numFmtId="0" fontId="26" fillId="0" borderId="26" xfId="45" applyFont="1" applyFill="1" applyBorder="1" applyAlignment="1">
      <alignment horizontal="center" vertical="center" wrapText="1"/>
    </xf>
    <xf numFmtId="168" fontId="19" fillId="0" borderId="11" xfId="49" applyFont="1" applyFill="1" applyBorder="1"/>
    <xf numFmtId="43" fontId="19" fillId="0" borderId="11" xfId="52" applyNumberFormat="1" applyFont="1" applyFill="1" applyBorder="1" applyAlignment="1">
      <alignment horizontal="right" vertical="center" wrapText="1"/>
    </xf>
    <xf numFmtId="0" fontId="19" fillId="0" borderId="0" xfId="49" applyNumberFormat="1" applyFont="1" applyFill="1" applyAlignment="1">
      <alignment horizontal="left" vertical="center"/>
    </xf>
    <xf numFmtId="0" fontId="19" fillId="0" borderId="0" xfId="49" applyNumberFormat="1" applyFont="1" applyFill="1" applyAlignment="1">
      <alignment horizontal="center" vertical="center"/>
    </xf>
    <xf numFmtId="168" fontId="19" fillId="0" borderId="0" xfId="49" applyFont="1" applyFill="1" applyAlignment="1">
      <alignment horizontal="center"/>
    </xf>
    <xf numFmtId="0" fontId="19" fillId="0" borderId="0" xfId="49" applyNumberFormat="1" applyFont="1" applyFill="1" applyAlignment="1">
      <alignment horizontal="justify" vertical="center" wrapText="1"/>
    </xf>
    <xf numFmtId="0" fontId="19" fillId="0" borderId="0" xfId="49" applyNumberFormat="1" applyFont="1" applyFill="1" applyAlignment="1">
      <alignment horizontal="center" vertical="center" wrapText="1"/>
    </xf>
    <xf numFmtId="0" fontId="19" fillId="0" borderId="0" xfId="49" applyNumberFormat="1" applyFont="1" applyFill="1" applyAlignment="1">
      <alignment horizontal="center"/>
    </xf>
    <xf numFmtId="168" fontId="19" fillId="0" borderId="0" xfId="49" applyFont="1" applyFill="1" applyAlignment="1">
      <alignment horizontal="justify" vertical="center" wrapText="1"/>
    </xf>
    <xf numFmtId="168" fontId="19" fillId="0" borderId="0" xfId="49" applyFont="1" applyFill="1" applyAlignment="1">
      <alignment horizontal="center" vertical="center" wrapText="1"/>
    </xf>
    <xf numFmtId="168" fontId="19" fillId="0" borderId="0" xfId="49" applyFont="1" applyFill="1"/>
    <xf numFmtId="173" fontId="19" fillId="0" borderId="0" xfId="52" applyNumberFormat="1" applyFont="1" applyFill="1" applyAlignment="1">
      <alignment horizontal="center"/>
    </xf>
    <xf numFmtId="0" fontId="21" fillId="36" borderId="22" xfId="49" applyNumberFormat="1" applyFont="1" applyFill="1" applyBorder="1" applyAlignment="1">
      <alignment horizontal="left" vertical="center"/>
    </xf>
    <xf numFmtId="0" fontId="21" fillId="36" borderId="15" xfId="49" applyNumberFormat="1" applyFont="1" applyFill="1" applyBorder="1" applyAlignment="1">
      <alignment horizontal="left" vertical="center"/>
    </xf>
    <xf numFmtId="0" fontId="21" fillId="36" borderId="16" xfId="49" applyNumberFormat="1" applyFont="1" applyFill="1" applyBorder="1" applyAlignment="1">
      <alignment horizontal="left" vertical="center"/>
    </xf>
    <xf numFmtId="0" fontId="21" fillId="36" borderId="16" xfId="49" applyNumberFormat="1" applyFont="1" applyFill="1" applyBorder="1" applyAlignment="1">
      <alignment horizontal="center" vertical="center"/>
    </xf>
    <xf numFmtId="168" fontId="21" fillId="36" borderId="16" xfId="49" applyFont="1" applyFill="1" applyBorder="1" applyAlignment="1">
      <alignment horizontal="center" vertical="center"/>
    </xf>
    <xf numFmtId="0" fontId="21" fillId="36" borderId="16" xfId="49" applyNumberFormat="1" applyFont="1" applyFill="1" applyBorder="1" applyAlignment="1">
      <alignment horizontal="justify" vertical="center" wrapText="1"/>
    </xf>
    <xf numFmtId="0" fontId="21" fillId="36" borderId="16" xfId="49" applyNumberFormat="1" applyFont="1" applyFill="1" applyBorder="1" applyAlignment="1">
      <alignment horizontal="center" vertical="center" wrapText="1"/>
    </xf>
    <xf numFmtId="0" fontId="25" fillId="36" borderId="16" xfId="49" applyNumberFormat="1" applyFont="1" applyFill="1" applyBorder="1" applyAlignment="1">
      <alignment horizontal="center" vertical="center"/>
    </xf>
    <xf numFmtId="168" fontId="21" fillId="36" borderId="16" xfId="49" applyFont="1" applyFill="1" applyBorder="1" applyAlignment="1">
      <alignment horizontal="justify" vertical="center" wrapText="1"/>
    </xf>
    <xf numFmtId="168" fontId="21" fillId="36" borderId="16" xfId="49" applyFont="1" applyFill="1" applyBorder="1" applyAlignment="1">
      <alignment horizontal="center" vertical="center" wrapText="1"/>
    </xf>
    <xf numFmtId="43" fontId="21" fillId="36" borderId="11" xfId="49" applyNumberFormat="1" applyFont="1" applyFill="1" applyBorder="1" applyAlignment="1">
      <alignment horizontal="left" vertical="center"/>
    </xf>
    <xf numFmtId="0" fontId="23" fillId="38" borderId="17" xfId="49" applyNumberFormat="1" applyFont="1" applyFill="1" applyBorder="1" applyAlignment="1">
      <alignment horizontal="left" vertical="center" wrapText="1"/>
    </xf>
    <xf numFmtId="0" fontId="23" fillId="38" borderId="16" xfId="49" applyNumberFormat="1" applyFont="1" applyFill="1" applyBorder="1" applyAlignment="1">
      <alignment horizontal="center" vertical="center" wrapText="1"/>
    </xf>
    <xf numFmtId="168" fontId="23" fillId="38" borderId="23" xfId="49" applyFont="1" applyFill="1" applyBorder="1" applyAlignment="1">
      <alignment vertical="center" wrapText="1"/>
    </xf>
    <xf numFmtId="0" fontId="23" fillId="0" borderId="19" xfId="49" applyNumberFormat="1" applyFont="1" applyFill="1" applyBorder="1" applyAlignment="1">
      <alignment horizontal="left" vertical="center" wrapText="1"/>
    </xf>
    <xf numFmtId="0" fontId="23" fillId="0" borderId="15" xfId="49" applyNumberFormat="1" applyFont="1" applyFill="1" applyBorder="1" applyAlignment="1">
      <alignment horizontal="left" vertical="center" wrapText="1"/>
    </xf>
    <xf numFmtId="168" fontId="20" fillId="0" borderId="11" xfId="49" applyFont="1" applyFill="1" applyBorder="1" applyAlignment="1" applyProtection="1">
      <alignment horizontal="justify" vertical="center" wrapText="1"/>
      <protection locked="0"/>
    </xf>
    <xf numFmtId="0" fontId="20" fillId="0" borderId="11" xfId="49" applyNumberFormat="1" applyFont="1" applyFill="1" applyBorder="1" applyAlignment="1" applyProtection="1">
      <alignment horizontal="center" vertical="center" wrapText="1"/>
      <protection locked="0"/>
    </xf>
    <xf numFmtId="43" fontId="23" fillId="0" borderId="11" xfId="49" applyNumberFormat="1" applyFont="1" applyFill="1" applyBorder="1" applyAlignment="1">
      <alignment horizontal="left" vertical="center"/>
    </xf>
    <xf numFmtId="43" fontId="23" fillId="0" borderId="24" xfId="49" applyNumberFormat="1" applyFont="1" applyFill="1" applyBorder="1" applyAlignment="1">
      <alignment horizontal="left" vertical="center"/>
    </xf>
    <xf numFmtId="43" fontId="19" fillId="0" borderId="24" xfId="42" applyFont="1" applyFill="1" applyBorder="1" applyAlignment="1">
      <alignment horizontal="justify" vertical="center"/>
    </xf>
    <xf numFmtId="43" fontId="19" fillId="0" borderId="11" xfId="49" applyNumberFormat="1" applyFont="1" applyFill="1" applyBorder="1" applyAlignment="1">
      <alignment horizontal="left" vertical="center"/>
    </xf>
    <xf numFmtId="0" fontId="23" fillId="0" borderId="12" xfId="49" applyNumberFormat="1" applyFont="1" applyFill="1" applyBorder="1" applyAlignment="1">
      <alignment horizontal="left" vertical="center" wrapText="1"/>
    </xf>
    <xf numFmtId="168" fontId="20" fillId="0" borderId="24" xfId="49" applyFont="1" applyFill="1" applyBorder="1" applyAlignment="1" applyProtection="1">
      <alignment horizontal="justify" vertical="center" wrapText="1"/>
      <protection locked="0"/>
    </xf>
    <xf numFmtId="0" fontId="20" fillId="0" borderId="24" xfId="49" applyNumberFormat="1" applyFont="1" applyFill="1" applyBorder="1" applyAlignment="1" applyProtection="1">
      <alignment horizontal="center" vertical="center" wrapText="1"/>
      <protection locked="0"/>
    </xf>
    <xf numFmtId="4" fontId="19" fillId="0" borderId="14" xfId="49" applyNumberFormat="1" applyFont="1" applyFill="1" applyBorder="1" applyAlignment="1">
      <alignment horizontal="right" vertical="center" wrapText="1"/>
    </xf>
    <xf numFmtId="168" fontId="20" fillId="0" borderId="0" xfId="49" applyFont="1"/>
    <xf numFmtId="0" fontId="20" fillId="0" borderId="0" xfId="49" applyNumberFormat="1" applyFont="1" applyAlignment="1">
      <alignment horizontal="left" vertical="center"/>
    </xf>
    <xf numFmtId="0" fontId="20" fillId="0" borderId="0" xfId="49" applyNumberFormat="1" applyFont="1" applyAlignment="1">
      <alignment horizontal="center" vertical="center"/>
    </xf>
    <xf numFmtId="0" fontId="20" fillId="0" borderId="0" xfId="49" applyNumberFormat="1" applyFont="1" applyAlignment="1">
      <alignment horizontal="justify" vertical="center" wrapText="1"/>
    </xf>
    <xf numFmtId="0" fontId="20" fillId="0" borderId="0" xfId="49" applyNumberFormat="1" applyFont="1" applyAlignment="1">
      <alignment horizontal="center" vertical="center" wrapText="1"/>
    </xf>
    <xf numFmtId="0" fontId="20" fillId="0" borderId="0" xfId="49" applyNumberFormat="1" applyFont="1" applyAlignment="1">
      <alignment horizontal="center"/>
    </xf>
    <xf numFmtId="168" fontId="20" fillId="0" borderId="0" xfId="49" applyFont="1" applyAlignment="1">
      <alignment horizontal="justify" vertical="center" wrapText="1"/>
    </xf>
    <xf numFmtId="168" fontId="20" fillId="0" borderId="0" xfId="49" applyFont="1" applyAlignment="1">
      <alignment horizontal="center" vertical="center" wrapText="1"/>
    </xf>
    <xf numFmtId="0" fontId="20" fillId="0" borderId="0" xfId="49" applyNumberFormat="1" applyFont="1"/>
    <xf numFmtId="168" fontId="20" fillId="0" borderId="0" xfId="49" applyFont="1" applyAlignment="1">
      <alignment horizontal="center"/>
    </xf>
    <xf numFmtId="168" fontId="20" fillId="33" borderId="0" xfId="49" applyFont="1" applyFill="1"/>
    <xf numFmtId="0" fontId="23" fillId="38" borderId="18" xfId="49" applyNumberFormat="1" applyFont="1" applyFill="1" applyBorder="1" applyAlignment="1">
      <alignment horizontal="left" vertical="center" wrapText="1"/>
    </xf>
    <xf numFmtId="168" fontId="19" fillId="38" borderId="13" xfId="49" applyFont="1" applyFill="1" applyBorder="1" applyAlignment="1">
      <alignment vertical="center"/>
    </xf>
    <xf numFmtId="0" fontId="19" fillId="38" borderId="13" xfId="49" applyNumberFormat="1" applyFont="1" applyFill="1" applyBorder="1" applyAlignment="1">
      <alignment vertical="center"/>
    </xf>
    <xf numFmtId="0" fontId="23" fillId="0" borderId="0" xfId="49" applyNumberFormat="1" applyFont="1" applyFill="1" applyBorder="1" applyAlignment="1">
      <alignment horizontal="left" vertical="center" wrapText="1"/>
    </xf>
    <xf numFmtId="0" fontId="23" fillId="0" borderId="0" xfId="49" applyNumberFormat="1" applyFont="1" applyFill="1" applyBorder="1" applyAlignment="1">
      <alignment horizontal="center" vertical="center" wrapText="1"/>
    </xf>
    <xf numFmtId="0" fontId="28" fillId="0" borderId="11" xfId="49" applyNumberFormat="1" applyFont="1" applyFill="1" applyBorder="1" applyAlignment="1">
      <alignment horizontal="justify" vertical="center" wrapText="1"/>
    </xf>
    <xf numFmtId="0" fontId="26" fillId="0" borderId="11" xfId="50" applyNumberFormat="1" applyFont="1" applyFill="1" applyBorder="1" applyAlignment="1">
      <alignment horizontal="justify" vertical="center" wrapText="1"/>
    </xf>
    <xf numFmtId="0" fontId="26" fillId="0" borderId="14" xfId="50" applyNumberFormat="1" applyFont="1" applyFill="1" applyBorder="1" applyAlignment="1">
      <alignment horizontal="justify" vertical="center" wrapText="1"/>
    </xf>
    <xf numFmtId="168" fontId="19" fillId="0" borderId="14" xfId="49" applyFont="1" applyFill="1" applyBorder="1" applyAlignment="1">
      <alignment horizontal="center" vertical="center" wrapText="1"/>
    </xf>
    <xf numFmtId="170" fontId="19" fillId="0" borderId="11" xfId="47" applyNumberFormat="1" applyFont="1" applyFill="1" applyBorder="1" applyAlignment="1">
      <alignment horizontal="right" vertical="center"/>
    </xf>
    <xf numFmtId="43" fontId="19" fillId="0" borderId="11" xfId="42" applyFont="1" applyFill="1" applyBorder="1"/>
    <xf numFmtId="0" fontId="26" fillId="0" borderId="18" xfId="45" applyFont="1" applyFill="1" applyBorder="1" applyAlignment="1">
      <alignment horizontal="center" vertical="center" wrapText="1"/>
    </xf>
    <xf numFmtId="0" fontId="26" fillId="0" borderId="11" xfId="44" applyNumberFormat="1" applyFont="1" applyFill="1" applyBorder="1" applyAlignment="1">
      <alignment horizontal="center" vertical="center" wrapText="1"/>
    </xf>
    <xf numFmtId="0" fontId="26" fillId="0" borderId="11" xfId="44" applyNumberFormat="1" applyFont="1" applyFill="1" applyBorder="1" applyAlignment="1">
      <alignment horizontal="justify" vertical="center" wrapText="1"/>
    </xf>
    <xf numFmtId="0" fontId="19" fillId="0" borderId="15" xfId="49" applyNumberFormat="1" applyFont="1" applyFill="1" applyBorder="1" applyAlignment="1">
      <alignment horizontal="center" vertical="center" wrapText="1"/>
    </xf>
    <xf numFmtId="0" fontId="23" fillId="38" borderId="11" xfId="49" applyNumberFormat="1" applyFont="1" applyFill="1" applyBorder="1" applyAlignment="1">
      <alignment horizontal="left" vertical="center" wrapText="1"/>
    </xf>
    <xf numFmtId="0" fontId="23" fillId="0" borderId="14" xfId="49" applyNumberFormat="1" applyFont="1" applyFill="1" applyBorder="1" applyAlignment="1">
      <alignment horizontal="left" vertical="center" wrapText="1"/>
    </xf>
    <xf numFmtId="168" fontId="19" fillId="0" borderId="22" xfId="49" applyFont="1" applyFill="1" applyBorder="1" applyAlignment="1">
      <alignment horizontal="justify" vertical="center"/>
    </xf>
    <xf numFmtId="0" fontId="19" fillId="0" borderId="14" xfId="50" applyNumberFormat="1" applyFont="1" applyFill="1" applyBorder="1" applyAlignment="1">
      <alignment horizontal="center" vertical="center" wrapText="1"/>
    </xf>
    <xf numFmtId="0" fontId="19" fillId="0" borderId="14" xfId="50" applyNumberFormat="1" applyFont="1" applyFill="1" applyBorder="1" applyAlignment="1">
      <alignment horizontal="justify" vertical="center" wrapText="1"/>
    </xf>
    <xf numFmtId="168" fontId="20" fillId="0" borderId="11" xfId="51" applyNumberFormat="1" applyFont="1" applyFill="1" applyBorder="1" applyAlignment="1">
      <alignment horizontal="center" vertical="center" wrapText="1"/>
    </xf>
    <xf numFmtId="168" fontId="23" fillId="38" borderId="13" xfId="49" applyFont="1" applyFill="1" applyBorder="1" applyAlignment="1">
      <alignment horizontal="center" vertical="center"/>
    </xf>
    <xf numFmtId="168" fontId="23" fillId="38" borderId="13" xfId="49" applyFont="1" applyFill="1" applyBorder="1" applyAlignment="1">
      <alignment horizontal="justify" vertical="center" wrapText="1"/>
    </xf>
    <xf numFmtId="0" fontId="28" fillId="0" borderId="11" xfId="49" applyNumberFormat="1" applyFont="1" applyFill="1" applyBorder="1" applyAlignment="1">
      <alignment horizontal="center" vertical="center" wrapText="1"/>
    </xf>
    <xf numFmtId="0" fontId="19" fillId="0" borderId="11" xfId="50" applyNumberFormat="1" applyFont="1" applyFill="1" applyBorder="1" applyAlignment="1">
      <alignment horizontal="justify" vertical="center" wrapText="1"/>
    </xf>
    <xf numFmtId="167" fontId="19" fillId="0" borderId="11" xfId="49" applyNumberFormat="1" applyFont="1" applyFill="1" applyBorder="1" applyAlignment="1">
      <alignment vertical="center"/>
    </xf>
    <xf numFmtId="0" fontId="23" fillId="37" borderId="19" xfId="49" applyNumberFormat="1" applyFont="1" applyFill="1" applyBorder="1" applyAlignment="1">
      <alignment horizontal="left" vertical="center" wrapText="1"/>
    </xf>
    <xf numFmtId="0" fontId="19" fillId="0" borderId="11" xfId="50" applyNumberFormat="1" applyFont="1" applyFill="1" applyBorder="1" applyAlignment="1">
      <alignment horizontal="center" vertical="center" wrapText="1"/>
    </xf>
    <xf numFmtId="168" fontId="20" fillId="0" borderId="22" xfId="49" applyFont="1" applyFill="1" applyBorder="1" applyAlignment="1">
      <alignment horizontal="justify" vertical="center" wrapText="1"/>
    </xf>
    <xf numFmtId="43" fontId="19" fillId="0" borderId="11" xfId="52" applyNumberFormat="1" applyFont="1" applyFill="1" applyBorder="1" applyAlignment="1">
      <alignment horizontal="center" vertical="center" wrapText="1"/>
    </xf>
    <xf numFmtId="170" fontId="19" fillId="0" borderId="11" xfId="47" applyNumberFormat="1" applyFont="1" applyFill="1" applyBorder="1" applyAlignment="1">
      <alignment horizontal="right" vertical="center" wrapText="1"/>
    </xf>
    <xf numFmtId="0" fontId="19" fillId="0" borderId="22" xfId="49" applyNumberFormat="1" applyFont="1" applyFill="1" applyBorder="1" applyAlignment="1">
      <alignment horizontal="justify" vertical="center" wrapText="1"/>
    </xf>
    <xf numFmtId="0" fontId="19" fillId="0" borderId="11" xfId="52" applyNumberFormat="1" applyFont="1" applyFill="1" applyBorder="1" applyAlignment="1">
      <alignment horizontal="center" vertical="center" wrapText="1"/>
    </xf>
    <xf numFmtId="168" fontId="19" fillId="0" borderId="0" xfId="49" applyFont="1" applyFill="1" applyBorder="1" applyAlignment="1">
      <alignment vertical="center"/>
    </xf>
    <xf numFmtId="168" fontId="29" fillId="0" borderId="0" xfId="49" applyFont="1" applyFill="1" applyBorder="1" applyAlignment="1">
      <alignment vertical="center"/>
    </xf>
    <xf numFmtId="168" fontId="19" fillId="0" borderId="14" xfId="49" applyFont="1" applyFill="1" applyBorder="1" applyAlignment="1">
      <alignment horizontal="justify" vertical="center" wrapText="1"/>
    </xf>
    <xf numFmtId="168" fontId="19" fillId="0" borderId="15" xfId="49" applyFont="1" applyFill="1" applyBorder="1" applyAlignment="1">
      <alignment horizontal="center" vertical="center" wrapText="1"/>
    </xf>
    <xf numFmtId="174" fontId="19" fillId="0" borderId="14" xfId="49" applyNumberFormat="1" applyFont="1" applyFill="1" applyBorder="1" applyAlignment="1">
      <alignment horizontal="center" vertical="center" wrapText="1"/>
    </xf>
    <xf numFmtId="0" fontId="26" fillId="0" borderId="11" xfId="45" applyFont="1" applyFill="1" applyBorder="1" applyAlignment="1">
      <alignment horizontal="justify" vertical="center" wrapText="1"/>
    </xf>
    <xf numFmtId="43" fontId="19" fillId="0" borderId="11" xfId="52" applyFont="1" applyFill="1" applyBorder="1" applyAlignment="1">
      <alignment horizontal="right" vertical="center" wrapText="1"/>
    </xf>
    <xf numFmtId="168" fontId="19" fillId="0" borderId="17" xfId="49" applyFont="1" applyFill="1" applyBorder="1" applyAlignment="1">
      <alignment horizontal="center" vertical="center" wrapText="1"/>
    </xf>
    <xf numFmtId="0" fontId="23" fillId="0" borderId="20" xfId="49" applyNumberFormat="1" applyFont="1" applyFill="1" applyBorder="1" applyAlignment="1">
      <alignment horizontal="center" vertical="center" wrapText="1"/>
    </xf>
    <xf numFmtId="168" fontId="19" fillId="0" borderId="14" xfId="50" applyFont="1" applyFill="1" applyBorder="1" applyAlignment="1">
      <alignment horizontal="center" vertical="center" wrapText="1"/>
    </xf>
    <xf numFmtId="168" fontId="19" fillId="0" borderId="11" xfId="50" applyFont="1" applyFill="1" applyBorder="1" applyAlignment="1">
      <alignment horizontal="justify" vertical="center" wrapText="1"/>
    </xf>
    <xf numFmtId="168" fontId="19" fillId="0" borderId="14" xfId="50" applyFont="1" applyFill="1" applyBorder="1" applyAlignment="1">
      <alignment horizontal="justify" vertical="center" wrapText="1"/>
    </xf>
    <xf numFmtId="0" fontId="23" fillId="37" borderId="13" xfId="49" applyNumberFormat="1" applyFont="1" applyFill="1" applyBorder="1" applyAlignment="1">
      <alignment horizontal="left" vertical="center"/>
    </xf>
    <xf numFmtId="0" fontId="23" fillId="37" borderId="13" xfId="49" applyNumberFormat="1" applyFont="1" applyFill="1" applyBorder="1" applyAlignment="1">
      <alignment horizontal="center" vertical="center"/>
    </xf>
    <xf numFmtId="165" fontId="19" fillId="0" borderId="11" xfId="47" applyFont="1" applyFill="1" applyBorder="1" applyAlignment="1">
      <alignment vertical="center"/>
    </xf>
    <xf numFmtId="168" fontId="20" fillId="0" borderId="16" xfId="49" applyFont="1" applyBorder="1" applyAlignment="1">
      <alignment horizontal="center" vertical="center" wrapText="1"/>
    </xf>
    <xf numFmtId="0" fontId="19" fillId="0" borderId="16" xfId="50" applyNumberFormat="1" applyFont="1" applyFill="1" applyBorder="1" applyAlignment="1">
      <alignment horizontal="center" vertical="center" wrapText="1"/>
    </xf>
    <xf numFmtId="168" fontId="20" fillId="0" borderId="13" xfId="49" applyFont="1" applyBorder="1" applyAlignment="1">
      <alignment horizontal="center" vertical="center" wrapText="1"/>
    </xf>
    <xf numFmtId="0" fontId="19" fillId="0" borderId="13" xfId="50" applyNumberFormat="1" applyFont="1" applyFill="1" applyBorder="1" applyAlignment="1">
      <alignment horizontal="center" vertical="center" wrapText="1"/>
    </xf>
    <xf numFmtId="43" fontId="21" fillId="36" borderId="18" xfId="49" applyNumberFormat="1" applyFont="1" applyFill="1" applyBorder="1" applyAlignment="1">
      <alignment horizontal="left" vertical="center"/>
    </xf>
    <xf numFmtId="168" fontId="19" fillId="37" borderId="23" xfId="49" applyFont="1" applyFill="1" applyBorder="1" applyAlignment="1">
      <alignment horizontal="center" vertical="center"/>
    </xf>
    <xf numFmtId="43" fontId="23" fillId="37" borderId="18" xfId="49" applyNumberFormat="1" applyFont="1" applyFill="1" applyBorder="1" applyAlignment="1">
      <alignment vertical="center"/>
    </xf>
    <xf numFmtId="168" fontId="19" fillId="38" borderId="23" xfId="49" applyFont="1" applyFill="1" applyBorder="1" applyAlignment="1">
      <alignment horizontal="center" vertical="center"/>
    </xf>
    <xf numFmtId="167" fontId="23" fillId="38" borderId="23" xfId="43" applyFont="1" applyFill="1" applyBorder="1" applyAlignment="1">
      <alignment horizontal="left" vertical="center"/>
    </xf>
    <xf numFmtId="0" fontId="27" fillId="0" borderId="11" xfId="45" applyFont="1" applyFill="1" applyBorder="1" applyAlignment="1">
      <alignment horizontal="center" vertical="center" wrapText="1"/>
    </xf>
    <xf numFmtId="0" fontId="27" fillId="0" borderId="11" xfId="45" applyFont="1" applyFill="1" applyBorder="1" applyAlignment="1">
      <alignment horizontal="justify" vertical="center" wrapText="1"/>
    </xf>
    <xf numFmtId="167" fontId="19" fillId="0" borderId="11" xfId="43" applyFont="1" applyFill="1" applyBorder="1" applyAlignment="1">
      <alignment horizontal="justify" vertical="center"/>
    </xf>
    <xf numFmtId="0" fontId="23" fillId="38" borderId="20" xfId="49" applyNumberFormat="1" applyFont="1" applyFill="1" applyBorder="1" applyAlignment="1">
      <alignment horizontal="left" vertical="center" wrapText="1"/>
    </xf>
    <xf numFmtId="0" fontId="23" fillId="38" borderId="0" xfId="49" applyNumberFormat="1" applyFont="1" applyFill="1" applyBorder="1" applyAlignment="1">
      <alignment horizontal="center" vertical="center" wrapText="1"/>
    </xf>
    <xf numFmtId="43" fontId="23" fillId="38" borderId="23" xfId="49" applyNumberFormat="1" applyFont="1" applyFill="1" applyBorder="1" applyAlignment="1">
      <alignment vertical="center"/>
    </xf>
    <xf numFmtId="3" fontId="19" fillId="0" borderId="11" xfId="49" applyNumberFormat="1" applyFont="1" applyFill="1" applyBorder="1" applyAlignment="1">
      <alignment horizontal="center" vertical="center" wrapText="1"/>
    </xf>
    <xf numFmtId="43" fontId="19" fillId="0" borderId="24" xfId="49" applyNumberFormat="1" applyFont="1" applyFill="1" applyBorder="1" applyAlignment="1">
      <alignment vertical="center"/>
    </xf>
    <xf numFmtId="43" fontId="19" fillId="0" borderId="14" xfId="42" applyFont="1" applyFill="1" applyBorder="1" applyAlignment="1">
      <alignment vertical="center"/>
    </xf>
    <xf numFmtId="168" fontId="20" fillId="0" borderId="14" xfId="49" applyFont="1" applyFill="1" applyBorder="1" applyAlignment="1">
      <alignment horizontal="justify" vertical="center" wrapText="1"/>
    </xf>
    <xf numFmtId="3" fontId="19" fillId="0" borderId="22" xfId="49" applyNumberFormat="1" applyFont="1" applyFill="1" applyBorder="1" applyAlignment="1">
      <alignment horizontal="center" vertical="center" wrapText="1"/>
    </xf>
    <xf numFmtId="43" fontId="19" fillId="0" borderId="22" xfId="52" applyNumberFormat="1" applyFont="1" applyFill="1" applyBorder="1" applyAlignment="1">
      <alignment vertical="center"/>
    </xf>
    <xf numFmtId="168" fontId="19" fillId="0" borderId="16" xfId="49" applyFont="1" applyFill="1" applyBorder="1" applyAlignment="1">
      <alignment horizontal="center" vertical="center"/>
    </xf>
    <xf numFmtId="0" fontId="19" fillId="0" borderId="15" xfId="49" applyNumberFormat="1" applyFont="1" applyFill="1" applyBorder="1" applyAlignment="1">
      <alignment horizontal="justify" vertical="center" wrapText="1"/>
    </xf>
    <xf numFmtId="43" fontId="23" fillId="38" borderId="18" xfId="49" applyNumberFormat="1" applyFont="1" applyFill="1" applyBorder="1" applyAlignment="1">
      <alignment vertical="center"/>
    </xf>
    <xf numFmtId="0" fontId="19" fillId="0" borderId="15" xfId="49" applyNumberFormat="1" applyFont="1" applyFill="1" applyBorder="1" applyAlignment="1">
      <alignment horizontal="left" vertical="center" wrapText="1"/>
    </xf>
    <xf numFmtId="0" fontId="19" fillId="0" borderId="19" xfId="49" applyNumberFormat="1" applyFont="1" applyFill="1" applyBorder="1" applyAlignment="1">
      <alignment horizontal="left" vertical="center" wrapText="1"/>
    </xf>
    <xf numFmtId="0" fontId="19" fillId="0" borderId="12" xfId="49" applyNumberFormat="1" applyFont="1" applyFill="1" applyBorder="1" applyAlignment="1">
      <alignment horizontal="left" vertical="center" wrapText="1"/>
    </xf>
    <xf numFmtId="0" fontId="19" fillId="0" borderId="21" xfId="49" applyNumberFormat="1" applyFont="1" applyFill="1" applyBorder="1" applyAlignment="1">
      <alignment horizontal="center" vertical="center" wrapText="1"/>
    </xf>
    <xf numFmtId="0" fontId="23" fillId="38" borderId="21" xfId="49" applyNumberFormat="1" applyFont="1" applyFill="1" applyBorder="1" applyAlignment="1">
      <alignment horizontal="left" vertical="center" wrapText="1"/>
    </xf>
    <xf numFmtId="0" fontId="23" fillId="38" borderId="13" xfId="49" applyNumberFormat="1" applyFont="1" applyFill="1" applyBorder="1" applyAlignment="1">
      <alignment horizontal="center" vertical="center" wrapText="1"/>
    </xf>
    <xf numFmtId="43" fontId="23" fillId="38" borderId="23" xfId="49" applyNumberFormat="1" applyFont="1" applyFill="1" applyBorder="1" applyAlignment="1">
      <alignment horizontal="left" vertical="center"/>
    </xf>
    <xf numFmtId="0" fontId="19" fillId="0" borderId="14" xfId="49" applyNumberFormat="1" applyFont="1" applyFill="1" applyBorder="1" applyAlignment="1">
      <alignment horizontal="left" vertical="center" wrapText="1"/>
    </xf>
    <xf numFmtId="168" fontId="19" fillId="0" borderId="20" xfId="49" applyFont="1" applyFill="1" applyBorder="1" applyAlignment="1">
      <alignment horizontal="center" vertical="center" wrapText="1"/>
    </xf>
    <xf numFmtId="168" fontId="19" fillId="0" borderId="12" xfId="49" applyFont="1" applyFill="1" applyBorder="1" applyAlignment="1">
      <alignment horizontal="center" vertical="center" wrapText="1"/>
    </xf>
    <xf numFmtId="168" fontId="19" fillId="0" borderId="24" xfId="49" applyFont="1" applyFill="1" applyBorder="1" applyAlignment="1">
      <alignment horizontal="justify" vertical="center" wrapText="1"/>
    </xf>
    <xf numFmtId="168" fontId="19" fillId="0" borderId="12" xfId="49" applyFont="1" applyFill="1" applyBorder="1" applyAlignment="1">
      <alignment horizontal="justify" vertical="center" wrapText="1"/>
    </xf>
    <xf numFmtId="168" fontId="19" fillId="0" borderId="24" xfId="49" applyFont="1" applyFill="1" applyBorder="1" applyAlignment="1">
      <alignment horizontal="center" vertical="center" wrapText="1"/>
    </xf>
    <xf numFmtId="0" fontId="23" fillId="37" borderId="25" xfId="49" applyNumberFormat="1" applyFont="1" applyFill="1" applyBorder="1" applyAlignment="1">
      <alignment horizontal="left" vertical="center" wrapText="1"/>
    </xf>
    <xf numFmtId="0" fontId="23" fillId="37" borderId="12" xfId="49" applyNumberFormat="1" applyFont="1" applyFill="1" applyBorder="1" applyAlignment="1">
      <alignment horizontal="left" vertical="center" wrapText="1"/>
    </xf>
    <xf numFmtId="0" fontId="19" fillId="0" borderId="25" xfId="49" applyNumberFormat="1" applyFont="1" applyBorder="1" applyAlignment="1">
      <alignment horizontal="left" vertical="center" wrapText="1"/>
    </xf>
    <xf numFmtId="0" fontId="23" fillId="38" borderId="22" xfId="49" applyNumberFormat="1" applyFont="1" applyFill="1" applyBorder="1" applyAlignment="1">
      <alignment horizontal="left" vertical="center" wrapText="1"/>
    </xf>
    <xf numFmtId="168" fontId="23" fillId="38" borderId="23" xfId="49" applyFont="1" applyFill="1" applyBorder="1" applyAlignment="1">
      <alignment vertical="center"/>
    </xf>
    <xf numFmtId="0" fontId="20" fillId="0" borderId="11" xfId="49" applyNumberFormat="1" applyFont="1" applyFill="1" applyBorder="1" applyAlignment="1">
      <alignment horizontal="center" vertical="center"/>
    </xf>
    <xf numFmtId="168" fontId="30" fillId="0" borderId="11" xfId="49" applyFont="1" applyFill="1" applyBorder="1" applyAlignment="1">
      <alignment horizontal="center" vertical="center" wrapText="1"/>
    </xf>
    <xf numFmtId="168" fontId="30" fillId="0" borderId="11" xfId="49" applyFont="1" applyFill="1" applyBorder="1" applyAlignment="1">
      <alignment horizontal="justify" vertical="center" wrapText="1"/>
    </xf>
    <xf numFmtId="3" fontId="19" fillId="0" borderId="24" xfId="49" applyNumberFormat="1" applyFont="1" applyFill="1" applyBorder="1" applyAlignment="1">
      <alignment horizontal="center" vertical="center" wrapText="1"/>
    </xf>
    <xf numFmtId="0" fontId="30" fillId="0" borderId="24" xfId="49" applyNumberFormat="1" applyFont="1" applyFill="1" applyBorder="1" applyAlignment="1">
      <alignment horizontal="center" vertical="center" wrapText="1"/>
    </xf>
    <xf numFmtId="168" fontId="30" fillId="0" borderId="24" xfId="49" applyFont="1" applyFill="1" applyBorder="1" applyAlignment="1">
      <alignment horizontal="center" vertical="center" wrapText="1"/>
    </xf>
    <xf numFmtId="168" fontId="30" fillId="0" borderId="24" xfId="49" applyFont="1" applyFill="1" applyBorder="1" applyAlignment="1">
      <alignment horizontal="justify" vertical="center" wrapText="1"/>
    </xf>
    <xf numFmtId="0" fontId="19" fillId="0" borderId="27" xfId="50" applyNumberFormat="1" applyFont="1" applyFill="1" applyBorder="1" applyAlignment="1">
      <alignment horizontal="center" vertical="center" wrapText="1"/>
    </xf>
    <xf numFmtId="0" fontId="19" fillId="0" borderId="12" xfId="49" applyNumberFormat="1" applyFont="1" applyFill="1" applyBorder="1" applyAlignment="1">
      <alignment horizontal="center" vertical="center" wrapText="1"/>
    </xf>
    <xf numFmtId="168" fontId="25" fillId="36" borderId="16" xfId="49" applyFont="1" applyFill="1" applyBorder="1" applyAlignment="1">
      <alignment horizontal="center" vertical="center"/>
    </xf>
    <xf numFmtId="0" fontId="23" fillId="37" borderId="14" xfId="49" applyNumberFormat="1" applyFont="1" applyFill="1" applyBorder="1" applyAlignment="1">
      <alignment horizontal="left" vertical="center" wrapText="1"/>
    </xf>
    <xf numFmtId="0" fontId="23" fillId="38" borderId="16" xfId="49" applyNumberFormat="1" applyFont="1" applyFill="1" applyBorder="1" applyAlignment="1">
      <alignment horizontal="left" vertical="center" wrapText="1"/>
    </xf>
    <xf numFmtId="168" fontId="19" fillId="0" borderId="18" xfId="49" applyFont="1" applyFill="1" applyBorder="1" applyAlignment="1">
      <alignment horizontal="justify" vertical="center"/>
    </xf>
    <xf numFmtId="167" fontId="19" fillId="0" borderId="24" xfId="43" applyFont="1" applyFill="1" applyBorder="1" applyAlignment="1">
      <alignment horizontal="right" vertical="center"/>
    </xf>
    <xf numFmtId="167" fontId="19" fillId="0" borderId="24" xfId="43" applyFont="1" applyFill="1" applyBorder="1" applyAlignment="1">
      <alignment horizontal="justify" vertical="center"/>
    </xf>
    <xf numFmtId="167" fontId="20" fillId="0" borderId="11" xfId="43" applyFont="1" applyFill="1" applyBorder="1" applyAlignment="1">
      <alignment horizontal="center" vertical="center" wrapText="1"/>
    </xf>
    <xf numFmtId="167" fontId="19" fillId="0" borderId="12" xfId="43" applyFont="1" applyFill="1" applyBorder="1" applyAlignment="1">
      <alignment horizontal="justify" vertical="center"/>
    </xf>
    <xf numFmtId="167" fontId="19" fillId="0" borderId="11" xfId="43" applyFont="1" applyFill="1" applyBorder="1" applyAlignment="1">
      <alignment vertical="center"/>
    </xf>
    <xf numFmtId="167" fontId="30" fillId="0" borderId="11" xfId="43" applyFont="1" applyFill="1" applyBorder="1" applyAlignment="1">
      <alignment horizontal="center" vertical="center" wrapText="1"/>
    </xf>
    <xf numFmtId="167" fontId="19" fillId="0" borderId="14" xfId="43" applyFont="1" applyFill="1" applyBorder="1" applyAlignment="1">
      <alignment horizontal="justify" vertical="center"/>
    </xf>
    <xf numFmtId="167" fontId="19" fillId="0" borderId="14" xfId="43" applyFont="1" applyFill="1" applyBorder="1" applyAlignment="1">
      <alignment horizontal="right" vertical="center" wrapText="1"/>
    </xf>
    <xf numFmtId="2" fontId="26" fillId="0" borderId="11" xfId="43" applyNumberFormat="1" applyFont="1" applyFill="1" applyBorder="1" applyAlignment="1">
      <alignment horizontal="center" vertical="center" wrapText="1"/>
    </xf>
    <xf numFmtId="167" fontId="19" fillId="0" borderId="11" xfId="43" applyFont="1" applyFill="1" applyBorder="1" applyAlignment="1">
      <alignment horizontal="center" vertical="center" wrapText="1"/>
    </xf>
    <xf numFmtId="167" fontId="30" fillId="0" borderId="11" xfId="43" applyFont="1" applyFill="1" applyBorder="1" applyAlignment="1">
      <alignment vertical="center" wrapText="1"/>
    </xf>
    <xf numFmtId="0" fontId="23" fillId="38" borderId="0" xfId="49" applyNumberFormat="1" applyFont="1" applyFill="1" applyBorder="1" applyAlignment="1">
      <alignment horizontal="left" vertical="center" wrapText="1"/>
    </xf>
    <xf numFmtId="165" fontId="19" fillId="0" borderId="11" xfId="47" applyFont="1" applyFill="1" applyBorder="1" applyAlignment="1">
      <alignment horizontal="left" vertical="center" wrapText="1"/>
    </xf>
    <xf numFmtId="0" fontId="19" fillId="0" borderId="0" xfId="49" applyNumberFormat="1" applyFont="1" applyAlignment="1">
      <alignment horizontal="left" vertical="center"/>
    </xf>
    <xf numFmtId="0" fontId="19" fillId="0" borderId="0" xfId="49" applyNumberFormat="1" applyFont="1" applyAlignment="1">
      <alignment horizontal="center" vertical="center"/>
    </xf>
    <xf numFmtId="168" fontId="19" fillId="0" borderId="0" xfId="49" applyFont="1" applyAlignment="1">
      <alignment horizontal="center"/>
    </xf>
    <xf numFmtId="0" fontId="19" fillId="0" borderId="0" xfId="49" applyNumberFormat="1" applyFont="1" applyAlignment="1">
      <alignment horizontal="justify" vertical="center" wrapText="1"/>
    </xf>
    <xf numFmtId="0" fontId="19" fillId="0" borderId="0" xfId="49" applyNumberFormat="1" applyFont="1" applyAlignment="1">
      <alignment horizontal="center" vertical="center" wrapText="1"/>
    </xf>
    <xf numFmtId="0" fontId="19" fillId="0" borderId="0" xfId="49" applyNumberFormat="1" applyFont="1" applyAlignment="1">
      <alignment horizontal="center"/>
    </xf>
    <xf numFmtId="168" fontId="19" fillId="0" borderId="0" xfId="49" applyFont="1" applyAlignment="1">
      <alignment horizontal="justify" vertical="center" wrapText="1"/>
    </xf>
    <xf numFmtId="168" fontId="19" fillId="0" borderId="0" xfId="49" applyFont="1" applyAlignment="1">
      <alignment horizontal="center" vertical="center" wrapText="1"/>
    </xf>
    <xf numFmtId="168" fontId="19" fillId="0" borderId="0" xfId="49" applyFont="1"/>
    <xf numFmtId="168" fontId="19" fillId="33" borderId="0" xfId="49" applyFont="1" applyFill="1"/>
    <xf numFmtId="173" fontId="19" fillId="0" borderId="0" xfId="52" applyNumberFormat="1" applyFont="1" applyAlignment="1">
      <alignment horizontal="center"/>
    </xf>
    <xf numFmtId="168" fontId="23" fillId="37" borderId="23" xfId="49" applyFont="1" applyFill="1" applyBorder="1" applyAlignment="1">
      <alignment vertical="center"/>
    </xf>
    <xf numFmtId="0" fontId="23" fillId="38" borderId="22" xfId="49" applyNumberFormat="1" applyFont="1" applyFill="1" applyBorder="1" applyAlignment="1">
      <alignment horizontal="left" vertical="center"/>
    </xf>
    <xf numFmtId="0" fontId="23" fillId="38" borderId="22" xfId="49" applyNumberFormat="1" applyFont="1" applyFill="1" applyBorder="1" applyAlignment="1">
      <alignment horizontal="center" vertical="center"/>
    </xf>
    <xf numFmtId="0" fontId="23" fillId="0" borderId="15" xfId="49" applyNumberFormat="1" applyFont="1" applyBorder="1" applyAlignment="1">
      <alignment horizontal="left" vertical="center" wrapText="1"/>
    </xf>
    <xf numFmtId="0" fontId="23" fillId="0" borderId="17" xfId="49" applyNumberFormat="1" applyFont="1" applyBorder="1" applyAlignment="1">
      <alignment horizontal="center" vertical="center" wrapText="1"/>
    </xf>
    <xf numFmtId="0" fontId="19" fillId="33" borderId="18" xfId="49" applyNumberFormat="1" applyFont="1" applyFill="1" applyBorder="1" applyAlignment="1">
      <alignment horizontal="justify" vertical="center" wrapText="1"/>
    </xf>
    <xf numFmtId="0" fontId="19" fillId="33" borderId="18" xfId="49" applyNumberFormat="1" applyFont="1" applyFill="1" applyBorder="1" applyAlignment="1">
      <alignment horizontal="center" vertical="center" wrapText="1"/>
    </xf>
    <xf numFmtId="168" fontId="19" fillId="33" borderId="11" xfId="49" applyFont="1" applyFill="1" applyBorder="1" applyAlignment="1">
      <alignment horizontal="justify" vertical="center" wrapText="1"/>
    </xf>
    <xf numFmtId="168" fontId="19" fillId="33" borderId="11" xfId="49" applyFont="1" applyFill="1" applyBorder="1" applyAlignment="1">
      <alignment horizontal="center" vertical="center" wrapText="1"/>
    </xf>
    <xf numFmtId="43" fontId="19" fillId="0" borderId="11" xfId="42" applyFont="1" applyBorder="1" applyAlignment="1">
      <alignment horizontal="justify" vertical="center"/>
    </xf>
    <xf numFmtId="43" fontId="19" fillId="0" borderId="14" xfId="42" applyFont="1" applyBorder="1" applyAlignment="1">
      <alignment horizontal="justify" vertical="center"/>
    </xf>
    <xf numFmtId="43" fontId="19" fillId="0" borderId="14" xfId="52" applyNumberFormat="1" applyFont="1" applyBorder="1" applyAlignment="1">
      <alignment horizontal="right" vertical="center" wrapText="1"/>
    </xf>
    <xf numFmtId="168" fontId="19" fillId="0" borderId="18" xfId="49" applyFont="1" applyFill="1" applyBorder="1" applyAlignment="1">
      <alignment horizontal="center" vertical="center"/>
    </xf>
    <xf numFmtId="0" fontId="19" fillId="0" borderId="18" xfId="49" applyNumberFormat="1" applyFont="1" applyFill="1" applyBorder="1" applyAlignment="1">
      <alignment horizontal="justify" vertical="center" wrapText="1"/>
    </xf>
    <xf numFmtId="0" fontId="23" fillId="0" borderId="20" xfId="49" applyNumberFormat="1" applyFont="1" applyBorder="1" applyAlignment="1">
      <alignment horizontal="center" vertical="center" wrapText="1"/>
    </xf>
    <xf numFmtId="168" fontId="19" fillId="0" borderId="25" xfId="49" applyFont="1" applyFill="1" applyBorder="1" applyAlignment="1">
      <alignment vertical="center"/>
    </xf>
    <xf numFmtId="0" fontId="23" fillId="0" borderId="21" xfId="49" applyNumberFormat="1" applyFont="1" applyBorder="1" applyAlignment="1">
      <alignment horizontal="center" vertical="center" wrapText="1"/>
    </xf>
    <xf numFmtId="0" fontId="20" fillId="0" borderId="18" xfId="49" applyNumberFormat="1" applyFont="1" applyFill="1" applyBorder="1" applyAlignment="1">
      <alignment horizontal="justify" vertical="center" wrapText="1"/>
    </xf>
    <xf numFmtId="0" fontId="20" fillId="0" borderId="18" xfId="49" applyNumberFormat="1" applyFont="1" applyFill="1" applyBorder="1" applyAlignment="1">
      <alignment horizontal="center" vertical="center" wrapText="1"/>
    </xf>
    <xf numFmtId="43" fontId="19" fillId="0" borderId="14" xfId="52" applyNumberFormat="1" applyFont="1" applyFill="1" applyBorder="1" applyAlignment="1">
      <alignment horizontal="center" vertical="center"/>
    </xf>
    <xf numFmtId="168" fontId="19" fillId="33" borderId="0" xfId="49" applyFont="1" applyFill="1" applyBorder="1" applyAlignment="1">
      <alignment vertical="center"/>
    </xf>
    <xf numFmtId="0" fontId="23" fillId="38" borderId="25" xfId="49" applyNumberFormat="1" applyFont="1" applyFill="1" applyBorder="1" applyAlignment="1">
      <alignment horizontal="left" vertical="center"/>
    </xf>
    <xf numFmtId="0" fontId="23" fillId="38" borderId="25" xfId="49" applyNumberFormat="1" applyFont="1" applyFill="1" applyBorder="1" applyAlignment="1">
      <alignment horizontal="center" vertical="center"/>
    </xf>
    <xf numFmtId="168" fontId="19" fillId="0" borderId="11" xfId="49" applyFont="1" applyBorder="1" applyAlignment="1">
      <alignment horizontal="justify" vertical="center" wrapText="1"/>
    </xf>
    <xf numFmtId="0" fontId="21" fillId="36" borderId="11" xfId="49" applyNumberFormat="1" applyFont="1" applyFill="1" applyBorder="1" applyAlignment="1">
      <alignment horizontal="center" vertical="center"/>
    </xf>
    <xf numFmtId="168" fontId="21" fillId="36" borderId="11" xfId="49" applyFont="1" applyFill="1" applyBorder="1" applyAlignment="1">
      <alignment horizontal="center" vertical="center"/>
    </xf>
    <xf numFmtId="0" fontId="21" fillId="36" borderId="11" xfId="49" applyNumberFormat="1" applyFont="1" applyFill="1" applyBorder="1" applyAlignment="1">
      <alignment horizontal="justify" vertical="center" wrapText="1"/>
    </xf>
    <xf numFmtId="0" fontId="21" fillId="36" borderId="11" xfId="49" applyNumberFormat="1" applyFont="1" applyFill="1" applyBorder="1" applyAlignment="1">
      <alignment horizontal="center" vertical="center" wrapText="1"/>
    </xf>
    <xf numFmtId="0" fontId="25" fillId="36" borderId="11" xfId="49" applyNumberFormat="1" applyFont="1" applyFill="1" applyBorder="1" applyAlignment="1">
      <alignment horizontal="center" vertical="center"/>
    </xf>
    <xf numFmtId="168" fontId="21" fillId="36" borderId="11" xfId="49" applyFont="1" applyFill="1" applyBorder="1" applyAlignment="1">
      <alignment horizontal="justify" vertical="center" wrapText="1"/>
    </xf>
    <xf numFmtId="168" fontId="21" fillId="36" borderId="11" xfId="49" applyFont="1" applyFill="1" applyBorder="1" applyAlignment="1">
      <alignment horizontal="center" vertical="center" wrapText="1"/>
    </xf>
    <xf numFmtId="43" fontId="21" fillId="36" borderId="22" xfId="49" applyNumberFormat="1" applyFont="1" applyFill="1" applyBorder="1" applyAlignment="1">
      <alignment horizontal="left" vertical="center"/>
    </xf>
    <xf numFmtId="43" fontId="23" fillId="33" borderId="0" xfId="49" applyNumberFormat="1" applyFont="1" applyFill="1" applyBorder="1" applyAlignment="1">
      <alignment vertical="center"/>
    </xf>
    <xf numFmtId="175" fontId="19" fillId="33" borderId="0" xfId="53" applyNumberFormat="1" applyFont="1" applyFill="1" applyBorder="1"/>
    <xf numFmtId="175" fontId="19" fillId="0" borderId="11" xfId="53" applyNumberFormat="1" applyFont="1" applyFill="1" applyBorder="1" applyAlignment="1">
      <alignment horizontal="center" vertical="center" wrapText="1"/>
    </xf>
    <xf numFmtId="175" fontId="19" fillId="0" borderId="11" xfId="53" applyNumberFormat="1" applyFont="1" applyFill="1" applyBorder="1" applyAlignment="1">
      <alignment horizontal="center" vertical="center"/>
    </xf>
    <xf numFmtId="43" fontId="19" fillId="0" borderId="0" xfId="42" applyFont="1" applyFill="1" applyBorder="1" applyAlignment="1">
      <alignment horizontal="justify" vertical="center"/>
    </xf>
    <xf numFmtId="43" fontId="19" fillId="0" borderId="0" xfId="49" applyNumberFormat="1" applyFont="1" applyFill="1" applyBorder="1" applyAlignment="1">
      <alignment vertical="center"/>
    </xf>
    <xf numFmtId="175" fontId="19" fillId="0" borderId="0" xfId="53" applyNumberFormat="1" applyFont="1" applyFill="1" applyBorder="1"/>
    <xf numFmtId="0" fontId="26" fillId="0" borderId="24" xfId="45" applyFont="1" applyFill="1" applyBorder="1" applyAlignment="1">
      <alignment horizontal="center" vertical="center" wrapText="1"/>
    </xf>
    <xf numFmtId="0" fontId="26" fillId="0" borderId="24" xfId="44" applyNumberFormat="1" applyFont="1" applyFill="1" applyBorder="1" applyAlignment="1">
      <alignment horizontal="center" vertical="center" wrapText="1"/>
    </xf>
    <xf numFmtId="0" fontId="26" fillId="0" borderId="24" xfId="45" applyFont="1" applyFill="1" applyBorder="1" applyAlignment="1">
      <alignment horizontal="justify" vertical="center" wrapText="1"/>
    </xf>
    <xf numFmtId="43" fontId="19" fillId="0" borderId="11" xfId="49" applyNumberFormat="1" applyFont="1" applyFill="1" applyBorder="1" applyAlignment="1">
      <alignment horizontal="justify" vertical="center"/>
    </xf>
    <xf numFmtId="43" fontId="19" fillId="0" borderId="0" xfId="49" applyNumberFormat="1" applyFont="1" applyFill="1" applyBorder="1" applyAlignment="1">
      <alignment horizontal="justify" vertical="center"/>
    </xf>
    <xf numFmtId="0" fontId="19" fillId="0" borderId="11" xfId="50" applyNumberFormat="1" applyFont="1" applyFill="1" applyBorder="1" applyAlignment="1">
      <alignment horizontal="center" vertical="center"/>
    </xf>
    <xf numFmtId="2" fontId="19" fillId="0" borderId="11" xfId="54" applyNumberFormat="1" applyFont="1" applyFill="1" applyBorder="1" applyAlignment="1" applyProtection="1">
      <alignment horizontal="center" vertical="center" wrapText="1"/>
      <protection locked="0"/>
    </xf>
    <xf numFmtId="0" fontId="26" fillId="0" borderId="11" xfId="45" applyNumberFormat="1" applyFont="1" applyFill="1" applyBorder="1" applyAlignment="1">
      <alignment horizontal="center" vertical="center" wrapText="1"/>
    </xf>
    <xf numFmtId="167" fontId="23" fillId="38" borderId="11" xfId="43" applyFont="1" applyFill="1" applyBorder="1" applyAlignment="1">
      <alignment vertical="center"/>
    </xf>
    <xf numFmtId="168" fontId="23" fillId="38" borderId="11" xfId="49" applyFont="1" applyFill="1" applyBorder="1" applyAlignment="1">
      <alignment vertical="center" wrapText="1"/>
    </xf>
    <xf numFmtId="168" fontId="19" fillId="38" borderId="11" xfId="49" applyFont="1" applyFill="1" applyBorder="1" applyAlignment="1">
      <alignment horizontal="center" vertical="center" wrapText="1"/>
    </xf>
    <xf numFmtId="168" fontId="19" fillId="38" borderId="11" xfId="49" applyFont="1" applyFill="1" applyBorder="1" applyAlignment="1">
      <alignment horizontal="justify" vertical="center" wrapText="1"/>
    </xf>
    <xf numFmtId="43" fontId="19" fillId="38" borderId="11" xfId="42" applyFont="1" applyFill="1" applyBorder="1" applyAlignment="1">
      <alignment horizontal="justify" vertical="center"/>
    </xf>
    <xf numFmtId="43" fontId="23" fillId="38" borderId="11" xfId="42" applyFont="1" applyFill="1" applyBorder="1" applyAlignment="1">
      <alignment horizontal="justify" vertical="center"/>
    </xf>
    <xf numFmtId="167" fontId="23" fillId="38" borderId="11" xfId="43" applyFont="1" applyFill="1" applyBorder="1" applyAlignment="1">
      <alignment horizontal="justify" vertical="center"/>
    </xf>
    <xf numFmtId="43" fontId="19" fillId="33" borderId="0" xfId="42" applyFont="1" applyFill="1" applyBorder="1" applyAlignment="1">
      <alignment horizontal="justify" vertical="center"/>
    </xf>
    <xf numFmtId="0" fontId="19" fillId="0" borderId="25" xfId="49" applyNumberFormat="1" applyFont="1" applyFill="1" applyBorder="1" applyAlignment="1">
      <alignment horizontal="left" vertical="center"/>
    </xf>
    <xf numFmtId="0" fontId="19" fillId="0" borderId="0" xfId="49" applyNumberFormat="1" applyFont="1" applyFill="1" applyBorder="1" applyAlignment="1">
      <alignment horizontal="left" vertical="center"/>
    </xf>
    <xf numFmtId="0" fontId="19" fillId="0" borderId="0" xfId="49" applyNumberFormat="1" applyFont="1" applyFill="1" applyBorder="1" applyAlignment="1">
      <alignment horizontal="center" vertical="center"/>
    </xf>
    <xf numFmtId="167" fontId="19" fillId="0" borderId="11" xfId="43" applyFont="1" applyFill="1" applyBorder="1" applyAlignment="1">
      <alignment horizontal="center" vertical="center"/>
    </xf>
    <xf numFmtId="0" fontId="19" fillId="0" borderId="0" xfId="49" applyNumberFormat="1" applyFont="1" applyFill="1" applyBorder="1" applyAlignment="1">
      <alignment horizontal="center" vertical="center" wrapText="1"/>
    </xf>
    <xf numFmtId="0" fontId="19" fillId="0" borderId="24" xfId="49" applyNumberFormat="1" applyFont="1" applyFill="1" applyBorder="1" applyAlignment="1">
      <alignment horizontal="left" vertical="center" wrapText="1"/>
    </xf>
    <xf numFmtId="175" fontId="23" fillId="0" borderId="0" xfId="53" applyNumberFormat="1" applyFont="1" applyFill="1" applyBorder="1" applyAlignment="1">
      <alignment vertical="center"/>
    </xf>
    <xf numFmtId="0" fontId="23" fillId="37" borderId="24" xfId="49" applyNumberFormat="1" applyFont="1" applyFill="1" applyBorder="1" applyAlignment="1">
      <alignment horizontal="left" vertical="center" wrapText="1"/>
    </xf>
    <xf numFmtId="167" fontId="23" fillId="37" borderId="11" xfId="43" applyFont="1" applyFill="1" applyBorder="1" applyAlignment="1">
      <alignment vertical="center"/>
    </xf>
    <xf numFmtId="0" fontId="23" fillId="0" borderId="14" xfId="49" applyNumberFormat="1" applyFont="1" applyFill="1" applyBorder="1" applyAlignment="1">
      <alignment horizontal="left" vertical="center"/>
    </xf>
    <xf numFmtId="0" fontId="23" fillId="0" borderId="18" xfId="49" applyNumberFormat="1" applyFont="1" applyFill="1" applyBorder="1" applyAlignment="1">
      <alignment horizontal="center" vertical="center"/>
    </xf>
    <xf numFmtId="168" fontId="23" fillId="0" borderId="18" xfId="49" applyFont="1" applyFill="1" applyBorder="1" applyAlignment="1">
      <alignment horizontal="center" vertical="center"/>
    </xf>
    <xf numFmtId="168" fontId="19" fillId="0" borderId="11" xfId="49" applyFont="1" applyFill="1" applyBorder="1" applyAlignment="1">
      <alignment vertical="center"/>
    </xf>
    <xf numFmtId="43" fontId="23" fillId="0" borderId="0" xfId="49" applyNumberFormat="1" applyFont="1" applyFill="1" applyBorder="1" applyAlignment="1">
      <alignment vertical="center"/>
    </xf>
    <xf numFmtId="0" fontId="27" fillId="0" borderId="11" xfId="45" applyFont="1" applyFill="1" applyBorder="1" applyAlignment="1">
      <alignment horizontal="center" vertical="center"/>
    </xf>
    <xf numFmtId="9" fontId="19" fillId="0" borderId="11" xfId="49" applyNumberFormat="1" applyFont="1" applyFill="1" applyBorder="1" applyAlignment="1">
      <alignment horizontal="center" vertical="center" wrapText="1"/>
    </xf>
    <xf numFmtId="0" fontId="23" fillId="38" borderId="25" xfId="49" applyNumberFormat="1" applyFont="1" applyFill="1" applyBorder="1" applyAlignment="1">
      <alignment horizontal="center" vertical="center" wrapText="1"/>
    </xf>
    <xf numFmtId="0" fontId="23" fillId="37" borderId="24" xfId="49" applyNumberFormat="1" applyFont="1" applyFill="1" applyBorder="1" applyAlignment="1">
      <alignment horizontal="left" vertical="center"/>
    </xf>
    <xf numFmtId="0" fontId="23" fillId="37" borderId="24" xfId="49" applyNumberFormat="1" applyFont="1" applyFill="1" applyBorder="1" applyAlignment="1">
      <alignment horizontal="center" vertical="center"/>
    </xf>
    <xf numFmtId="168" fontId="23" fillId="37" borderId="24" xfId="49" applyFont="1" applyFill="1" applyBorder="1" applyAlignment="1">
      <alignment horizontal="center" vertical="center"/>
    </xf>
    <xf numFmtId="0" fontId="23" fillId="37" borderId="24" xfId="49" applyNumberFormat="1" applyFont="1" applyFill="1" applyBorder="1" applyAlignment="1">
      <alignment horizontal="justify" vertical="center" wrapText="1"/>
    </xf>
    <xf numFmtId="0" fontId="23" fillId="37" borderId="24" xfId="49" applyNumberFormat="1" applyFont="1" applyFill="1" applyBorder="1" applyAlignment="1">
      <alignment horizontal="center" vertical="center" wrapText="1"/>
    </xf>
    <xf numFmtId="0" fontId="19" fillId="37" borderId="24" xfId="49" applyNumberFormat="1" applyFont="1" applyFill="1" applyBorder="1" applyAlignment="1">
      <alignment horizontal="center" vertical="center"/>
    </xf>
    <xf numFmtId="168" fontId="23" fillId="37" borderId="24" xfId="49" applyFont="1" applyFill="1" applyBorder="1" applyAlignment="1">
      <alignment horizontal="justify" vertical="center" wrapText="1"/>
    </xf>
    <xf numFmtId="168" fontId="23" fillId="37" borderId="24" xfId="49" applyFont="1" applyFill="1" applyBorder="1" applyAlignment="1">
      <alignment horizontal="center" vertical="center" wrapText="1"/>
    </xf>
    <xf numFmtId="168" fontId="19" fillId="37" borderId="12" xfId="49" applyFont="1" applyFill="1" applyBorder="1" applyAlignment="1">
      <alignment vertical="center"/>
    </xf>
    <xf numFmtId="0" fontId="19" fillId="37" borderId="12" xfId="49" applyNumberFormat="1" applyFont="1" applyFill="1" applyBorder="1" applyAlignment="1">
      <alignment vertical="center"/>
    </xf>
    <xf numFmtId="43" fontId="23" fillId="37" borderId="24" xfId="49" applyNumberFormat="1" applyFont="1" applyFill="1" applyBorder="1" applyAlignment="1">
      <alignment vertical="center"/>
    </xf>
    <xf numFmtId="0" fontId="23" fillId="38" borderId="22" xfId="49" applyNumberFormat="1" applyFont="1" applyFill="1" applyBorder="1" applyAlignment="1">
      <alignment horizontal="center" vertical="center" wrapText="1"/>
    </xf>
    <xf numFmtId="168" fontId="19" fillId="38" borderId="14" xfId="49" applyFont="1" applyFill="1" applyBorder="1" applyAlignment="1">
      <alignment vertical="center"/>
    </xf>
    <xf numFmtId="0" fontId="19" fillId="38" borderId="14" xfId="49" applyNumberFormat="1" applyFont="1" applyFill="1" applyBorder="1" applyAlignment="1">
      <alignment vertical="center"/>
    </xf>
    <xf numFmtId="0" fontId="23" fillId="38" borderId="11" xfId="49" applyNumberFormat="1" applyFont="1" applyFill="1" applyBorder="1" applyAlignment="1">
      <alignment horizontal="center" vertical="center"/>
    </xf>
    <xf numFmtId="4" fontId="19" fillId="0" borderId="11" xfId="49" applyNumberFormat="1" applyFont="1" applyFill="1" applyBorder="1" applyAlignment="1">
      <alignment horizontal="right" vertical="center" wrapText="1"/>
    </xf>
    <xf numFmtId="168" fontId="23" fillId="38" borderId="11" xfId="49" applyFont="1" applyFill="1" applyBorder="1" applyAlignment="1">
      <alignment vertical="center"/>
    </xf>
    <xf numFmtId="167" fontId="20" fillId="0" borderId="11" xfId="43" applyFont="1" applyFill="1" applyBorder="1" applyAlignment="1">
      <alignment vertical="center" wrapText="1"/>
    </xf>
    <xf numFmtId="0" fontId="23" fillId="38" borderId="16" xfId="49" applyNumberFormat="1" applyFont="1" applyFill="1" applyBorder="1" applyAlignment="1">
      <alignment horizontal="left" vertical="center"/>
    </xf>
    <xf numFmtId="168" fontId="23" fillId="38" borderId="16" xfId="49" applyFont="1" applyFill="1" applyBorder="1" applyAlignment="1">
      <alignment vertical="center"/>
    </xf>
    <xf numFmtId="0" fontId="23" fillId="38" borderId="16" xfId="49" applyNumberFormat="1" applyFont="1" applyFill="1" applyBorder="1" applyAlignment="1">
      <alignment horizontal="justify" vertical="center" wrapText="1"/>
    </xf>
    <xf numFmtId="0" fontId="19" fillId="38" borderId="16" xfId="49" applyNumberFormat="1" applyFont="1" applyFill="1" applyBorder="1" applyAlignment="1">
      <alignment horizontal="center" vertical="center"/>
    </xf>
    <xf numFmtId="168" fontId="23" fillId="38" borderId="16" xfId="49" applyFont="1" applyFill="1" applyBorder="1" applyAlignment="1">
      <alignment horizontal="justify" vertical="center" wrapText="1"/>
    </xf>
    <xf numFmtId="168" fontId="23" fillId="38" borderId="16" xfId="49" applyFont="1" applyFill="1" applyBorder="1" applyAlignment="1">
      <alignment horizontal="center" vertical="center" wrapText="1"/>
    </xf>
    <xf numFmtId="168" fontId="19" fillId="38" borderId="16" xfId="49" applyFont="1" applyFill="1" applyBorder="1" applyAlignment="1">
      <alignment vertical="center"/>
    </xf>
    <xf numFmtId="0" fontId="19" fillId="38" borderId="16" xfId="49" applyNumberFormat="1" applyFont="1" applyFill="1" applyBorder="1" applyAlignment="1">
      <alignment vertical="center"/>
    </xf>
    <xf numFmtId="168" fontId="23" fillId="38" borderId="16" xfId="49" applyFont="1" applyFill="1" applyBorder="1" applyAlignment="1">
      <alignment horizontal="center" vertical="center"/>
    </xf>
    <xf numFmtId="2" fontId="26" fillId="0" borderId="11" xfId="45" applyNumberFormat="1" applyFont="1" applyFill="1" applyBorder="1" applyAlignment="1">
      <alignment horizontal="center" vertical="center" wrapText="1"/>
    </xf>
    <xf numFmtId="0" fontId="26" fillId="0" borderId="11" xfId="43" applyNumberFormat="1" applyFont="1" applyFill="1" applyBorder="1" applyAlignment="1">
      <alignment horizontal="center" vertical="center" wrapText="1"/>
    </xf>
    <xf numFmtId="43" fontId="19" fillId="0" borderId="15" xfId="52" applyFont="1" applyFill="1" applyBorder="1" applyAlignment="1">
      <alignment horizontal="center" vertical="center"/>
    </xf>
    <xf numFmtId="43" fontId="20" fillId="0" borderId="11" xfId="42" applyFont="1" applyFill="1" applyBorder="1" applyAlignment="1">
      <alignment horizontal="justify" vertical="center"/>
    </xf>
    <xf numFmtId="43" fontId="23" fillId="0" borderId="14" xfId="42" applyFont="1" applyFill="1" applyBorder="1" applyAlignment="1">
      <alignment horizontal="justify" vertical="center"/>
    </xf>
    <xf numFmtId="43" fontId="19" fillId="0" borderId="14" xfId="52" applyFont="1" applyFill="1" applyBorder="1" applyAlignment="1">
      <alignment vertical="center"/>
    </xf>
    <xf numFmtId="0" fontId="19" fillId="0" borderId="24" xfId="49" applyNumberFormat="1" applyFont="1" applyFill="1" applyBorder="1" applyAlignment="1">
      <alignment horizontal="justify" vertical="center" wrapText="1"/>
    </xf>
    <xf numFmtId="43" fontId="19" fillId="0" borderId="12" xfId="42" applyFont="1" applyFill="1" applyBorder="1" applyAlignment="1">
      <alignment horizontal="justify" vertical="center"/>
    </xf>
    <xf numFmtId="43" fontId="19" fillId="0" borderId="12" xfId="52" applyNumberFormat="1" applyFont="1" applyFill="1" applyBorder="1" applyAlignment="1">
      <alignment horizontal="right" vertical="center" wrapText="1"/>
    </xf>
    <xf numFmtId="43" fontId="19" fillId="0" borderId="11" xfId="52" applyNumberFormat="1" applyFont="1" applyFill="1" applyBorder="1" applyAlignment="1">
      <alignment vertical="center"/>
    </xf>
    <xf numFmtId="0" fontId="19" fillId="0" borderId="11" xfId="52" applyNumberFormat="1" applyFont="1" applyFill="1" applyBorder="1" applyAlignment="1">
      <alignment horizontal="justify" vertical="center" wrapText="1"/>
    </xf>
    <xf numFmtId="43" fontId="19" fillId="0" borderId="11" xfId="49" applyNumberFormat="1" applyFont="1" applyFill="1" applyBorder="1" applyAlignment="1">
      <alignment horizontal="justify" vertical="center" wrapText="1"/>
    </xf>
    <xf numFmtId="43" fontId="19" fillId="0" borderId="11" xfId="42" applyFont="1" applyFill="1" applyBorder="1" applyAlignment="1">
      <alignment horizontal="justify" vertical="center" wrapText="1"/>
    </xf>
    <xf numFmtId="43" fontId="19" fillId="0" borderId="11" xfId="49" applyNumberFormat="1" applyFont="1" applyFill="1" applyBorder="1" applyAlignment="1">
      <alignment horizontal="right" vertical="center"/>
    </xf>
    <xf numFmtId="43" fontId="19" fillId="0" borderId="14" xfId="49" applyNumberFormat="1" applyFont="1" applyFill="1" applyBorder="1" applyAlignment="1">
      <alignment horizontal="justify" vertical="center" wrapText="1"/>
    </xf>
    <xf numFmtId="3" fontId="19" fillId="0" borderId="22" xfId="49" applyNumberFormat="1" applyFont="1" applyFill="1" applyBorder="1" applyAlignment="1">
      <alignment vertical="center"/>
    </xf>
    <xf numFmtId="168" fontId="19" fillId="0" borderId="22" xfId="49" applyFont="1" applyFill="1" applyBorder="1" applyAlignment="1">
      <alignment vertical="center" wrapText="1"/>
    </xf>
    <xf numFmtId="3" fontId="19" fillId="0" borderId="25" xfId="49" applyNumberFormat="1" applyFont="1" applyFill="1" applyBorder="1" applyAlignment="1">
      <alignment vertical="center"/>
    </xf>
    <xf numFmtId="168" fontId="19" fillId="0" borderId="25" xfId="49" applyFont="1" applyFill="1" applyBorder="1" applyAlignment="1">
      <alignment vertical="center" wrapText="1"/>
    </xf>
    <xf numFmtId="168" fontId="19" fillId="0" borderId="17" xfId="49" applyFont="1" applyFill="1" applyBorder="1" applyAlignment="1">
      <alignment horizontal="center" vertical="center"/>
    </xf>
    <xf numFmtId="43" fontId="20" fillId="0" borderId="11" xfId="49" applyNumberFormat="1" applyFont="1" applyFill="1" applyBorder="1" applyAlignment="1">
      <alignment vertical="center"/>
    </xf>
    <xf numFmtId="43" fontId="29" fillId="0" borderId="11" xfId="42" applyFont="1" applyFill="1" applyBorder="1" applyAlignment="1">
      <alignment horizontal="justify" vertical="center"/>
    </xf>
    <xf numFmtId="3" fontId="19" fillId="0" borderId="24" xfId="49" applyNumberFormat="1" applyFont="1" applyFill="1" applyBorder="1" applyAlignment="1">
      <alignment vertical="center"/>
    </xf>
    <xf numFmtId="168" fontId="19" fillId="0" borderId="24" xfId="49" applyFont="1" applyFill="1" applyBorder="1" applyAlignment="1">
      <alignment vertical="center" wrapText="1"/>
    </xf>
    <xf numFmtId="43" fontId="19" fillId="0" borderId="25" xfId="42" applyFont="1" applyFill="1" applyBorder="1" applyAlignment="1">
      <alignment horizontal="justify" vertical="center"/>
    </xf>
    <xf numFmtId="43" fontId="19" fillId="0" borderId="25" xfId="42" applyFont="1" applyFill="1" applyBorder="1" applyAlignment="1">
      <alignment horizontal="justify" vertical="center" wrapText="1"/>
    </xf>
    <xf numFmtId="168" fontId="19" fillId="0" borderId="25" xfId="49" applyFont="1" applyFill="1" applyBorder="1" applyAlignment="1">
      <alignment horizontal="left" vertical="center" wrapText="1"/>
    </xf>
    <xf numFmtId="168" fontId="19" fillId="0" borderId="0" xfId="49" applyFont="1" applyFill="1" applyBorder="1" applyAlignment="1">
      <alignment horizontal="left" vertical="center" wrapText="1"/>
    </xf>
    <xf numFmtId="168" fontId="19" fillId="0" borderId="21" xfId="49" applyFont="1" applyFill="1" applyBorder="1" applyAlignment="1">
      <alignment horizontal="center" vertical="center"/>
    </xf>
    <xf numFmtId="4" fontId="19" fillId="0" borderId="11" xfId="49" applyNumberFormat="1" applyFont="1" applyFill="1" applyBorder="1" applyAlignment="1">
      <alignment horizontal="center" vertical="center"/>
    </xf>
    <xf numFmtId="43" fontId="19" fillId="0" borderId="11" xfId="52" applyFont="1" applyFill="1" applyBorder="1" applyAlignment="1">
      <alignment vertical="center"/>
    </xf>
    <xf numFmtId="0" fontId="19" fillId="0" borderId="11" xfId="0" applyFont="1" applyFill="1" applyBorder="1" applyAlignment="1">
      <alignment horizontal="justify" vertical="center" wrapText="1"/>
    </xf>
    <xf numFmtId="0" fontId="20" fillId="0" borderId="11" xfId="0" applyFont="1" applyFill="1" applyBorder="1" applyAlignment="1">
      <alignment horizontal="center" vertical="center"/>
    </xf>
    <xf numFmtId="0" fontId="19" fillId="0" borderId="22" xfId="50" applyNumberFormat="1" applyFont="1" applyFill="1" applyBorder="1" applyAlignment="1">
      <alignment horizontal="center" vertical="center" wrapText="1"/>
    </xf>
    <xf numFmtId="168" fontId="19" fillId="0" borderId="25" xfId="49" applyFont="1" applyFill="1" applyBorder="1" applyAlignment="1">
      <alignment horizontal="justify" vertical="center" wrapText="1"/>
    </xf>
    <xf numFmtId="168" fontId="19" fillId="0" borderId="24" xfId="49" applyFont="1" applyFill="1" applyBorder="1" applyAlignment="1">
      <alignment horizontal="left" vertical="center" wrapText="1"/>
    </xf>
    <xf numFmtId="1" fontId="19" fillId="0" borderId="11" xfId="49" applyNumberFormat="1" applyFont="1" applyFill="1" applyBorder="1" applyAlignment="1">
      <alignment horizontal="center" vertical="center" wrapText="1"/>
    </xf>
    <xf numFmtId="168" fontId="20" fillId="0" borderId="25" xfId="49" applyFont="1" applyBorder="1"/>
    <xf numFmtId="0" fontId="32" fillId="38" borderId="28" xfId="45" applyNumberFormat="1" applyFont="1" applyFill="1" applyBorder="1" applyAlignment="1">
      <alignment horizontal="left" vertical="center"/>
    </xf>
    <xf numFmtId="43" fontId="23" fillId="38" borderId="23" xfId="52" applyFont="1" applyFill="1" applyBorder="1" applyAlignment="1">
      <alignment horizontal="center" vertical="center"/>
    </xf>
    <xf numFmtId="43" fontId="23" fillId="38" borderId="18" xfId="52" applyFont="1" applyFill="1" applyBorder="1" applyAlignment="1">
      <alignment horizontal="center" vertical="center"/>
    </xf>
    <xf numFmtId="43" fontId="19" fillId="0" borderId="14" xfId="52" applyFont="1" applyFill="1" applyBorder="1" applyAlignment="1">
      <alignment horizontal="right" vertical="center" wrapText="1"/>
    </xf>
    <xf numFmtId="168" fontId="20" fillId="0" borderId="0" xfId="49" applyFont="1" applyFill="1"/>
    <xf numFmtId="0" fontId="19" fillId="0" borderId="22" xfId="49" applyNumberFormat="1" applyFont="1" applyFill="1" applyBorder="1" applyAlignment="1" applyProtection="1">
      <alignment horizontal="center" vertical="center" wrapText="1"/>
      <protection locked="0"/>
    </xf>
    <xf numFmtId="168" fontId="19" fillId="0" borderId="17" xfId="49" applyFont="1" applyFill="1" applyBorder="1" applyAlignment="1" applyProtection="1">
      <alignment horizontal="justify" vertical="center" wrapText="1"/>
      <protection locked="0"/>
    </xf>
    <xf numFmtId="168" fontId="19" fillId="38" borderId="23" xfId="49" applyFont="1" applyFill="1" applyBorder="1" applyAlignment="1">
      <alignment horizontal="right" vertical="center"/>
    </xf>
    <xf numFmtId="0" fontId="19" fillId="38" borderId="23" xfId="49" applyNumberFormat="1" applyFont="1" applyFill="1" applyBorder="1" applyAlignment="1">
      <alignment horizontal="right" vertical="center"/>
    </xf>
    <xf numFmtId="168" fontId="19" fillId="0" borderId="0" xfId="49" applyFont="1" applyFill="1" applyBorder="1" applyAlignment="1">
      <alignment horizontal="center" vertical="center"/>
    </xf>
    <xf numFmtId="168" fontId="19" fillId="0" borderId="16" xfId="49" applyFont="1" applyFill="1" applyBorder="1" applyAlignment="1">
      <alignment horizontal="justify" vertical="center" wrapText="1"/>
    </xf>
    <xf numFmtId="0" fontId="26" fillId="0" borderId="18" xfId="44" applyNumberFormat="1" applyFont="1" applyFill="1" applyBorder="1" applyAlignment="1">
      <alignment horizontal="center" vertical="center" wrapText="1"/>
    </xf>
    <xf numFmtId="168" fontId="19" fillId="0" borderId="20" xfId="49" applyFont="1" applyFill="1" applyBorder="1" applyAlignment="1">
      <alignment horizontal="center" vertical="center"/>
    </xf>
    <xf numFmtId="0" fontId="19" fillId="0" borderId="10" xfId="50" applyNumberFormat="1" applyFont="1" applyFill="1" applyAlignment="1">
      <alignment horizontal="center" vertical="center" wrapText="1"/>
    </xf>
    <xf numFmtId="168" fontId="20" fillId="0" borderId="22" xfId="49" applyFont="1" applyFill="1" applyBorder="1" applyAlignment="1">
      <alignment horizontal="center" vertical="center" wrapText="1"/>
    </xf>
    <xf numFmtId="168" fontId="19" fillId="0" borderId="22" xfId="49" applyFont="1" applyFill="1" applyBorder="1" applyAlignment="1" applyProtection="1">
      <alignment horizontal="justify" vertical="center" wrapText="1"/>
      <protection locked="0"/>
    </xf>
    <xf numFmtId="168" fontId="19" fillId="0" borderId="11" xfId="49" applyFont="1" applyFill="1" applyBorder="1" applyAlignment="1" applyProtection="1">
      <alignment horizontal="center" vertical="center" wrapText="1"/>
      <protection locked="0"/>
    </xf>
    <xf numFmtId="168" fontId="19" fillId="0" borderId="11" xfId="49" applyFont="1" applyFill="1" applyBorder="1" applyAlignment="1" applyProtection="1">
      <alignment horizontal="justify" vertical="center" wrapText="1"/>
      <protection locked="0"/>
    </xf>
    <xf numFmtId="0" fontId="23" fillId="0" borderId="19" xfId="49" applyNumberFormat="1" applyFont="1" applyBorder="1" applyAlignment="1">
      <alignment horizontal="left" vertical="center" wrapText="1"/>
    </xf>
    <xf numFmtId="0" fontId="23" fillId="38" borderId="19" xfId="49" applyNumberFormat="1" applyFont="1" applyFill="1" applyBorder="1" applyAlignment="1">
      <alignment horizontal="left" vertical="center" wrapText="1"/>
    </xf>
    <xf numFmtId="0" fontId="23" fillId="38" borderId="20" xfId="49" applyNumberFormat="1" applyFont="1" applyFill="1" applyBorder="1" applyAlignment="1">
      <alignment horizontal="center" vertical="center" wrapText="1"/>
    </xf>
    <xf numFmtId="43" fontId="19" fillId="38" borderId="23" xfId="52" applyFont="1" applyFill="1" applyBorder="1" applyAlignment="1">
      <alignment horizontal="center" vertical="center"/>
    </xf>
    <xf numFmtId="0" fontId="19" fillId="38" borderId="23" xfId="52" applyNumberFormat="1" applyFont="1" applyFill="1" applyBorder="1" applyAlignment="1">
      <alignment horizontal="center" vertical="center"/>
    </xf>
    <xf numFmtId="49" fontId="27" fillId="0" borderId="11" xfId="45" applyNumberFormat="1" applyFont="1" applyFill="1" applyBorder="1" applyAlignment="1">
      <alignment horizontal="justify" vertical="center" wrapText="1"/>
    </xf>
    <xf numFmtId="0" fontId="19" fillId="0" borderId="11" xfId="49" applyNumberFormat="1" applyFont="1" applyFill="1" applyBorder="1" applyAlignment="1" applyProtection="1">
      <alignment horizontal="center" vertical="center" wrapText="1"/>
      <protection locked="0"/>
    </xf>
    <xf numFmtId="43" fontId="19" fillId="0" borderId="14" xfId="52" applyFont="1" applyFill="1" applyBorder="1" applyAlignment="1">
      <alignment horizontal="center" vertical="center"/>
    </xf>
    <xf numFmtId="4" fontId="19" fillId="0" borderId="11" xfId="49" applyNumberFormat="1" applyFont="1" applyFill="1" applyBorder="1" applyAlignment="1">
      <alignment vertical="center" wrapText="1"/>
    </xf>
    <xf numFmtId="0" fontId="19" fillId="0" borderId="29" xfId="49" applyNumberFormat="1" applyFont="1" applyFill="1" applyBorder="1" applyAlignment="1" applyProtection="1">
      <alignment horizontal="center" vertical="center" wrapText="1"/>
      <protection locked="0"/>
    </xf>
    <xf numFmtId="168" fontId="19" fillId="38" borderId="23" xfId="49" applyFont="1" applyFill="1" applyBorder="1" applyAlignment="1">
      <alignment horizontal="justify" vertical="center"/>
    </xf>
    <xf numFmtId="0" fontId="19" fillId="38" borderId="23" xfId="49" applyNumberFormat="1" applyFont="1" applyFill="1" applyBorder="1" applyAlignment="1">
      <alignment horizontal="justify" vertical="center"/>
    </xf>
    <xf numFmtId="0" fontId="20" fillId="0" borderId="11" xfId="50" applyNumberFormat="1" applyFont="1" applyFill="1" applyBorder="1" applyAlignment="1">
      <alignment horizontal="center" vertical="center" wrapText="1"/>
    </xf>
    <xf numFmtId="0" fontId="27" fillId="0" borderId="11" xfId="44" applyNumberFormat="1" applyFont="1" applyFill="1" applyBorder="1" applyAlignment="1">
      <alignment horizontal="center" vertical="center" wrapText="1"/>
    </xf>
    <xf numFmtId="0" fontId="19" fillId="0" borderId="22" xfId="49" applyNumberFormat="1" applyFont="1" applyFill="1" applyBorder="1" applyAlignment="1" applyProtection="1">
      <alignment horizontal="justify" vertical="center" wrapText="1"/>
      <protection locked="0"/>
    </xf>
    <xf numFmtId="43" fontId="23" fillId="37" borderId="23" xfId="52" applyFont="1" applyFill="1" applyBorder="1" applyAlignment="1">
      <alignment horizontal="center" vertical="center"/>
    </xf>
    <xf numFmtId="43" fontId="23" fillId="37" borderId="18" xfId="52" applyFont="1" applyFill="1" applyBorder="1" applyAlignment="1">
      <alignment horizontal="center" vertical="center"/>
    </xf>
    <xf numFmtId="168" fontId="20" fillId="0" borderId="24" xfId="49" applyFont="1" applyFill="1" applyBorder="1"/>
    <xf numFmtId="0" fontId="26" fillId="0" borderId="11" xfId="45" applyFont="1" applyFill="1" applyBorder="1" applyAlignment="1">
      <alignment vertical="center" wrapText="1"/>
    </xf>
    <xf numFmtId="0" fontId="27" fillId="0" borderId="11" xfId="47" applyNumberFormat="1" applyFont="1" applyFill="1" applyBorder="1" applyAlignment="1">
      <alignment horizontal="center" vertical="center"/>
    </xf>
    <xf numFmtId="168" fontId="19" fillId="0" borderId="25" xfId="49" applyFont="1" applyBorder="1"/>
    <xf numFmtId="0" fontId="19" fillId="0" borderId="25" xfId="49" applyNumberFormat="1" applyFont="1" applyFill="1" applyBorder="1" applyAlignment="1">
      <alignment horizontal="left" vertical="center" wrapText="1"/>
    </xf>
    <xf numFmtId="2" fontId="26" fillId="0" borderId="11" xfId="44" applyNumberFormat="1" applyFont="1" applyFill="1" applyBorder="1" applyAlignment="1">
      <alignment horizontal="center" vertical="center" wrapText="1"/>
    </xf>
    <xf numFmtId="168" fontId="19" fillId="0" borderId="18" xfId="49" applyFont="1" applyFill="1" applyBorder="1" applyAlignment="1">
      <alignment vertical="center" wrapText="1"/>
    </xf>
    <xf numFmtId="4" fontId="30" fillId="0" borderId="11" xfId="49" applyNumberFormat="1" applyFont="1" applyFill="1" applyBorder="1" applyAlignment="1">
      <alignment horizontal="center" vertical="center"/>
    </xf>
    <xf numFmtId="4" fontId="30" fillId="0" borderId="14" xfId="49" applyNumberFormat="1" applyFont="1" applyFill="1" applyBorder="1" applyAlignment="1">
      <alignment horizontal="center" vertical="center"/>
    </xf>
    <xf numFmtId="166" fontId="19" fillId="0" borderId="11" xfId="51" applyFont="1" applyFill="1" applyBorder="1" applyAlignment="1">
      <alignment horizontal="center" vertical="center"/>
    </xf>
    <xf numFmtId="0" fontId="20" fillId="0" borderId="22" xfId="49" applyNumberFormat="1" applyFont="1" applyFill="1" applyBorder="1" applyAlignment="1">
      <alignment horizontal="justify" vertical="center" wrapText="1"/>
    </xf>
    <xf numFmtId="174" fontId="26" fillId="0" borderId="22" xfId="44" applyNumberFormat="1" applyFont="1" applyFill="1" applyBorder="1" applyAlignment="1">
      <alignment horizontal="center" vertical="center" wrapText="1"/>
    </xf>
    <xf numFmtId="174" fontId="26" fillId="0" borderId="11" xfId="44" applyNumberFormat="1" applyFont="1" applyFill="1" applyBorder="1" applyAlignment="1">
      <alignment horizontal="center" vertical="center" wrapText="1"/>
    </xf>
    <xf numFmtId="43" fontId="19" fillId="0" borderId="11" xfId="52" applyFont="1" applyFill="1" applyBorder="1" applyAlignment="1">
      <alignment horizontal="center" vertical="center"/>
    </xf>
    <xf numFmtId="43" fontId="33" fillId="0" borderId="11" xfId="52" applyFont="1" applyFill="1" applyBorder="1" applyAlignment="1">
      <alignment horizontal="center" vertical="center"/>
    </xf>
    <xf numFmtId="174" fontId="26" fillId="33" borderId="11" xfId="44" applyNumberFormat="1" applyFont="1" applyFill="1" applyBorder="1" applyAlignment="1">
      <alignment horizontal="center" vertical="center" wrapText="1"/>
    </xf>
    <xf numFmtId="167" fontId="19" fillId="0" borderId="30" xfId="43" applyFont="1" applyFill="1" applyBorder="1" applyAlignment="1">
      <alignment vertical="center"/>
    </xf>
    <xf numFmtId="168" fontId="20" fillId="0" borderId="19" xfId="49" applyFont="1" applyFill="1" applyBorder="1" applyAlignment="1">
      <alignment horizontal="center" vertical="center" wrapText="1"/>
    </xf>
    <xf numFmtId="167" fontId="19" fillId="0" borderId="30" xfId="43" applyFont="1" applyBorder="1" applyAlignment="1">
      <alignment vertical="center"/>
    </xf>
    <xf numFmtId="174" fontId="26" fillId="0" borderId="26" xfId="44" applyNumberFormat="1" applyFont="1" applyFill="1" applyBorder="1" applyAlignment="1">
      <alignment horizontal="center" vertical="center" wrapText="1"/>
    </xf>
    <xf numFmtId="4" fontId="19" fillId="0" borderId="11" xfId="49" applyNumberFormat="1" applyFont="1" applyFill="1" applyBorder="1" applyAlignment="1">
      <alignment vertical="center"/>
    </xf>
    <xf numFmtId="0" fontId="19" fillId="0" borderId="13" xfId="49" applyNumberFormat="1" applyFont="1" applyFill="1" applyBorder="1" applyAlignment="1">
      <alignment horizontal="left" vertical="center" wrapText="1"/>
    </xf>
    <xf numFmtId="167" fontId="23" fillId="38" borderId="23" xfId="49" applyNumberFormat="1" applyFont="1" applyFill="1" applyBorder="1" applyAlignment="1">
      <alignment vertical="center"/>
    </xf>
    <xf numFmtId="43" fontId="19" fillId="0" borderId="11" xfId="42" applyFont="1" applyFill="1" applyBorder="1" applyAlignment="1">
      <alignment horizontal="right" vertical="center"/>
    </xf>
    <xf numFmtId="0" fontId="27" fillId="0" borderId="11" xfId="45" applyNumberFormat="1" applyFont="1" applyFill="1" applyBorder="1" applyAlignment="1">
      <alignment horizontal="center" vertical="center" wrapText="1"/>
    </xf>
    <xf numFmtId="0" fontId="19" fillId="0" borderId="25" xfId="49" applyNumberFormat="1" applyFont="1" applyFill="1" applyBorder="1" applyAlignment="1">
      <alignment horizontal="justify" vertical="center" wrapText="1"/>
    </xf>
    <xf numFmtId="43" fontId="19" fillId="0" borderId="11" xfId="49" applyNumberFormat="1" applyFont="1" applyFill="1" applyBorder="1" applyAlignment="1">
      <alignment horizontal="right" vertical="center" wrapText="1"/>
    </xf>
    <xf numFmtId="174" fontId="26" fillId="0" borderId="11" xfId="45" applyNumberFormat="1" applyFont="1" applyFill="1" applyBorder="1" applyAlignment="1">
      <alignment horizontal="center" vertical="center" wrapText="1"/>
    </xf>
    <xf numFmtId="168" fontId="26" fillId="0" borderId="11" xfId="49" applyFont="1" applyFill="1" applyBorder="1" applyAlignment="1">
      <alignment horizontal="justify" vertical="center" wrapText="1"/>
    </xf>
    <xf numFmtId="2" fontId="26" fillId="0" borderId="18" xfId="45" applyNumberFormat="1" applyFont="1" applyFill="1" applyBorder="1" applyAlignment="1">
      <alignment horizontal="center" vertical="center" wrapText="1"/>
    </xf>
    <xf numFmtId="0" fontId="19" fillId="0" borderId="24" xfId="49" applyNumberFormat="1" applyFont="1" applyBorder="1" applyAlignment="1">
      <alignment horizontal="left" vertical="center"/>
    </xf>
    <xf numFmtId="43" fontId="19" fillId="33" borderId="0" xfId="49" applyNumberFormat="1" applyFont="1" applyFill="1"/>
    <xf numFmtId="0" fontId="21" fillId="36" borderId="12" xfId="49" applyNumberFormat="1" applyFont="1" applyFill="1" applyBorder="1" applyAlignment="1">
      <alignment horizontal="left" vertical="center"/>
    </xf>
    <xf numFmtId="167" fontId="23" fillId="37" borderId="18" xfId="49" applyNumberFormat="1" applyFont="1" applyFill="1" applyBorder="1" applyAlignment="1">
      <alignment vertical="center"/>
    </xf>
    <xf numFmtId="0" fontId="23" fillId="38" borderId="11" xfId="49" applyNumberFormat="1" applyFont="1" applyFill="1" applyBorder="1" applyAlignment="1">
      <alignment horizontal="left" vertical="center"/>
    </xf>
    <xf numFmtId="168" fontId="19" fillId="0" borderId="22" xfId="49" applyFont="1" applyFill="1" applyBorder="1" applyAlignment="1">
      <alignment horizontal="center" vertical="center"/>
    </xf>
    <xf numFmtId="0" fontId="23" fillId="38" borderId="24" xfId="49" applyNumberFormat="1" applyFont="1" applyFill="1" applyBorder="1" applyAlignment="1">
      <alignment horizontal="left" vertical="center"/>
    </xf>
    <xf numFmtId="168" fontId="23" fillId="38" borderId="13" xfId="49" applyFont="1" applyFill="1" applyBorder="1" applyAlignment="1">
      <alignment horizontal="left" vertical="center"/>
    </xf>
    <xf numFmtId="0" fontId="23" fillId="38" borderId="13" xfId="49" applyNumberFormat="1" applyFont="1" applyFill="1" applyBorder="1" applyAlignment="1">
      <alignment horizontal="justify" vertical="center" wrapText="1"/>
    </xf>
    <xf numFmtId="0" fontId="19" fillId="38" borderId="13" xfId="49" applyNumberFormat="1" applyFont="1" applyFill="1" applyBorder="1" applyAlignment="1">
      <alignment horizontal="center" vertical="center"/>
    </xf>
    <xf numFmtId="168" fontId="23" fillId="38" borderId="13" xfId="49" applyFont="1" applyFill="1" applyBorder="1" applyAlignment="1">
      <alignment horizontal="center" vertical="center" wrapText="1"/>
    </xf>
    <xf numFmtId="43" fontId="23" fillId="38" borderId="21" xfId="49" applyNumberFormat="1" applyFont="1" applyFill="1" applyBorder="1" applyAlignment="1">
      <alignment vertical="center"/>
    </xf>
    <xf numFmtId="0" fontId="23" fillId="38" borderId="23" xfId="49" applyNumberFormat="1" applyFont="1" applyFill="1" applyBorder="1" applyAlignment="1">
      <alignment horizontal="center" vertical="center"/>
    </xf>
    <xf numFmtId="0" fontId="23" fillId="39" borderId="11" xfId="49" applyNumberFormat="1" applyFont="1" applyFill="1" applyBorder="1" applyAlignment="1">
      <alignment horizontal="center" vertical="center" wrapText="1"/>
    </xf>
    <xf numFmtId="168" fontId="23" fillId="39" borderId="11" xfId="49" applyFont="1" applyFill="1" applyBorder="1" applyAlignment="1">
      <alignment horizontal="justify" vertical="center" wrapText="1"/>
    </xf>
    <xf numFmtId="168" fontId="23" fillId="39" borderId="11" xfId="49" applyFont="1" applyFill="1" applyBorder="1" applyAlignment="1">
      <alignment horizontal="center" vertical="center" wrapText="1"/>
    </xf>
    <xf numFmtId="168" fontId="23" fillId="39" borderId="11" xfId="49" applyFont="1" applyFill="1" applyBorder="1" applyAlignment="1">
      <alignment horizontal="center" vertical="center"/>
    </xf>
    <xf numFmtId="0" fontId="23" fillId="39" borderId="11" xfId="49" applyNumberFormat="1" applyFont="1" applyFill="1" applyBorder="1" applyAlignment="1">
      <alignment vertical="center" wrapText="1"/>
    </xf>
    <xf numFmtId="43" fontId="23" fillId="39" borderId="11" xfId="49" applyNumberFormat="1" applyFont="1" applyFill="1" applyBorder="1" applyAlignment="1">
      <alignment vertical="center"/>
    </xf>
    <xf numFmtId="168" fontId="23" fillId="33" borderId="0" xfId="49" applyFont="1" applyFill="1" applyBorder="1"/>
    <xf numFmtId="168" fontId="23" fillId="0" borderId="0" xfId="49" applyFont="1" applyFill="1" applyBorder="1"/>
    <xf numFmtId="0" fontId="19" fillId="38" borderId="11" xfId="49" applyNumberFormat="1" applyFont="1" applyFill="1" applyBorder="1" applyAlignment="1">
      <alignment horizontal="justify" vertical="center" wrapText="1"/>
    </xf>
    <xf numFmtId="0" fontId="19" fillId="38" borderId="11" xfId="49" applyNumberFormat="1" applyFont="1" applyFill="1" applyBorder="1" applyAlignment="1">
      <alignment horizontal="center" vertical="center" wrapText="1"/>
    </xf>
    <xf numFmtId="168" fontId="19" fillId="38" borderId="11" xfId="49" applyFont="1" applyFill="1" applyBorder="1" applyAlignment="1">
      <alignment horizontal="center" vertical="center"/>
    </xf>
    <xf numFmtId="43" fontId="23" fillId="38" borderId="11" xfId="52" applyFont="1" applyFill="1" applyBorder="1" applyAlignment="1">
      <alignment horizontal="center" vertical="center"/>
    </xf>
    <xf numFmtId="0" fontId="23" fillId="0" borderId="17" xfId="49" applyNumberFormat="1" applyFont="1" applyFill="1" applyBorder="1" applyAlignment="1">
      <alignment horizontal="left" vertical="center" wrapText="1"/>
    </xf>
    <xf numFmtId="0" fontId="34" fillId="0" borderId="11" xfId="45" applyFont="1" applyFill="1" applyBorder="1" applyAlignment="1">
      <alignment horizontal="justify" vertical="center" wrapText="1"/>
    </xf>
    <xf numFmtId="43" fontId="19" fillId="0" borderId="11" xfId="52" applyFont="1" applyFill="1" applyBorder="1" applyAlignment="1">
      <alignment horizontal="right" vertical="center"/>
    </xf>
    <xf numFmtId="43" fontId="19" fillId="0" borderId="11" xfId="42" applyFont="1" applyFill="1" applyBorder="1" applyAlignment="1">
      <alignment horizontal="center" vertical="center" wrapText="1"/>
    </xf>
    <xf numFmtId="0" fontId="23" fillId="0" borderId="20" xfId="49" applyNumberFormat="1" applyFont="1" applyFill="1" applyBorder="1" applyAlignment="1">
      <alignment horizontal="left" vertical="center" wrapText="1"/>
    </xf>
    <xf numFmtId="43" fontId="20" fillId="0" borderId="11" xfId="42" applyFont="1" applyFill="1" applyBorder="1" applyAlignment="1">
      <alignment horizontal="center" vertical="center" wrapText="1"/>
    </xf>
    <xf numFmtId="43" fontId="19" fillId="0" borderId="11" xfId="49" applyNumberFormat="1" applyFont="1" applyFill="1" applyBorder="1" applyAlignment="1">
      <alignment horizontal="center" vertical="center"/>
    </xf>
    <xf numFmtId="167" fontId="19" fillId="0" borderId="11" xfId="43" applyFont="1" applyFill="1" applyBorder="1" applyAlignment="1">
      <alignment horizontal="right" vertical="center"/>
    </xf>
    <xf numFmtId="43" fontId="20" fillId="0" borderId="11" xfId="49" applyNumberFormat="1" applyFont="1" applyFill="1" applyBorder="1" applyAlignment="1">
      <alignment horizontal="center" vertical="center"/>
    </xf>
    <xf numFmtId="0" fontId="23" fillId="0" borderId="21" xfId="49" applyNumberFormat="1" applyFont="1" applyFill="1" applyBorder="1" applyAlignment="1">
      <alignment horizontal="left" vertical="center" wrapText="1"/>
    </xf>
    <xf numFmtId="168" fontId="20" fillId="0" borderId="18" xfId="49" applyFont="1" applyFill="1" applyBorder="1"/>
    <xf numFmtId="0" fontId="19" fillId="0" borderId="18" xfId="43" applyNumberFormat="1" applyFont="1" applyFill="1" applyBorder="1" applyAlignment="1">
      <alignment horizontal="center" vertical="center" wrapText="1"/>
    </xf>
    <xf numFmtId="3" fontId="19" fillId="0" borderId="22" xfId="49" applyNumberFormat="1" applyFont="1" applyFill="1" applyBorder="1" applyAlignment="1">
      <alignment horizontal="justify" vertical="center" wrapText="1"/>
    </xf>
    <xf numFmtId="43" fontId="19" fillId="0" borderId="18" xfId="42" applyFont="1" applyFill="1" applyBorder="1" applyAlignment="1">
      <alignment horizontal="justify" vertical="center"/>
    </xf>
    <xf numFmtId="43" fontId="19" fillId="0" borderId="11" xfId="49" applyNumberFormat="1" applyFont="1" applyFill="1" applyBorder="1" applyAlignment="1">
      <alignment vertical="center" wrapText="1"/>
    </xf>
    <xf numFmtId="43" fontId="20" fillId="0" borderId="14" xfId="49" applyNumberFormat="1" applyFont="1" applyFill="1" applyBorder="1" applyAlignment="1">
      <alignment horizontal="center" vertical="center" wrapText="1"/>
    </xf>
    <xf numFmtId="168" fontId="20" fillId="0" borderId="20" xfId="49" applyFont="1" applyBorder="1"/>
    <xf numFmtId="0" fontId="19" fillId="37" borderId="23" xfId="49" applyNumberFormat="1" applyFont="1" applyFill="1" applyBorder="1" applyAlignment="1">
      <alignment horizontal="center" vertical="center" wrapText="1"/>
    </xf>
    <xf numFmtId="168" fontId="19" fillId="37" borderId="23" xfId="49" applyFont="1" applyFill="1" applyBorder="1" applyAlignment="1">
      <alignment vertical="center" wrapText="1"/>
    </xf>
    <xf numFmtId="0" fontId="19" fillId="37" borderId="23" xfId="49" applyNumberFormat="1" applyFont="1" applyFill="1" applyBorder="1" applyAlignment="1">
      <alignment vertical="center" wrapText="1"/>
    </xf>
    <xf numFmtId="43" fontId="23" fillId="37" borderId="11" xfId="49" applyNumberFormat="1" applyFont="1" applyFill="1" applyBorder="1" applyAlignment="1">
      <alignment vertical="center" wrapText="1"/>
    </xf>
    <xf numFmtId="43" fontId="23" fillId="38" borderId="11" xfId="49" applyNumberFormat="1" applyFont="1" applyFill="1" applyBorder="1" applyAlignment="1">
      <alignment horizontal="justify" vertical="center" wrapText="1"/>
    </xf>
    <xf numFmtId="43" fontId="23" fillId="38" borderId="11" xfId="49" applyNumberFormat="1" applyFont="1" applyFill="1" applyBorder="1" applyAlignment="1">
      <alignment horizontal="center" vertical="center" wrapText="1"/>
    </xf>
    <xf numFmtId="43" fontId="19" fillId="38" borderId="11" xfId="49" applyNumberFormat="1" applyFont="1" applyFill="1" applyBorder="1" applyAlignment="1">
      <alignment vertical="center" wrapText="1"/>
    </xf>
    <xf numFmtId="0" fontId="19" fillId="38" borderId="11" xfId="49" applyNumberFormat="1" applyFont="1" applyFill="1" applyBorder="1" applyAlignment="1">
      <alignment vertical="center" wrapText="1"/>
    </xf>
    <xf numFmtId="43" fontId="23" fillId="38" borderId="11" xfId="49" applyNumberFormat="1" applyFont="1" applyFill="1" applyBorder="1" applyAlignment="1">
      <alignment vertical="center" wrapText="1"/>
    </xf>
    <xf numFmtId="169" fontId="19" fillId="0" borderId="17" xfId="49" applyNumberFormat="1" applyFont="1" applyFill="1" applyBorder="1" applyAlignment="1">
      <alignment horizontal="justify" vertical="center" wrapText="1"/>
    </xf>
    <xf numFmtId="43" fontId="20" fillId="0" borderId="14" xfId="52" applyFont="1" applyFill="1" applyBorder="1" applyAlignment="1">
      <alignment horizontal="center" vertical="center" wrapText="1"/>
    </xf>
    <xf numFmtId="0" fontId="23" fillId="0" borderId="25" xfId="49" applyNumberFormat="1" applyFont="1" applyBorder="1" applyAlignment="1">
      <alignment horizontal="left" vertical="center"/>
    </xf>
    <xf numFmtId="0" fontId="23" fillId="38" borderId="25" xfId="49" applyNumberFormat="1" applyFont="1" applyFill="1" applyBorder="1" applyAlignment="1">
      <alignment horizontal="left" vertical="center" wrapText="1"/>
    </xf>
    <xf numFmtId="0" fontId="19" fillId="38" borderId="23" xfId="49" applyNumberFormat="1" applyFont="1" applyFill="1" applyBorder="1" applyAlignment="1">
      <alignment horizontal="center" vertical="center" wrapText="1"/>
    </xf>
    <xf numFmtId="168" fontId="19" fillId="38" borderId="23" xfId="49" applyFont="1" applyFill="1" applyBorder="1" applyAlignment="1">
      <alignment vertical="center" wrapText="1"/>
    </xf>
    <xf numFmtId="0" fontId="19" fillId="38" borderId="23" xfId="49" applyNumberFormat="1" applyFont="1" applyFill="1" applyBorder="1" applyAlignment="1">
      <alignment vertical="center" wrapText="1"/>
    </xf>
    <xf numFmtId="43" fontId="19" fillId="0" borderId="14" xfId="42" applyFont="1" applyFill="1" applyBorder="1"/>
    <xf numFmtId="43" fontId="23" fillId="37" borderId="23" xfId="49" applyNumberFormat="1" applyFont="1" applyFill="1" applyBorder="1" applyAlignment="1">
      <alignment vertical="center" wrapText="1"/>
    </xf>
    <xf numFmtId="43" fontId="23" fillId="37" borderId="18" xfId="49" applyNumberFormat="1" applyFont="1" applyFill="1" applyBorder="1" applyAlignment="1">
      <alignment vertical="center" wrapText="1"/>
    </xf>
    <xf numFmtId="43" fontId="23" fillId="38" borderId="23" xfId="49" applyNumberFormat="1" applyFont="1" applyFill="1" applyBorder="1" applyAlignment="1">
      <alignment vertical="center" wrapText="1"/>
    </xf>
    <xf numFmtId="43" fontId="23" fillId="38" borderId="18" xfId="49" applyNumberFormat="1" applyFont="1" applyFill="1" applyBorder="1" applyAlignment="1">
      <alignment vertical="center" wrapText="1"/>
    </xf>
    <xf numFmtId="43" fontId="20" fillId="0" borderId="15" xfId="52" applyFont="1" applyFill="1" applyBorder="1" applyAlignment="1">
      <alignment horizontal="center" vertical="center" wrapText="1"/>
    </xf>
    <xf numFmtId="0" fontId="19" fillId="0" borderId="11" xfId="49" applyNumberFormat="1" applyFont="1" applyFill="1" applyBorder="1" applyAlignment="1" applyProtection="1">
      <alignment horizontal="center" vertical="center"/>
      <protection locked="0"/>
    </xf>
    <xf numFmtId="43" fontId="20" fillId="0" borderId="14" xfId="42" applyFont="1" applyFill="1" applyBorder="1" applyAlignment="1">
      <alignment horizontal="justify" vertical="center"/>
    </xf>
    <xf numFmtId="43" fontId="19" fillId="0" borderId="15" xfId="52" applyFont="1" applyFill="1" applyBorder="1" applyAlignment="1">
      <alignment horizontal="center" vertical="center" wrapText="1"/>
    </xf>
    <xf numFmtId="0" fontId="23" fillId="0" borderId="22" xfId="49" applyNumberFormat="1" applyFont="1" applyBorder="1" applyAlignment="1">
      <alignment horizontal="left" vertical="center"/>
    </xf>
    <xf numFmtId="0" fontId="23" fillId="38" borderId="15" xfId="49" applyNumberFormat="1" applyFont="1" applyFill="1" applyBorder="1" applyAlignment="1">
      <alignment horizontal="center" vertical="center" wrapText="1"/>
    </xf>
    <xf numFmtId="168" fontId="0" fillId="0" borderId="11" xfId="49" applyFont="1" applyFill="1" applyBorder="1" applyAlignment="1">
      <alignment horizontal="center" vertical="center" wrapText="1"/>
    </xf>
    <xf numFmtId="169" fontId="19" fillId="0" borderId="18" xfId="49" applyNumberFormat="1" applyFont="1" applyFill="1" applyBorder="1" applyAlignment="1">
      <alignment horizontal="justify" vertical="center" wrapText="1"/>
    </xf>
    <xf numFmtId="0" fontId="23" fillId="37" borderId="11" xfId="49" applyNumberFormat="1" applyFont="1" applyFill="1" applyBorder="1" applyAlignment="1">
      <alignment horizontal="left" vertical="center" wrapText="1"/>
    </xf>
    <xf numFmtId="0" fontId="23" fillId="0" borderId="15" xfId="49" applyNumberFormat="1" applyFont="1" applyFill="1" applyBorder="1" applyAlignment="1">
      <alignment horizontal="left" vertical="center"/>
    </xf>
    <xf numFmtId="0" fontId="23" fillId="0" borderId="17" xfId="49" applyNumberFormat="1" applyFont="1" applyFill="1" applyBorder="1" applyAlignment="1">
      <alignment horizontal="center" vertical="center"/>
    </xf>
    <xf numFmtId="0" fontId="35" fillId="0" borderId="11" xfId="45" applyFont="1" applyFill="1" applyBorder="1" applyAlignment="1">
      <alignment horizontal="center" vertical="center" wrapText="1"/>
    </xf>
    <xf numFmtId="0" fontId="23" fillId="0" borderId="19" xfId="49" applyNumberFormat="1" applyFont="1" applyBorder="1" applyAlignment="1">
      <alignment horizontal="left" vertical="center"/>
    </xf>
    <xf numFmtId="0" fontId="23" fillId="0" borderId="20" xfId="49" applyNumberFormat="1" applyFont="1" applyBorder="1" applyAlignment="1">
      <alignment horizontal="center" vertical="center"/>
    </xf>
    <xf numFmtId="0" fontId="19" fillId="0" borderId="11" xfId="49" applyNumberFormat="1" applyFont="1" applyBorder="1" applyAlignment="1">
      <alignment horizontal="center" vertical="center" wrapText="1"/>
    </xf>
    <xf numFmtId="168" fontId="20" fillId="0" borderId="11" xfId="49" applyFont="1" applyBorder="1" applyAlignment="1">
      <alignment horizontal="justify" vertical="center" wrapText="1"/>
    </xf>
    <xf numFmtId="43" fontId="19" fillId="0" borderId="14" xfId="52" applyFont="1" applyBorder="1" applyAlignment="1">
      <alignment horizontal="center" vertical="center"/>
    </xf>
    <xf numFmtId="43" fontId="19" fillId="0" borderId="11" xfId="49" applyNumberFormat="1" applyFont="1" applyBorder="1" applyAlignment="1">
      <alignment vertical="center"/>
    </xf>
    <xf numFmtId="168" fontId="19" fillId="0" borderId="24" xfId="49" applyFont="1" applyBorder="1"/>
    <xf numFmtId="0" fontId="23" fillId="0" borderId="12" xfId="49" applyNumberFormat="1" applyFont="1" applyBorder="1" applyAlignment="1">
      <alignment horizontal="left" vertical="center" wrapText="1"/>
    </xf>
    <xf numFmtId="0" fontId="23" fillId="0" borderId="12" xfId="49" applyNumberFormat="1" applyFont="1" applyBorder="1" applyAlignment="1">
      <alignment horizontal="left" vertical="center"/>
    </xf>
    <xf numFmtId="0" fontId="23" fillId="0" borderId="21" xfId="49" applyNumberFormat="1" applyFont="1" applyBorder="1" applyAlignment="1">
      <alignment horizontal="center" vertical="center"/>
    </xf>
    <xf numFmtId="0" fontId="19" fillId="0" borderId="24" xfId="49" applyNumberFormat="1" applyFont="1" applyFill="1" applyBorder="1" applyAlignment="1">
      <alignment horizontal="center" vertical="center" wrapText="1"/>
    </xf>
    <xf numFmtId="0" fontId="19" fillId="0" borderId="11" xfId="49" applyNumberFormat="1" applyFont="1" applyFill="1" applyBorder="1" applyAlignment="1">
      <alignment horizontal="center" vertical="center" wrapText="1"/>
    </xf>
    <xf numFmtId="168" fontId="19" fillId="0" borderId="25" xfId="49" applyFont="1" applyFill="1" applyBorder="1" applyAlignment="1">
      <alignment horizontal="justify" vertical="center" wrapText="1"/>
    </xf>
    <xf numFmtId="168" fontId="19" fillId="0" borderId="22" xfId="49" applyFont="1" applyFill="1" applyBorder="1" applyAlignment="1">
      <alignment horizontal="center" vertical="center"/>
    </xf>
    <xf numFmtId="168" fontId="19" fillId="0" borderId="25" xfId="49" applyFont="1" applyFill="1" applyBorder="1" applyAlignment="1">
      <alignment horizontal="center" vertical="center"/>
    </xf>
    <xf numFmtId="168" fontId="19" fillId="0" borderId="24" xfId="49" applyFont="1" applyFill="1" applyBorder="1" applyAlignment="1">
      <alignment horizontal="center" vertical="center"/>
    </xf>
    <xf numFmtId="168" fontId="19" fillId="0" borderId="22" xfId="49" applyFont="1" applyFill="1" applyBorder="1" applyAlignment="1">
      <alignment horizontal="center" vertical="center" wrapText="1"/>
    </xf>
    <xf numFmtId="168" fontId="19" fillId="0" borderId="24" xfId="49" applyFont="1" applyFill="1" applyBorder="1" applyAlignment="1">
      <alignment horizontal="center" vertical="center" wrapText="1"/>
    </xf>
    <xf numFmtId="168" fontId="19" fillId="0" borderId="25" xfId="49" applyFont="1" applyFill="1" applyBorder="1" applyAlignment="1">
      <alignment horizontal="center" vertical="center" wrapText="1"/>
    </xf>
    <xf numFmtId="168" fontId="19" fillId="0" borderId="22" xfId="49" applyFont="1" applyBorder="1" applyAlignment="1">
      <alignment horizontal="center" vertical="center" wrapText="1"/>
    </xf>
    <xf numFmtId="168" fontId="19" fillId="0" borderId="25" xfId="49" applyFont="1" applyBorder="1" applyAlignment="1">
      <alignment horizontal="center" vertical="center" wrapText="1"/>
    </xf>
    <xf numFmtId="168" fontId="19" fillId="0" borderId="24" xfId="49" applyFont="1" applyBorder="1" applyAlignment="1">
      <alignment horizontal="center" vertical="center" wrapText="1"/>
    </xf>
    <xf numFmtId="168" fontId="19" fillId="0" borderId="11" xfId="49" applyFont="1" applyFill="1" applyBorder="1" applyAlignment="1">
      <alignment horizontal="center" vertical="center" wrapText="1"/>
    </xf>
    <xf numFmtId="168" fontId="19" fillId="0" borderId="11" xfId="49" applyFont="1" applyFill="1" applyBorder="1" applyAlignment="1">
      <alignment horizontal="center" vertical="center"/>
    </xf>
    <xf numFmtId="0" fontId="19" fillId="0" borderId="11" xfId="49" applyNumberFormat="1" applyFont="1" applyFill="1" applyBorder="1" applyAlignment="1">
      <alignment horizontal="center" vertical="center" wrapText="1"/>
    </xf>
    <xf numFmtId="168" fontId="19" fillId="0" borderId="25" xfId="49" applyFont="1" applyFill="1" applyBorder="1" applyAlignment="1">
      <alignment horizontal="justify" vertical="center"/>
    </xf>
    <xf numFmtId="168" fontId="19" fillId="0" borderId="24" xfId="49" applyFont="1" applyFill="1" applyBorder="1" applyAlignment="1">
      <alignment horizontal="justify" vertical="center"/>
    </xf>
    <xf numFmtId="168" fontId="19" fillId="33" borderId="22" xfId="49" applyFont="1" applyFill="1" applyBorder="1" applyAlignment="1">
      <alignment horizontal="center" vertical="center"/>
    </xf>
    <xf numFmtId="168" fontId="19" fillId="0" borderId="22" xfId="49" applyFont="1" applyFill="1" applyBorder="1" applyAlignment="1">
      <alignment horizontal="center"/>
    </xf>
    <xf numFmtId="168" fontId="19" fillId="0" borderId="24" xfId="49" applyFont="1" applyFill="1" applyBorder="1" applyAlignment="1">
      <alignment horizontal="center"/>
    </xf>
    <xf numFmtId="168" fontId="19" fillId="0" borderId="25" xfId="49" applyFont="1" applyFill="1" applyBorder="1" applyAlignment="1">
      <alignment horizontal="center"/>
    </xf>
    <xf numFmtId="0" fontId="23" fillId="40" borderId="0" xfId="49" applyNumberFormat="1" applyFont="1" applyFill="1" applyAlignment="1">
      <alignment horizontal="left" vertical="center"/>
    </xf>
    <xf numFmtId="0" fontId="23" fillId="40" borderId="0" xfId="49" applyNumberFormat="1" applyFont="1" applyFill="1" applyAlignment="1">
      <alignment horizontal="center" vertical="center"/>
    </xf>
    <xf numFmtId="168" fontId="23" fillId="40" borderId="0" xfId="49" applyFont="1" applyFill="1" applyAlignment="1">
      <alignment horizontal="center"/>
    </xf>
    <xf numFmtId="0" fontId="23" fillId="40" borderId="0" xfId="49" applyNumberFormat="1" applyFont="1" applyFill="1" applyAlignment="1">
      <alignment horizontal="justify" vertical="center" wrapText="1"/>
    </xf>
    <xf numFmtId="0" fontId="23" fillId="40" borderId="0" xfId="49" applyNumberFormat="1" applyFont="1" applyFill="1" applyAlignment="1">
      <alignment horizontal="center" vertical="center" wrapText="1"/>
    </xf>
    <xf numFmtId="0" fontId="23" fillId="40" borderId="0" xfId="49" applyNumberFormat="1" applyFont="1" applyFill="1" applyAlignment="1">
      <alignment horizontal="center"/>
    </xf>
    <xf numFmtId="168" fontId="23" fillId="40" borderId="0" xfId="49" applyFont="1" applyFill="1" applyAlignment="1">
      <alignment horizontal="justify" vertical="center" wrapText="1"/>
    </xf>
    <xf numFmtId="168" fontId="23" fillId="40" borderId="0" xfId="49" applyFont="1" applyFill="1" applyAlignment="1">
      <alignment horizontal="center" vertical="center" wrapText="1"/>
    </xf>
    <xf numFmtId="167" fontId="23" fillId="40" borderId="11" xfId="49" applyNumberFormat="1" applyFont="1" applyFill="1" applyBorder="1"/>
    <xf numFmtId="0" fontId="23" fillId="39" borderId="0" xfId="49" applyNumberFormat="1" applyFont="1" applyFill="1" applyAlignment="1">
      <alignment horizontal="left" vertical="center"/>
    </xf>
    <xf numFmtId="0" fontId="19" fillId="39" borderId="0" xfId="49" applyNumberFormat="1" applyFont="1" applyFill="1" applyAlignment="1">
      <alignment horizontal="left" vertical="center"/>
    </xf>
    <xf numFmtId="0" fontId="19" fillId="39" borderId="0" xfId="49" applyNumberFormat="1" applyFont="1" applyFill="1" applyAlignment="1">
      <alignment horizontal="center" vertical="center"/>
    </xf>
    <xf numFmtId="168" fontId="19" fillId="39" borderId="0" xfId="49" applyFont="1" applyFill="1" applyAlignment="1">
      <alignment horizontal="center"/>
    </xf>
    <xf numFmtId="0" fontId="19" fillId="39" borderId="0" xfId="49" applyNumberFormat="1" applyFont="1" applyFill="1" applyAlignment="1">
      <alignment horizontal="justify" vertical="center" wrapText="1"/>
    </xf>
    <xf numFmtId="0" fontId="19" fillId="39" borderId="0" xfId="49" applyNumberFormat="1" applyFont="1" applyFill="1" applyAlignment="1">
      <alignment horizontal="center" vertical="center" wrapText="1"/>
    </xf>
    <xf numFmtId="0" fontId="19" fillId="39" borderId="0" xfId="49" applyNumberFormat="1" applyFont="1" applyFill="1" applyAlignment="1">
      <alignment horizontal="center"/>
    </xf>
    <xf numFmtId="168" fontId="19" fillId="39" borderId="0" xfId="49" applyFont="1" applyFill="1" applyAlignment="1">
      <alignment horizontal="justify" vertical="center" wrapText="1"/>
    </xf>
    <xf numFmtId="168" fontId="19" fillId="39" borderId="0" xfId="49" applyFont="1" applyFill="1" applyAlignment="1">
      <alignment horizontal="center" vertical="center" wrapText="1"/>
    </xf>
    <xf numFmtId="167" fontId="23" fillId="39" borderId="11" xfId="49" applyNumberFormat="1" applyFont="1" applyFill="1" applyBorder="1"/>
    <xf numFmtId="167" fontId="19" fillId="0" borderId="11" xfId="32" applyFont="1" applyFill="1" applyBorder="1" applyAlignment="1">
      <alignment horizontal="center" vertical="center"/>
    </xf>
    <xf numFmtId="167" fontId="20" fillId="0" borderId="11" xfId="32" applyFont="1" applyFill="1" applyBorder="1" applyAlignment="1">
      <alignment vertical="center"/>
    </xf>
    <xf numFmtId="167" fontId="23" fillId="38" borderId="11" xfId="32" applyFont="1" applyFill="1" applyBorder="1" applyAlignment="1">
      <alignment vertical="center"/>
    </xf>
    <xf numFmtId="167" fontId="20" fillId="0" borderId="11" xfId="32" applyFont="1" applyFill="1" applyBorder="1" applyAlignment="1">
      <alignment horizontal="right" vertical="center"/>
    </xf>
    <xf numFmtId="168" fontId="24" fillId="35" borderId="11" xfId="49" applyFont="1" applyFill="1" applyBorder="1" applyAlignment="1">
      <alignment horizontal="center" vertical="center" wrapText="1"/>
    </xf>
    <xf numFmtId="168" fontId="24" fillId="35" borderId="11" xfId="49" applyFont="1" applyFill="1" applyBorder="1" applyAlignment="1">
      <alignment horizontal="center" vertical="center"/>
    </xf>
    <xf numFmtId="0" fontId="24" fillId="35" borderId="11" xfId="49" applyNumberFormat="1" applyFont="1" applyFill="1" applyBorder="1" applyAlignment="1">
      <alignment horizontal="center" vertical="center" wrapText="1"/>
    </xf>
    <xf numFmtId="0" fontId="24" fillId="35" borderId="14" xfId="49" applyNumberFormat="1" applyFont="1" applyFill="1" applyBorder="1" applyAlignment="1">
      <alignment horizontal="center" vertical="center" wrapText="1"/>
    </xf>
    <xf numFmtId="0" fontId="24" fillId="35" borderId="22" xfId="49" applyNumberFormat="1" applyFont="1" applyFill="1" applyBorder="1" applyAlignment="1">
      <alignment horizontal="center" vertical="center" wrapText="1"/>
    </xf>
    <xf numFmtId="168" fontId="24" fillId="35" borderId="22" xfId="49" applyFont="1" applyFill="1" applyBorder="1" applyAlignment="1">
      <alignment horizontal="center" vertical="center" wrapText="1"/>
    </xf>
    <xf numFmtId="169" fontId="24" fillId="35" borderId="14" xfId="42" applyNumberFormat="1" applyFont="1" applyFill="1" applyBorder="1" applyAlignment="1">
      <alignment horizontal="center" vertical="center" wrapText="1"/>
    </xf>
    <xf numFmtId="169" fontId="24" fillId="35" borderId="23" xfId="42" applyNumberFormat="1" applyFont="1" applyFill="1" applyBorder="1" applyAlignment="1">
      <alignment horizontal="center" vertical="center" wrapText="1"/>
    </xf>
    <xf numFmtId="43" fontId="33" fillId="0" borderId="11" xfId="42" applyFont="1" applyFill="1" applyBorder="1" applyAlignment="1">
      <alignment horizontal="justify" vertical="center"/>
    </xf>
    <xf numFmtId="168" fontId="23" fillId="0" borderId="11" xfId="49" applyFont="1" applyFill="1" applyBorder="1" applyAlignment="1">
      <alignment vertical="center"/>
    </xf>
    <xf numFmtId="168" fontId="23" fillId="0" borderId="11" xfId="49" applyFont="1" applyFill="1" applyBorder="1" applyAlignment="1">
      <alignment horizontal="left" vertical="center"/>
    </xf>
    <xf numFmtId="168" fontId="19" fillId="0" borderId="18" xfId="49" applyFont="1" applyFill="1" applyBorder="1"/>
    <xf numFmtId="168" fontId="20" fillId="0" borderId="18" xfId="49" applyFont="1" applyBorder="1"/>
    <xf numFmtId="168" fontId="20" fillId="0" borderId="17" xfId="49" applyFont="1" applyBorder="1"/>
    <xf numFmtId="168" fontId="20" fillId="0" borderId="21" xfId="49" applyFont="1" applyBorder="1"/>
    <xf numFmtId="167" fontId="23" fillId="38" borderId="18" xfId="43" applyFont="1" applyFill="1" applyBorder="1" applyAlignment="1">
      <alignment horizontal="left" vertical="center"/>
    </xf>
    <xf numFmtId="43" fontId="23" fillId="38" borderId="18" xfId="49" applyNumberFormat="1" applyFont="1" applyFill="1" applyBorder="1" applyAlignment="1">
      <alignment horizontal="left" vertical="center"/>
    </xf>
    <xf numFmtId="168" fontId="19" fillId="33" borderId="18" xfId="49" applyFont="1" applyFill="1" applyBorder="1"/>
    <xf numFmtId="167" fontId="23" fillId="38" borderId="18" xfId="49" applyNumberFormat="1" applyFont="1" applyFill="1" applyBorder="1" applyAlignment="1">
      <alignment vertical="center"/>
    </xf>
    <xf numFmtId="168" fontId="23" fillId="0" borderId="15" xfId="49" applyFont="1" applyBorder="1" applyAlignment="1">
      <alignment horizontal="center" vertical="center" wrapText="1"/>
    </xf>
    <xf numFmtId="168" fontId="23" fillId="0" borderId="16" xfId="49" applyFont="1" applyBorder="1" applyAlignment="1">
      <alignment horizontal="center" vertical="center" wrapText="1"/>
    </xf>
    <xf numFmtId="168" fontId="23" fillId="0" borderId="19" xfId="49" applyFont="1" applyBorder="1" applyAlignment="1">
      <alignment horizontal="center" vertical="center" wrapText="1"/>
    </xf>
    <xf numFmtId="168" fontId="23" fillId="0" borderId="0" xfId="49" applyFont="1" applyBorder="1" applyAlignment="1">
      <alignment horizontal="center" vertical="center" wrapText="1"/>
    </xf>
    <xf numFmtId="168" fontId="23" fillId="0" borderId="12" xfId="49" applyFont="1" applyBorder="1" applyAlignment="1">
      <alignment horizontal="center" vertical="center" wrapText="1"/>
    </xf>
    <xf numFmtId="168" fontId="23" fillId="0" borderId="13" xfId="49" applyFont="1" applyBorder="1" applyAlignment="1">
      <alignment horizontal="center" vertical="center" wrapText="1"/>
    </xf>
    <xf numFmtId="168" fontId="19" fillId="0" borderId="22" xfId="49" applyFont="1" applyFill="1" applyBorder="1" applyAlignment="1">
      <alignment horizontal="center" vertical="center" wrapText="1"/>
    </xf>
    <xf numFmtId="168" fontId="19" fillId="0" borderId="25" xfId="49" applyFont="1" applyFill="1" applyBorder="1" applyAlignment="1">
      <alignment horizontal="center" vertical="center" wrapText="1"/>
    </xf>
    <xf numFmtId="168" fontId="19" fillId="0" borderId="24" xfId="49" applyFont="1" applyFill="1" applyBorder="1" applyAlignment="1">
      <alignment horizontal="center" vertical="center" wrapText="1"/>
    </xf>
    <xf numFmtId="168" fontId="19" fillId="0" borderId="22" xfId="49" applyFont="1" applyFill="1" applyBorder="1" applyAlignment="1">
      <alignment horizontal="justify" vertical="center" wrapText="1"/>
    </xf>
    <xf numFmtId="168" fontId="19" fillId="0" borderId="25" xfId="49" applyFont="1" applyFill="1" applyBorder="1" applyAlignment="1">
      <alignment horizontal="justify" vertical="center" wrapText="1"/>
    </xf>
    <xf numFmtId="168" fontId="20" fillId="0" borderId="22" xfId="49" applyFont="1" applyFill="1" applyBorder="1" applyAlignment="1">
      <alignment horizontal="center" vertical="center" wrapText="1"/>
    </xf>
    <xf numFmtId="168" fontId="20" fillId="0" borderId="24" xfId="49" applyFont="1" applyFill="1" applyBorder="1" applyAlignment="1">
      <alignment horizontal="center" vertical="center" wrapText="1"/>
    </xf>
    <xf numFmtId="168" fontId="19" fillId="0" borderId="24" xfId="49" applyFont="1" applyFill="1" applyBorder="1" applyAlignment="1">
      <alignment horizontal="justify" vertical="center" wrapText="1"/>
    </xf>
    <xf numFmtId="168" fontId="20" fillId="0" borderId="25" xfId="49" applyFont="1" applyFill="1" applyBorder="1" applyAlignment="1">
      <alignment horizontal="center" vertical="center" wrapText="1"/>
    </xf>
    <xf numFmtId="168" fontId="19" fillId="0" borderId="11" xfId="49" applyFont="1" applyFill="1" applyBorder="1" applyAlignment="1">
      <alignment horizontal="center" vertical="center" wrapText="1"/>
    </xf>
    <xf numFmtId="168" fontId="19" fillId="0" borderId="11" xfId="49" applyFont="1" applyFill="1" applyBorder="1" applyAlignment="1">
      <alignment horizontal="justify" vertical="center" wrapText="1"/>
    </xf>
    <xf numFmtId="0" fontId="23" fillId="0" borderId="15" xfId="49" applyNumberFormat="1" applyFont="1" applyBorder="1" applyAlignment="1">
      <alignment horizontal="center" vertical="center" wrapText="1"/>
    </xf>
    <xf numFmtId="0" fontId="23" fillId="0" borderId="19" xfId="49" applyNumberFormat="1" applyFont="1" applyBorder="1" applyAlignment="1">
      <alignment horizontal="center" vertical="center" wrapText="1"/>
    </xf>
    <xf numFmtId="0" fontId="23" fillId="0" borderId="12" xfId="49" applyNumberFormat="1" applyFont="1" applyBorder="1" applyAlignment="1">
      <alignment horizontal="center" vertical="center" wrapText="1"/>
    </xf>
    <xf numFmtId="168" fontId="19" fillId="0" borderId="22" xfId="49" applyFont="1" applyBorder="1" applyAlignment="1">
      <alignment horizontal="center" vertical="center" wrapText="1"/>
    </xf>
    <xf numFmtId="168" fontId="19" fillId="0" borderId="25" xfId="49" applyFont="1" applyBorder="1" applyAlignment="1">
      <alignment horizontal="center" vertical="center" wrapText="1"/>
    </xf>
    <xf numFmtId="168" fontId="19" fillId="0" borderId="24" xfId="49" applyFont="1" applyBorder="1" applyAlignment="1">
      <alignment horizontal="center" vertical="center" wrapText="1"/>
    </xf>
    <xf numFmtId="168" fontId="19" fillId="0" borderId="22" xfId="49" applyFont="1" applyBorder="1" applyAlignment="1">
      <alignment horizontal="justify" vertical="center" wrapText="1"/>
    </xf>
    <xf numFmtId="168" fontId="19" fillId="0" borderId="25" xfId="49" applyFont="1" applyBorder="1" applyAlignment="1">
      <alignment horizontal="justify" vertical="center" wrapText="1"/>
    </xf>
    <xf numFmtId="168" fontId="19" fillId="0" borderId="24" xfId="49" applyFont="1" applyBorder="1" applyAlignment="1">
      <alignment horizontal="justify" vertical="center" wrapText="1"/>
    </xf>
    <xf numFmtId="0" fontId="23" fillId="0" borderId="18" xfId="49" applyNumberFormat="1" applyFont="1" applyBorder="1" applyAlignment="1">
      <alignment horizontal="center" vertical="center" wrapText="1"/>
    </xf>
    <xf numFmtId="0" fontId="23" fillId="0" borderId="23" xfId="49" applyNumberFormat="1" applyFont="1" applyBorder="1" applyAlignment="1">
      <alignment horizontal="center" vertical="center" wrapText="1"/>
    </xf>
    <xf numFmtId="0" fontId="23" fillId="0" borderId="19" xfId="49" applyNumberFormat="1" applyFont="1" applyBorder="1" applyAlignment="1">
      <alignment horizontal="left" vertical="center" wrapText="1"/>
    </xf>
    <xf numFmtId="0" fontId="23" fillId="0" borderId="12" xfId="49" applyNumberFormat="1" applyFont="1" applyBorder="1" applyAlignment="1">
      <alignment horizontal="left" vertical="center" wrapText="1"/>
    </xf>
    <xf numFmtId="168" fontId="19" fillId="0" borderId="11" xfId="49" applyFont="1" applyFill="1" applyBorder="1" applyAlignment="1">
      <alignment horizontal="center" vertical="center"/>
    </xf>
    <xf numFmtId="168" fontId="20" fillId="0" borderId="11" xfId="49" applyFont="1" applyFill="1" applyBorder="1" applyAlignment="1">
      <alignment horizontal="justify" vertical="center" wrapText="1"/>
    </xf>
    <xf numFmtId="168" fontId="23" fillId="38" borderId="11" xfId="49" applyFont="1" applyFill="1" applyBorder="1" applyAlignment="1">
      <alignment horizontal="left" vertical="center"/>
    </xf>
    <xf numFmtId="3" fontId="19" fillId="0" borderId="11" xfId="49" applyNumberFormat="1" applyFont="1" applyFill="1" applyBorder="1" applyAlignment="1">
      <alignment horizontal="center" vertical="center" wrapText="1"/>
    </xf>
    <xf numFmtId="168" fontId="19" fillId="0" borderId="22" xfId="49" applyFont="1" applyFill="1" applyBorder="1" applyAlignment="1">
      <alignment horizontal="center" vertical="center"/>
    </xf>
    <xf numFmtId="168" fontId="19" fillId="0" borderId="24" xfId="49" applyFont="1" applyFill="1" applyBorder="1" applyAlignment="1">
      <alignment horizontal="center" vertical="center"/>
    </xf>
    <xf numFmtId="0" fontId="20" fillId="0" borderId="22" xfId="49" applyNumberFormat="1" applyFont="1" applyFill="1" applyBorder="1" applyAlignment="1">
      <alignment horizontal="justify" vertical="center" wrapText="1"/>
    </xf>
    <xf numFmtId="0" fontId="20" fillId="0" borderId="24" xfId="49" applyNumberFormat="1" applyFont="1" applyFill="1" applyBorder="1" applyAlignment="1">
      <alignment horizontal="justify" vertical="center" wrapText="1"/>
    </xf>
    <xf numFmtId="2" fontId="26" fillId="0" borderId="22" xfId="45" applyNumberFormat="1" applyFont="1" applyFill="1" applyBorder="1" applyAlignment="1">
      <alignment horizontal="center" vertical="center" wrapText="1"/>
    </xf>
    <xf numFmtId="2" fontId="26" fillId="0" borderId="24" xfId="45" applyNumberFormat="1" applyFont="1" applyFill="1" applyBorder="1" applyAlignment="1">
      <alignment horizontal="center" vertical="center" wrapText="1"/>
    </xf>
    <xf numFmtId="0" fontId="19" fillId="0" borderId="22" xfId="49" applyNumberFormat="1" applyFont="1" applyFill="1" applyBorder="1" applyAlignment="1">
      <alignment horizontal="center" vertical="center" wrapText="1"/>
    </xf>
    <xf numFmtId="0" fontId="19" fillId="0" borderId="24" xfId="49" applyNumberFormat="1" applyFont="1" applyFill="1" applyBorder="1" applyAlignment="1">
      <alignment horizontal="center" vertical="center" wrapText="1"/>
    </xf>
    <xf numFmtId="3" fontId="19" fillId="0" borderId="22" xfId="49" applyNumberFormat="1" applyFont="1" applyFill="1" applyBorder="1" applyAlignment="1">
      <alignment horizontal="center" vertical="center" wrapText="1"/>
    </xf>
    <xf numFmtId="3" fontId="19" fillId="0" borderId="24" xfId="49" applyNumberFormat="1" applyFont="1" applyFill="1" applyBorder="1" applyAlignment="1">
      <alignment horizontal="center" vertical="center" wrapText="1"/>
    </xf>
    <xf numFmtId="43" fontId="19" fillId="0" borderId="22" xfId="52" applyFont="1" applyFill="1" applyBorder="1" applyAlignment="1">
      <alignment horizontal="center" vertical="center"/>
    </xf>
    <xf numFmtId="43" fontId="19" fillId="0" borderId="24" xfId="52" applyFont="1" applyFill="1" applyBorder="1" applyAlignment="1">
      <alignment horizontal="center" vertical="center"/>
    </xf>
    <xf numFmtId="171" fontId="19" fillId="0" borderId="22" xfId="55" applyFont="1" applyFill="1" applyBorder="1" applyAlignment="1">
      <alignment horizontal="justify" vertical="center" wrapText="1"/>
    </xf>
    <xf numFmtId="171" fontId="19" fillId="0" borderId="24" xfId="55" applyFont="1" applyFill="1" applyBorder="1" applyAlignment="1">
      <alignment horizontal="justify" vertical="center" wrapText="1"/>
    </xf>
    <xf numFmtId="168" fontId="19" fillId="0" borderId="25" xfId="49" applyFont="1" applyFill="1" applyBorder="1" applyAlignment="1">
      <alignment horizontal="center" vertical="center"/>
    </xf>
    <xf numFmtId="0" fontId="20" fillId="0" borderId="11" xfId="49" applyNumberFormat="1" applyFont="1" applyFill="1" applyBorder="1" applyAlignment="1">
      <alignment horizontal="justify" vertical="center" wrapText="1"/>
    </xf>
    <xf numFmtId="2" fontId="26" fillId="0" borderId="11" xfId="45" applyNumberFormat="1" applyFont="1" applyFill="1" applyBorder="1" applyAlignment="1">
      <alignment horizontal="center" vertical="center" wrapText="1"/>
    </xf>
    <xf numFmtId="0" fontId="19" fillId="0" borderId="11" xfId="49" applyNumberFormat="1" applyFont="1" applyFill="1" applyBorder="1" applyAlignment="1">
      <alignment horizontal="center" vertical="center" wrapText="1"/>
    </xf>
    <xf numFmtId="3" fontId="19" fillId="0" borderId="25" xfId="49" applyNumberFormat="1" applyFont="1" applyFill="1" applyBorder="1" applyAlignment="1">
      <alignment horizontal="center" vertical="center" wrapText="1"/>
    </xf>
    <xf numFmtId="174" fontId="26" fillId="0" borderId="22" xfId="44" applyNumberFormat="1" applyFont="1" applyFill="1" applyBorder="1" applyAlignment="1">
      <alignment horizontal="center" vertical="center" wrapText="1"/>
    </xf>
    <xf numFmtId="174" fontId="26" fillId="0" borderId="24" xfId="44" applyNumberFormat="1" applyFont="1" applyFill="1" applyBorder="1" applyAlignment="1">
      <alignment horizontal="center" vertical="center" wrapText="1"/>
    </xf>
    <xf numFmtId="168" fontId="19" fillId="0" borderId="11" xfId="49" applyFont="1" applyBorder="1" applyAlignment="1">
      <alignment horizontal="center" vertical="center" wrapText="1"/>
    </xf>
    <xf numFmtId="0" fontId="23" fillId="0" borderId="22" xfId="49" applyNumberFormat="1" applyFont="1" applyBorder="1" applyAlignment="1">
      <alignment horizontal="left" vertical="center" wrapText="1"/>
    </xf>
    <xf numFmtId="0" fontId="23" fillId="0" borderId="25" xfId="49" applyNumberFormat="1" applyFont="1" applyBorder="1" applyAlignment="1">
      <alignment horizontal="left" vertical="center" wrapText="1"/>
    </xf>
    <xf numFmtId="0" fontId="23" fillId="0" borderId="16" xfId="49" applyNumberFormat="1" applyFont="1" applyFill="1" applyBorder="1" applyAlignment="1">
      <alignment horizontal="left" vertical="center" wrapText="1"/>
    </xf>
    <xf numFmtId="0" fontId="23" fillId="0" borderId="13" xfId="49" applyNumberFormat="1" applyFont="1" applyFill="1" applyBorder="1" applyAlignment="1">
      <alignment horizontal="left" vertical="center" wrapText="1"/>
    </xf>
    <xf numFmtId="0" fontId="20" fillId="0" borderId="22" xfId="49" applyNumberFormat="1" applyFont="1" applyFill="1" applyBorder="1" applyAlignment="1">
      <alignment horizontal="left" vertical="center" wrapText="1"/>
    </xf>
    <xf numFmtId="0" fontId="20" fillId="0" borderId="24" xfId="49" applyNumberFormat="1" applyFont="1" applyFill="1" applyBorder="1" applyAlignment="1">
      <alignment horizontal="left" vertical="center" wrapText="1"/>
    </xf>
    <xf numFmtId="0" fontId="26" fillId="0" borderId="22" xfId="45" applyFont="1" applyFill="1" applyBorder="1" applyAlignment="1">
      <alignment horizontal="center" vertical="center" wrapText="1"/>
    </xf>
    <xf numFmtId="0" fontId="26" fillId="0" borderId="24" xfId="45" applyFont="1" applyFill="1" applyBorder="1" applyAlignment="1">
      <alignment horizontal="center" vertical="center" wrapText="1"/>
    </xf>
    <xf numFmtId="0" fontId="23" fillId="39" borderId="14" xfId="49" applyNumberFormat="1" applyFont="1" applyFill="1" applyBorder="1" applyAlignment="1">
      <alignment horizontal="left" vertical="center" wrapText="1"/>
    </xf>
    <xf numFmtId="0" fontId="23" fillId="39" borderId="23" xfId="49" applyNumberFormat="1" applyFont="1" applyFill="1" applyBorder="1" applyAlignment="1">
      <alignment horizontal="left" vertical="center" wrapText="1"/>
    </xf>
    <xf numFmtId="0" fontId="23" fillId="39" borderId="18" xfId="49" applyNumberFormat="1" applyFont="1" applyFill="1" applyBorder="1" applyAlignment="1">
      <alignment horizontal="left" vertical="center" wrapText="1"/>
    </xf>
    <xf numFmtId="168" fontId="20" fillId="0" borderId="11" xfId="49" applyFont="1" applyFill="1" applyBorder="1" applyAlignment="1">
      <alignment horizontal="center" vertical="center" wrapText="1"/>
    </xf>
    <xf numFmtId="0" fontId="23" fillId="0" borderId="25" xfId="49" applyNumberFormat="1" applyFont="1" applyFill="1" applyBorder="1" applyAlignment="1">
      <alignment horizontal="left" vertical="center" wrapText="1"/>
    </xf>
    <xf numFmtId="0" fontId="23" fillId="0" borderId="24" xfId="49" applyNumberFormat="1" applyFont="1" applyFill="1" applyBorder="1" applyAlignment="1">
      <alignment horizontal="left" vertical="center" wrapText="1"/>
    </xf>
    <xf numFmtId="0" fontId="23" fillId="0" borderId="15" xfId="49" applyNumberFormat="1" applyFont="1" applyFill="1" applyBorder="1" applyAlignment="1">
      <alignment horizontal="left" vertical="center" wrapText="1"/>
    </xf>
    <xf numFmtId="0" fontId="23" fillId="0" borderId="12" xfId="49" applyNumberFormat="1" applyFont="1" applyFill="1" applyBorder="1" applyAlignment="1">
      <alignment horizontal="left" vertical="center" wrapText="1"/>
    </xf>
    <xf numFmtId="169" fontId="19" fillId="0" borderId="22" xfId="49" applyNumberFormat="1" applyFont="1" applyFill="1" applyBorder="1" applyAlignment="1">
      <alignment horizontal="justify" vertical="center" wrapText="1"/>
    </xf>
    <xf numFmtId="169" fontId="19" fillId="0" borderId="25" xfId="49" applyNumberFormat="1" applyFont="1" applyFill="1" applyBorder="1" applyAlignment="1">
      <alignment horizontal="justify" vertical="center" wrapText="1"/>
    </xf>
    <xf numFmtId="169" fontId="19" fillId="0" borderId="24" xfId="49" applyNumberFormat="1" applyFont="1" applyFill="1" applyBorder="1" applyAlignment="1">
      <alignment horizontal="justify" vertical="center" wrapText="1"/>
    </xf>
    <xf numFmtId="168" fontId="19" fillId="0" borderId="22" xfId="49" applyFont="1" applyBorder="1" applyAlignment="1">
      <alignment horizontal="center" vertical="center"/>
    </xf>
    <xf numFmtId="168" fontId="19" fillId="0" borderId="25" xfId="49" applyFont="1" applyBorder="1" applyAlignment="1">
      <alignment horizontal="center" vertical="center"/>
    </xf>
    <xf numFmtId="168" fontId="19" fillId="0" borderId="24" xfId="49" applyFont="1" applyBorder="1" applyAlignment="1">
      <alignment horizontal="center" vertical="center"/>
    </xf>
    <xf numFmtId="0" fontId="23" fillId="0" borderId="22" xfId="49" applyNumberFormat="1" applyFont="1" applyBorder="1" applyAlignment="1">
      <alignment horizontal="left" vertical="center"/>
    </xf>
    <xf numFmtId="0" fontId="23" fillId="0" borderId="19" xfId="49" applyNumberFormat="1" applyFont="1" applyBorder="1" applyAlignment="1">
      <alignment horizontal="left" vertical="center"/>
    </xf>
    <xf numFmtId="0" fontId="23" fillId="0" borderId="25" xfId="49" applyNumberFormat="1" applyFont="1" applyBorder="1" applyAlignment="1">
      <alignment horizontal="left" vertical="center"/>
    </xf>
    <xf numFmtId="0" fontId="23" fillId="0" borderId="0" xfId="49" applyNumberFormat="1" applyFont="1" applyFill="1" applyBorder="1" applyAlignment="1">
      <alignment horizontal="left" vertical="center" wrapText="1"/>
    </xf>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1" xfId="2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KPT04" xfId="50"/>
    <cellStyle name="KPT04 2" xfId="44"/>
    <cellStyle name="Millares" xfId="32" builtinId="3"/>
    <cellStyle name="Millares [0] 2" xfId="47"/>
    <cellStyle name="Millares 2" xfId="42"/>
    <cellStyle name="Millares 2 2" xfId="52"/>
    <cellStyle name="Millares 2 2 2 2" xfId="43"/>
    <cellStyle name="Millares 2 4" xfId="56"/>
    <cellStyle name="Moneda [0] 2" xfId="53"/>
    <cellStyle name="Moneda 2" xfId="51"/>
    <cellStyle name="Moneda 2 2" xfId="55"/>
    <cellStyle name="Neutral" xfId="33" builtinId="28" customBuiltin="1"/>
    <cellStyle name="Normal" xfId="0" builtinId="0"/>
    <cellStyle name="Normal 2" xfId="45"/>
    <cellStyle name="Normal 2 2" xfId="54"/>
    <cellStyle name="Normal 3" xfId="49"/>
    <cellStyle name="Notas" xfId="34" builtinId="10" customBuiltin="1"/>
    <cellStyle name="Porcentaje 2 2" xfId="46"/>
    <cellStyle name="Porcentaje 2 2 2" xfId="48"/>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175556</xdr:rowOff>
    </xdr:from>
    <xdr:ext cx="2847373" cy="816429"/>
    <xdr:pic>
      <xdr:nvPicPr>
        <xdr:cNvPr id="2" name="Imagen 1">
          <a:extLst>
            <a:ext uri="{FF2B5EF4-FFF2-40B4-BE49-F238E27FC236}">
              <a16:creationId xmlns:a16="http://schemas.microsoft.com/office/drawing/2014/main" xmlns="" id="{9125725D-73B7-40FE-A737-BD9615D339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158750" y="175556"/>
          <a:ext cx="2847373" cy="816429"/>
        </a:xfrm>
        <a:prstGeom prst="rect">
          <a:avLst/>
        </a:prstGeom>
      </xdr:spPr>
    </xdr:pic>
    <xdr:clientData/>
  </xdr:oneCellAnchor>
  <xdr:twoCellAnchor>
    <xdr:from>
      <xdr:col>2</xdr:col>
      <xdr:colOff>873124</xdr:colOff>
      <xdr:row>0</xdr:row>
      <xdr:rowOff>110905</xdr:rowOff>
    </xdr:from>
    <xdr:to>
      <xdr:col>5</xdr:col>
      <xdr:colOff>2684255</xdr:colOff>
      <xdr:row>3</xdr:row>
      <xdr:rowOff>31750</xdr:rowOff>
    </xdr:to>
    <xdr:pic>
      <xdr:nvPicPr>
        <xdr:cNvPr id="3"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7996" t="12991" r="67844" b="74319"/>
        <a:stretch>
          <a:fillRect/>
        </a:stretch>
      </xdr:blipFill>
      <xdr:spPr bwMode="auto">
        <a:xfrm>
          <a:off x="3206749" y="110905"/>
          <a:ext cx="4970256" cy="968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R404"/>
  <sheetViews>
    <sheetView showGridLines="0" tabSelected="1" zoomScale="60" zoomScaleNormal="60" workbookViewId="0">
      <selection activeCell="F10" sqref="F10"/>
    </sheetView>
  </sheetViews>
  <sheetFormatPr baseColWidth="10" defaultColWidth="11.42578125" defaultRowHeight="15" x14ac:dyDescent="0.2"/>
  <cols>
    <col min="1" max="1" width="16.7109375" style="3" customWidth="1"/>
    <col min="2" max="2" width="18.28515625" style="336" customWidth="1"/>
    <col min="3" max="3" width="15.85546875" style="336" customWidth="1"/>
    <col min="4" max="4" width="15" style="337" customWidth="1"/>
    <col min="5" max="5" width="16.42578125" style="338" customWidth="1"/>
    <col min="6" max="6" width="58" style="339" customWidth="1"/>
    <col min="7" max="7" width="14.5703125" style="340" customWidth="1"/>
    <col min="8" max="8" width="16.5703125" style="341" customWidth="1"/>
    <col min="9" max="9" width="48.140625" style="342" customWidth="1"/>
    <col min="10" max="10" width="22" style="343" customWidth="1"/>
    <col min="11" max="11" width="19" style="343" customWidth="1"/>
    <col min="12" max="12" width="41.5703125" style="342" customWidth="1"/>
    <col min="13" max="13" width="11.7109375" style="338" customWidth="1"/>
    <col min="14" max="14" width="14.140625" style="341" customWidth="1"/>
    <col min="15" max="15" width="12.5703125" style="340" customWidth="1"/>
    <col min="16" max="16" width="29" style="338" customWidth="1"/>
    <col min="17" max="17" width="23" style="338" customWidth="1"/>
    <col min="18" max="18" width="47.140625" style="342" customWidth="1"/>
    <col min="19" max="24" width="27.5703125" style="344" customWidth="1"/>
    <col min="25" max="25" width="27.5703125" style="345" customWidth="1"/>
    <col min="26" max="26" width="33.28515625" style="345" customWidth="1"/>
    <col min="27" max="27" width="30.85546875" style="344" customWidth="1"/>
    <col min="28" max="28" width="27.5703125" style="344" customWidth="1"/>
    <col min="29" max="29" width="31.140625" style="346" customWidth="1"/>
    <col min="30" max="30" width="27.5703125" style="344" customWidth="1"/>
    <col min="31" max="31" width="31.42578125" style="181" customWidth="1"/>
    <col min="32" max="32" width="32.28515625" style="345" customWidth="1"/>
    <col min="33" max="33" width="27.42578125" style="2" customWidth="1"/>
    <col min="34" max="34" width="19.28515625" style="2" bestFit="1" customWidth="1"/>
    <col min="35" max="39" width="11.42578125" style="2"/>
    <col min="40" max="16384" width="11.42578125" style="3"/>
  </cols>
  <sheetData>
    <row r="1" spans="1:39" ht="27.75" customHeight="1" x14ac:dyDescent="0.2">
      <c r="A1" s="697" t="s">
        <v>1410</v>
      </c>
      <c r="B1" s="698"/>
      <c r="C1" s="698"/>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87" t="s">
        <v>12</v>
      </c>
      <c r="AF1" s="1" t="s">
        <v>1411</v>
      </c>
    </row>
    <row r="2" spans="1:39" ht="27.75" customHeight="1" x14ac:dyDescent="0.2">
      <c r="A2" s="699"/>
      <c r="B2" s="700"/>
      <c r="C2" s="700"/>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688" t="s">
        <v>13</v>
      </c>
      <c r="AF2" s="5">
        <v>3</v>
      </c>
    </row>
    <row r="3" spans="1:39" ht="27.75" customHeight="1" x14ac:dyDescent="0.2">
      <c r="A3" s="699"/>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687" t="s">
        <v>14</v>
      </c>
      <c r="AF3" s="6" t="s">
        <v>15</v>
      </c>
    </row>
    <row r="4" spans="1:39" ht="27.75" customHeight="1" x14ac:dyDescent="0.2">
      <c r="A4" s="701"/>
      <c r="B4" s="702"/>
      <c r="C4" s="702"/>
      <c r="D4" s="702"/>
      <c r="E4" s="702"/>
      <c r="F4" s="702"/>
      <c r="G4" s="702"/>
      <c r="H4" s="702"/>
      <c r="I4" s="702"/>
      <c r="J4" s="702"/>
      <c r="K4" s="702"/>
      <c r="L4" s="702"/>
      <c r="M4" s="702"/>
      <c r="N4" s="702"/>
      <c r="O4" s="702"/>
      <c r="P4" s="702"/>
      <c r="Q4" s="702"/>
      <c r="R4" s="702"/>
      <c r="S4" s="702"/>
      <c r="T4" s="702"/>
      <c r="U4" s="702"/>
      <c r="V4" s="702"/>
      <c r="W4" s="702"/>
      <c r="X4" s="702"/>
      <c r="Y4" s="702"/>
      <c r="Z4" s="702"/>
      <c r="AA4" s="702"/>
      <c r="AB4" s="702"/>
      <c r="AC4" s="702"/>
      <c r="AD4" s="702"/>
      <c r="AE4" s="687" t="s">
        <v>16</v>
      </c>
      <c r="AF4" s="7" t="s">
        <v>17</v>
      </c>
    </row>
    <row r="5" spans="1:39" s="9" customFormat="1" ht="84.75" customHeight="1" x14ac:dyDescent="0.25">
      <c r="A5" s="680" t="s">
        <v>11</v>
      </c>
      <c r="B5" s="680" t="s">
        <v>18</v>
      </c>
      <c r="C5" s="680" t="s">
        <v>19</v>
      </c>
      <c r="D5" s="682" t="s">
        <v>20</v>
      </c>
      <c r="E5" s="678" t="s">
        <v>21</v>
      </c>
      <c r="F5" s="683" t="s">
        <v>22</v>
      </c>
      <c r="G5" s="678" t="s">
        <v>23</v>
      </c>
      <c r="H5" s="678" t="s">
        <v>24</v>
      </c>
      <c r="I5" s="679" t="s">
        <v>25</v>
      </c>
      <c r="J5" s="678" t="s">
        <v>26</v>
      </c>
      <c r="K5" s="678" t="s">
        <v>27</v>
      </c>
      <c r="L5" s="679" t="s">
        <v>28</v>
      </c>
      <c r="M5" s="678" t="s">
        <v>29</v>
      </c>
      <c r="N5" s="680" t="s">
        <v>30</v>
      </c>
      <c r="O5" s="681" t="s">
        <v>31</v>
      </c>
      <c r="P5" s="678" t="s">
        <v>32</v>
      </c>
      <c r="Q5" s="678" t="s">
        <v>33</v>
      </c>
      <c r="R5" s="678" t="s">
        <v>34</v>
      </c>
      <c r="S5" s="685" t="s">
        <v>35</v>
      </c>
      <c r="T5" s="684" t="s">
        <v>36</v>
      </c>
      <c r="U5" s="684" t="s">
        <v>37</v>
      </c>
      <c r="V5" s="684" t="s">
        <v>38</v>
      </c>
      <c r="W5" s="684" t="s">
        <v>39</v>
      </c>
      <c r="X5" s="684" t="s">
        <v>40</v>
      </c>
      <c r="Y5" s="684" t="s">
        <v>41</v>
      </c>
      <c r="Z5" s="684" t="s">
        <v>42</v>
      </c>
      <c r="AA5" s="684" t="s">
        <v>43</v>
      </c>
      <c r="AB5" s="684" t="s">
        <v>44</v>
      </c>
      <c r="AC5" s="684" t="s">
        <v>45</v>
      </c>
      <c r="AD5" s="684" t="s">
        <v>46</v>
      </c>
      <c r="AE5" s="684" t="s">
        <v>47</v>
      </c>
      <c r="AF5" s="10" t="s">
        <v>48</v>
      </c>
      <c r="AG5" s="8"/>
      <c r="AH5" s="8"/>
      <c r="AI5" s="8"/>
      <c r="AJ5" s="8"/>
      <c r="AK5" s="8"/>
      <c r="AL5" s="8"/>
      <c r="AM5" s="8"/>
    </row>
    <row r="6" spans="1:39" ht="15.75" x14ac:dyDescent="0.2">
      <c r="B6" s="11"/>
      <c r="C6" s="11"/>
      <c r="D6" s="12"/>
      <c r="E6" s="13"/>
      <c r="F6" s="14"/>
      <c r="G6" s="15"/>
      <c r="H6" s="15"/>
      <c r="I6" s="16"/>
      <c r="J6" s="17"/>
      <c r="K6" s="17"/>
      <c r="L6" s="16"/>
      <c r="M6" s="18"/>
      <c r="N6" s="15"/>
      <c r="O6" s="19"/>
      <c r="P6" s="18"/>
      <c r="Q6" s="18"/>
      <c r="R6" s="20"/>
      <c r="S6" s="21"/>
      <c r="T6" s="21"/>
      <c r="U6" s="21"/>
      <c r="V6" s="21"/>
      <c r="W6" s="21"/>
      <c r="X6" s="21"/>
      <c r="Y6" s="21"/>
      <c r="Z6" s="21"/>
      <c r="AA6" s="21"/>
      <c r="AB6" s="21"/>
      <c r="AC6" s="22"/>
      <c r="AD6" s="21"/>
      <c r="AE6" s="21"/>
      <c r="AF6" s="103"/>
    </row>
    <row r="7" spans="1:39" s="37" customFormat="1" ht="15.75" x14ac:dyDescent="0.25">
      <c r="A7" s="23" t="s">
        <v>49</v>
      </c>
      <c r="B7" s="24"/>
      <c r="C7" s="25"/>
      <c r="D7" s="26"/>
      <c r="E7" s="27"/>
      <c r="F7" s="28"/>
      <c r="G7" s="29"/>
      <c r="H7" s="30"/>
      <c r="I7" s="31"/>
      <c r="J7" s="32"/>
      <c r="K7" s="32"/>
      <c r="L7" s="31"/>
      <c r="M7" s="33"/>
      <c r="N7" s="30"/>
      <c r="O7" s="29"/>
      <c r="P7" s="27"/>
      <c r="Q7" s="27"/>
      <c r="R7" s="34"/>
      <c r="S7" s="35">
        <f t="shared" ref="S7:AF7" si="0">S8</f>
        <v>0</v>
      </c>
      <c r="T7" s="35">
        <f t="shared" si="0"/>
        <v>0</v>
      </c>
      <c r="U7" s="35">
        <f t="shared" si="0"/>
        <v>0</v>
      </c>
      <c r="V7" s="35">
        <f t="shared" si="0"/>
        <v>0</v>
      </c>
      <c r="W7" s="35">
        <f t="shared" si="0"/>
        <v>0</v>
      </c>
      <c r="X7" s="35">
        <f t="shared" si="0"/>
        <v>0</v>
      </c>
      <c r="Y7" s="35">
        <f t="shared" si="0"/>
        <v>0</v>
      </c>
      <c r="Z7" s="35">
        <f t="shared" si="0"/>
        <v>0</v>
      </c>
      <c r="AA7" s="35">
        <f t="shared" si="0"/>
        <v>0</v>
      </c>
      <c r="AB7" s="35">
        <f t="shared" si="0"/>
        <v>0</v>
      </c>
      <c r="AC7" s="35">
        <f t="shared" si="0"/>
        <v>146122927.59999999</v>
      </c>
      <c r="AD7" s="35">
        <f t="shared" si="0"/>
        <v>0</v>
      </c>
      <c r="AE7" s="35">
        <f t="shared" si="0"/>
        <v>0</v>
      </c>
      <c r="AF7" s="35">
        <f t="shared" si="0"/>
        <v>146122927.59999999</v>
      </c>
      <c r="AG7" s="36"/>
      <c r="AH7" s="36"/>
      <c r="AI7" s="36"/>
      <c r="AJ7" s="36"/>
      <c r="AK7" s="36"/>
      <c r="AL7" s="36"/>
      <c r="AM7" s="36"/>
    </row>
    <row r="8" spans="1:39" s="37" customFormat="1" ht="15.75" x14ac:dyDescent="0.25">
      <c r="A8" s="38"/>
      <c r="B8" s="39">
        <v>4</v>
      </c>
      <c r="C8" s="40" t="s">
        <v>50</v>
      </c>
      <c r="D8" s="41"/>
      <c r="E8" s="42"/>
      <c r="F8" s="43"/>
      <c r="G8" s="44"/>
      <c r="H8" s="45"/>
      <c r="I8" s="46"/>
      <c r="J8" s="47"/>
      <c r="K8" s="47"/>
      <c r="L8" s="46"/>
      <c r="M8" s="48"/>
      <c r="N8" s="49"/>
      <c r="O8" s="44"/>
      <c r="P8" s="42"/>
      <c r="Q8" s="42"/>
      <c r="R8" s="46"/>
      <c r="S8" s="50">
        <f t="shared" ref="S8:AF8" si="1">S9+S12</f>
        <v>0</v>
      </c>
      <c r="T8" s="50">
        <f t="shared" si="1"/>
        <v>0</v>
      </c>
      <c r="U8" s="50">
        <f t="shared" si="1"/>
        <v>0</v>
      </c>
      <c r="V8" s="50">
        <f t="shared" si="1"/>
        <v>0</v>
      </c>
      <c r="W8" s="50">
        <f t="shared" si="1"/>
        <v>0</v>
      </c>
      <c r="X8" s="50">
        <f t="shared" si="1"/>
        <v>0</v>
      </c>
      <c r="Y8" s="50">
        <f t="shared" si="1"/>
        <v>0</v>
      </c>
      <c r="Z8" s="50">
        <f t="shared" si="1"/>
        <v>0</v>
      </c>
      <c r="AA8" s="50">
        <f t="shared" si="1"/>
        <v>0</v>
      </c>
      <c r="AB8" s="50">
        <f t="shared" si="1"/>
        <v>0</v>
      </c>
      <c r="AC8" s="50">
        <f t="shared" si="1"/>
        <v>146122927.59999999</v>
      </c>
      <c r="AD8" s="50">
        <f t="shared" si="1"/>
        <v>0</v>
      </c>
      <c r="AE8" s="50">
        <f t="shared" si="1"/>
        <v>0</v>
      </c>
      <c r="AF8" s="50">
        <f t="shared" si="1"/>
        <v>146122927.59999999</v>
      </c>
      <c r="AG8" s="36"/>
      <c r="AH8" s="36"/>
      <c r="AI8" s="36"/>
      <c r="AJ8" s="36"/>
      <c r="AK8" s="36"/>
      <c r="AL8" s="36"/>
      <c r="AM8" s="36"/>
    </row>
    <row r="9" spans="1:39" ht="15.75" x14ac:dyDescent="0.2">
      <c r="A9" s="51"/>
      <c r="B9" s="52"/>
      <c r="C9" s="53">
        <v>45</v>
      </c>
      <c r="D9" s="54" t="s">
        <v>51</v>
      </c>
      <c r="E9" s="55" t="s">
        <v>52</v>
      </c>
      <c r="F9" s="56"/>
      <c r="G9" s="57"/>
      <c r="H9" s="58"/>
      <c r="I9" s="59"/>
      <c r="J9" s="60"/>
      <c r="K9" s="60"/>
      <c r="L9" s="59"/>
      <c r="M9" s="61"/>
      <c r="N9" s="62"/>
      <c r="O9" s="57"/>
      <c r="P9" s="63"/>
      <c r="Q9" s="63"/>
      <c r="R9" s="59"/>
      <c r="S9" s="64">
        <f t="shared" ref="S9:AF9" si="2">SUM(S10:S11)</f>
        <v>0</v>
      </c>
      <c r="T9" s="64">
        <f t="shared" si="2"/>
        <v>0</v>
      </c>
      <c r="U9" s="64">
        <f t="shared" si="2"/>
        <v>0</v>
      </c>
      <c r="V9" s="64">
        <f t="shared" si="2"/>
        <v>0</v>
      </c>
      <c r="W9" s="64">
        <f t="shared" si="2"/>
        <v>0</v>
      </c>
      <c r="X9" s="64">
        <f t="shared" si="2"/>
        <v>0</v>
      </c>
      <c r="Y9" s="64">
        <f t="shared" si="2"/>
        <v>0</v>
      </c>
      <c r="Z9" s="64">
        <f t="shared" si="2"/>
        <v>0</v>
      </c>
      <c r="AA9" s="64">
        <f t="shared" si="2"/>
        <v>0</v>
      </c>
      <c r="AB9" s="64">
        <f t="shared" si="2"/>
        <v>0</v>
      </c>
      <c r="AC9" s="64">
        <f t="shared" si="2"/>
        <v>91000000</v>
      </c>
      <c r="AD9" s="64">
        <f t="shared" si="2"/>
        <v>0</v>
      </c>
      <c r="AE9" s="64">
        <f t="shared" si="2"/>
        <v>0</v>
      </c>
      <c r="AF9" s="64">
        <f t="shared" si="2"/>
        <v>91000000</v>
      </c>
    </row>
    <row r="10" spans="1:39" ht="115.5" customHeight="1" x14ac:dyDescent="0.2">
      <c r="A10" s="51"/>
      <c r="B10" s="65"/>
      <c r="C10" s="66"/>
      <c r="D10" s="67"/>
      <c r="E10" s="68"/>
      <c r="F10" s="69" t="s">
        <v>53</v>
      </c>
      <c r="G10" s="70" t="s">
        <v>54</v>
      </c>
      <c r="H10" s="71" t="s">
        <v>51</v>
      </c>
      <c r="I10" s="72" t="s">
        <v>55</v>
      </c>
      <c r="J10" s="73" t="s">
        <v>56</v>
      </c>
      <c r="K10" s="73" t="s">
        <v>51</v>
      </c>
      <c r="L10" s="72" t="s">
        <v>57</v>
      </c>
      <c r="M10" s="74" t="s">
        <v>58</v>
      </c>
      <c r="N10" s="75">
        <v>3</v>
      </c>
      <c r="O10" s="75">
        <v>3</v>
      </c>
      <c r="P10" s="74" t="s">
        <v>59</v>
      </c>
      <c r="Q10" s="74" t="s">
        <v>60</v>
      </c>
      <c r="R10" s="72" t="s">
        <v>61</v>
      </c>
      <c r="S10" s="76"/>
      <c r="T10" s="76"/>
      <c r="U10" s="76"/>
      <c r="V10" s="76"/>
      <c r="W10" s="76"/>
      <c r="X10" s="76"/>
      <c r="Y10" s="76"/>
      <c r="Z10" s="76"/>
      <c r="AA10" s="76"/>
      <c r="AB10" s="76"/>
      <c r="AC10" s="674">
        <v>60000000</v>
      </c>
      <c r="AD10" s="76"/>
      <c r="AE10" s="76"/>
      <c r="AF10" s="77">
        <f>+S10+T10+U10+V10+W10+X10+Y10+Z10+AA10+AB10+AC10+AD10+AE10</f>
        <v>60000000</v>
      </c>
      <c r="AG10" s="3"/>
      <c r="AH10" s="3"/>
      <c r="AI10" s="3"/>
      <c r="AJ10" s="3"/>
      <c r="AK10" s="3"/>
      <c r="AL10" s="3"/>
      <c r="AM10" s="3"/>
    </row>
    <row r="11" spans="1:39" ht="116.25" customHeight="1" x14ac:dyDescent="0.2">
      <c r="A11" s="51"/>
      <c r="B11" s="65"/>
      <c r="C11" s="11"/>
      <c r="D11" s="78"/>
      <c r="E11" s="68"/>
      <c r="F11" s="69" t="s">
        <v>53</v>
      </c>
      <c r="G11" s="70" t="s">
        <v>62</v>
      </c>
      <c r="H11" s="71" t="s">
        <v>51</v>
      </c>
      <c r="I11" s="72" t="s">
        <v>63</v>
      </c>
      <c r="J11" s="73" t="s">
        <v>64</v>
      </c>
      <c r="K11" s="73" t="s">
        <v>51</v>
      </c>
      <c r="L11" s="72" t="s">
        <v>65</v>
      </c>
      <c r="M11" s="74" t="s">
        <v>58</v>
      </c>
      <c r="N11" s="75">
        <v>4</v>
      </c>
      <c r="O11" s="75">
        <v>4</v>
      </c>
      <c r="P11" s="74" t="s">
        <v>59</v>
      </c>
      <c r="Q11" s="74" t="s">
        <v>66</v>
      </c>
      <c r="R11" s="72" t="s">
        <v>67</v>
      </c>
      <c r="S11" s="76"/>
      <c r="T11" s="76"/>
      <c r="U11" s="76"/>
      <c r="V11" s="76"/>
      <c r="W11" s="76"/>
      <c r="X11" s="76"/>
      <c r="Y11" s="76"/>
      <c r="Z11" s="76"/>
      <c r="AA11" s="76"/>
      <c r="AB11" s="76"/>
      <c r="AC11" s="675">
        <v>31000000</v>
      </c>
      <c r="AD11" s="76"/>
      <c r="AE11" s="76"/>
      <c r="AF11" s="77">
        <f>+S11+T11+U11+V11+W11+X11+Y11+Z11+AA11+AB11+AC11+AD11+AE11</f>
        <v>31000000</v>
      </c>
      <c r="AG11" s="3"/>
      <c r="AH11" s="3"/>
      <c r="AI11" s="3"/>
      <c r="AJ11" s="3"/>
      <c r="AK11" s="3"/>
      <c r="AL11" s="3"/>
      <c r="AM11" s="3"/>
    </row>
    <row r="12" spans="1:39" ht="15.75" x14ac:dyDescent="0.2">
      <c r="A12" s="51"/>
      <c r="B12" s="79"/>
      <c r="C12" s="80">
        <v>42</v>
      </c>
      <c r="D12" s="81">
        <v>4502</v>
      </c>
      <c r="E12" s="82" t="s">
        <v>68</v>
      </c>
      <c r="F12" s="83"/>
      <c r="G12" s="84"/>
      <c r="H12" s="85"/>
      <c r="I12" s="59"/>
      <c r="J12" s="60"/>
      <c r="K12" s="60"/>
      <c r="L12" s="59"/>
      <c r="M12" s="61"/>
      <c r="N12" s="62"/>
      <c r="O12" s="57"/>
      <c r="P12" s="63"/>
      <c r="Q12" s="63"/>
      <c r="R12" s="59"/>
      <c r="S12" s="64">
        <f t="shared" ref="S12:AF12" si="3">SUM(S13)</f>
        <v>0</v>
      </c>
      <c r="T12" s="64">
        <f t="shared" si="3"/>
        <v>0</v>
      </c>
      <c r="U12" s="64">
        <f t="shared" si="3"/>
        <v>0</v>
      </c>
      <c r="V12" s="64">
        <f t="shared" si="3"/>
        <v>0</v>
      </c>
      <c r="W12" s="64">
        <f t="shared" si="3"/>
        <v>0</v>
      </c>
      <c r="X12" s="64">
        <f t="shared" si="3"/>
        <v>0</v>
      </c>
      <c r="Y12" s="64">
        <f t="shared" si="3"/>
        <v>0</v>
      </c>
      <c r="Z12" s="64">
        <f t="shared" si="3"/>
        <v>0</v>
      </c>
      <c r="AA12" s="64">
        <f t="shared" si="3"/>
        <v>0</v>
      </c>
      <c r="AB12" s="64">
        <f t="shared" si="3"/>
        <v>0</v>
      </c>
      <c r="AC12" s="676">
        <f t="shared" si="3"/>
        <v>55122927.600000001</v>
      </c>
      <c r="AD12" s="64">
        <f t="shared" si="3"/>
        <v>0</v>
      </c>
      <c r="AE12" s="64">
        <f t="shared" si="3"/>
        <v>0</v>
      </c>
      <c r="AF12" s="64">
        <f t="shared" si="3"/>
        <v>55122927.600000001</v>
      </c>
    </row>
    <row r="13" spans="1:39" ht="72.75" customHeight="1" x14ac:dyDescent="0.2">
      <c r="A13" s="86"/>
      <c r="B13" s="87"/>
      <c r="C13" s="88"/>
      <c r="D13" s="89"/>
      <c r="E13" s="68"/>
      <c r="F13" s="90" t="s">
        <v>69</v>
      </c>
      <c r="G13" s="71" t="s">
        <v>70</v>
      </c>
      <c r="H13" s="71" t="s">
        <v>51</v>
      </c>
      <c r="I13" s="72" t="s">
        <v>71</v>
      </c>
      <c r="J13" s="91" t="s">
        <v>72</v>
      </c>
      <c r="K13" s="91" t="s">
        <v>51</v>
      </c>
      <c r="L13" s="92" t="s">
        <v>73</v>
      </c>
      <c r="M13" s="74" t="s">
        <v>58</v>
      </c>
      <c r="N13" s="93">
        <v>1</v>
      </c>
      <c r="O13" s="75">
        <v>1</v>
      </c>
      <c r="P13" s="94" t="s">
        <v>74</v>
      </c>
      <c r="Q13" s="74" t="s">
        <v>75</v>
      </c>
      <c r="R13" s="72" t="s">
        <v>0</v>
      </c>
      <c r="S13" s="76"/>
      <c r="T13" s="76"/>
      <c r="U13" s="76"/>
      <c r="V13" s="76"/>
      <c r="W13" s="76"/>
      <c r="X13" s="76"/>
      <c r="Y13" s="76"/>
      <c r="Z13" s="76"/>
      <c r="AA13" s="76"/>
      <c r="AB13" s="76"/>
      <c r="AC13" s="677">
        <f>55122927.21+0.39</f>
        <v>55122927.600000001</v>
      </c>
      <c r="AD13" s="76"/>
      <c r="AE13" s="76"/>
      <c r="AF13" s="77">
        <f>+S13+T13+U13+V13+W13+X13+Y13+Z13+AA13+AB13+AC13+AD13+AE13</f>
        <v>55122927.600000001</v>
      </c>
      <c r="AG13" s="3"/>
      <c r="AH13" s="3"/>
      <c r="AI13" s="3"/>
      <c r="AJ13" s="3"/>
      <c r="AK13" s="3"/>
      <c r="AL13" s="3"/>
      <c r="AM13" s="3"/>
    </row>
    <row r="14" spans="1:39" ht="15.75" x14ac:dyDescent="0.2">
      <c r="B14" s="11"/>
      <c r="C14" s="11"/>
      <c r="D14" s="12"/>
      <c r="E14" s="95"/>
      <c r="F14" s="96"/>
      <c r="G14" s="97"/>
      <c r="H14" s="97"/>
      <c r="I14" s="98"/>
      <c r="J14" s="99"/>
      <c r="K14" s="99"/>
      <c r="L14" s="98"/>
      <c r="M14" s="100"/>
      <c r="N14" s="97"/>
      <c r="O14" s="101"/>
      <c r="P14" s="100"/>
      <c r="Q14" s="100"/>
      <c r="R14" s="102"/>
      <c r="S14" s="21"/>
      <c r="T14" s="21"/>
      <c r="U14" s="21"/>
      <c r="V14" s="21"/>
      <c r="W14" s="21"/>
      <c r="X14" s="21"/>
      <c r="Y14" s="21"/>
      <c r="Z14" s="21"/>
      <c r="AA14" s="21"/>
      <c r="AB14" s="21"/>
      <c r="AC14" s="22"/>
      <c r="AD14" s="21"/>
      <c r="AE14" s="21"/>
      <c r="AF14" s="103"/>
    </row>
    <row r="15" spans="1:39" s="37" customFormat="1" ht="15.75" x14ac:dyDescent="0.25">
      <c r="A15" s="23" t="s">
        <v>76</v>
      </c>
      <c r="B15" s="24"/>
      <c r="C15" s="25"/>
      <c r="D15" s="26"/>
      <c r="E15" s="27"/>
      <c r="F15" s="28"/>
      <c r="G15" s="29"/>
      <c r="H15" s="30"/>
      <c r="I15" s="31"/>
      <c r="J15" s="32"/>
      <c r="K15" s="32"/>
      <c r="L15" s="31"/>
      <c r="M15" s="104"/>
      <c r="N15" s="30"/>
      <c r="O15" s="29"/>
      <c r="P15" s="27"/>
      <c r="Q15" s="27"/>
      <c r="R15" s="31"/>
      <c r="S15" s="105">
        <f t="shared" ref="S15:AF15" si="4">S16</f>
        <v>0</v>
      </c>
      <c r="T15" s="105">
        <f t="shared" si="4"/>
        <v>0</v>
      </c>
      <c r="U15" s="105">
        <f t="shared" si="4"/>
        <v>0</v>
      </c>
      <c r="V15" s="105">
        <f t="shared" si="4"/>
        <v>0</v>
      </c>
      <c r="W15" s="105">
        <f t="shared" si="4"/>
        <v>0</v>
      </c>
      <c r="X15" s="105">
        <f t="shared" si="4"/>
        <v>0</v>
      </c>
      <c r="Y15" s="105">
        <f t="shared" si="4"/>
        <v>0</v>
      </c>
      <c r="Z15" s="105">
        <f t="shared" si="4"/>
        <v>0</v>
      </c>
      <c r="AA15" s="105">
        <f t="shared" si="4"/>
        <v>0</v>
      </c>
      <c r="AB15" s="105">
        <f t="shared" si="4"/>
        <v>0</v>
      </c>
      <c r="AC15" s="105">
        <f t="shared" si="4"/>
        <v>1063529522.3</v>
      </c>
      <c r="AD15" s="105">
        <f t="shared" si="4"/>
        <v>0</v>
      </c>
      <c r="AE15" s="105">
        <f t="shared" si="4"/>
        <v>0</v>
      </c>
      <c r="AF15" s="105">
        <f t="shared" si="4"/>
        <v>1063529522.3</v>
      </c>
      <c r="AG15" s="36"/>
      <c r="AH15" s="36"/>
      <c r="AI15" s="36"/>
      <c r="AJ15" s="36"/>
      <c r="AK15" s="36"/>
      <c r="AL15" s="36"/>
      <c r="AM15" s="36"/>
    </row>
    <row r="16" spans="1:39" ht="15.75" x14ac:dyDescent="0.2">
      <c r="A16" s="51"/>
      <c r="B16" s="106">
        <v>4</v>
      </c>
      <c r="C16" s="107" t="s">
        <v>77</v>
      </c>
      <c r="D16" s="108"/>
      <c r="E16" s="109"/>
      <c r="F16" s="110"/>
      <c r="G16" s="111"/>
      <c r="H16" s="112"/>
      <c r="I16" s="113"/>
      <c r="J16" s="114"/>
      <c r="K16" s="114"/>
      <c r="L16" s="113"/>
      <c r="M16" s="115"/>
      <c r="N16" s="116"/>
      <c r="O16" s="111"/>
      <c r="P16" s="109"/>
      <c r="Q16" s="109"/>
      <c r="R16" s="113"/>
      <c r="S16" s="117">
        <f t="shared" ref="S16:AF16" si="5">S17+S19</f>
        <v>0</v>
      </c>
      <c r="T16" s="117">
        <f t="shared" si="5"/>
        <v>0</v>
      </c>
      <c r="U16" s="117">
        <f t="shared" si="5"/>
        <v>0</v>
      </c>
      <c r="V16" s="117">
        <f t="shared" si="5"/>
        <v>0</v>
      </c>
      <c r="W16" s="117">
        <f t="shared" si="5"/>
        <v>0</v>
      </c>
      <c r="X16" s="117">
        <f t="shared" si="5"/>
        <v>0</v>
      </c>
      <c r="Y16" s="117">
        <f t="shared" si="5"/>
        <v>0</v>
      </c>
      <c r="Z16" s="117">
        <f t="shared" si="5"/>
        <v>0</v>
      </c>
      <c r="AA16" s="117">
        <f t="shared" si="5"/>
        <v>0</v>
      </c>
      <c r="AB16" s="117">
        <f t="shared" si="5"/>
        <v>0</v>
      </c>
      <c r="AC16" s="117">
        <f t="shared" si="5"/>
        <v>1063529522.3</v>
      </c>
      <c r="AD16" s="117">
        <f t="shared" si="5"/>
        <v>0</v>
      </c>
      <c r="AE16" s="117">
        <f t="shared" si="5"/>
        <v>0</v>
      </c>
      <c r="AF16" s="117">
        <f t="shared" si="5"/>
        <v>1063529522.3</v>
      </c>
    </row>
    <row r="17" spans="1:39" ht="15.75" x14ac:dyDescent="0.2">
      <c r="A17" s="51"/>
      <c r="B17" s="52"/>
      <c r="C17" s="53">
        <v>42</v>
      </c>
      <c r="D17" s="118">
        <v>4502</v>
      </c>
      <c r="E17" s="119" t="s">
        <v>68</v>
      </c>
      <c r="F17" s="83"/>
      <c r="G17" s="84"/>
      <c r="H17" s="120"/>
      <c r="I17" s="121"/>
      <c r="J17" s="122"/>
      <c r="K17" s="122"/>
      <c r="L17" s="121"/>
      <c r="M17" s="123"/>
      <c r="N17" s="124"/>
      <c r="O17" s="84"/>
      <c r="P17" s="125"/>
      <c r="Q17" s="125"/>
      <c r="R17" s="121"/>
      <c r="S17" s="126">
        <f t="shared" ref="S17:AF17" si="6">S18</f>
        <v>0</v>
      </c>
      <c r="T17" s="126">
        <f t="shared" si="6"/>
        <v>0</v>
      </c>
      <c r="U17" s="126">
        <f t="shared" si="6"/>
        <v>0</v>
      </c>
      <c r="V17" s="126">
        <f t="shared" si="6"/>
        <v>0</v>
      </c>
      <c r="W17" s="126">
        <f t="shared" si="6"/>
        <v>0</v>
      </c>
      <c r="X17" s="126">
        <f t="shared" si="6"/>
        <v>0</v>
      </c>
      <c r="Y17" s="126">
        <f t="shared" si="6"/>
        <v>0</v>
      </c>
      <c r="Z17" s="126">
        <f t="shared" si="6"/>
        <v>0</v>
      </c>
      <c r="AA17" s="126">
        <f t="shared" si="6"/>
        <v>0</v>
      </c>
      <c r="AB17" s="126">
        <f t="shared" si="6"/>
        <v>0</v>
      </c>
      <c r="AC17" s="126">
        <f t="shared" si="6"/>
        <v>200000000</v>
      </c>
      <c r="AD17" s="126">
        <f t="shared" si="6"/>
        <v>0</v>
      </c>
      <c r="AE17" s="126">
        <f t="shared" si="6"/>
        <v>0</v>
      </c>
      <c r="AF17" s="126">
        <f t="shared" si="6"/>
        <v>200000000</v>
      </c>
    </row>
    <row r="18" spans="1:39" ht="93.75" customHeight="1" x14ac:dyDescent="0.2">
      <c r="A18" s="51"/>
      <c r="B18" s="65"/>
      <c r="C18" s="127"/>
      <c r="D18" s="128"/>
      <c r="E18" s="68"/>
      <c r="F18" s="90" t="s">
        <v>78</v>
      </c>
      <c r="G18" s="129" t="s">
        <v>79</v>
      </c>
      <c r="H18" s="129" t="s">
        <v>51</v>
      </c>
      <c r="I18" s="130" t="s">
        <v>80</v>
      </c>
      <c r="J18" s="91" t="s">
        <v>81</v>
      </c>
      <c r="K18" s="91" t="s">
        <v>51</v>
      </c>
      <c r="L18" s="92" t="s">
        <v>82</v>
      </c>
      <c r="M18" s="74" t="s">
        <v>58</v>
      </c>
      <c r="N18" s="93">
        <v>1</v>
      </c>
      <c r="O18" s="75">
        <v>1</v>
      </c>
      <c r="P18" s="94" t="s">
        <v>74</v>
      </c>
      <c r="Q18" s="74" t="s">
        <v>83</v>
      </c>
      <c r="R18" s="130" t="s">
        <v>84</v>
      </c>
      <c r="S18" s="76"/>
      <c r="T18" s="76"/>
      <c r="U18" s="76"/>
      <c r="V18" s="76"/>
      <c r="W18" s="76"/>
      <c r="X18" s="76"/>
      <c r="Y18" s="76"/>
      <c r="Z18" s="76"/>
      <c r="AA18" s="76"/>
      <c r="AB18" s="76"/>
      <c r="AC18" s="132">
        <f>200000000</f>
        <v>200000000</v>
      </c>
      <c r="AD18" s="131"/>
      <c r="AE18" s="131"/>
      <c r="AF18" s="77">
        <f>+S18+T18+U18+V18+W18+X18+Y18+Z18+AA18+AB18+AC18+AD18+AE18</f>
        <v>200000000</v>
      </c>
      <c r="AG18" s="3"/>
      <c r="AH18" s="3"/>
      <c r="AI18" s="3"/>
      <c r="AJ18" s="3"/>
      <c r="AK18" s="3"/>
      <c r="AL18" s="3"/>
      <c r="AM18" s="3"/>
    </row>
    <row r="19" spans="1:39" ht="15.75" x14ac:dyDescent="0.2">
      <c r="A19" s="51"/>
      <c r="B19" s="79"/>
      <c r="C19" s="80">
        <v>45</v>
      </c>
      <c r="D19" s="81" t="s">
        <v>51</v>
      </c>
      <c r="E19" s="119" t="s">
        <v>85</v>
      </c>
      <c r="F19" s="83"/>
      <c r="G19" s="84"/>
      <c r="H19" s="120"/>
      <c r="I19" s="121"/>
      <c r="J19" s="122"/>
      <c r="K19" s="122"/>
      <c r="L19" s="121"/>
      <c r="M19" s="123"/>
      <c r="N19" s="124"/>
      <c r="O19" s="84"/>
      <c r="P19" s="125"/>
      <c r="Q19" s="125"/>
      <c r="R19" s="121"/>
      <c r="S19" s="126">
        <f t="shared" ref="S19:AF19" si="7">SUM(S20:S30)</f>
        <v>0</v>
      </c>
      <c r="T19" s="126">
        <f t="shared" si="7"/>
        <v>0</v>
      </c>
      <c r="U19" s="126">
        <f t="shared" si="7"/>
        <v>0</v>
      </c>
      <c r="V19" s="126">
        <f t="shared" si="7"/>
        <v>0</v>
      </c>
      <c r="W19" s="126">
        <f t="shared" si="7"/>
        <v>0</v>
      </c>
      <c r="X19" s="126">
        <f t="shared" si="7"/>
        <v>0</v>
      </c>
      <c r="Y19" s="126">
        <f t="shared" si="7"/>
        <v>0</v>
      </c>
      <c r="Z19" s="126">
        <f t="shared" si="7"/>
        <v>0</v>
      </c>
      <c r="AA19" s="126">
        <f t="shared" si="7"/>
        <v>0</v>
      </c>
      <c r="AB19" s="126">
        <f t="shared" si="7"/>
        <v>0</v>
      </c>
      <c r="AC19" s="126">
        <f t="shared" si="7"/>
        <v>863529522.29999995</v>
      </c>
      <c r="AD19" s="126">
        <f t="shared" si="7"/>
        <v>0</v>
      </c>
      <c r="AE19" s="126">
        <f t="shared" si="7"/>
        <v>0</v>
      </c>
      <c r="AF19" s="126">
        <f t="shared" si="7"/>
        <v>863529522.29999995</v>
      </c>
    </row>
    <row r="20" spans="1:39" ht="138.75" customHeight="1" x14ac:dyDescent="0.2">
      <c r="A20" s="51"/>
      <c r="B20" s="65"/>
      <c r="C20" s="133"/>
      <c r="D20" s="134"/>
      <c r="E20" s="68"/>
      <c r="F20" s="69" t="s">
        <v>53</v>
      </c>
      <c r="G20" s="135" t="s">
        <v>86</v>
      </c>
      <c r="H20" s="129" t="s">
        <v>51</v>
      </c>
      <c r="I20" s="90" t="s">
        <v>87</v>
      </c>
      <c r="J20" s="71" t="s">
        <v>88</v>
      </c>
      <c r="K20" s="71" t="s">
        <v>51</v>
      </c>
      <c r="L20" s="90" t="s">
        <v>89</v>
      </c>
      <c r="M20" s="136" t="s">
        <v>58</v>
      </c>
      <c r="N20" s="137">
        <v>1</v>
      </c>
      <c r="O20" s="71">
        <v>1</v>
      </c>
      <c r="P20" s="74" t="s">
        <v>59</v>
      </c>
      <c r="Q20" s="74" t="s">
        <v>90</v>
      </c>
      <c r="R20" s="130" t="s">
        <v>91</v>
      </c>
      <c r="S20" s="138"/>
      <c r="T20" s="138"/>
      <c r="U20" s="138"/>
      <c r="V20" s="138"/>
      <c r="W20" s="138"/>
      <c r="X20" s="138"/>
      <c r="Y20" s="138"/>
      <c r="Z20" s="138"/>
      <c r="AA20" s="138"/>
      <c r="AB20" s="138"/>
      <c r="AC20" s="139">
        <v>153233333</v>
      </c>
      <c r="AD20" s="138"/>
      <c r="AE20" s="138"/>
      <c r="AF20" s="77">
        <f t="shared" ref="AF20:AF30" si="8">+S20+T20+U20+V20+W20+X20+Y20+Z20+AA20+AB20+AC20+AD20+AE20</f>
        <v>153233333</v>
      </c>
      <c r="AG20" s="3"/>
      <c r="AH20" s="3"/>
      <c r="AI20" s="3"/>
      <c r="AJ20" s="3"/>
      <c r="AK20" s="3"/>
      <c r="AL20" s="3"/>
      <c r="AM20" s="3"/>
    </row>
    <row r="21" spans="1:39" s="150" customFormat="1" ht="151.5" customHeight="1" x14ac:dyDescent="0.2">
      <c r="A21" s="140"/>
      <c r="B21" s="141"/>
      <c r="C21" s="142"/>
      <c r="D21" s="143"/>
      <c r="E21" s="68"/>
      <c r="F21" s="69" t="s">
        <v>53</v>
      </c>
      <c r="G21" s="135" t="s">
        <v>86</v>
      </c>
      <c r="H21" s="129" t="s">
        <v>51</v>
      </c>
      <c r="I21" s="90" t="s">
        <v>92</v>
      </c>
      <c r="J21" s="71" t="s">
        <v>88</v>
      </c>
      <c r="K21" s="71" t="s">
        <v>51</v>
      </c>
      <c r="L21" s="90" t="s">
        <v>89</v>
      </c>
      <c r="M21" s="144" t="s">
        <v>58</v>
      </c>
      <c r="N21" s="145">
        <v>4</v>
      </c>
      <c r="O21" s="71">
        <v>4</v>
      </c>
      <c r="P21" s="74" t="s">
        <v>59</v>
      </c>
      <c r="Q21" s="146" t="s">
        <v>93</v>
      </c>
      <c r="R21" s="130" t="s">
        <v>94</v>
      </c>
      <c r="S21" s="147"/>
      <c r="T21" s="147"/>
      <c r="U21" s="147"/>
      <c r="V21" s="147"/>
      <c r="W21" s="147"/>
      <c r="X21" s="147"/>
      <c r="Y21" s="147"/>
      <c r="Z21" s="147"/>
      <c r="AA21" s="147"/>
      <c r="AB21" s="147"/>
      <c r="AC21" s="149">
        <f>85000000+120000000-20000000-30000000</f>
        <v>155000000</v>
      </c>
      <c r="AD21" s="148"/>
      <c r="AE21" s="148"/>
      <c r="AF21" s="77">
        <f t="shared" si="8"/>
        <v>155000000</v>
      </c>
    </row>
    <row r="22" spans="1:39" ht="66" customHeight="1" x14ac:dyDescent="0.2">
      <c r="A22" s="51"/>
      <c r="B22" s="65"/>
      <c r="C22" s="151"/>
      <c r="D22" s="152"/>
      <c r="E22" s="68"/>
      <c r="F22" s="69" t="s">
        <v>53</v>
      </c>
      <c r="G22" s="135" t="s">
        <v>95</v>
      </c>
      <c r="H22" s="129" t="s">
        <v>51</v>
      </c>
      <c r="I22" s="130" t="s">
        <v>96</v>
      </c>
      <c r="J22" s="74" t="s">
        <v>97</v>
      </c>
      <c r="K22" s="74" t="s">
        <v>51</v>
      </c>
      <c r="L22" s="130" t="s">
        <v>98</v>
      </c>
      <c r="M22" s="153" t="s">
        <v>58</v>
      </c>
      <c r="N22" s="154">
        <v>1</v>
      </c>
      <c r="O22" s="71">
        <v>1</v>
      </c>
      <c r="P22" s="74" t="s">
        <v>59</v>
      </c>
      <c r="Q22" s="74" t="s">
        <v>99</v>
      </c>
      <c r="R22" s="130" t="s">
        <v>100</v>
      </c>
      <c r="S22" s="76"/>
      <c r="T22" s="76"/>
      <c r="U22" s="76"/>
      <c r="V22" s="76"/>
      <c r="W22" s="76"/>
      <c r="X22" s="76"/>
      <c r="Y22" s="76"/>
      <c r="Z22" s="76"/>
      <c r="AA22" s="76"/>
      <c r="AB22" s="76"/>
      <c r="AC22" s="132">
        <v>40000000</v>
      </c>
      <c r="AD22" s="131"/>
      <c r="AE22" s="131"/>
      <c r="AF22" s="77">
        <f t="shared" si="8"/>
        <v>40000000</v>
      </c>
      <c r="AG22" s="3"/>
      <c r="AH22" s="3"/>
      <c r="AI22" s="3"/>
      <c r="AJ22" s="3"/>
      <c r="AK22" s="3"/>
      <c r="AL22" s="3"/>
      <c r="AM22" s="3"/>
    </row>
    <row r="23" spans="1:39" ht="58.5" customHeight="1" x14ac:dyDescent="0.2">
      <c r="A23" s="51"/>
      <c r="B23" s="65"/>
      <c r="C23" s="151"/>
      <c r="D23" s="152"/>
      <c r="E23" s="68"/>
      <c r="F23" s="69" t="s">
        <v>53</v>
      </c>
      <c r="G23" s="135" t="s">
        <v>101</v>
      </c>
      <c r="H23" s="129" t="s">
        <v>51</v>
      </c>
      <c r="I23" s="155" t="s">
        <v>102</v>
      </c>
      <c r="J23" s="156" t="s">
        <v>103</v>
      </c>
      <c r="K23" s="156" t="s">
        <v>51</v>
      </c>
      <c r="L23" s="155" t="s">
        <v>104</v>
      </c>
      <c r="M23" s="153" t="s">
        <v>58</v>
      </c>
      <c r="N23" s="157">
        <v>1</v>
      </c>
      <c r="O23" s="129">
        <v>1</v>
      </c>
      <c r="P23" s="74" t="s">
        <v>59</v>
      </c>
      <c r="Q23" s="74" t="s">
        <v>105</v>
      </c>
      <c r="R23" s="130" t="s">
        <v>106</v>
      </c>
      <c r="S23" s="76"/>
      <c r="T23" s="76"/>
      <c r="U23" s="76"/>
      <c r="V23" s="76"/>
      <c r="W23" s="76"/>
      <c r="X23" s="76"/>
      <c r="Y23" s="76"/>
      <c r="Z23" s="76"/>
      <c r="AA23" s="76"/>
      <c r="AB23" s="76"/>
      <c r="AC23" s="132">
        <f>300000000-50000000</f>
        <v>250000000</v>
      </c>
      <c r="AD23" s="131"/>
      <c r="AE23" s="131"/>
      <c r="AF23" s="77">
        <f t="shared" si="8"/>
        <v>250000000</v>
      </c>
      <c r="AG23" s="3"/>
      <c r="AH23" s="3"/>
      <c r="AI23" s="3"/>
      <c r="AJ23" s="3"/>
      <c r="AK23" s="3"/>
      <c r="AL23" s="3"/>
      <c r="AM23" s="3"/>
    </row>
    <row r="24" spans="1:39" ht="80.25" customHeight="1" x14ac:dyDescent="0.2">
      <c r="A24" s="51"/>
      <c r="B24" s="65"/>
      <c r="C24" s="151"/>
      <c r="D24" s="152"/>
      <c r="E24" s="68"/>
      <c r="F24" s="90" t="s">
        <v>107</v>
      </c>
      <c r="G24" s="129" t="s">
        <v>108</v>
      </c>
      <c r="H24" s="129" t="s">
        <v>51</v>
      </c>
      <c r="I24" s="130" t="s">
        <v>109</v>
      </c>
      <c r="J24" s="74" t="s">
        <v>110</v>
      </c>
      <c r="K24" s="74" t="s">
        <v>51</v>
      </c>
      <c r="L24" s="130" t="s">
        <v>111</v>
      </c>
      <c r="M24" s="153" t="s">
        <v>58</v>
      </c>
      <c r="N24" s="154">
        <v>12</v>
      </c>
      <c r="O24" s="71">
        <v>12</v>
      </c>
      <c r="P24" s="703" t="s">
        <v>59</v>
      </c>
      <c r="Q24" s="703" t="s">
        <v>112</v>
      </c>
      <c r="R24" s="706" t="s">
        <v>113</v>
      </c>
      <c r="S24" s="76"/>
      <c r="T24" s="76"/>
      <c r="U24" s="76"/>
      <c r="V24" s="76"/>
      <c r="W24" s="76"/>
      <c r="X24" s="76"/>
      <c r="Y24" s="76"/>
      <c r="Z24" s="76"/>
      <c r="AA24" s="76"/>
      <c r="AB24" s="76"/>
      <c r="AC24" s="132">
        <f>45000000-20000000+45000000+15000000-1675000-15000000</f>
        <v>68325000</v>
      </c>
      <c r="AD24" s="131"/>
      <c r="AE24" s="131"/>
      <c r="AF24" s="77">
        <f t="shared" si="8"/>
        <v>68325000</v>
      </c>
      <c r="AG24" s="3"/>
      <c r="AH24" s="3"/>
      <c r="AI24" s="3"/>
      <c r="AJ24" s="3"/>
      <c r="AK24" s="3"/>
      <c r="AL24" s="3"/>
      <c r="AM24" s="3"/>
    </row>
    <row r="25" spans="1:39" ht="80.25" customHeight="1" x14ac:dyDescent="0.2">
      <c r="A25" s="51"/>
      <c r="B25" s="65"/>
      <c r="C25" s="151"/>
      <c r="D25" s="152"/>
      <c r="E25" s="68"/>
      <c r="F25" s="90" t="s">
        <v>107</v>
      </c>
      <c r="G25" s="129" t="s">
        <v>114</v>
      </c>
      <c r="H25" s="129" t="s">
        <v>51</v>
      </c>
      <c r="I25" s="130" t="s">
        <v>115</v>
      </c>
      <c r="J25" s="74" t="s">
        <v>116</v>
      </c>
      <c r="K25" s="74" t="s">
        <v>51</v>
      </c>
      <c r="L25" s="130" t="s">
        <v>117</v>
      </c>
      <c r="M25" s="153" t="s">
        <v>58</v>
      </c>
      <c r="N25" s="154">
        <v>12</v>
      </c>
      <c r="O25" s="71">
        <v>12</v>
      </c>
      <c r="P25" s="704"/>
      <c r="Q25" s="704"/>
      <c r="R25" s="707"/>
      <c r="S25" s="76"/>
      <c r="T25" s="76"/>
      <c r="U25" s="76"/>
      <c r="V25" s="76"/>
      <c r="W25" s="76"/>
      <c r="X25" s="76"/>
      <c r="Y25" s="76"/>
      <c r="Z25" s="76"/>
      <c r="AA25" s="76"/>
      <c r="AB25" s="76"/>
      <c r="AC25" s="132">
        <v>15000000</v>
      </c>
      <c r="AD25" s="131"/>
      <c r="AE25" s="131"/>
      <c r="AF25" s="77">
        <f t="shared" si="8"/>
        <v>15000000</v>
      </c>
      <c r="AG25" s="3"/>
      <c r="AH25" s="3"/>
      <c r="AI25" s="3"/>
      <c r="AJ25" s="3"/>
      <c r="AK25" s="3"/>
      <c r="AL25" s="3"/>
      <c r="AM25" s="3"/>
    </row>
    <row r="26" spans="1:39" ht="66" customHeight="1" x14ac:dyDescent="0.2">
      <c r="A26" s="51"/>
      <c r="B26" s="65"/>
      <c r="C26" s="151"/>
      <c r="D26" s="152"/>
      <c r="E26" s="68"/>
      <c r="F26" s="90" t="s">
        <v>107</v>
      </c>
      <c r="G26" s="129" t="s">
        <v>118</v>
      </c>
      <c r="H26" s="129" t="s">
        <v>51</v>
      </c>
      <c r="I26" s="130" t="s">
        <v>119</v>
      </c>
      <c r="J26" s="74" t="s">
        <v>120</v>
      </c>
      <c r="K26" s="74" t="s">
        <v>51</v>
      </c>
      <c r="L26" s="130" t="s">
        <v>117</v>
      </c>
      <c r="M26" s="153" t="s">
        <v>58</v>
      </c>
      <c r="N26" s="154">
        <v>12</v>
      </c>
      <c r="O26" s="71">
        <v>12</v>
      </c>
      <c r="P26" s="704"/>
      <c r="Q26" s="704"/>
      <c r="R26" s="707"/>
      <c r="S26" s="76"/>
      <c r="T26" s="76"/>
      <c r="U26" s="76"/>
      <c r="V26" s="76"/>
      <c r="W26" s="76"/>
      <c r="X26" s="76"/>
      <c r="Y26" s="76"/>
      <c r="Z26" s="76"/>
      <c r="AA26" s="76"/>
      <c r="AB26" s="76"/>
      <c r="AC26" s="132">
        <f>45000000-22000000</f>
        <v>23000000</v>
      </c>
      <c r="AD26" s="131"/>
      <c r="AE26" s="131"/>
      <c r="AF26" s="77">
        <f t="shared" si="8"/>
        <v>23000000</v>
      </c>
      <c r="AG26" s="3"/>
      <c r="AH26" s="3"/>
      <c r="AI26" s="3"/>
      <c r="AJ26" s="3"/>
      <c r="AK26" s="3"/>
      <c r="AL26" s="3"/>
      <c r="AM26" s="3"/>
    </row>
    <row r="27" spans="1:39" ht="84.75" customHeight="1" x14ac:dyDescent="0.2">
      <c r="A27" s="51"/>
      <c r="B27" s="65"/>
      <c r="C27" s="151"/>
      <c r="D27" s="152"/>
      <c r="E27" s="68"/>
      <c r="F27" s="69" t="s">
        <v>107</v>
      </c>
      <c r="G27" s="158" t="s">
        <v>121</v>
      </c>
      <c r="H27" s="129" t="s">
        <v>51</v>
      </c>
      <c r="I27" s="130" t="s">
        <v>122</v>
      </c>
      <c r="J27" s="159" t="s">
        <v>123</v>
      </c>
      <c r="K27" s="91" t="s">
        <v>51</v>
      </c>
      <c r="L27" s="92" t="s">
        <v>117</v>
      </c>
      <c r="M27" s="153" t="s">
        <v>58</v>
      </c>
      <c r="N27" s="154">
        <v>12</v>
      </c>
      <c r="O27" s="71">
        <v>12</v>
      </c>
      <c r="P27" s="704"/>
      <c r="Q27" s="704"/>
      <c r="R27" s="707"/>
      <c r="S27" s="76"/>
      <c r="T27" s="76"/>
      <c r="U27" s="76"/>
      <c r="V27" s="76"/>
      <c r="W27" s="76"/>
      <c r="X27" s="76"/>
      <c r="Y27" s="76"/>
      <c r="Z27" s="76"/>
      <c r="AA27" s="76"/>
      <c r="AB27" s="76"/>
      <c r="AC27" s="132">
        <v>45000000</v>
      </c>
      <c r="AD27" s="131"/>
      <c r="AE27" s="131"/>
      <c r="AF27" s="77">
        <f t="shared" si="8"/>
        <v>45000000</v>
      </c>
      <c r="AG27" s="3"/>
      <c r="AH27" s="3"/>
      <c r="AI27" s="3"/>
      <c r="AJ27" s="3"/>
      <c r="AK27" s="3"/>
      <c r="AL27" s="3"/>
      <c r="AM27" s="3"/>
    </row>
    <row r="28" spans="1:39" ht="81" customHeight="1" x14ac:dyDescent="0.2">
      <c r="A28" s="51"/>
      <c r="B28" s="65"/>
      <c r="C28" s="151"/>
      <c r="D28" s="152"/>
      <c r="E28" s="68"/>
      <c r="F28" s="69" t="s">
        <v>107</v>
      </c>
      <c r="G28" s="160" t="s">
        <v>124</v>
      </c>
      <c r="H28" s="129" t="s">
        <v>51</v>
      </c>
      <c r="I28" s="130" t="s">
        <v>125</v>
      </c>
      <c r="J28" s="74" t="s">
        <v>126</v>
      </c>
      <c r="K28" s="74" t="s">
        <v>51</v>
      </c>
      <c r="L28" s="130" t="s">
        <v>117</v>
      </c>
      <c r="M28" s="153" t="s">
        <v>58</v>
      </c>
      <c r="N28" s="154">
        <v>12</v>
      </c>
      <c r="O28" s="71">
        <v>12</v>
      </c>
      <c r="P28" s="704"/>
      <c r="Q28" s="704"/>
      <c r="R28" s="707"/>
      <c r="S28" s="76"/>
      <c r="T28" s="76"/>
      <c r="U28" s="76"/>
      <c r="V28" s="76"/>
      <c r="W28" s="76"/>
      <c r="X28" s="76"/>
      <c r="Y28" s="76"/>
      <c r="Z28" s="76"/>
      <c r="AA28" s="76"/>
      <c r="AB28" s="76"/>
      <c r="AC28" s="132">
        <f>45000000-22000000</f>
        <v>23000000</v>
      </c>
      <c r="AD28" s="131"/>
      <c r="AE28" s="131"/>
      <c r="AF28" s="77">
        <f t="shared" si="8"/>
        <v>23000000</v>
      </c>
      <c r="AG28" s="3"/>
      <c r="AH28" s="3"/>
      <c r="AI28" s="3"/>
      <c r="AJ28" s="3"/>
      <c r="AK28" s="3"/>
      <c r="AL28" s="3"/>
      <c r="AM28" s="3"/>
    </row>
    <row r="29" spans="1:39" ht="65.25" customHeight="1" x14ac:dyDescent="0.2">
      <c r="A29" s="51"/>
      <c r="B29" s="65"/>
      <c r="C29" s="151"/>
      <c r="D29" s="152"/>
      <c r="E29" s="68"/>
      <c r="F29" s="90" t="s">
        <v>107</v>
      </c>
      <c r="G29" s="71" t="s">
        <v>127</v>
      </c>
      <c r="H29" s="71" t="s">
        <v>51</v>
      </c>
      <c r="I29" s="155" t="s">
        <v>128</v>
      </c>
      <c r="J29" s="74" t="s">
        <v>129</v>
      </c>
      <c r="K29" s="74" t="s">
        <v>51</v>
      </c>
      <c r="L29" s="130" t="s">
        <v>117</v>
      </c>
      <c r="M29" s="161" t="s">
        <v>58</v>
      </c>
      <c r="N29" s="154">
        <v>12</v>
      </c>
      <c r="O29" s="71">
        <v>12</v>
      </c>
      <c r="P29" s="705"/>
      <c r="Q29" s="704"/>
      <c r="R29" s="707"/>
      <c r="S29" s="163"/>
      <c r="T29" s="163"/>
      <c r="U29" s="163"/>
      <c r="V29" s="163"/>
      <c r="W29" s="163"/>
      <c r="X29" s="163"/>
      <c r="Y29" s="163"/>
      <c r="Z29" s="163"/>
      <c r="AA29" s="163"/>
      <c r="AB29" s="163"/>
      <c r="AC29" s="165">
        <f>17312255.29+267.01</f>
        <v>17312522.300000001</v>
      </c>
      <c r="AD29" s="164"/>
      <c r="AE29" s="164"/>
      <c r="AF29" s="166">
        <f t="shared" si="8"/>
        <v>17312522.300000001</v>
      </c>
      <c r="AG29" s="3"/>
      <c r="AH29" s="3"/>
      <c r="AI29" s="3"/>
      <c r="AJ29" s="3"/>
      <c r="AK29" s="3"/>
      <c r="AL29" s="3"/>
      <c r="AM29" s="3"/>
    </row>
    <row r="30" spans="1:39" ht="71.25" customHeight="1" x14ac:dyDescent="0.2">
      <c r="A30" s="86"/>
      <c r="B30" s="167"/>
      <c r="C30" s="168"/>
      <c r="D30" s="169"/>
      <c r="E30" s="68"/>
      <c r="F30" s="69" t="s">
        <v>53</v>
      </c>
      <c r="G30" s="170" t="s">
        <v>54</v>
      </c>
      <c r="H30" s="71" t="s">
        <v>51</v>
      </c>
      <c r="I30" s="130" t="s">
        <v>55</v>
      </c>
      <c r="J30" s="74" t="s">
        <v>56</v>
      </c>
      <c r="K30" s="74" t="s">
        <v>51</v>
      </c>
      <c r="L30" s="130" t="s">
        <v>57</v>
      </c>
      <c r="M30" s="153" t="s">
        <v>58</v>
      </c>
      <c r="N30" s="154">
        <v>18</v>
      </c>
      <c r="O30" s="71">
        <v>18</v>
      </c>
      <c r="P30" s="74" t="s">
        <v>59</v>
      </c>
      <c r="Q30" s="74" t="s">
        <v>130</v>
      </c>
      <c r="R30" s="130" t="s">
        <v>131</v>
      </c>
      <c r="S30" s="171"/>
      <c r="T30" s="171"/>
      <c r="U30" s="171"/>
      <c r="V30" s="171"/>
      <c r="W30" s="171"/>
      <c r="X30" s="171"/>
      <c r="Y30" s="171"/>
      <c r="Z30" s="171"/>
      <c r="AA30" s="171"/>
      <c r="AB30" s="171"/>
      <c r="AC30" s="172">
        <v>73658667</v>
      </c>
      <c r="AD30" s="171"/>
      <c r="AE30" s="171"/>
      <c r="AF30" s="77">
        <f t="shared" si="8"/>
        <v>73658667</v>
      </c>
      <c r="AG30" s="3"/>
      <c r="AH30" s="3"/>
      <c r="AI30" s="3"/>
      <c r="AJ30" s="3"/>
      <c r="AK30" s="3"/>
      <c r="AL30" s="3"/>
      <c r="AM30" s="3"/>
    </row>
    <row r="31" spans="1:39" ht="35.25" customHeight="1" x14ac:dyDescent="0.2">
      <c r="B31" s="173"/>
      <c r="C31" s="173"/>
      <c r="D31" s="174"/>
      <c r="E31" s="175"/>
      <c r="F31" s="176"/>
      <c r="G31" s="177"/>
      <c r="H31" s="178"/>
      <c r="I31" s="179"/>
      <c r="J31" s="180"/>
      <c r="K31" s="180"/>
      <c r="L31" s="179"/>
      <c r="M31" s="175"/>
      <c r="N31" s="178"/>
      <c r="O31" s="177"/>
      <c r="P31" s="175"/>
      <c r="Q31" s="175"/>
      <c r="R31" s="179"/>
      <c r="S31" s="181"/>
      <c r="T31" s="181"/>
      <c r="U31" s="181"/>
      <c r="V31" s="181"/>
      <c r="W31" s="181"/>
      <c r="X31" s="181"/>
      <c r="Y31" s="181"/>
      <c r="Z31" s="181"/>
      <c r="AA31" s="181"/>
      <c r="AB31" s="181"/>
      <c r="AC31" s="182"/>
      <c r="AD31" s="181"/>
      <c r="AF31" s="689"/>
    </row>
    <row r="32" spans="1:39" ht="15.75" x14ac:dyDescent="0.2">
      <c r="A32" s="183" t="s">
        <v>132</v>
      </c>
      <c r="B32" s="184"/>
      <c r="C32" s="185"/>
      <c r="D32" s="186"/>
      <c r="E32" s="187"/>
      <c r="F32" s="188"/>
      <c r="G32" s="189"/>
      <c r="H32" s="190"/>
      <c r="I32" s="191"/>
      <c r="J32" s="192"/>
      <c r="K32" s="192"/>
      <c r="L32" s="191"/>
      <c r="M32" s="104"/>
      <c r="N32" s="190"/>
      <c r="O32" s="189"/>
      <c r="P32" s="187"/>
      <c r="Q32" s="187"/>
      <c r="R32" s="191"/>
      <c r="S32" s="193">
        <f t="shared" ref="S32:AB33" si="9">S33</f>
        <v>0</v>
      </c>
      <c r="T32" s="193">
        <f t="shared" si="9"/>
        <v>0</v>
      </c>
      <c r="U32" s="193">
        <f t="shared" si="9"/>
        <v>0</v>
      </c>
      <c r="V32" s="193">
        <f t="shared" si="9"/>
        <v>0</v>
      </c>
      <c r="W32" s="193">
        <f t="shared" si="9"/>
        <v>0</v>
      </c>
      <c r="X32" s="193">
        <f t="shared" si="9"/>
        <v>0</v>
      </c>
      <c r="Y32" s="193">
        <f t="shared" si="9"/>
        <v>0</v>
      </c>
      <c r="Z32" s="193">
        <f t="shared" si="9"/>
        <v>0</v>
      </c>
      <c r="AA32" s="193">
        <f t="shared" si="9"/>
        <v>0</v>
      </c>
      <c r="AB32" s="193">
        <f t="shared" si="9"/>
        <v>0</v>
      </c>
      <c r="AC32" s="193">
        <f t="shared" ref="AC32:AD33" si="10">AC33</f>
        <v>2041134000</v>
      </c>
      <c r="AD32" s="193">
        <f t="shared" si="10"/>
        <v>0</v>
      </c>
      <c r="AE32" s="193">
        <f>AE33</f>
        <v>250000000</v>
      </c>
      <c r="AF32" s="193">
        <f t="shared" ref="AF32:AF33" si="11">AF33</f>
        <v>2291134000</v>
      </c>
    </row>
    <row r="33" spans="1:39" ht="15.75" x14ac:dyDescent="0.2">
      <c r="A33" s="51"/>
      <c r="B33" s="106">
        <v>4</v>
      </c>
      <c r="C33" s="107" t="s">
        <v>77</v>
      </c>
      <c r="D33" s="108"/>
      <c r="E33" s="109"/>
      <c r="F33" s="110"/>
      <c r="G33" s="111"/>
      <c r="H33" s="112"/>
      <c r="I33" s="113"/>
      <c r="J33" s="114"/>
      <c r="K33" s="114"/>
      <c r="L33" s="113"/>
      <c r="M33" s="115"/>
      <c r="N33" s="116"/>
      <c r="O33" s="111"/>
      <c r="P33" s="109"/>
      <c r="Q33" s="109"/>
      <c r="R33" s="113"/>
      <c r="S33" s="50">
        <f t="shared" si="9"/>
        <v>0</v>
      </c>
      <c r="T33" s="50">
        <f t="shared" si="9"/>
        <v>0</v>
      </c>
      <c r="U33" s="50">
        <f t="shared" si="9"/>
        <v>0</v>
      </c>
      <c r="V33" s="50">
        <f t="shared" si="9"/>
        <v>0</v>
      </c>
      <c r="W33" s="50">
        <f t="shared" si="9"/>
        <v>0</v>
      </c>
      <c r="X33" s="50">
        <f t="shared" si="9"/>
        <v>0</v>
      </c>
      <c r="Y33" s="50">
        <f t="shared" si="9"/>
        <v>0</v>
      </c>
      <c r="Z33" s="50">
        <f t="shared" si="9"/>
        <v>0</v>
      </c>
      <c r="AA33" s="50">
        <f t="shared" si="9"/>
        <v>0</v>
      </c>
      <c r="AB33" s="50">
        <f t="shared" si="9"/>
        <v>0</v>
      </c>
      <c r="AC33" s="50">
        <f t="shared" si="10"/>
        <v>2041134000</v>
      </c>
      <c r="AD33" s="50">
        <f t="shared" si="10"/>
        <v>0</v>
      </c>
      <c r="AE33" s="50">
        <f>AE34</f>
        <v>250000000</v>
      </c>
      <c r="AF33" s="50">
        <f t="shared" si="11"/>
        <v>2291134000</v>
      </c>
    </row>
    <row r="34" spans="1:39" ht="15.75" customHeight="1" x14ac:dyDescent="0.2">
      <c r="A34" s="51"/>
      <c r="B34" s="52"/>
      <c r="C34" s="194">
        <v>45</v>
      </c>
      <c r="D34" s="195" t="s">
        <v>51</v>
      </c>
      <c r="E34" s="119" t="s">
        <v>52</v>
      </c>
      <c r="F34" s="196"/>
      <c r="G34" s="196"/>
      <c r="H34" s="196"/>
      <c r="I34" s="196"/>
      <c r="J34" s="196"/>
      <c r="K34" s="196"/>
      <c r="L34" s="196"/>
      <c r="M34" s="196"/>
      <c r="N34" s="196"/>
      <c r="O34" s="196"/>
      <c r="P34" s="196"/>
      <c r="Q34" s="125"/>
      <c r="R34" s="121"/>
      <c r="S34" s="64">
        <f t="shared" ref="S34:AF34" si="12">SUM(S35:S36)</f>
        <v>0</v>
      </c>
      <c r="T34" s="64">
        <f t="shared" si="12"/>
        <v>0</v>
      </c>
      <c r="U34" s="64">
        <f t="shared" si="12"/>
        <v>0</v>
      </c>
      <c r="V34" s="64">
        <f t="shared" si="12"/>
        <v>0</v>
      </c>
      <c r="W34" s="64">
        <f t="shared" si="12"/>
        <v>0</v>
      </c>
      <c r="X34" s="64">
        <f t="shared" si="12"/>
        <v>0</v>
      </c>
      <c r="Y34" s="64">
        <f t="shared" si="12"/>
        <v>0</v>
      </c>
      <c r="Z34" s="64">
        <f t="shared" si="12"/>
        <v>0</v>
      </c>
      <c r="AA34" s="64">
        <f t="shared" si="12"/>
        <v>0</v>
      </c>
      <c r="AB34" s="64">
        <f t="shared" si="12"/>
        <v>0</v>
      </c>
      <c r="AC34" s="64">
        <f t="shared" si="12"/>
        <v>2041134000</v>
      </c>
      <c r="AD34" s="64">
        <f t="shared" si="12"/>
        <v>0</v>
      </c>
      <c r="AE34" s="64">
        <f t="shared" si="12"/>
        <v>250000000</v>
      </c>
      <c r="AF34" s="64">
        <f t="shared" si="12"/>
        <v>2291134000</v>
      </c>
    </row>
    <row r="35" spans="1:39" ht="69.75" customHeight="1" x14ac:dyDescent="0.2">
      <c r="A35" s="51"/>
      <c r="B35" s="197"/>
      <c r="C35" s="198"/>
      <c r="D35" s="67"/>
      <c r="E35" s="68"/>
      <c r="F35" s="90" t="s">
        <v>133</v>
      </c>
      <c r="G35" s="159" t="s">
        <v>134</v>
      </c>
      <c r="H35" s="71" t="s">
        <v>51</v>
      </c>
      <c r="I35" s="199" t="s">
        <v>135</v>
      </c>
      <c r="J35" s="159" t="s">
        <v>136</v>
      </c>
      <c r="K35" s="91" t="s">
        <v>51</v>
      </c>
      <c r="L35" s="92" t="s">
        <v>137</v>
      </c>
      <c r="M35" s="74" t="s">
        <v>58</v>
      </c>
      <c r="N35" s="71">
        <v>1</v>
      </c>
      <c r="O35" s="200">
        <v>1</v>
      </c>
      <c r="P35" s="74" t="s">
        <v>59</v>
      </c>
      <c r="Q35" s="74" t="s">
        <v>138</v>
      </c>
      <c r="R35" s="130" t="s">
        <v>139</v>
      </c>
      <c r="S35" s="201"/>
      <c r="T35" s="202"/>
      <c r="U35" s="203"/>
      <c r="V35" s="201"/>
      <c r="W35" s="201"/>
      <c r="X35" s="201"/>
      <c r="Y35" s="201"/>
      <c r="Z35" s="201"/>
      <c r="AA35" s="201"/>
      <c r="AB35" s="201"/>
      <c r="AC35" s="172">
        <v>1470270000</v>
      </c>
      <c r="AD35" s="201"/>
      <c r="AE35" s="204">
        <v>250000000</v>
      </c>
      <c r="AF35" s="77">
        <f>+S35+T35+U35+V35+W35+X35+Y35+Z35+AA35+AB35+AC35+AD35+AE35</f>
        <v>1720270000</v>
      </c>
      <c r="AG35" s="3"/>
      <c r="AH35" s="3"/>
      <c r="AI35" s="3"/>
      <c r="AJ35" s="3"/>
      <c r="AK35" s="3"/>
      <c r="AL35" s="3"/>
      <c r="AM35" s="3"/>
    </row>
    <row r="36" spans="1:39" ht="57.75" customHeight="1" x14ac:dyDescent="0.2">
      <c r="A36" s="86"/>
      <c r="B36" s="205"/>
      <c r="C36" s="205"/>
      <c r="D36" s="78"/>
      <c r="E36" s="68"/>
      <c r="F36" s="90" t="s">
        <v>133</v>
      </c>
      <c r="G36" s="159" t="s">
        <v>140</v>
      </c>
      <c r="H36" s="71" t="s">
        <v>51</v>
      </c>
      <c r="I36" s="206" t="s">
        <v>141</v>
      </c>
      <c r="J36" s="159" t="s">
        <v>142</v>
      </c>
      <c r="K36" s="91" t="s">
        <v>51</v>
      </c>
      <c r="L36" s="92" t="s">
        <v>143</v>
      </c>
      <c r="M36" s="74" t="s">
        <v>58</v>
      </c>
      <c r="N36" s="162">
        <v>1</v>
      </c>
      <c r="O36" s="207">
        <v>1</v>
      </c>
      <c r="P36" s="74" t="s">
        <v>59</v>
      </c>
      <c r="Q36" s="74" t="s">
        <v>144</v>
      </c>
      <c r="R36" s="130" t="s">
        <v>145</v>
      </c>
      <c r="S36" s="76"/>
      <c r="T36" s="76"/>
      <c r="U36" s="76"/>
      <c r="V36" s="76"/>
      <c r="W36" s="76"/>
      <c r="X36" s="76"/>
      <c r="Y36" s="76"/>
      <c r="Z36" s="76"/>
      <c r="AA36" s="76"/>
      <c r="AB36" s="76"/>
      <c r="AC36" s="208">
        <v>570864000</v>
      </c>
      <c r="AD36" s="131"/>
      <c r="AE36" s="131"/>
      <c r="AF36" s="77">
        <f>+S36+T36+U36+V36+W36+X36+Y36+Z36+AA36+AB36+AC36+AD36+AE36</f>
        <v>570864000</v>
      </c>
      <c r="AG36" s="3"/>
      <c r="AH36" s="3"/>
      <c r="AI36" s="3"/>
      <c r="AJ36" s="3"/>
      <c r="AK36" s="3"/>
      <c r="AL36" s="3"/>
      <c r="AM36" s="3"/>
    </row>
    <row r="37" spans="1:39" s="209" customFormat="1" ht="30" customHeight="1" x14ac:dyDescent="0.2">
      <c r="B37" s="210"/>
      <c r="C37" s="210"/>
      <c r="D37" s="211"/>
      <c r="F37" s="212"/>
      <c r="G37" s="213"/>
      <c r="H37" s="214"/>
      <c r="I37" s="215"/>
      <c r="J37" s="216"/>
      <c r="K37" s="216"/>
      <c r="L37" s="215"/>
      <c r="N37" s="217"/>
      <c r="O37" s="213"/>
      <c r="P37" s="218"/>
      <c r="Q37" s="218"/>
      <c r="R37" s="215"/>
      <c r="AF37" s="690"/>
      <c r="AG37" s="219"/>
      <c r="AH37" s="219"/>
      <c r="AI37" s="219"/>
      <c r="AJ37" s="219"/>
      <c r="AK37" s="219"/>
      <c r="AL37" s="219"/>
      <c r="AM37" s="219"/>
    </row>
    <row r="38" spans="1:39" ht="15.75" x14ac:dyDescent="0.2">
      <c r="A38" s="23" t="s">
        <v>146</v>
      </c>
      <c r="B38" s="24"/>
      <c r="C38" s="25"/>
      <c r="D38" s="26"/>
      <c r="E38" s="27"/>
      <c r="F38" s="28"/>
      <c r="G38" s="29"/>
      <c r="H38" s="30"/>
      <c r="I38" s="31"/>
      <c r="J38" s="32"/>
      <c r="K38" s="32"/>
      <c r="L38" s="31"/>
      <c r="M38" s="104"/>
      <c r="N38" s="30"/>
      <c r="O38" s="29"/>
      <c r="P38" s="27"/>
      <c r="Q38" s="27"/>
      <c r="R38" s="31"/>
      <c r="S38" s="193">
        <f t="shared" ref="S38:AF38" si="13">S39+S52+S57+S72</f>
        <v>7091007448.6499996</v>
      </c>
      <c r="T38" s="193">
        <f t="shared" si="13"/>
        <v>0</v>
      </c>
      <c r="U38" s="193">
        <f t="shared" si="13"/>
        <v>958872976.11000001</v>
      </c>
      <c r="V38" s="193">
        <f t="shared" si="13"/>
        <v>0</v>
      </c>
      <c r="W38" s="193">
        <f t="shared" si="13"/>
        <v>0</v>
      </c>
      <c r="X38" s="193">
        <f t="shared" si="13"/>
        <v>0</v>
      </c>
      <c r="Y38" s="193">
        <f t="shared" si="13"/>
        <v>0</v>
      </c>
      <c r="Z38" s="193">
        <f t="shared" si="13"/>
        <v>0</v>
      </c>
      <c r="AA38" s="193">
        <f t="shared" si="13"/>
        <v>0</v>
      </c>
      <c r="AB38" s="193">
        <f t="shared" si="13"/>
        <v>2686652877.1199999</v>
      </c>
      <c r="AC38" s="193">
        <f t="shared" si="13"/>
        <v>580123597.74000001</v>
      </c>
      <c r="AD38" s="193">
        <f t="shared" si="13"/>
        <v>60660648</v>
      </c>
      <c r="AE38" s="193">
        <f t="shared" si="13"/>
        <v>0</v>
      </c>
      <c r="AF38" s="193">
        <f t="shared" si="13"/>
        <v>11377317547.619999</v>
      </c>
    </row>
    <row r="39" spans="1:39" ht="15.75" x14ac:dyDescent="0.2">
      <c r="A39" s="51"/>
      <c r="B39" s="106">
        <v>1</v>
      </c>
      <c r="C39" s="107" t="s">
        <v>1</v>
      </c>
      <c r="D39" s="108"/>
      <c r="E39" s="109"/>
      <c r="F39" s="110"/>
      <c r="G39" s="111"/>
      <c r="H39" s="112"/>
      <c r="I39" s="113"/>
      <c r="J39" s="114"/>
      <c r="K39" s="114"/>
      <c r="L39" s="113"/>
      <c r="M39" s="115"/>
      <c r="N39" s="116"/>
      <c r="O39" s="111"/>
      <c r="P39" s="109"/>
      <c r="Q39" s="109"/>
      <c r="R39" s="113"/>
      <c r="S39" s="50">
        <f t="shared" ref="S39:AF39" si="14">S40+S42+S44+S48+S50+S46</f>
        <v>5912411283.6499996</v>
      </c>
      <c r="T39" s="50">
        <f t="shared" si="14"/>
        <v>0</v>
      </c>
      <c r="U39" s="50">
        <f t="shared" si="14"/>
        <v>0</v>
      </c>
      <c r="V39" s="50">
        <f t="shared" si="14"/>
        <v>0</v>
      </c>
      <c r="W39" s="50">
        <f t="shared" si="14"/>
        <v>0</v>
      </c>
      <c r="X39" s="50">
        <f t="shared" si="14"/>
        <v>0</v>
      </c>
      <c r="Y39" s="50">
        <f t="shared" si="14"/>
        <v>0</v>
      </c>
      <c r="Z39" s="50">
        <f t="shared" si="14"/>
        <v>0</v>
      </c>
      <c r="AA39" s="50">
        <f t="shared" si="14"/>
        <v>0</v>
      </c>
      <c r="AB39" s="50">
        <f t="shared" si="14"/>
        <v>0</v>
      </c>
      <c r="AC39" s="50">
        <f t="shared" si="14"/>
        <v>55000000</v>
      </c>
      <c r="AD39" s="50">
        <f t="shared" si="14"/>
        <v>0</v>
      </c>
      <c r="AE39" s="50">
        <f t="shared" si="14"/>
        <v>0</v>
      </c>
      <c r="AF39" s="50">
        <f t="shared" si="14"/>
        <v>5967411283.6499996</v>
      </c>
    </row>
    <row r="40" spans="1:39" ht="15.75" x14ac:dyDescent="0.2">
      <c r="A40" s="51"/>
      <c r="B40" s="52"/>
      <c r="C40" s="220">
        <v>1</v>
      </c>
      <c r="D40" s="84">
        <v>1202</v>
      </c>
      <c r="E40" s="119" t="s">
        <v>147</v>
      </c>
      <c r="F40" s="83"/>
      <c r="G40" s="84"/>
      <c r="H40" s="120"/>
      <c r="I40" s="121"/>
      <c r="J40" s="122"/>
      <c r="K40" s="122"/>
      <c r="L40" s="121"/>
      <c r="M40" s="221"/>
      <c r="N40" s="222"/>
      <c r="O40" s="84"/>
      <c r="P40" s="125"/>
      <c r="Q40" s="125"/>
      <c r="R40" s="121"/>
      <c r="S40" s="64">
        <f t="shared" ref="S40:AF40" si="15">S41</f>
        <v>0</v>
      </c>
      <c r="T40" s="64">
        <f t="shared" si="15"/>
        <v>0</v>
      </c>
      <c r="U40" s="64">
        <f t="shared" si="15"/>
        <v>0</v>
      </c>
      <c r="V40" s="64">
        <f t="shared" si="15"/>
        <v>0</v>
      </c>
      <c r="W40" s="64">
        <f t="shared" si="15"/>
        <v>0</v>
      </c>
      <c r="X40" s="64">
        <f t="shared" si="15"/>
        <v>0</v>
      </c>
      <c r="Y40" s="64">
        <f t="shared" si="15"/>
        <v>0</v>
      </c>
      <c r="Z40" s="64">
        <f t="shared" si="15"/>
        <v>0</v>
      </c>
      <c r="AA40" s="64">
        <f t="shared" si="15"/>
        <v>0</v>
      </c>
      <c r="AB40" s="64">
        <f t="shared" si="15"/>
        <v>0</v>
      </c>
      <c r="AC40" s="64">
        <f t="shared" si="15"/>
        <v>3000000</v>
      </c>
      <c r="AD40" s="64">
        <f t="shared" si="15"/>
        <v>0</v>
      </c>
      <c r="AE40" s="64">
        <f t="shared" si="15"/>
        <v>0</v>
      </c>
      <c r="AF40" s="64">
        <f t="shared" si="15"/>
        <v>3000000</v>
      </c>
    </row>
    <row r="41" spans="1:39" ht="171" customHeight="1" x14ac:dyDescent="0.2">
      <c r="A41" s="51"/>
      <c r="B41" s="65"/>
      <c r="C41" s="223"/>
      <c r="D41" s="224"/>
      <c r="E41" s="156"/>
      <c r="F41" s="225" t="s">
        <v>148</v>
      </c>
      <c r="G41" s="75" t="s">
        <v>149</v>
      </c>
      <c r="H41" s="71" t="s">
        <v>51</v>
      </c>
      <c r="I41" s="226" t="s">
        <v>150</v>
      </c>
      <c r="J41" s="75" t="s">
        <v>151</v>
      </c>
      <c r="K41" s="75" t="s">
        <v>51</v>
      </c>
      <c r="L41" s="227" t="s">
        <v>152</v>
      </c>
      <c r="M41" s="228" t="s">
        <v>153</v>
      </c>
      <c r="N41" s="93">
        <v>12</v>
      </c>
      <c r="O41" s="75">
        <v>1</v>
      </c>
      <c r="P41" s="94" t="s">
        <v>154</v>
      </c>
      <c r="Q41" s="74" t="s">
        <v>155</v>
      </c>
      <c r="R41" s="130" t="s">
        <v>156</v>
      </c>
      <c r="S41" s="229"/>
      <c r="T41" s="76"/>
      <c r="U41" s="76"/>
      <c r="V41" s="76"/>
      <c r="W41" s="76"/>
      <c r="X41" s="76"/>
      <c r="Y41" s="76"/>
      <c r="Z41" s="76"/>
      <c r="AA41" s="76"/>
      <c r="AB41" s="76"/>
      <c r="AC41" s="172">
        <v>3000000</v>
      </c>
      <c r="AD41" s="76"/>
      <c r="AE41" s="230"/>
      <c r="AF41" s="77">
        <f>+S41+T41+U41+V41+W41+X41+Y41+Z41+AA41+AB41+AC41+AD41+AE41</f>
        <v>3000000</v>
      </c>
      <c r="AG41" s="3"/>
      <c r="AH41" s="3"/>
      <c r="AI41" s="3"/>
      <c r="AJ41" s="3"/>
      <c r="AK41" s="3"/>
      <c r="AL41" s="3"/>
      <c r="AM41" s="3"/>
    </row>
    <row r="42" spans="1:39" ht="15.75" x14ac:dyDescent="0.2">
      <c r="A42" s="51"/>
      <c r="B42" s="79"/>
      <c r="C42" s="220">
        <v>13</v>
      </c>
      <c r="D42" s="84">
        <v>1906</v>
      </c>
      <c r="E42" s="119" t="s">
        <v>157</v>
      </c>
      <c r="F42" s="83"/>
      <c r="G42" s="84"/>
      <c r="H42" s="120"/>
      <c r="I42" s="121"/>
      <c r="J42" s="122"/>
      <c r="K42" s="122"/>
      <c r="L42" s="121"/>
      <c r="M42" s="221"/>
      <c r="N42" s="222"/>
      <c r="O42" s="84"/>
      <c r="P42" s="125"/>
      <c r="Q42" s="125"/>
      <c r="R42" s="121"/>
      <c r="S42" s="64">
        <f t="shared" ref="S42:AF42" si="16">S43</f>
        <v>0</v>
      </c>
      <c r="T42" s="64">
        <f t="shared" si="16"/>
        <v>0</v>
      </c>
      <c r="U42" s="64">
        <f t="shared" si="16"/>
        <v>0</v>
      </c>
      <c r="V42" s="64">
        <f t="shared" si="16"/>
        <v>0</v>
      </c>
      <c r="W42" s="64">
        <f t="shared" si="16"/>
        <v>0</v>
      </c>
      <c r="X42" s="64">
        <f t="shared" si="16"/>
        <v>0</v>
      </c>
      <c r="Y42" s="64">
        <f t="shared" si="16"/>
        <v>0</v>
      </c>
      <c r="Z42" s="64">
        <f t="shared" si="16"/>
        <v>0</v>
      </c>
      <c r="AA42" s="64">
        <f t="shared" si="16"/>
        <v>0</v>
      </c>
      <c r="AB42" s="64">
        <f t="shared" si="16"/>
        <v>0</v>
      </c>
      <c r="AC42" s="64">
        <f t="shared" si="16"/>
        <v>2000000</v>
      </c>
      <c r="AD42" s="64">
        <f t="shared" si="16"/>
        <v>0</v>
      </c>
      <c r="AE42" s="64">
        <f t="shared" si="16"/>
        <v>0</v>
      </c>
      <c r="AF42" s="64">
        <f t="shared" si="16"/>
        <v>2000000</v>
      </c>
    </row>
    <row r="43" spans="1:39" ht="73.5" customHeight="1" x14ac:dyDescent="0.2">
      <c r="A43" s="51"/>
      <c r="B43" s="65"/>
      <c r="C43" s="223"/>
      <c r="D43" s="224"/>
      <c r="E43" s="156"/>
      <c r="F43" s="69" t="s">
        <v>158</v>
      </c>
      <c r="G43" s="70" t="s">
        <v>159</v>
      </c>
      <c r="H43" s="71" t="s">
        <v>51</v>
      </c>
      <c r="I43" s="226" t="s">
        <v>160</v>
      </c>
      <c r="J43" s="231" t="s">
        <v>161</v>
      </c>
      <c r="K43" s="232" t="s">
        <v>51</v>
      </c>
      <c r="L43" s="233" t="s">
        <v>162</v>
      </c>
      <c r="M43" s="228" t="s">
        <v>153</v>
      </c>
      <c r="N43" s="93">
        <v>5</v>
      </c>
      <c r="O43" s="75">
        <v>2</v>
      </c>
      <c r="P43" s="94" t="s">
        <v>163</v>
      </c>
      <c r="Q43" s="74" t="s">
        <v>164</v>
      </c>
      <c r="R43" s="72" t="s">
        <v>165</v>
      </c>
      <c r="S43" s="229"/>
      <c r="T43" s="76"/>
      <c r="U43" s="76"/>
      <c r="V43" s="76"/>
      <c r="W43" s="76"/>
      <c r="X43" s="76"/>
      <c r="Y43" s="76"/>
      <c r="Z43" s="76"/>
      <c r="AA43" s="76"/>
      <c r="AB43" s="76"/>
      <c r="AC43" s="172">
        <v>2000000</v>
      </c>
      <c r="AD43" s="76"/>
      <c r="AE43" s="230"/>
      <c r="AF43" s="77">
        <f>+S43+T43+U43+V43+W43+X43+Y43+Z43+AA43+AB43+AC43+AD43+AE43</f>
        <v>2000000</v>
      </c>
      <c r="AG43" s="3"/>
      <c r="AH43" s="3"/>
      <c r="AI43" s="3"/>
      <c r="AJ43" s="3"/>
      <c r="AK43" s="3"/>
      <c r="AL43" s="3"/>
      <c r="AM43" s="3"/>
    </row>
    <row r="44" spans="1:39" ht="15.75" x14ac:dyDescent="0.2">
      <c r="A44" s="51"/>
      <c r="B44" s="79"/>
      <c r="C44" s="220">
        <v>15</v>
      </c>
      <c r="D44" s="84">
        <v>2201</v>
      </c>
      <c r="E44" s="119" t="s">
        <v>166</v>
      </c>
      <c r="F44" s="83"/>
      <c r="G44" s="84"/>
      <c r="H44" s="120"/>
      <c r="I44" s="121" t="s">
        <v>167</v>
      </c>
      <c r="J44" s="122"/>
      <c r="K44" s="122"/>
      <c r="L44" s="121"/>
      <c r="M44" s="221"/>
      <c r="N44" s="222"/>
      <c r="O44" s="84"/>
      <c r="P44" s="125"/>
      <c r="Q44" s="125"/>
      <c r="R44" s="121"/>
      <c r="S44" s="64">
        <f t="shared" ref="S44:AF44" si="17">S45</f>
        <v>2575091000</v>
      </c>
      <c r="T44" s="64">
        <f t="shared" si="17"/>
        <v>0</v>
      </c>
      <c r="U44" s="64">
        <f t="shared" si="17"/>
        <v>0</v>
      </c>
      <c r="V44" s="64">
        <f t="shared" si="17"/>
        <v>0</v>
      </c>
      <c r="W44" s="64">
        <f t="shared" si="17"/>
        <v>0</v>
      </c>
      <c r="X44" s="64">
        <f t="shared" si="17"/>
        <v>0</v>
      </c>
      <c r="Y44" s="64">
        <f t="shared" si="17"/>
        <v>0</v>
      </c>
      <c r="Z44" s="64">
        <f t="shared" si="17"/>
        <v>0</v>
      </c>
      <c r="AA44" s="64">
        <f t="shared" si="17"/>
        <v>0</v>
      </c>
      <c r="AB44" s="64">
        <f t="shared" si="17"/>
        <v>0</v>
      </c>
      <c r="AC44" s="64">
        <f t="shared" si="17"/>
        <v>0</v>
      </c>
      <c r="AD44" s="64">
        <f t="shared" si="17"/>
        <v>0</v>
      </c>
      <c r="AE44" s="64">
        <f t="shared" si="17"/>
        <v>0</v>
      </c>
      <c r="AF44" s="64">
        <f t="shared" si="17"/>
        <v>2575091000</v>
      </c>
    </row>
    <row r="45" spans="1:39" ht="101.25" customHeight="1" x14ac:dyDescent="0.2">
      <c r="A45" s="51"/>
      <c r="B45" s="65"/>
      <c r="C45" s="223"/>
      <c r="D45" s="224"/>
      <c r="E45" s="156"/>
      <c r="F45" s="69" t="s">
        <v>168</v>
      </c>
      <c r="G45" s="70" t="s">
        <v>169</v>
      </c>
      <c r="H45" s="71" t="s">
        <v>51</v>
      </c>
      <c r="I45" s="130" t="s">
        <v>170</v>
      </c>
      <c r="J45" s="156" t="s">
        <v>171</v>
      </c>
      <c r="K45" s="156" t="s">
        <v>51</v>
      </c>
      <c r="L45" s="155" t="s">
        <v>172</v>
      </c>
      <c r="M45" s="228" t="s">
        <v>153</v>
      </c>
      <c r="N45" s="234">
        <v>54</v>
      </c>
      <c r="O45" s="129">
        <v>9</v>
      </c>
      <c r="P45" s="156" t="s">
        <v>173</v>
      </c>
      <c r="Q45" s="74" t="s">
        <v>174</v>
      </c>
      <c r="R45" s="130" t="s">
        <v>175</v>
      </c>
      <c r="S45" s="229">
        <v>2575091000</v>
      </c>
      <c r="T45" s="76"/>
      <c r="U45" s="76"/>
      <c r="V45" s="76"/>
      <c r="W45" s="76"/>
      <c r="X45" s="76"/>
      <c r="Y45" s="76"/>
      <c r="Z45" s="76"/>
      <c r="AA45" s="76"/>
      <c r="AB45" s="76"/>
      <c r="AC45" s="172"/>
      <c r="AD45" s="76"/>
      <c r="AE45" s="230"/>
      <c r="AF45" s="77">
        <f>+S45+T45+U45+V45+W45+X45+Y45+Z45+AA45+AB45+AC45+AD45+AE45</f>
        <v>2575091000</v>
      </c>
      <c r="AG45" s="3"/>
      <c r="AH45" s="3"/>
      <c r="AI45" s="3"/>
      <c r="AJ45" s="3"/>
      <c r="AK45" s="3"/>
      <c r="AL45" s="3"/>
      <c r="AM45" s="3"/>
    </row>
    <row r="46" spans="1:39" ht="15.75" x14ac:dyDescent="0.2">
      <c r="A46" s="51"/>
      <c r="B46" s="79"/>
      <c r="C46" s="235">
        <v>25</v>
      </c>
      <c r="D46" s="84">
        <v>3301</v>
      </c>
      <c r="E46" s="119" t="s">
        <v>176</v>
      </c>
      <c r="F46" s="83"/>
      <c r="G46" s="84"/>
      <c r="H46" s="120"/>
      <c r="I46" s="121"/>
      <c r="J46" s="122"/>
      <c r="K46" s="122"/>
      <c r="L46" s="121"/>
      <c r="M46" s="123"/>
      <c r="N46" s="124"/>
      <c r="O46" s="84"/>
      <c r="P46" s="125"/>
      <c r="Q46" s="125"/>
      <c r="R46" s="121"/>
      <c r="S46" s="64">
        <f t="shared" ref="S46:AF46" si="18">S47</f>
        <v>0</v>
      </c>
      <c r="T46" s="64">
        <f t="shared" si="18"/>
        <v>0</v>
      </c>
      <c r="U46" s="64">
        <f t="shared" si="18"/>
        <v>0</v>
      </c>
      <c r="V46" s="64">
        <f t="shared" si="18"/>
        <v>0</v>
      </c>
      <c r="W46" s="64">
        <f t="shared" si="18"/>
        <v>0</v>
      </c>
      <c r="X46" s="64">
        <f t="shared" si="18"/>
        <v>0</v>
      </c>
      <c r="Y46" s="64">
        <f t="shared" si="18"/>
        <v>0</v>
      </c>
      <c r="Z46" s="64">
        <f t="shared" si="18"/>
        <v>0</v>
      </c>
      <c r="AA46" s="64">
        <f t="shared" si="18"/>
        <v>0</v>
      </c>
      <c r="AB46" s="64">
        <f t="shared" si="18"/>
        <v>0</v>
      </c>
      <c r="AC46" s="64">
        <f t="shared" si="18"/>
        <v>50000000</v>
      </c>
      <c r="AD46" s="64">
        <f t="shared" si="18"/>
        <v>0</v>
      </c>
      <c r="AE46" s="64">
        <f t="shared" si="18"/>
        <v>0</v>
      </c>
      <c r="AF46" s="64">
        <f t="shared" si="18"/>
        <v>50000000</v>
      </c>
    </row>
    <row r="47" spans="1:39" ht="96" customHeight="1" x14ac:dyDescent="0.2">
      <c r="A47" s="51"/>
      <c r="B47" s="65"/>
      <c r="C47" s="236"/>
      <c r="D47" s="89"/>
      <c r="E47" s="237"/>
      <c r="F47" s="69" t="s">
        <v>177</v>
      </c>
      <c r="G47" s="170" t="s">
        <v>178</v>
      </c>
      <c r="H47" s="71" t="s">
        <v>179</v>
      </c>
      <c r="I47" s="130" t="s">
        <v>180</v>
      </c>
      <c r="J47" s="238" t="s">
        <v>181</v>
      </c>
      <c r="K47" s="238" t="s">
        <v>182</v>
      </c>
      <c r="L47" s="239" t="s">
        <v>183</v>
      </c>
      <c r="M47" s="74" t="s">
        <v>153</v>
      </c>
      <c r="N47" s="93">
        <v>10</v>
      </c>
      <c r="O47" s="238">
        <v>1</v>
      </c>
      <c r="P47" s="156" t="s">
        <v>184</v>
      </c>
      <c r="Q47" s="74" t="s">
        <v>174</v>
      </c>
      <c r="R47" s="130" t="s">
        <v>175</v>
      </c>
      <c r="S47" s="76"/>
      <c r="T47" s="76"/>
      <c r="U47" s="76"/>
      <c r="V47" s="76"/>
      <c r="W47" s="76"/>
      <c r="X47" s="76"/>
      <c r="Y47" s="76"/>
      <c r="Z47" s="76"/>
      <c r="AA47" s="76"/>
      <c r="AB47" s="76"/>
      <c r="AC47" s="240">
        <f>20000000+30000000</f>
        <v>50000000</v>
      </c>
      <c r="AD47" s="131"/>
      <c r="AE47" s="131"/>
      <c r="AF47" s="77">
        <f>+S47+T47+U47+V47+W47+X47+Y47+Z47+AA47+AB47+AC47+AD47+AE47</f>
        <v>50000000</v>
      </c>
      <c r="AG47" s="3"/>
      <c r="AH47" s="3"/>
      <c r="AI47" s="3"/>
      <c r="AJ47" s="3"/>
      <c r="AK47" s="3"/>
      <c r="AL47" s="3"/>
      <c r="AM47" s="3"/>
    </row>
    <row r="48" spans="1:39" ht="15.75" x14ac:dyDescent="0.2">
      <c r="A48" s="51"/>
      <c r="B48" s="79"/>
      <c r="C48" s="235">
        <v>39</v>
      </c>
      <c r="D48" s="84">
        <v>4301</v>
      </c>
      <c r="E48" s="119" t="s">
        <v>185</v>
      </c>
      <c r="F48" s="83"/>
      <c r="G48" s="84"/>
      <c r="H48" s="120"/>
      <c r="I48" s="121"/>
      <c r="J48" s="122"/>
      <c r="K48" s="122"/>
      <c r="L48" s="121"/>
      <c r="M48" s="221"/>
      <c r="N48" s="222"/>
      <c r="O48" s="84"/>
      <c r="P48" s="125"/>
      <c r="Q48" s="241"/>
      <c r="R48" s="242"/>
      <c r="S48" s="64">
        <f t="shared" ref="S48:AF48" si="19">S49</f>
        <v>1668660142</v>
      </c>
      <c r="T48" s="64">
        <f t="shared" si="19"/>
        <v>0</v>
      </c>
      <c r="U48" s="64">
        <f t="shared" si="19"/>
        <v>0</v>
      </c>
      <c r="V48" s="64">
        <f t="shared" si="19"/>
        <v>0</v>
      </c>
      <c r="W48" s="64">
        <f t="shared" si="19"/>
        <v>0</v>
      </c>
      <c r="X48" s="64">
        <f t="shared" si="19"/>
        <v>0</v>
      </c>
      <c r="Y48" s="64">
        <f t="shared" si="19"/>
        <v>0</v>
      </c>
      <c r="Z48" s="64">
        <f t="shared" si="19"/>
        <v>0</v>
      </c>
      <c r="AA48" s="64">
        <f t="shared" si="19"/>
        <v>0</v>
      </c>
      <c r="AB48" s="64">
        <f t="shared" si="19"/>
        <v>0</v>
      </c>
      <c r="AC48" s="64">
        <f t="shared" si="19"/>
        <v>0</v>
      </c>
      <c r="AD48" s="64">
        <f t="shared" si="19"/>
        <v>0</v>
      </c>
      <c r="AE48" s="64">
        <f t="shared" si="19"/>
        <v>0</v>
      </c>
      <c r="AF48" s="64">
        <f t="shared" si="19"/>
        <v>1668660142</v>
      </c>
      <c r="AG48" s="3"/>
      <c r="AH48" s="3"/>
      <c r="AI48" s="3"/>
      <c r="AJ48" s="3"/>
      <c r="AK48" s="3"/>
      <c r="AL48" s="3"/>
      <c r="AM48" s="3"/>
    </row>
    <row r="49" spans="1:39" ht="105" x14ac:dyDescent="0.2">
      <c r="A49" s="51"/>
      <c r="B49" s="65"/>
      <c r="C49" s="223"/>
      <c r="D49" s="224"/>
      <c r="E49" s="74"/>
      <c r="F49" s="225" t="s">
        <v>186</v>
      </c>
      <c r="G49" s="243" t="s">
        <v>187</v>
      </c>
      <c r="H49" s="71" t="s">
        <v>51</v>
      </c>
      <c r="I49" s="244" t="s">
        <v>188</v>
      </c>
      <c r="J49" s="238" t="s">
        <v>189</v>
      </c>
      <c r="K49" s="238" t="s">
        <v>51</v>
      </c>
      <c r="L49" s="239" t="s">
        <v>190</v>
      </c>
      <c r="M49" s="228" t="s">
        <v>153</v>
      </c>
      <c r="N49" s="93">
        <v>12</v>
      </c>
      <c r="O49" s="238">
        <v>3</v>
      </c>
      <c r="P49" s="94" t="s">
        <v>191</v>
      </c>
      <c r="Q49" s="74" t="s">
        <v>174</v>
      </c>
      <c r="R49" s="130" t="s">
        <v>175</v>
      </c>
      <c r="S49" s="245">
        <v>1668660142</v>
      </c>
      <c r="T49" s="76"/>
      <c r="U49" s="76"/>
      <c r="V49" s="76"/>
      <c r="W49" s="76"/>
      <c r="X49" s="76"/>
      <c r="Y49" s="76"/>
      <c r="Z49" s="76"/>
      <c r="AA49" s="76"/>
      <c r="AB49" s="76"/>
      <c r="AC49" s="172"/>
      <c r="AD49" s="76"/>
      <c r="AE49" s="76"/>
      <c r="AF49" s="77">
        <f>+S49+T49+U49+V49+W49+X49+Y49+Z49+AA49+AB49+AC49+AD49+AE49</f>
        <v>1668660142</v>
      </c>
      <c r="AG49" s="3"/>
      <c r="AH49" s="3"/>
      <c r="AI49" s="3"/>
      <c r="AJ49" s="3"/>
      <c r="AK49" s="3"/>
      <c r="AL49" s="3"/>
      <c r="AM49" s="3"/>
    </row>
    <row r="50" spans="1:39" ht="15.75" x14ac:dyDescent="0.2">
      <c r="A50" s="51"/>
      <c r="B50" s="79"/>
      <c r="C50" s="235">
        <v>40</v>
      </c>
      <c r="D50" s="84">
        <v>4302</v>
      </c>
      <c r="E50" s="119" t="s">
        <v>192</v>
      </c>
      <c r="F50" s="84"/>
      <c r="G50" s="84"/>
      <c r="H50" s="120"/>
      <c r="I50" s="121"/>
      <c r="J50" s="122"/>
      <c r="K50" s="122"/>
      <c r="L50" s="121"/>
      <c r="M50" s="221"/>
      <c r="N50" s="222"/>
      <c r="O50" s="84"/>
      <c r="P50" s="125"/>
      <c r="Q50" s="125"/>
      <c r="R50" s="121"/>
      <c r="S50" s="64">
        <f t="shared" ref="S50:AF50" si="20">S51</f>
        <v>1668660141.6500001</v>
      </c>
      <c r="T50" s="64">
        <f t="shared" si="20"/>
        <v>0</v>
      </c>
      <c r="U50" s="64">
        <f t="shared" si="20"/>
        <v>0</v>
      </c>
      <c r="V50" s="64">
        <f t="shared" si="20"/>
        <v>0</v>
      </c>
      <c r="W50" s="64">
        <f t="shared" si="20"/>
        <v>0</v>
      </c>
      <c r="X50" s="64">
        <f t="shared" si="20"/>
        <v>0</v>
      </c>
      <c r="Y50" s="64">
        <f t="shared" si="20"/>
        <v>0</v>
      </c>
      <c r="Z50" s="64">
        <f t="shared" si="20"/>
        <v>0</v>
      </c>
      <c r="AA50" s="64">
        <f t="shared" si="20"/>
        <v>0</v>
      </c>
      <c r="AB50" s="64">
        <f t="shared" si="20"/>
        <v>0</v>
      </c>
      <c r="AC50" s="64">
        <f t="shared" si="20"/>
        <v>0</v>
      </c>
      <c r="AD50" s="64">
        <f t="shared" si="20"/>
        <v>0</v>
      </c>
      <c r="AE50" s="64">
        <f t="shared" si="20"/>
        <v>0</v>
      </c>
      <c r="AF50" s="64">
        <f t="shared" si="20"/>
        <v>1668660141.6500001</v>
      </c>
      <c r="AG50" s="3"/>
      <c r="AH50" s="3"/>
      <c r="AI50" s="3"/>
      <c r="AJ50" s="3"/>
      <c r="AK50" s="3"/>
      <c r="AL50" s="3"/>
      <c r="AM50" s="3"/>
    </row>
    <row r="51" spans="1:39" ht="105" x14ac:dyDescent="0.2">
      <c r="A51" s="51"/>
      <c r="B51" s="65"/>
      <c r="C51" s="223"/>
      <c r="D51" s="224"/>
      <c r="E51" s="74"/>
      <c r="F51" s="225" t="s">
        <v>186</v>
      </c>
      <c r="G51" s="232" t="s">
        <v>193</v>
      </c>
      <c r="H51" s="71">
        <v>4302020</v>
      </c>
      <c r="I51" s="244" t="s">
        <v>194</v>
      </c>
      <c r="J51" s="232" t="s">
        <v>195</v>
      </c>
      <c r="K51" s="232">
        <v>430202000</v>
      </c>
      <c r="L51" s="233" t="s">
        <v>194</v>
      </c>
      <c r="M51" s="228" t="s">
        <v>153</v>
      </c>
      <c r="N51" s="93">
        <v>1</v>
      </c>
      <c r="O51" s="238">
        <v>0.25</v>
      </c>
      <c r="P51" s="94" t="s">
        <v>191</v>
      </c>
      <c r="Q51" s="74" t="s">
        <v>174</v>
      </c>
      <c r="R51" s="130" t="s">
        <v>175</v>
      </c>
      <c r="S51" s="245">
        <v>1668660141.6500001</v>
      </c>
      <c r="T51" s="76"/>
      <c r="U51" s="76"/>
      <c r="V51" s="76"/>
      <c r="W51" s="76"/>
      <c r="X51" s="76"/>
      <c r="Y51" s="76"/>
      <c r="Z51" s="76"/>
      <c r="AA51" s="76"/>
      <c r="AB51" s="76"/>
      <c r="AC51" s="172"/>
      <c r="AD51" s="76"/>
      <c r="AE51" s="76"/>
      <c r="AF51" s="77">
        <f>+S51+T51+U51+V51+W51+X51+Y51+Z51+AA51+AB51+AC51+AD51+AE51</f>
        <v>1668660141.6500001</v>
      </c>
      <c r="AG51" s="3"/>
      <c r="AH51" s="3"/>
      <c r="AI51" s="3"/>
      <c r="AJ51" s="3"/>
      <c r="AK51" s="3"/>
      <c r="AL51" s="3"/>
      <c r="AM51" s="3"/>
    </row>
    <row r="52" spans="1:39" ht="15.75" x14ac:dyDescent="0.2">
      <c r="A52" s="51"/>
      <c r="B52" s="246">
        <v>2</v>
      </c>
      <c r="C52" s="107" t="s">
        <v>2</v>
      </c>
      <c r="D52" s="108"/>
      <c r="E52" s="109"/>
      <c r="F52" s="110"/>
      <c r="G52" s="111"/>
      <c r="H52" s="112"/>
      <c r="I52" s="113"/>
      <c r="J52" s="114"/>
      <c r="K52" s="114"/>
      <c r="L52" s="113"/>
      <c r="M52" s="115"/>
      <c r="N52" s="116"/>
      <c r="O52" s="111"/>
      <c r="P52" s="109"/>
      <c r="Q52" s="109"/>
      <c r="R52" s="113"/>
      <c r="S52" s="50">
        <f t="shared" ref="S52:AF52" si="21">S53+S55</f>
        <v>0</v>
      </c>
      <c r="T52" s="50">
        <f t="shared" si="21"/>
        <v>0</v>
      </c>
      <c r="U52" s="50">
        <f t="shared" si="21"/>
        <v>0</v>
      </c>
      <c r="V52" s="50">
        <f t="shared" si="21"/>
        <v>0</v>
      </c>
      <c r="W52" s="50">
        <f t="shared" si="21"/>
        <v>0</v>
      </c>
      <c r="X52" s="50">
        <f t="shared" si="21"/>
        <v>0</v>
      </c>
      <c r="Y52" s="50">
        <f t="shared" si="21"/>
        <v>0</v>
      </c>
      <c r="Z52" s="50">
        <f t="shared" si="21"/>
        <v>0</v>
      </c>
      <c r="AA52" s="50">
        <f t="shared" si="21"/>
        <v>0</v>
      </c>
      <c r="AB52" s="50">
        <f t="shared" si="21"/>
        <v>0</v>
      </c>
      <c r="AC52" s="50">
        <f t="shared" si="21"/>
        <v>3000000</v>
      </c>
      <c r="AD52" s="50">
        <f t="shared" si="21"/>
        <v>0</v>
      </c>
      <c r="AE52" s="50">
        <f t="shared" si="21"/>
        <v>0</v>
      </c>
      <c r="AF52" s="50">
        <f t="shared" si="21"/>
        <v>3000000</v>
      </c>
      <c r="AG52" s="3"/>
      <c r="AH52" s="3"/>
      <c r="AI52" s="3"/>
      <c r="AJ52" s="3"/>
      <c r="AK52" s="3"/>
      <c r="AL52" s="3"/>
      <c r="AM52" s="3"/>
    </row>
    <row r="53" spans="1:39" ht="15.75" x14ac:dyDescent="0.2">
      <c r="A53" s="51"/>
      <c r="B53" s="52"/>
      <c r="C53" s="235">
        <v>10</v>
      </c>
      <c r="D53" s="84">
        <v>1709</v>
      </c>
      <c r="E53" s="119" t="s">
        <v>196</v>
      </c>
      <c r="F53" s="83"/>
      <c r="G53" s="84"/>
      <c r="H53" s="120"/>
      <c r="I53" s="121"/>
      <c r="J53" s="122"/>
      <c r="K53" s="122"/>
      <c r="L53" s="121"/>
      <c r="M53" s="123"/>
      <c r="N53" s="124"/>
      <c r="O53" s="84"/>
      <c r="P53" s="125"/>
      <c r="Q53" s="125"/>
      <c r="R53" s="121"/>
      <c r="S53" s="64">
        <f t="shared" ref="S53:AF53" si="22">SUM(S54:S54)</f>
        <v>0</v>
      </c>
      <c r="T53" s="64">
        <f t="shared" si="22"/>
        <v>0</v>
      </c>
      <c r="U53" s="64">
        <f t="shared" si="22"/>
        <v>0</v>
      </c>
      <c r="V53" s="64">
        <f t="shared" si="22"/>
        <v>0</v>
      </c>
      <c r="W53" s="64">
        <f t="shared" si="22"/>
        <v>0</v>
      </c>
      <c r="X53" s="64">
        <f t="shared" si="22"/>
        <v>0</v>
      </c>
      <c r="Y53" s="64">
        <f t="shared" si="22"/>
        <v>0</v>
      </c>
      <c r="Z53" s="64">
        <f t="shared" si="22"/>
        <v>0</v>
      </c>
      <c r="AA53" s="64">
        <f t="shared" si="22"/>
        <v>0</v>
      </c>
      <c r="AB53" s="64">
        <f t="shared" si="22"/>
        <v>0</v>
      </c>
      <c r="AC53" s="64">
        <f t="shared" si="22"/>
        <v>2000000</v>
      </c>
      <c r="AD53" s="64">
        <f t="shared" si="22"/>
        <v>0</v>
      </c>
      <c r="AE53" s="64">
        <f t="shared" si="22"/>
        <v>0</v>
      </c>
      <c r="AF53" s="64">
        <f t="shared" si="22"/>
        <v>2000000</v>
      </c>
      <c r="AG53" s="3"/>
      <c r="AH53" s="3"/>
      <c r="AI53" s="3"/>
      <c r="AJ53" s="3"/>
      <c r="AK53" s="3"/>
      <c r="AL53" s="3"/>
      <c r="AM53" s="3"/>
    </row>
    <row r="54" spans="1:39" ht="66" customHeight="1" x14ac:dyDescent="0.2">
      <c r="A54" s="51"/>
      <c r="B54" s="65"/>
      <c r="C54" s="223"/>
      <c r="D54" s="224"/>
      <c r="E54" s="156"/>
      <c r="F54" s="244" t="s">
        <v>197</v>
      </c>
      <c r="G54" s="238" t="s">
        <v>198</v>
      </c>
      <c r="H54" s="247">
        <v>1709078</v>
      </c>
      <c r="I54" s="244" t="s">
        <v>199</v>
      </c>
      <c r="J54" s="238" t="s">
        <v>200</v>
      </c>
      <c r="K54" s="238">
        <v>170907800</v>
      </c>
      <c r="L54" s="239" t="s">
        <v>199</v>
      </c>
      <c r="M54" s="228" t="s">
        <v>58</v>
      </c>
      <c r="N54" s="93">
        <v>1</v>
      </c>
      <c r="O54" s="238">
        <v>1</v>
      </c>
      <c r="P54" s="94" t="s">
        <v>201</v>
      </c>
      <c r="Q54" s="156" t="s">
        <v>202</v>
      </c>
      <c r="R54" s="248" t="s">
        <v>203</v>
      </c>
      <c r="S54" s="76"/>
      <c r="T54" s="76"/>
      <c r="U54" s="249"/>
      <c r="V54" s="76"/>
      <c r="W54" s="76"/>
      <c r="X54" s="76"/>
      <c r="Y54" s="76"/>
      <c r="Z54" s="76"/>
      <c r="AA54" s="76"/>
      <c r="AB54" s="76"/>
      <c r="AC54" s="250">
        <f>1000000+1000000</f>
        <v>2000000</v>
      </c>
      <c r="AD54" s="76"/>
      <c r="AE54" s="76"/>
      <c r="AF54" s="77">
        <f>+S54+T54+U54+V54+W54+X54+Y54+Z54+AA54+AB54+AC54+AD54+AE54</f>
        <v>2000000</v>
      </c>
      <c r="AG54" s="3"/>
      <c r="AH54" s="3"/>
      <c r="AI54" s="3"/>
      <c r="AJ54" s="3"/>
      <c r="AK54" s="3"/>
      <c r="AL54" s="3"/>
      <c r="AM54" s="3"/>
    </row>
    <row r="55" spans="1:39" ht="15.75" x14ac:dyDescent="0.2">
      <c r="A55" s="51"/>
      <c r="B55" s="79"/>
      <c r="C55" s="235">
        <v>27</v>
      </c>
      <c r="D55" s="84">
        <v>3502</v>
      </c>
      <c r="E55" s="119" t="s">
        <v>204</v>
      </c>
      <c r="F55" s="83"/>
      <c r="G55" s="84"/>
      <c r="H55" s="120"/>
      <c r="I55" s="121"/>
      <c r="J55" s="122"/>
      <c r="K55" s="122"/>
      <c r="L55" s="121"/>
      <c r="M55" s="123"/>
      <c r="N55" s="124"/>
      <c r="O55" s="84"/>
      <c r="P55" s="125"/>
      <c r="Q55" s="125"/>
      <c r="R55" s="121"/>
      <c r="S55" s="64">
        <f t="shared" ref="S55:AF55" si="23">S56</f>
        <v>0</v>
      </c>
      <c r="T55" s="64">
        <f t="shared" si="23"/>
        <v>0</v>
      </c>
      <c r="U55" s="64">
        <f t="shared" si="23"/>
        <v>0</v>
      </c>
      <c r="V55" s="64">
        <f t="shared" si="23"/>
        <v>0</v>
      </c>
      <c r="W55" s="64">
        <f t="shared" si="23"/>
        <v>0</v>
      </c>
      <c r="X55" s="64">
        <f t="shared" si="23"/>
        <v>0</v>
      </c>
      <c r="Y55" s="64">
        <f t="shared" si="23"/>
        <v>0</v>
      </c>
      <c r="Z55" s="64">
        <f t="shared" si="23"/>
        <v>0</v>
      </c>
      <c r="AA55" s="64">
        <f t="shared" si="23"/>
        <v>0</v>
      </c>
      <c r="AB55" s="64">
        <f t="shared" si="23"/>
        <v>0</v>
      </c>
      <c r="AC55" s="64">
        <f t="shared" si="23"/>
        <v>1000000</v>
      </c>
      <c r="AD55" s="64">
        <f t="shared" si="23"/>
        <v>0</v>
      </c>
      <c r="AE55" s="64">
        <f t="shared" si="23"/>
        <v>0</v>
      </c>
      <c r="AF55" s="64">
        <f t="shared" si="23"/>
        <v>1000000</v>
      </c>
      <c r="AG55" s="3"/>
      <c r="AH55" s="3"/>
      <c r="AI55" s="3"/>
      <c r="AJ55" s="3"/>
      <c r="AK55" s="3"/>
      <c r="AL55" s="3"/>
      <c r="AM55" s="3"/>
    </row>
    <row r="56" spans="1:39" ht="60" x14ac:dyDescent="0.2">
      <c r="A56" s="51"/>
      <c r="B56" s="87"/>
      <c r="C56" s="223"/>
      <c r="D56" s="224"/>
      <c r="E56" s="156"/>
      <c r="F56" s="69" t="s">
        <v>205</v>
      </c>
      <c r="G56" s="238" t="s">
        <v>206</v>
      </c>
      <c r="H56" s="247">
        <v>3502084</v>
      </c>
      <c r="I56" s="244" t="s">
        <v>207</v>
      </c>
      <c r="J56" s="238" t="s">
        <v>208</v>
      </c>
      <c r="K56" s="238">
        <v>350208400</v>
      </c>
      <c r="L56" s="239" t="s">
        <v>207</v>
      </c>
      <c r="M56" s="228" t="s">
        <v>153</v>
      </c>
      <c r="N56" s="93">
        <v>1</v>
      </c>
      <c r="O56" s="238">
        <v>0.5</v>
      </c>
      <c r="P56" s="94" t="s">
        <v>201</v>
      </c>
      <c r="Q56" s="74" t="s">
        <v>202</v>
      </c>
      <c r="R56" s="72" t="s">
        <v>209</v>
      </c>
      <c r="S56" s="76"/>
      <c r="T56" s="76"/>
      <c r="U56" s="249"/>
      <c r="V56" s="76"/>
      <c r="W56" s="76"/>
      <c r="X56" s="76"/>
      <c r="Y56" s="76"/>
      <c r="Z56" s="76"/>
      <c r="AA56" s="76"/>
      <c r="AB56" s="76"/>
      <c r="AC56" s="250">
        <v>1000000</v>
      </c>
      <c r="AD56" s="76"/>
      <c r="AE56" s="76"/>
      <c r="AF56" s="77">
        <f>+S56+T56+U56+V56+W56+X56+Y56+Z56+AA56+AB56+AC56+AD56+AE56</f>
        <v>1000000</v>
      </c>
      <c r="AG56" s="3"/>
      <c r="AH56" s="3"/>
      <c r="AI56" s="3"/>
      <c r="AJ56" s="3"/>
      <c r="AK56" s="3"/>
      <c r="AL56" s="3"/>
      <c r="AM56" s="3"/>
    </row>
    <row r="57" spans="1:39" ht="15.75" x14ac:dyDescent="0.2">
      <c r="A57" s="51"/>
      <c r="B57" s="246">
        <v>3</v>
      </c>
      <c r="C57" s="107" t="s">
        <v>3</v>
      </c>
      <c r="D57" s="108"/>
      <c r="E57" s="109"/>
      <c r="F57" s="110"/>
      <c r="G57" s="111"/>
      <c r="H57" s="112"/>
      <c r="I57" s="113"/>
      <c r="J57" s="114"/>
      <c r="K57" s="114"/>
      <c r="L57" s="113"/>
      <c r="M57" s="115"/>
      <c r="N57" s="116"/>
      <c r="O57" s="111"/>
      <c r="P57" s="109"/>
      <c r="Q57" s="109"/>
      <c r="R57" s="113"/>
      <c r="S57" s="50">
        <f t="shared" ref="S57:AF57" si="24">S58+S60+S62+S64+S66</f>
        <v>1178596165</v>
      </c>
      <c r="T57" s="50">
        <f t="shared" si="24"/>
        <v>0</v>
      </c>
      <c r="U57" s="50">
        <f t="shared" si="24"/>
        <v>958872976.11000001</v>
      </c>
      <c r="V57" s="50">
        <f t="shared" si="24"/>
        <v>0</v>
      </c>
      <c r="W57" s="50">
        <f t="shared" si="24"/>
        <v>0</v>
      </c>
      <c r="X57" s="50">
        <f t="shared" si="24"/>
        <v>0</v>
      </c>
      <c r="Y57" s="50">
        <f t="shared" si="24"/>
        <v>0</v>
      </c>
      <c r="Z57" s="50">
        <f t="shared" si="24"/>
        <v>0</v>
      </c>
      <c r="AA57" s="50">
        <f t="shared" si="24"/>
        <v>0</v>
      </c>
      <c r="AB57" s="50">
        <f t="shared" si="24"/>
        <v>2686652877.1199999</v>
      </c>
      <c r="AC57" s="50">
        <f t="shared" si="24"/>
        <v>486082004</v>
      </c>
      <c r="AD57" s="50">
        <f t="shared" si="24"/>
        <v>0</v>
      </c>
      <c r="AE57" s="50">
        <f t="shared" si="24"/>
        <v>0</v>
      </c>
      <c r="AF57" s="50">
        <f t="shared" si="24"/>
        <v>5310204022.2299995</v>
      </c>
      <c r="AG57" s="3"/>
      <c r="AH57" s="3"/>
      <c r="AI57" s="3"/>
      <c r="AJ57" s="3"/>
      <c r="AK57" s="3"/>
      <c r="AL57" s="3"/>
      <c r="AM57" s="3"/>
    </row>
    <row r="58" spans="1:39" ht="15.75" x14ac:dyDescent="0.2">
      <c r="A58" s="51"/>
      <c r="B58" s="52"/>
      <c r="C58" s="220">
        <v>18</v>
      </c>
      <c r="D58" s="84">
        <v>2402</v>
      </c>
      <c r="E58" s="119" t="s">
        <v>210</v>
      </c>
      <c r="F58" s="83"/>
      <c r="G58" s="84"/>
      <c r="H58" s="120"/>
      <c r="I58" s="121"/>
      <c r="J58" s="122"/>
      <c r="K58" s="122"/>
      <c r="L58" s="121"/>
      <c r="M58" s="123"/>
      <c r="N58" s="124"/>
      <c r="O58" s="84"/>
      <c r="P58" s="125"/>
      <c r="Q58" s="125"/>
      <c r="R58" s="121"/>
      <c r="S58" s="64">
        <f t="shared" ref="S58:AF58" si="25">SUM(S59:S59)</f>
        <v>0</v>
      </c>
      <c r="T58" s="64">
        <f t="shared" si="25"/>
        <v>0</v>
      </c>
      <c r="U58" s="64">
        <f t="shared" si="25"/>
        <v>479436488.05000001</v>
      </c>
      <c r="V58" s="64">
        <f t="shared" si="25"/>
        <v>0</v>
      </c>
      <c r="W58" s="64">
        <f t="shared" si="25"/>
        <v>0</v>
      </c>
      <c r="X58" s="64">
        <f t="shared" si="25"/>
        <v>0</v>
      </c>
      <c r="Y58" s="64">
        <f t="shared" si="25"/>
        <v>0</v>
      </c>
      <c r="Z58" s="64">
        <f t="shared" si="25"/>
        <v>0</v>
      </c>
      <c r="AA58" s="64">
        <f t="shared" si="25"/>
        <v>0</v>
      </c>
      <c r="AB58" s="64">
        <f t="shared" si="25"/>
        <v>0</v>
      </c>
      <c r="AC58" s="64">
        <f t="shared" si="25"/>
        <v>284721336</v>
      </c>
      <c r="AD58" s="64">
        <f t="shared" si="25"/>
        <v>0</v>
      </c>
      <c r="AE58" s="64">
        <f t="shared" si="25"/>
        <v>0</v>
      </c>
      <c r="AF58" s="64">
        <f t="shared" si="25"/>
        <v>764157824.04999995</v>
      </c>
      <c r="AG58" s="3"/>
      <c r="AH58" s="3"/>
      <c r="AI58" s="3"/>
      <c r="AJ58" s="3"/>
      <c r="AK58" s="3"/>
      <c r="AL58" s="3"/>
      <c r="AM58" s="3"/>
    </row>
    <row r="59" spans="1:39" ht="91.5" customHeight="1" x14ac:dyDescent="0.2">
      <c r="A59" s="51"/>
      <c r="B59" s="65"/>
      <c r="C59" s="223"/>
      <c r="D59" s="224"/>
      <c r="E59" s="156"/>
      <c r="F59" s="251" t="s">
        <v>211</v>
      </c>
      <c r="G59" s="238" t="s">
        <v>212</v>
      </c>
      <c r="H59" s="252" t="s">
        <v>51</v>
      </c>
      <c r="I59" s="244" t="s">
        <v>213</v>
      </c>
      <c r="J59" s="238" t="s">
        <v>214</v>
      </c>
      <c r="K59" s="238" t="s">
        <v>51</v>
      </c>
      <c r="L59" s="239" t="s">
        <v>215</v>
      </c>
      <c r="M59" s="228" t="s">
        <v>58</v>
      </c>
      <c r="N59" s="93">
        <v>130</v>
      </c>
      <c r="O59" s="238">
        <v>130</v>
      </c>
      <c r="P59" s="94" t="s">
        <v>216</v>
      </c>
      <c r="Q59" s="156" t="s">
        <v>217</v>
      </c>
      <c r="R59" s="155" t="s">
        <v>218</v>
      </c>
      <c r="S59" s="76"/>
      <c r="T59" s="76"/>
      <c r="U59" s="229">
        <v>479436488.05000001</v>
      </c>
      <c r="V59" s="76"/>
      <c r="W59" s="76"/>
      <c r="X59" s="76"/>
      <c r="Y59" s="76"/>
      <c r="Z59" s="76"/>
      <c r="AA59" s="76"/>
      <c r="AB59" s="76"/>
      <c r="AC59" s="250">
        <f>197360668-27000000-27000000+197360668-56000000</f>
        <v>284721336</v>
      </c>
      <c r="AD59" s="76"/>
      <c r="AE59" s="76"/>
      <c r="AF59" s="77">
        <f>+S59+T59+U59+V59+W59+X59+Y59+Z59+AA59+AB59+AC59+AD59+AE59</f>
        <v>764157824.04999995</v>
      </c>
      <c r="AG59" s="253"/>
      <c r="AH59" s="254"/>
      <c r="AI59" s="3"/>
      <c r="AJ59" s="3"/>
      <c r="AK59" s="3"/>
      <c r="AL59" s="3"/>
      <c r="AM59" s="3"/>
    </row>
    <row r="60" spans="1:39" ht="15.75" x14ac:dyDescent="0.2">
      <c r="A60" s="51"/>
      <c r="B60" s="79"/>
      <c r="C60" s="220">
        <v>21</v>
      </c>
      <c r="D60" s="84" t="s">
        <v>219</v>
      </c>
      <c r="E60" s="119" t="s">
        <v>220</v>
      </c>
      <c r="F60" s="83"/>
      <c r="G60" s="84"/>
      <c r="H60" s="120"/>
      <c r="I60" s="121"/>
      <c r="J60" s="122"/>
      <c r="K60" s="122"/>
      <c r="L60" s="121"/>
      <c r="M60" s="123"/>
      <c r="N60" s="124"/>
      <c r="O60" s="84"/>
      <c r="P60" s="125"/>
      <c r="Q60" s="125"/>
      <c r="R60" s="121"/>
      <c r="S60" s="64">
        <f t="shared" ref="S60:AF60" si="26">S61</f>
        <v>0</v>
      </c>
      <c r="T60" s="64">
        <f t="shared" si="26"/>
        <v>0</v>
      </c>
      <c r="U60" s="64">
        <f t="shared" si="26"/>
        <v>0</v>
      </c>
      <c r="V60" s="64">
        <f t="shared" si="26"/>
        <v>0</v>
      </c>
      <c r="W60" s="64">
        <f t="shared" si="26"/>
        <v>0</v>
      </c>
      <c r="X60" s="64">
        <f t="shared" si="26"/>
        <v>0</v>
      </c>
      <c r="Y60" s="64">
        <f t="shared" si="26"/>
        <v>0</v>
      </c>
      <c r="Z60" s="64">
        <f t="shared" si="26"/>
        <v>0</v>
      </c>
      <c r="AA60" s="64">
        <f t="shared" si="26"/>
        <v>0</v>
      </c>
      <c r="AB60" s="64">
        <f t="shared" si="26"/>
        <v>0</v>
      </c>
      <c r="AC60" s="64">
        <f t="shared" si="26"/>
        <v>1000000</v>
      </c>
      <c r="AD60" s="64">
        <f t="shared" si="26"/>
        <v>0</v>
      </c>
      <c r="AE60" s="64">
        <f t="shared" si="26"/>
        <v>0</v>
      </c>
      <c r="AF60" s="64">
        <f t="shared" si="26"/>
        <v>1000000</v>
      </c>
      <c r="AG60" s="3"/>
      <c r="AH60" s="3"/>
      <c r="AI60" s="3"/>
      <c r="AJ60" s="3"/>
      <c r="AK60" s="3"/>
      <c r="AL60" s="3"/>
      <c r="AM60" s="3"/>
    </row>
    <row r="61" spans="1:39" ht="63.75" customHeight="1" x14ac:dyDescent="0.2">
      <c r="A61" s="51"/>
      <c r="B61" s="65"/>
      <c r="C61" s="223"/>
      <c r="D61" s="224"/>
      <c r="E61" s="156"/>
      <c r="F61" s="90" t="s">
        <v>221</v>
      </c>
      <c r="G61" s="71" t="s">
        <v>222</v>
      </c>
      <c r="H61" s="247">
        <v>3202033</v>
      </c>
      <c r="I61" s="130" t="s">
        <v>223</v>
      </c>
      <c r="J61" s="228" t="s">
        <v>224</v>
      </c>
      <c r="K61" s="238">
        <v>320203300</v>
      </c>
      <c r="L61" s="255" t="s">
        <v>223</v>
      </c>
      <c r="M61" s="256" t="s">
        <v>153</v>
      </c>
      <c r="N61" s="234">
        <v>1</v>
      </c>
      <c r="O61" s="257">
        <v>0.1</v>
      </c>
      <c r="P61" s="94" t="s">
        <v>201</v>
      </c>
      <c r="Q61" s="74" t="s">
        <v>202</v>
      </c>
      <c r="R61" s="72" t="s">
        <v>203</v>
      </c>
      <c r="S61" s="76"/>
      <c r="T61" s="76"/>
      <c r="U61" s="249"/>
      <c r="V61" s="76"/>
      <c r="W61" s="76"/>
      <c r="X61" s="76"/>
      <c r="Y61" s="76"/>
      <c r="Z61" s="76"/>
      <c r="AA61" s="76"/>
      <c r="AB61" s="76"/>
      <c r="AC61" s="250">
        <v>1000000</v>
      </c>
      <c r="AD61" s="76"/>
      <c r="AE61" s="76"/>
      <c r="AF61" s="77">
        <f>+S61+T61+U61+V61+W61+X61+Y61+Z61+AA61+AB61+AC61+AD61+AE61</f>
        <v>1000000</v>
      </c>
      <c r="AG61" s="3"/>
      <c r="AH61" s="3"/>
      <c r="AI61" s="3"/>
      <c r="AJ61" s="3"/>
      <c r="AK61" s="3"/>
      <c r="AL61" s="3"/>
      <c r="AM61" s="3"/>
    </row>
    <row r="62" spans="1:39" ht="15.75" x14ac:dyDescent="0.2">
      <c r="A62" s="51"/>
      <c r="B62" s="79"/>
      <c r="C62" s="220">
        <v>23</v>
      </c>
      <c r="D62" s="84">
        <v>3205</v>
      </c>
      <c r="E62" s="119" t="s">
        <v>225</v>
      </c>
      <c r="F62" s="83"/>
      <c r="G62" s="84"/>
      <c r="H62" s="120"/>
      <c r="I62" s="121"/>
      <c r="J62" s="122"/>
      <c r="K62" s="122"/>
      <c r="L62" s="121"/>
      <c r="M62" s="123"/>
      <c r="N62" s="124"/>
      <c r="O62" s="84"/>
      <c r="P62" s="125"/>
      <c r="Q62" s="125"/>
      <c r="R62" s="121"/>
      <c r="S62" s="64">
        <f t="shared" ref="S62:AF62" si="27">SUM(S63:S63)</f>
        <v>0</v>
      </c>
      <c r="T62" s="64">
        <f t="shared" si="27"/>
        <v>0</v>
      </c>
      <c r="U62" s="64">
        <f t="shared" si="27"/>
        <v>479436488.06</v>
      </c>
      <c r="V62" s="64">
        <f t="shared" si="27"/>
        <v>0</v>
      </c>
      <c r="W62" s="64">
        <f t="shared" si="27"/>
        <v>0</v>
      </c>
      <c r="X62" s="64">
        <f t="shared" si="27"/>
        <v>0</v>
      </c>
      <c r="Y62" s="64">
        <f t="shared" si="27"/>
        <v>0</v>
      </c>
      <c r="Z62" s="64">
        <f t="shared" si="27"/>
        <v>0</v>
      </c>
      <c r="AA62" s="64">
        <f t="shared" si="27"/>
        <v>0</v>
      </c>
      <c r="AB62" s="64">
        <f t="shared" si="27"/>
        <v>0</v>
      </c>
      <c r="AC62" s="64">
        <f t="shared" si="27"/>
        <v>170360668</v>
      </c>
      <c r="AD62" s="64">
        <f t="shared" si="27"/>
        <v>0</v>
      </c>
      <c r="AE62" s="64">
        <f t="shared" si="27"/>
        <v>0</v>
      </c>
      <c r="AF62" s="64">
        <f t="shared" si="27"/>
        <v>649797156.05999994</v>
      </c>
      <c r="AG62" s="3"/>
      <c r="AH62" s="3"/>
      <c r="AI62" s="3"/>
      <c r="AJ62" s="3"/>
      <c r="AK62" s="3"/>
      <c r="AL62" s="3"/>
      <c r="AM62" s="3"/>
    </row>
    <row r="63" spans="1:39" ht="74.25" customHeight="1" x14ac:dyDescent="0.2">
      <c r="A63" s="51"/>
      <c r="B63" s="65"/>
      <c r="C63" s="223"/>
      <c r="D63" s="224"/>
      <c r="E63" s="156"/>
      <c r="F63" s="90" t="s">
        <v>221</v>
      </c>
      <c r="G63" s="100" t="s">
        <v>226</v>
      </c>
      <c r="H63" s="247">
        <v>3205021</v>
      </c>
      <c r="I63" s="130" t="s">
        <v>227</v>
      </c>
      <c r="J63" s="100" t="s">
        <v>226</v>
      </c>
      <c r="K63" s="247">
        <v>320502100</v>
      </c>
      <c r="L63" s="95" t="s">
        <v>228</v>
      </c>
      <c r="M63" s="91" t="s">
        <v>153</v>
      </c>
      <c r="N63" s="91">
        <v>8</v>
      </c>
      <c r="O63" s="91">
        <v>1</v>
      </c>
      <c r="P63" s="94" t="s">
        <v>216</v>
      </c>
      <c r="Q63" s="156" t="s">
        <v>217</v>
      </c>
      <c r="R63" s="155" t="s">
        <v>218</v>
      </c>
      <c r="S63" s="76"/>
      <c r="T63" s="76"/>
      <c r="U63" s="249">
        <v>479436488.06</v>
      </c>
      <c r="V63" s="76"/>
      <c r="W63" s="76"/>
      <c r="X63" s="76"/>
      <c r="Y63" s="76"/>
      <c r="Z63" s="76"/>
      <c r="AA63" s="76"/>
      <c r="AB63" s="76"/>
      <c r="AC63" s="250">
        <f>197360668-27000000</f>
        <v>170360668</v>
      </c>
      <c r="AD63" s="76"/>
      <c r="AE63" s="76"/>
      <c r="AF63" s="77">
        <f>+S63+T63+U63+V63+W63+X63+Y63+Z63+AA63+AB63+AC63+AD63+AE63</f>
        <v>649797156.05999994</v>
      </c>
      <c r="AG63" s="3"/>
      <c r="AH63" s="3"/>
      <c r="AI63" s="3"/>
      <c r="AJ63" s="3"/>
      <c r="AK63" s="3"/>
      <c r="AL63" s="3"/>
      <c r="AM63" s="3"/>
    </row>
    <row r="64" spans="1:39" ht="15.75" x14ac:dyDescent="0.2">
      <c r="A64" s="51"/>
      <c r="B64" s="79"/>
      <c r="C64" s="220">
        <v>33</v>
      </c>
      <c r="D64" s="84">
        <v>4001</v>
      </c>
      <c r="E64" s="119" t="s">
        <v>229</v>
      </c>
      <c r="F64" s="83"/>
      <c r="G64" s="84"/>
      <c r="H64" s="120"/>
      <c r="I64" s="121"/>
      <c r="J64" s="122"/>
      <c r="K64" s="122"/>
      <c r="L64" s="121"/>
      <c r="M64" s="221"/>
      <c r="N64" s="222"/>
      <c r="O64" s="84"/>
      <c r="P64" s="125"/>
      <c r="Q64" s="125"/>
      <c r="R64" s="121"/>
      <c r="S64" s="64">
        <f t="shared" ref="S64:AF64" si="28">S65</f>
        <v>702546165</v>
      </c>
      <c r="T64" s="64">
        <f t="shared" si="28"/>
        <v>0</v>
      </c>
      <c r="U64" s="64">
        <f t="shared" si="28"/>
        <v>0</v>
      </c>
      <c r="V64" s="64">
        <f t="shared" si="28"/>
        <v>0</v>
      </c>
      <c r="W64" s="64">
        <f t="shared" si="28"/>
        <v>0</v>
      </c>
      <c r="X64" s="64">
        <f t="shared" si="28"/>
        <v>0</v>
      </c>
      <c r="Y64" s="64">
        <f t="shared" si="28"/>
        <v>0</v>
      </c>
      <c r="Z64" s="64">
        <f t="shared" si="28"/>
        <v>0</v>
      </c>
      <c r="AA64" s="64">
        <f t="shared" si="28"/>
        <v>0</v>
      </c>
      <c r="AB64" s="64">
        <f t="shared" si="28"/>
        <v>0</v>
      </c>
      <c r="AC64" s="64">
        <f t="shared" si="28"/>
        <v>0</v>
      </c>
      <c r="AD64" s="64">
        <f t="shared" si="28"/>
        <v>0</v>
      </c>
      <c r="AE64" s="64">
        <f t="shared" si="28"/>
        <v>0</v>
      </c>
      <c r="AF64" s="64">
        <f t="shared" si="28"/>
        <v>702546165</v>
      </c>
      <c r="AG64" s="3"/>
      <c r="AH64" s="3"/>
      <c r="AI64" s="3"/>
      <c r="AJ64" s="3"/>
      <c r="AK64" s="3"/>
      <c r="AL64" s="3"/>
      <c r="AM64" s="3"/>
    </row>
    <row r="65" spans="1:39" ht="62.25" customHeight="1" x14ac:dyDescent="0.2">
      <c r="A65" s="51"/>
      <c r="B65" s="65"/>
      <c r="C65" s="11"/>
      <c r="D65" s="12"/>
      <c r="E65" s="74"/>
      <c r="F65" s="90" t="s">
        <v>230</v>
      </c>
      <c r="G65" s="91" t="s">
        <v>231</v>
      </c>
      <c r="H65" s="252">
        <v>4001015</v>
      </c>
      <c r="I65" s="130" t="s">
        <v>232</v>
      </c>
      <c r="J65" s="91" t="s">
        <v>233</v>
      </c>
      <c r="K65" s="91">
        <v>400101500</v>
      </c>
      <c r="L65" s="258" t="s">
        <v>234</v>
      </c>
      <c r="M65" s="228" t="s">
        <v>153</v>
      </c>
      <c r="N65" s="93">
        <v>300</v>
      </c>
      <c r="O65" s="93">
        <v>10</v>
      </c>
      <c r="P65" s="94" t="s">
        <v>235</v>
      </c>
      <c r="Q65" s="74" t="s">
        <v>174</v>
      </c>
      <c r="R65" s="130" t="s">
        <v>175</v>
      </c>
      <c r="S65" s="76">
        <v>702546165</v>
      </c>
      <c r="T65" s="76"/>
      <c r="U65" s="249"/>
      <c r="V65" s="76"/>
      <c r="W65" s="76"/>
      <c r="X65" s="76"/>
      <c r="Y65" s="76"/>
      <c r="Z65" s="76"/>
      <c r="AA65" s="76"/>
      <c r="AB65" s="76"/>
      <c r="AC65" s="259"/>
      <c r="AD65" s="76"/>
      <c r="AE65" s="76"/>
      <c r="AF65" s="77">
        <f>+S65+T65+U65+V65+W65+X65+Y65+Z65+AA65+AB65+AC65+AD65+AE65</f>
        <v>702546165</v>
      </c>
      <c r="AG65" s="3"/>
      <c r="AH65" s="3"/>
      <c r="AI65" s="3"/>
      <c r="AJ65" s="3"/>
      <c r="AK65" s="3"/>
      <c r="AL65" s="3"/>
      <c r="AM65" s="3"/>
    </row>
    <row r="66" spans="1:39" ht="15.75" x14ac:dyDescent="0.2">
      <c r="A66" s="51"/>
      <c r="B66" s="79"/>
      <c r="C66" s="194">
        <v>34</v>
      </c>
      <c r="D66" s="195">
        <v>4003</v>
      </c>
      <c r="E66" s="119" t="s">
        <v>236</v>
      </c>
      <c r="F66" s="83"/>
      <c r="G66" s="84"/>
      <c r="H66" s="120"/>
      <c r="I66" s="121"/>
      <c r="J66" s="122"/>
      <c r="K66" s="122"/>
      <c r="L66" s="121"/>
      <c r="M66" s="221"/>
      <c r="N66" s="222"/>
      <c r="O66" s="84"/>
      <c r="P66" s="125"/>
      <c r="Q66" s="125"/>
      <c r="R66" s="121"/>
      <c r="S66" s="64">
        <f t="shared" ref="S66:AF66" si="29">SUM(S67:S71)</f>
        <v>476050000</v>
      </c>
      <c r="T66" s="64">
        <f t="shared" si="29"/>
        <v>0</v>
      </c>
      <c r="U66" s="64">
        <f t="shared" si="29"/>
        <v>0</v>
      </c>
      <c r="V66" s="64">
        <f t="shared" si="29"/>
        <v>0</v>
      </c>
      <c r="W66" s="64">
        <f t="shared" si="29"/>
        <v>0</v>
      </c>
      <c r="X66" s="64">
        <f t="shared" si="29"/>
        <v>0</v>
      </c>
      <c r="Y66" s="64">
        <f t="shared" si="29"/>
        <v>0</v>
      </c>
      <c r="Z66" s="64">
        <f t="shared" si="29"/>
        <v>0</v>
      </c>
      <c r="AA66" s="64">
        <f t="shared" si="29"/>
        <v>0</v>
      </c>
      <c r="AB66" s="64">
        <f t="shared" si="29"/>
        <v>2686652877.1199999</v>
      </c>
      <c r="AC66" s="64">
        <f t="shared" si="29"/>
        <v>30000000</v>
      </c>
      <c r="AD66" s="64">
        <f t="shared" si="29"/>
        <v>0</v>
      </c>
      <c r="AE66" s="64">
        <f t="shared" si="29"/>
        <v>0</v>
      </c>
      <c r="AF66" s="64">
        <f t="shared" si="29"/>
        <v>3192702877.1199999</v>
      </c>
      <c r="AG66" s="3"/>
      <c r="AH66" s="3"/>
      <c r="AI66" s="3"/>
      <c r="AJ66" s="3"/>
      <c r="AK66" s="3"/>
      <c r="AL66" s="3"/>
      <c r="AM66" s="3"/>
    </row>
    <row r="67" spans="1:39" ht="58.5" customHeight="1" x14ac:dyDescent="0.2">
      <c r="A67" s="51"/>
      <c r="B67" s="197"/>
      <c r="C67" s="198"/>
      <c r="D67" s="67"/>
      <c r="E67" s="640"/>
      <c r="F67" s="244" t="s">
        <v>237</v>
      </c>
      <c r="G67" s="228" t="s">
        <v>238</v>
      </c>
      <c r="H67" s="252" t="s">
        <v>51</v>
      </c>
      <c r="I67" s="130" t="s">
        <v>239</v>
      </c>
      <c r="J67" s="228" t="s">
        <v>240</v>
      </c>
      <c r="K67" s="238" t="s">
        <v>241</v>
      </c>
      <c r="L67" s="255" t="s">
        <v>242</v>
      </c>
      <c r="M67" s="228" t="s">
        <v>58</v>
      </c>
      <c r="N67" s="93">
        <v>1</v>
      </c>
      <c r="O67" s="93">
        <v>1</v>
      </c>
      <c r="P67" s="708" t="s">
        <v>243</v>
      </c>
      <c r="Q67" s="703" t="s">
        <v>244</v>
      </c>
      <c r="R67" s="706" t="s">
        <v>245</v>
      </c>
      <c r="S67" s="76"/>
      <c r="T67" s="76"/>
      <c r="U67" s="249"/>
      <c r="V67" s="76"/>
      <c r="W67" s="76"/>
      <c r="X67" s="76"/>
      <c r="Y67" s="76"/>
      <c r="Z67" s="76"/>
      <c r="AA67" s="76"/>
      <c r="AB67" s="76"/>
      <c r="AC67" s="259">
        <v>30000000</v>
      </c>
      <c r="AD67" s="76"/>
      <c r="AE67" s="76"/>
      <c r="AF67" s="77">
        <f>+S67+T67+U67+V67+W67+X67+Y67+Z67+AA67+AB67+AC67+AD67+AE67</f>
        <v>30000000</v>
      </c>
      <c r="AG67" s="3"/>
      <c r="AH67" s="3"/>
      <c r="AI67" s="3"/>
      <c r="AJ67" s="3"/>
      <c r="AK67" s="3"/>
      <c r="AL67" s="3"/>
      <c r="AM67" s="3"/>
    </row>
    <row r="68" spans="1:39" ht="39.75" customHeight="1" x14ac:dyDescent="0.2">
      <c r="A68" s="51"/>
      <c r="B68" s="197"/>
      <c r="C68" s="197"/>
      <c r="D68" s="261"/>
      <c r="E68" s="642"/>
      <c r="F68" s="244" t="s">
        <v>246</v>
      </c>
      <c r="G68" s="262" t="s">
        <v>247</v>
      </c>
      <c r="H68" s="247">
        <v>4003018</v>
      </c>
      <c r="I68" s="263" t="s">
        <v>248</v>
      </c>
      <c r="J68" s="262" t="s">
        <v>249</v>
      </c>
      <c r="K68" s="238">
        <v>400301802</v>
      </c>
      <c r="L68" s="264" t="s">
        <v>250</v>
      </c>
      <c r="M68" s="228" t="s">
        <v>153</v>
      </c>
      <c r="N68" s="93">
        <v>2</v>
      </c>
      <c r="O68" s="238">
        <v>1</v>
      </c>
      <c r="P68" s="711"/>
      <c r="Q68" s="704"/>
      <c r="R68" s="707"/>
      <c r="S68" s="76"/>
      <c r="T68" s="76"/>
      <c r="U68" s="249"/>
      <c r="V68" s="76"/>
      <c r="W68" s="76"/>
      <c r="X68" s="76"/>
      <c r="Y68" s="76"/>
      <c r="Z68" s="76"/>
      <c r="AA68" s="76"/>
      <c r="AB68" s="76">
        <v>588117000</v>
      </c>
      <c r="AC68" s="259"/>
      <c r="AD68" s="76"/>
      <c r="AE68" s="76"/>
      <c r="AF68" s="77">
        <f>+S68+T68+U68+V68+W68+X68+Y68+Z68+AA68+AB68+AC68+AD68+AE68</f>
        <v>588117000</v>
      </c>
      <c r="AG68" s="3"/>
      <c r="AH68" s="3"/>
      <c r="AI68" s="3"/>
      <c r="AJ68" s="3"/>
      <c r="AK68" s="3"/>
      <c r="AL68" s="3"/>
      <c r="AM68" s="3"/>
    </row>
    <row r="69" spans="1:39" ht="60" customHeight="1" x14ac:dyDescent="0.2">
      <c r="A69" s="51"/>
      <c r="B69" s="197"/>
      <c r="C69" s="197"/>
      <c r="D69" s="261"/>
      <c r="E69" s="642"/>
      <c r="F69" s="244" t="s">
        <v>237</v>
      </c>
      <c r="G69" s="91" t="s">
        <v>251</v>
      </c>
      <c r="H69" s="247">
        <v>4003025</v>
      </c>
      <c r="I69" s="263" t="s">
        <v>252</v>
      </c>
      <c r="J69" s="91" t="s">
        <v>253</v>
      </c>
      <c r="K69" s="232">
        <v>400302500</v>
      </c>
      <c r="L69" s="233" t="s">
        <v>254</v>
      </c>
      <c r="M69" s="232" t="s">
        <v>153</v>
      </c>
      <c r="N69" s="232">
        <v>12</v>
      </c>
      <c r="O69" s="232">
        <v>1</v>
      </c>
      <c r="P69" s="711"/>
      <c r="Q69" s="704"/>
      <c r="R69" s="707"/>
      <c r="S69" s="76">
        <v>476050000</v>
      </c>
      <c r="T69" s="76"/>
      <c r="U69" s="249"/>
      <c r="V69" s="76"/>
      <c r="W69" s="76"/>
      <c r="X69" s="76"/>
      <c r="Y69" s="76"/>
      <c r="Z69" s="76"/>
      <c r="AA69" s="76"/>
      <c r="AB69" s="76">
        <v>1288535877.1199999</v>
      </c>
      <c r="AC69" s="259"/>
      <c r="AD69" s="76"/>
      <c r="AE69" s="76"/>
      <c r="AF69" s="77">
        <f>+S69+T69+U69+V69+W69+X69+Y69+Z69+AA69+AB69+AC69+AD69+AE69</f>
        <v>1764585877.1199999</v>
      </c>
      <c r="AG69" s="3"/>
      <c r="AH69" s="3"/>
      <c r="AI69" s="3"/>
      <c r="AJ69" s="3"/>
      <c r="AK69" s="3"/>
      <c r="AL69" s="3"/>
      <c r="AM69" s="3"/>
    </row>
    <row r="70" spans="1:39" ht="49.5" customHeight="1" x14ac:dyDescent="0.2">
      <c r="A70" s="51"/>
      <c r="B70" s="197"/>
      <c r="C70" s="197"/>
      <c r="D70" s="261"/>
      <c r="E70" s="642"/>
      <c r="F70" s="244" t="s">
        <v>237</v>
      </c>
      <c r="G70" s="262" t="s">
        <v>255</v>
      </c>
      <c r="H70" s="247">
        <v>4003028</v>
      </c>
      <c r="I70" s="263" t="s">
        <v>256</v>
      </c>
      <c r="J70" s="262" t="s">
        <v>257</v>
      </c>
      <c r="K70" s="238">
        <v>400302801</v>
      </c>
      <c r="L70" s="264" t="s">
        <v>258</v>
      </c>
      <c r="M70" s="228" t="s">
        <v>58</v>
      </c>
      <c r="N70" s="93">
        <v>4</v>
      </c>
      <c r="O70" s="238">
        <v>4</v>
      </c>
      <c r="P70" s="711"/>
      <c r="Q70" s="704"/>
      <c r="R70" s="707"/>
      <c r="S70" s="76"/>
      <c r="T70" s="76"/>
      <c r="U70" s="249"/>
      <c r="V70" s="76"/>
      <c r="W70" s="76"/>
      <c r="X70" s="76"/>
      <c r="Y70" s="76"/>
      <c r="Z70" s="76"/>
      <c r="AA70" s="76"/>
      <c r="AB70" s="76">
        <v>125000000</v>
      </c>
      <c r="AC70" s="259"/>
      <c r="AD70" s="76"/>
      <c r="AE70" s="76"/>
      <c r="AF70" s="77">
        <f>+S70+T70+U70+V70+W70+X70+Y70+Z70+AA70+AB70+AC70+AD70+AE70</f>
        <v>125000000</v>
      </c>
      <c r="AG70" s="3"/>
      <c r="AH70" s="3"/>
      <c r="AI70" s="3"/>
      <c r="AJ70" s="3"/>
      <c r="AK70" s="3"/>
      <c r="AL70" s="3"/>
      <c r="AM70" s="3"/>
    </row>
    <row r="71" spans="1:39" ht="39.75" customHeight="1" x14ac:dyDescent="0.2">
      <c r="A71" s="51"/>
      <c r="B71" s="205"/>
      <c r="C71" s="205"/>
      <c r="D71" s="78"/>
      <c r="E71" s="641"/>
      <c r="F71" s="244" t="s">
        <v>237</v>
      </c>
      <c r="G71" s="262" t="s">
        <v>259</v>
      </c>
      <c r="H71" s="247">
        <v>4003042</v>
      </c>
      <c r="I71" s="263" t="s">
        <v>260</v>
      </c>
      <c r="J71" s="262" t="s">
        <v>261</v>
      </c>
      <c r="K71" s="238">
        <v>400304200</v>
      </c>
      <c r="L71" s="264" t="s">
        <v>262</v>
      </c>
      <c r="M71" s="228" t="s">
        <v>153</v>
      </c>
      <c r="N71" s="93">
        <v>8</v>
      </c>
      <c r="O71" s="238">
        <v>1</v>
      </c>
      <c r="P71" s="709"/>
      <c r="Q71" s="705"/>
      <c r="R71" s="710"/>
      <c r="S71" s="76"/>
      <c r="T71" s="76"/>
      <c r="U71" s="249"/>
      <c r="V71" s="76"/>
      <c r="W71" s="76"/>
      <c r="X71" s="76"/>
      <c r="Y71" s="76"/>
      <c r="Z71" s="76"/>
      <c r="AA71" s="76"/>
      <c r="AB71" s="76">
        <v>685000000</v>
      </c>
      <c r="AC71" s="259"/>
      <c r="AD71" s="76"/>
      <c r="AE71" s="76"/>
      <c r="AF71" s="77">
        <f>+S71+T71+U71+V71+W71+X71+Y71+Z71+AA71+AB71+AC71+AD71+AE71</f>
        <v>685000000</v>
      </c>
      <c r="AG71" s="3"/>
      <c r="AH71" s="3"/>
      <c r="AI71" s="3"/>
      <c r="AJ71" s="3"/>
      <c r="AK71" s="3"/>
      <c r="AL71" s="3"/>
      <c r="AM71" s="3"/>
    </row>
    <row r="72" spans="1:39" ht="15.75" x14ac:dyDescent="0.2">
      <c r="A72" s="51"/>
      <c r="B72" s="246">
        <v>4</v>
      </c>
      <c r="C72" s="265" t="s">
        <v>77</v>
      </c>
      <c r="D72" s="266"/>
      <c r="E72" s="109"/>
      <c r="F72" s="110"/>
      <c r="G72" s="111"/>
      <c r="H72" s="112"/>
      <c r="I72" s="113"/>
      <c r="J72" s="114"/>
      <c r="K72" s="114"/>
      <c r="L72" s="113"/>
      <c r="M72" s="115"/>
      <c r="N72" s="116"/>
      <c r="O72" s="111"/>
      <c r="P72" s="109"/>
      <c r="Q72" s="109"/>
      <c r="R72" s="113"/>
      <c r="S72" s="50">
        <f t="shared" ref="S72:AF72" si="30">S73+S75</f>
        <v>0</v>
      </c>
      <c r="T72" s="50">
        <f t="shared" si="30"/>
        <v>0</v>
      </c>
      <c r="U72" s="50">
        <f t="shared" si="30"/>
        <v>0</v>
      </c>
      <c r="V72" s="50">
        <f t="shared" si="30"/>
        <v>0</v>
      </c>
      <c r="W72" s="50">
        <f t="shared" si="30"/>
        <v>0</v>
      </c>
      <c r="X72" s="50">
        <f t="shared" si="30"/>
        <v>0</v>
      </c>
      <c r="Y72" s="50">
        <f t="shared" si="30"/>
        <v>0</v>
      </c>
      <c r="Z72" s="50">
        <f t="shared" si="30"/>
        <v>0</v>
      </c>
      <c r="AA72" s="50">
        <f t="shared" si="30"/>
        <v>0</v>
      </c>
      <c r="AB72" s="50">
        <f t="shared" si="30"/>
        <v>0</v>
      </c>
      <c r="AC72" s="50">
        <f t="shared" si="30"/>
        <v>36041593.740000002</v>
      </c>
      <c r="AD72" s="50">
        <f t="shared" si="30"/>
        <v>60660648</v>
      </c>
      <c r="AE72" s="50">
        <f t="shared" si="30"/>
        <v>0</v>
      </c>
      <c r="AF72" s="50">
        <f t="shared" si="30"/>
        <v>96702241.739999995</v>
      </c>
      <c r="AG72" s="3"/>
      <c r="AH72" s="3"/>
      <c r="AI72" s="3"/>
      <c r="AJ72" s="3"/>
      <c r="AK72" s="3"/>
      <c r="AL72" s="3"/>
      <c r="AM72" s="3"/>
    </row>
    <row r="73" spans="1:39" ht="15.75" x14ac:dyDescent="0.2">
      <c r="A73" s="51"/>
      <c r="B73" s="52"/>
      <c r="C73" s="220">
        <v>45</v>
      </c>
      <c r="D73" s="84" t="s">
        <v>51</v>
      </c>
      <c r="E73" s="119" t="s">
        <v>52</v>
      </c>
      <c r="F73" s="83"/>
      <c r="G73" s="84"/>
      <c r="H73" s="120"/>
      <c r="I73" s="121"/>
      <c r="J73" s="122"/>
      <c r="K73" s="122"/>
      <c r="L73" s="121"/>
      <c r="M73" s="221"/>
      <c r="N73" s="222"/>
      <c r="O73" s="84"/>
      <c r="P73" s="125"/>
      <c r="Q73" s="241"/>
      <c r="R73" s="242"/>
      <c r="S73" s="64">
        <f t="shared" ref="S73:AF73" si="31">S74</f>
        <v>0</v>
      </c>
      <c r="T73" s="64">
        <f t="shared" si="31"/>
        <v>0</v>
      </c>
      <c r="U73" s="64">
        <f t="shared" si="31"/>
        <v>0</v>
      </c>
      <c r="V73" s="64">
        <f t="shared" si="31"/>
        <v>0</v>
      </c>
      <c r="W73" s="64">
        <f t="shared" si="31"/>
        <v>0</v>
      </c>
      <c r="X73" s="64">
        <f t="shared" si="31"/>
        <v>0</v>
      </c>
      <c r="Y73" s="64">
        <f t="shared" si="31"/>
        <v>0</v>
      </c>
      <c r="Z73" s="64">
        <f t="shared" si="31"/>
        <v>0</v>
      </c>
      <c r="AA73" s="64">
        <f t="shared" si="31"/>
        <v>0</v>
      </c>
      <c r="AB73" s="64">
        <f t="shared" si="31"/>
        <v>0</v>
      </c>
      <c r="AC73" s="64">
        <f t="shared" si="31"/>
        <v>12013864.58</v>
      </c>
      <c r="AD73" s="64">
        <f t="shared" si="31"/>
        <v>60660648</v>
      </c>
      <c r="AE73" s="64">
        <f t="shared" si="31"/>
        <v>0</v>
      </c>
      <c r="AF73" s="64">
        <f t="shared" si="31"/>
        <v>72674512.579999998</v>
      </c>
      <c r="AG73" s="3"/>
      <c r="AH73" s="3"/>
      <c r="AI73" s="3"/>
      <c r="AJ73" s="3"/>
      <c r="AK73" s="3"/>
      <c r="AL73" s="3"/>
      <c r="AM73" s="3"/>
    </row>
    <row r="74" spans="1:39" ht="91.5" customHeight="1" x14ac:dyDescent="0.2">
      <c r="A74" s="51"/>
      <c r="B74" s="65"/>
      <c r="C74" s="223"/>
      <c r="D74" s="224"/>
      <c r="E74" s="74"/>
      <c r="F74" s="69" t="s">
        <v>263</v>
      </c>
      <c r="G74" s="73" t="s">
        <v>264</v>
      </c>
      <c r="H74" s="71" t="s">
        <v>51</v>
      </c>
      <c r="I74" s="72" t="s">
        <v>265</v>
      </c>
      <c r="J74" s="73" t="s">
        <v>266</v>
      </c>
      <c r="K74" s="238" t="s">
        <v>51</v>
      </c>
      <c r="L74" s="72" t="s">
        <v>267</v>
      </c>
      <c r="M74" s="228" t="s">
        <v>58</v>
      </c>
      <c r="N74" s="93">
        <v>4</v>
      </c>
      <c r="O74" s="70">
        <v>4</v>
      </c>
      <c r="P74" s="74" t="s">
        <v>59</v>
      </c>
      <c r="Q74" s="74" t="s">
        <v>174</v>
      </c>
      <c r="R74" s="130" t="s">
        <v>175</v>
      </c>
      <c r="S74" s="245"/>
      <c r="T74" s="76"/>
      <c r="U74" s="76"/>
      <c r="V74" s="76"/>
      <c r="W74" s="76"/>
      <c r="X74" s="76"/>
      <c r="Y74" s="76"/>
      <c r="Z74" s="76"/>
      <c r="AA74" s="76"/>
      <c r="AB74" s="76"/>
      <c r="AC74" s="172">
        <v>12013864.58</v>
      </c>
      <c r="AD74" s="267">
        <v>60660648</v>
      </c>
      <c r="AE74" s="76"/>
      <c r="AF74" s="77">
        <f>+S74+T74+U74+V74+W74+X74+Y74+Z74+AA74+AB74+AC74+AD74+AE74</f>
        <v>72674512.579999998</v>
      </c>
      <c r="AG74" s="3"/>
      <c r="AH74" s="3"/>
      <c r="AI74" s="3"/>
      <c r="AJ74" s="3"/>
      <c r="AK74" s="3"/>
      <c r="AL74" s="3"/>
      <c r="AM74" s="3"/>
    </row>
    <row r="75" spans="1:39" ht="15.75" x14ac:dyDescent="0.2">
      <c r="A75" s="51"/>
      <c r="B75" s="79"/>
      <c r="C75" s="220">
        <v>42</v>
      </c>
      <c r="D75" s="84">
        <v>4502</v>
      </c>
      <c r="E75" s="119" t="s">
        <v>68</v>
      </c>
      <c r="F75" s="83"/>
      <c r="G75" s="84"/>
      <c r="H75" s="120"/>
      <c r="I75" s="121"/>
      <c r="J75" s="122"/>
      <c r="K75" s="122"/>
      <c r="L75" s="121"/>
      <c r="M75" s="221"/>
      <c r="N75" s="222"/>
      <c r="O75" s="84"/>
      <c r="P75" s="125"/>
      <c r="Q75" s="241"/>
      <c r="R75" s="242"/>
      <c r="S75" s="64">
        <f t="shared" ref="S75:AF75" si="32">S76</f>
        <v>0</v>
      </c>
      <c r="T75" s="64">
        <f t="shared" si="32"/>
        <v>0</v>
      </c>
      <c r="U75" s="64">
        <f t="shared" si="32"/>
        <v>0</v>
      </c>
      <c r="V75" s="64">
        <f t="shared" si="32"/>
        <v>0</v>
      </c>
      <c r="W75" s="64">
        <f t="shared" si="32"/>
        <v>0</v>
      </c>
      <c r="X75" s="64">
        <f t="shared" si="32"/>
        <v>0</v>
      </c>
      <c r="Y75" s="64">
        <f t="shared" si="32"/>
        <v>0</v>
      </c>
      <c r="Z75" s="64">
        <f t="shared" si="32"/>
        <v>0</v>
      </c>
      <c r="AA75" s="64">
        <f t="shared" si="32"/>
        <v>0</v>
      </c>
      <c r="AB75" s="64">
        <f t="shared" si="32"/>
        <v>0</v>
      </c>
      <c r="AC75" s="64">
        <f t="shared" si="32"/>
        <v>24027729.16</v>
      </c>
      <c r="AD75" s="64">
        <f t="shared" si="32"/>
        <v>0</v>
      </c>
      <c r="AE75" s="64">
        <f t="shared" si="32"/>
        <v>0</v>
      </c>
      <c r="AF75" s="64">
        <f t="shared" si="32"/>
        <v>24027729.16</v>
      </c>
    </row>
    <row r="76" spans="1:39" ht="47.25" customHeight="1" x14ac:dyDescent="0.2">
      <c r="A76" s="86"/>
      <c r="B76" s="87"/>
      <c r="C76" s="11"/>
      <c r="D76" s="12"/>
      <c r="E76" s="74"/>
      <c r="F76" s="90" t="s">
        <v>78</v>
      </c>
      <c r="G76" s="238" t="s">
        <v>268</v>
      </c>
      <c r="H76" s="247">
        <v>4502003</v>
      </c>
      <c r="I76" s="244" t="s">
        <v>269</v>
      </c>
      <c r="J76" s="238" t="s">
        <v>270</v>
      </c>
      <c r="K76" s="238">
        <v>450200300</v>
      </c>
      <c r="L76" s="239" t="s">
        <v>269</v>
      </c>
      <c r="M76" s="228" t="s">
        <v>153</v>
      </c>
      <c r="N76" s="93">
        <v>8</v>
      </c>
      <c r="O76" s="238">
        <v>2</v>
      </c>
      <c r="P76" s="94" t="s">
        <v>271</v>
      </c>
      <c r="Q76" s="74" t="s">
        <v>174</v>
      </c>
      <c r="R76" s="130" t="s">
        <v>175</v>
      </c>
      <c r="S76" s="245"/>
      <c r="T76" s="76"/>
      <c r="U76" s="76"/>
      <c r="V76" s="76"/>
      <c r="W76" s="76"/>
      <c r="X76" s="76"/>
      <c r="Y76" s="76"/>
      <c r="Z76" s="76"/>
      <c r="AA76" s="76"/>
      <c r="AB76" s="76"/>
      <c r="AC76" s="172">
        <v>24027729.16</v>
      </c>
      <c r="AD76" s="171"/>
      <c r="AE76" s="76"/>
      <c r="AF76" s="77">
        <f>+S76+T76+U76+V76+W76+X76+Y76+Z76+AA76+AB76+AC76+AD76+AE76</f>
        <v>24027729.16</v>
      </c>
      <c r="AG76" s="3"/>
      <c r="AH76" s="3"/>
      <c r="AI76" s="3"/>
      <c r="AJ76" s="3"/>
      <c r="AK76" s="3"/>
      <c r="AL76" s="3"/>
      <c r="AM76" s="3"/>
    </row>
    <row r="77" spans="1:39" s="209" customFormat="1" x14ac:dyDescent="0.2">
      <c r="B77" s="210"/>
      <c r="C77" s="210"/>
      <c r="D77" s="211"/>
      <c r="F77" s="212"/>
      <c r="G77" s="213"/>
      <c r="H77" s="214"/>
      <c r="I77" s="215"/>
      <c r="J77" s="268"/>
      <c r="K77" s="269"/>
      <c r="L77" s="215"/>
      <c r="N77" s="217"/>
      <c r="O77" s="213"/>
      <c r="P77" s="218"/>
      <c r="Q77" s="218"/>
      <c r="R77" s="215"/>
      <c r="AF77" s="691"/>
      <c r="AG77" s="219"/>
      <c r="AH77" s="219"/>
      <c r="AI77" s="219"/>
      <c r="AJ77" s="219"/>
      <c r="AK77" s="219"/>
      <c r="AL77" s="219"/>
      <c r="AM77" s="219"/>
    </row>
    <row r="78" spans="1:39" s="209" customFormat="1" x14ac:dyDescent="0.2">
      <c r="B78" s="210"/>
      <c r="C78" s="210"/>
      <c r="D78" s="211"/>
      <c r="F78" s="212"/>
      <c r="G78" s="213"/>
      <c r="H78" s="214"/>
      <c r="I78" s="215"/>
      <c r="J78" s="270"/>
      <c r="K78" s="271"/>
      <c r="L78" s="215"/>
      <c r="N78" s="217"/>
      <c r="O78" s="213"/>
      <c r="P78" s="218"/>
      <c r="Q78" s="218"/>
      <c r="R78" s="215"/>
      <c r="AF78" s="692"/>
      <c r="AG78" s="219"/>
      <c r="AH78" s="219"/>
      <c r="AI78" s="219"/>
      <c r="AJ78" s="219"/>
      <c r="AK78" s="219"/>
      <c r="AL78" s="219"/>
      <c r="AM78" s="219"/>
    </row>
    <row r="79" spans="1:39" ht="15.75" x14ac:dyDescent="0.2">
      <c r="A79" s="23" t="s">
        <v>272</v>
      </c>
      <c r="B79" s="24"/>
      <c r="C79" s="25"/>
      <c r="D79" s="26"/>
      <c r="E79" s="27"/>
      <c r="F79" s="188"/>
      <c r="G79" s="189"/>
      <c r="H79" s="30"/>
      <c r="I79" s="31"/>
      <c r="J79" s="32"/>
      <c r="K79" s="32"/>
      <c r="L79" s="31"/>
      <c r="M79" s="104"/>
      <c r="N79" s="30"/>
      <c r="O79" s="29"/>
      <c r="P79" s="27"/>
      <c r="Q79" s="27"/>
      <c r="R79" s="31"/>
      <c r="S79" s="272">
        <f t="shared" ref="S79:AF79" si="33">+S80+S101+S109</f>
        <v>0</v>
      </c>
      <c r="T79" s="272">
        <f t="shared" si="33"/>
        <v>5428613946.8600006</v>
      </c>
      <c r="U79" s="272">
        <f t="shared" si="33"/>
        <v>0</v>
      </c>
      <c r="V79" s="272">
        <f t="shared" si="33"/>
        <v>0</v>
      </c>
      <c r="W79" s="272">
        <f t="shared" si="33"/>
        <v>0</v>
      </c>
      <c r="X79" s="272">
        <f t="shared" si="33"/>
        <v>0</v>
      </c>
      <c r="Y79" s="272">
        <f t="shared" si="33"/>
        <v>0</v>
      </c>
      <c r="Z79" s="272">
        <f t="shared" si="33"/>
        <v>0</v>
      </c>
      <c r="AA79" s="272">
        <f t="shared" si="33"/>
        <v>0</v>
      </c>
      <c r="AB79" s="272">
        <f t="shared" si="33"/>
        <v>0</v>
      </c>
      <c r="AC79" s="272">
        <f t="shared" si="33"/>
        <v>1417116407.3</v>
      </c>
      <c r="AD79" s="272">
        <f t="shared" si="33"/>
        <v>0</v>
      </c>
      <c r="AE79" s="272">
        <f t="shared" si="33"/>
        <v>0</v>
      </c>
      <c r="AF79" s="272">
        <f t="shared" si="33"/>
        <v>6845730354.1600008</v>
      </c>
    </row>
    <row r="80" spans="1:39" ht="15.75" x14ac:dyDescent="0.2">
      <c r="A80" s="51"/>
      <c r="B80" s="106">
        <v>1</v>
      </c>
      <c r="C80" s="107" t="s">
        <v>1</v>
      </c>
      <c r="D80" s="108"/>
      <c r="E80" s="109"/>
      <c r="F80" s="110"/>
      <c r="G80" s="111"/>
      <c r="H80" s="112"/>
      <c r="I80" s="113"/>
      <c r="J80" s="114"/>
      <c r="K80" s="114"/>
      <c r="L80" s="113"/>
      <c r="M80" s="273"/>
      <c r="N80" s="112"/>
      <c r="O80" s="111"/>
      <c r="P80" s="109"/>
      <c r="Q80" s="109"/>
      <c r="R80" s="113"/>
      <c r="S80" s="274">
        <f t="shared" ref="S80:AF80" si="34">+S81+S83+S85+S87+S89+S95+S97</f>
        <v>0</v>
      </c>
      <c r="T80" s="274">
        <f t="shared" si="34"/>
        <v>5428613946.8600006</v>
      </c>
      <c r="U80" s="274">
        <f t="shared" si="34"/>
        <v>0</v>
      </c>
      <c r="V80" s="274">
        <f t="shared" si="34"/>
        <v>0</v>
      </c>
      <c r="W80" s="274">
        <f t="shared" si="34"/>
        <v>0</v>
      </c>
      <c r="X80" s="274">
        <f t="shared" si="34"/>
        <v>0</v>
      </c>
      <c r="Y80" s="274">
        <f t="shared" si="34"/>
        <v>0</v>
      </c>
      <c r="Z80" s="274">
        <f t="shared" si="34"/>
        <v>0</v>
      </c>
      <c r="AA80" s="274">
        <f t="shared" si="34"/>
        <v>0</v>
      </c>
      <c r="AB80" s="274">
        <f t="shared" si="34"/>
        <v>0</v>
      </c>
      <c r="AC80" s="274">
        <f t="shared" si="34"/>
        <v>893387495</v>
      </c>
      <c r="AD80" s="274">
        <f t="shared" si="34"/>
        <v>0</v>
      </c>
      <c r="AE80" s="274">
        <f t="shared" si="34"/>
        <v>0</v>
      </c>
      <c r="AF80" s="274">
        <f t="shared" si="34"/>
        <v>6322001441.8600006</v>
      </c>
    </row>
    <row r="81" spans="1:39" ht="15.75" x14ac:dyDescent="0.2">
      <c r="A81" s="51"/>
      <c r="B81" s="52"/>
      <c r="C81" s="194">
        <v>1</v>
      </c>
      <c r="D81" s="195">
        <v>1202</v>
      </c>
      <c r="E81" s="119" t="s">
        <v>147</v>
      </c>
      <c r="F81" s="83"/>
      <c r="G81" s="84"/>
      <c r="H81" s="120"/>
      <c r="I81" s="121"/>
      <c r="J81" s="122"/>
      <c r="K81" s="122"/>
      <c r="L81" s="121"/>
      <c r="M81" s="275"/>
      <c r="N81" s="120"/>
      <c r="O81" s="84"/>
      <c r="P81" s="125"/>
      <c r="Q81" s="125"/>
      <c r="R81" s="121"/>
      <c r="S81" s="276">
        <f t="shared" ref="S81:AF81" si="35">S82</f>
        <v>0</v>
      </c>
      <c r="T81" s="276">
        <f t="shared" si="35"/>
        <v>0</v>
      </c>
      <c r="U81" s="276">
        <f t="shared" si="35"/>
        <v>0</v>
      </c>
      <c r="V81" s="276">
        <f t="shared" si="35"/>
        <v>0</v>
      </c>
      <c r="W81" s="276">
        <f t="shared" si="35"/>
        <v>0</v>
      </c>
      <c r="X81" s="276">
        <f t="shared" si="35"/>
        <v>0</v>
      </c>
      <c r="Y81" s="276">
        <f t="shared" si="35"/>
        <v>0</v>
      </c>
      <c r="Z81" s="276">
        <f t="shared" si="35"/>
        <v>0</v>
      </c>
      <c r="AA81" s="276">
        <f t="shared" si="35"/>
        <v>0</v>
      </c>
      <c r="AB81" s="276">
        <f t="shared" si="35"/>
        <v>0</v>
      </c>
      <c r="AC81" s="276">
        <f t="shared" si="35"/>
        <v>112128400</v>
      </c>
      <c r="AD81" s="276">
        <f t="shared" si="35"/>
        <v>0</v>
      </c>
      <c r="AE81" s="276">
        <f t="shared" si="35"/>
        <v>0</v>
      </c>
      <c r="AF81" s="693">
        <f t="shared" si="35"/>
        <v>112128400</v>
      </c>
    </row>
    <row r="82" spans="1:39" ht="201" customHeight="1" x14ac:dyDescent="0.2">
      <c r="A82" s="51"/>
      <c r="B82" s="197"/>
      <c r="C82" s="236"/>
      <c r="D82" s="89"/>
      <c r="E82" s="68"/>
      <c r="F82" s="90" t="s">
        <v>148</v>
      </c>
      <c r="G82" s="277" t="s">
        <v>273</v>
      </c>
      <c r="H82" s="70">
        <v>1202004</v>
      </c>
      <c r="I82" s="72" t="s">
        <v>274</v>
      </c>
      <c r="J82" s="277" t="s">
        <v>275</v>
      </c>
      <c r="K82" s="238">
        <v>120200400</v>
      </c>
      <c r="L82" s="278" t="s">
        <v>276</v>
      </c>
      <c r="M82" s="74" t="s">
        <v>58</v>
      </c>
      <c r="N82" s="71">
        <v>12</v>
      </c>
      <c r="O82" s="70">
        <v>12</v>
      </c>
      <c r="P82" s="94" t="s">
        <v>277</v>
      </c>
      <c r="Q82" s="156" t="s">
        <v>278</v>
      </c>
      <c r="R82" s="155" t="s">
        <v>279</v>
      </c>
      <c r="S82" s="279"/>
      <c r="T82" s="139"/>
      <c r="U82" s="76"/>
      <c r="V82" s="76"/>
      <c r="W82" s="76"/>
      <c r="X82" s="76"/>
      <c r="Y82" s="76"/>
      <c r="Z82" s="76"/>
      <c r="AA82" s="76"/>
      <c r="AB82" s="76"/>
      <c r="AC82" s="132">
        <v>112128400</v>
      </c>
      <c r="AD82" s="131"/>
      <c r="AE82" s="131"/>
      <c r="AF82" s="77">
        <f>+S82+T82+U82+V82+W82+X82+Y82+Z82+AA82+AB82+AC82+AD82+AE82</f>
        <v>112128400</v>
      </c>
      <c r="AG82" s="3"/>
      <c r="AH82" s="3"/>
      <c r="AI82" s="3"/>
      <c r="AJ82" s="3"/>
      <c r="AK82" s="3"/>
      <c r="AL82" s="3"/>
      <c r="AM82" s="3"/>
    </row>
    <row r="83" spans="1:39" ht="20.25" customHeight="1" x14ac:dyDescent="0.2">
      <c r="A83" s="51"/>
      <c r="B83" s="79"/>
      <c r="C83" s="280">
        <v>2</v>
      </c>
      <c r="D83" s="281">
        <v>1203</v>
      </c>
      <c r="E83" s="119" t="s">
        <v>280</v>
      </c>
      <c r="F83" s="83"/>
      <c r="G83" s="84"/>
      <c r="H83" s="120"/>
      <c r="I83" s="121"/>
      <c r="J83" s="122"/>
      <c r="K83" s="122"/>
      <c r="L83" s="121"/>
      <c r="M83" s="275"/>
      <c r="N83" s="120"/>
      <c r="O83" s="84"/>
      <c r="P83" s="125"/>
      <c r="Q83" s="125"/>
      <c r="R83" s="121"/>
      <c r="S83" s="282">
        <f t="shared" ref="S83:AF83" si="36">S84</f>
        <v>0</v>
      </c>
      <c r="T83" s="282">
        <f t="shared" si="36"/>
        <v>0</v>
      </c>
      <c r="U83" s="282">
        <f t="shared" si="36"/>
        <v>0</v>
      </c>
      <c r="V83" s="282">
        <f t="shared" si="36"/>
        <v>0</v>
      </c>
      <c r="W83" s="282">
        <f t="shared" si="36"/>
        <v>0</v>
      </c>
      <c r="X83" s="282">
        <f t="shared" si="36"/>
        <v>0</v>
      </c>
      <c r="Y83" s="282">
        <f t="shared" si="36"/>
        <v>0</v>
      </c>
      <c r="Z83" s="282">
        <f t="shared" si="36"/>
        <v>0</v>
      </c>
      <c r="AA83" s="282">
        <f t="shared" si="36"/>
        <v>0</v>
      </c>
      <c r="AB83" s="282">
        <f t="shared" si="36"/>
        <v>0</v>
      </c>
      <c r="AC83" s="282">
        <f t="shared" si="36"/>
        <v>15000000</v>
      </c>
      <c r="AD83" s="282">
        <f t="shared" si="36"/>
        <v>0</v>
      </c>
      <c r="AE83" s="282">
        <f t="shared" si="36"/>
        <v>0</v>
      </c>
      <c r="AF83" s="291">
        <f t="shared" si="36"/>
        <v>15000000</v>
      </c>
    </row>
    <row r="84" spans="1:39" ht="186" customHeight="1" x14ac:dyDescent="0.2">
      <c r="A84" s="51"/>
      <c r="B84" s="197"/>
      <c r="C84" s="236"/>
      <c r="D84" s="89"/>
      <c r="E84" s="68"/>
      <c r="F84" s="90" t="s">
        <v>148</v>
      </c>
      <c r="G84" s="71" t="s">
        <v>281</v>
      </c>
      <c r="H84" s="70">
        <v>1203002</v>
      </c>
      <c r="I84" s="72" t="s">
        <v>282</v>
      </c>
      <c r="J84" s="277" t="s">
        <v>283</v>
      </c>
      <c r="K84" s="238">
        <v>120300200</v>
      </c>
      <c r="L84" s="278" t="s">
        <v>284</v>
      </c>
      <c r="M84" s="283" t="s">
        <v>153</v>
      </c>
      <c r="N84" s="71">
        <v>150</v>
      </c>
      <c r="O84" s="70">
        <v>10</v>
      </c>
      <c r="P84" s="94" t="s">
        <v>277</v>
      </c>
      <c r="Q84" s="156" t="s">
        <v>285</v>
      </c>
      <c r="R84" s="155" t="s">
        <v>286</v>
      </c>
      <c r="S84" s="76"/>
      <c r="T84" s="284"/>
      <c r="U84" s="76"/>
      <c r="V84" s="76"/>
      <c r="W84" s="76"/>
      <c r="X84" s="76"/>
      <c r="Y84" s="76"/>
      <c r="Z84" s="76"/>
      <c r="AA84" s="76"/>
      <c r="AB84" s="76"/>
      <c r="AC84" s="132">
        <f>15000000</f>
        <v>15000000</v>
      </c>
      <c r="AD84" s="131"/>
      <c r="AE84" s="285"/>
      <c r="AF84" s="77">
        <f>+S84+T84+U84+V84+W84+X84+Y84+Z84+AA84+AB84+AC84+AD84+AE84</f>
        <v>15000000</v>
      </c>
      <c r="AG84" s="3"/>
      <c r="AH84" s="3"/>
      <c r="AI84" s="3"/>
      <c r="AJ84" s="3"/>
      <c r="AK84" s="3"/>
      <c r="AL84" s="3"/>
      <c r="AM84" s="3"/>
    </row>
    <row r="85" spans="1:39" ht="21" customHeight="1" x14ac:dyDescent="0.2">
      <c r="A85" s="51"/>
      <c r="B85" s="79"/>
      <c r="C85" s="280">
        <v>3</v>
      </c>
      <c r="D85" s="281">
        <v>1206</v>
      </c>
      <c r="E85" s="119" t="s">
        <v>287</v>
      </c>
      <c r="F85" s="83"/>
      <c r="G85" s="84"/>
      <c r="H85" s="120"/>
      <c r="I85" s="121"/>
      <c r="J85" s="122"/>
      <c r="K85" s="122"/>
      <c r="L85" s="121"/>
      <c r="M85" s="275"/>
      <c r="N85" s="120"/>
      <c r="O85" s="84"/>
      <c r="P85" s="122"/>
      <c r="Q85" s="125"/>
      <c r="R85" s="121"/>
      <c r="S85" s="282">
        <f t="shared" ref="S85:AF85" si="37">S86</f>
        <v>0</v>
      </c>
      <c r="T85" s="282">
        <f t="shared" si="37"/>
        <v>0</v>
      </c>
      <c r="U85" s="282">
        <f t="shared" si="37"/>
        <v>0</v>
      </c>
      <c r="V85" s="282">
        <f t="shared" si="37"/>
        <v>0</v>
      </c>
      <c r="W85" s="282">
        <f t="shared" si="37"/>
        <v>0</v>
      </c>
      <c r="X85" s="282">
        <f t="shared" si="37"/>
        <v>0</v>
      </c>
      <c r="Y85" s="282">
        <f t="shared" si="37"/>
        <v>0</v>
      </c>
      <c r="Z85" s="282">
        <f t="shared" si="37"/>
        <v>0</v>
      </c>
      <c r="AA85" s="282">
        <f t="shared" si="37"/>
        <v>0</v>
      </c>
      <c r="AB85" s="282">
        <f t="shared" si="37"/>
        <v>0</v>
      </c>
      <c r="AC85" s="282">
        <f t="shared" si="37"/>
        <v>15000000</v>
      </c>
      <c r="AD85" s="282">
        <f t="shared" si="37"/>
        <v>0</v>
      </c>
      <c r="AE85" s="282">
        <f t="shared" si="37"/>
        <v>0</v>
      </c>
      <c r="AF85" s="291">
        <f t="shared" si="37"/>
        <v>15000000</v>
      </c>
    </row>
    <row r="86" spans="1:39" ht="201.75" customHeight="1" x14ac:dyDescent="0.2">
      <c r="A86" s="51"/>
      <c r="B86" s="197"/>
      <c r="C86" s="236"/>
      <c r="D86" s="89"/>
      <c r="E86" s="68"/>
      <c r="F86" s="90" t="s">
        <v>148</v>
      </c>
      <c r="G86" s="94" t="s">
        <v>288</v>
      </c>
      <c r="H86" s="70">
        <v>1206005</v>
      </c>
      <c r="I86" s="72" t="s">
        <v>289</v>
      </c>
      <c r="J86" s="94" t="s">
        <v>290</v>
      </c>
      <c r="K86" s="238">
        <v>120600500</v>
      </c>
      <c r="L86" s="286" t="s">
        <v>291</v>
      </c>
      <c r="M86" s="287" t="s">
        <v>153</v>
      </c>
      <c r="N86" s="129">
        <v>100</v>
      </c>
      <c r="O86" s="70">
        <v>15</v>
      </c>
      <c r="P86" s="94" t="s">
        <v>277</v>
      </c>
      <c r="Q86" s="74" t="s">
        <v>285</v>
      </c>
      <c r="R86" s="130" t="s">
        <v>286</v>
      </c>
      <c r="S86" s="76"/>
      <c r="T86" s="288"/>
      <c r="U86" s="76"/>
      <c r="V86" s="76"/>
      <c r="W86" s="76"/>
      <c r="X86" s="76"/>
      <c r="Y86" s="76"/>
      <c r="Z86" s="76"/>
      <c r="AA86" s="76"/>
      <c r="AB86" s="76"/>
      <c r="AC86" s="172">
        <f>15000000</f>
        <v>15000000</v>
      </c>
      <c r="AD86" s="76"/>
      <c r="AE86" s="76"/>
      <c r="AF86" s="77">
        <f>+S86+T86+U86+V86+W86+X86+Y86+Z86+AA86+AB86+AC86+AD86+AE86</f>
        <v>15000000</v>
      </c>
      <c r="AG86" s="3"/>
      <c r="AH86" s="3"/>
      <c r="AI86" s="3"/>
      <c r="AJ86" s="3"/>
      <c r="AK86" s="3"/>
      <c r="AL86" s="3"/>
      <c r="AM86" s="3"/>
    </row>
    <row r="87" spans="1:39" ht="18.75" customHeight="1" x14ac:dyDescent="0.2">
      <c r="A87" s="51"/>
      <c r="B87" s="79"/>
      <c r="C87" s="280">
        <v>15</v>
      </c>
      <c r="D87" s="281">
        <v>2201</v>
      </c>
      <c r="E87" s="119" t="s">
        <v>166</v>
      </c>
      <c r="F87" s="83"/>
      <c r="G87" s="84"/>
      <c r="H87" s="120"/>
      <c r="I87" s="121"/>
      <c r="J87" s="122"/>
      <c r="K87" s="122"/>
      <c r="L87" s="121"/>
      <c r="M87" s="275"/>
      <c r="N87" s="120"/>
      <c r="O87" s="84"/>
      <c r="P87" s="125"/>
      <c r="Q87" s="125"/>
      <c r="R87" s="121"/>
      <c r="S87" s="282">
        <f t="shared" ref="S87:AF87" si="38">S88</f>
        <v>0</v>
      </c>
      <c r="T87" s="282">
        <f t="shared" si="38"/>
        <v>0</v>
      </c>
      <c r="U87" s="282">
        <f t="shared" si="38"/>
        <v>0</v>
      </c>
      <c r="V87" s="282">
        <f t="shared" si="38"/>
        <v>0</v>
      </c>
      <c r="W87" s="282">
        <f t="shared" si="38"/>
        <v>0</v>
      </c>
      <c r="X87" s="282">
        <f t="shared" si="38"/>
        <v>0</v>
      </c>
      <c r="Y87" s="282">
        <f t="shared" si="38"/>
        <v>0</v>
      </c>
      <c r="Z87" s="282">
        <f t="shared" si="38"/>
        <v>0</v>
      </c>
      <c r="AA87" s="282">
        <f t="shared" si="38"/>
        <v>0</v>
      </c>
      <c r="AB87" s="282">
        <f t="shared" si="38"/>
        <v>0</v>
      </c>
      <c r="AC87" s="282">
        <f t="shared" si="38"/>
        <v>21866667</v>
      </c>
      <c r="AD87" s="282">
        <f t="shared" si="38"/>
        <v>0</v>
      </c>
      <c r="AE87" s="282">
        <f t="shared" si="38"/>
        <v>0</v>
      </c>
      <c r="AF87" s="291">
        <f t="shared" si="38"/>
        <v>21866667</v>
      </c>
    </row>
    <row r="88" spans="1:39" ht="140.25" customHeight="1" x14ac:dyDescent="0.2">
      <c r="A88" s="51"/>
      <c r="B88" s="197"/>
      <c r="C88" s="236"/>
      <c r="D88" s="89"/>
      <c r="E88" s="289"/>
      <c r="F88" s="290" t="s">
        <v>292</v>
      </c>
      <c r="G88" s="74" t="s">
        <v>293</v>
      </c>
      <c r="H88" s="252">
        <v>2201068</v>
      </c>
      <c r="I88" s="130" t="s">
        <v>294</v>
      </c>
      <c r="J88" s="74" t="s">
        <v>295</v>
      </c>
      <c r="K88" s="238">
        <v>220106800</v>
      </c>
      <c r="L88" s="130" t="s">
        <v>296</v>
      </c>
      <c r="M88" s="74" t="s">
        <v>297</v>
      </c>
      <c r="N88" s="71">
        <v>266</v>
      </c>
      <c r="O88" s="71">
        <v>40</v>
      </c>
      <c r="P88" s="74" t="s">
        <v>173</v>
      </c>
      <c r="Q88" s="74" t="s">
        <v>298</v>
      </c>
      <c r="R88" s="130" t="s">
        <v>299</v>
      </c>
      <c r="S88" s="76"/>
      <c r="T88" s="76"/>
      <c r="U88" s="76"/>
      <c r="V88" s="76"/>
      <c r="W88" s="76"/>
      <c r="X88" s="76"/>
      <c r="Y88" s="76"/>
      <c r="Z88" s="76"/>
      <c r="AA88" s="131"/>
      <c r="AB88" s="131"/>
      <c r="AC88" s="132">
        <v>21866667</v>
      </c>
      <c r="AD88" s="131"/>
      <c r="AE88" s="131"/>
      <c r="AF88" s="77">
        <f>+S88+T88+U88+V88+W88+X88+Y88+Z88+AA88+AB88+AC88+AD88+AE88</f>
        <v>21866667</v>
      </c>
      <c r="AG88" s="3"/>
      <c r="AH88" s="3"/>
      <c r="AI88" s="3"/>
      <c r="AJ88" s="3"/>
      <c r="AK88" s="3"/>
      <c r="AL88" s="3"/>
      <c r="AM88" s="3"/>
    </row>
    <row r="89" spans="1:39" ht="15.75" x14ac:dyDescent="0.2">
      <c r="A89" s="51"/>
      <c r="B89" s="79"/>
      <c r="C89" s="280">
        <v>35</v>
      </c>
      <c r="D89" s="281">
        <v>4101</v>
      </c>
      <c r="E89" s="119" t="s">
        <v>300</v>
      </c>
      <c r="F89" s="83"/>
      <c r="G89" s="84"/>
      <c r="H89" s="120"/>
      <c r="I89" s="121"/>
      <c r="J89" s="122"/>
      <c r="K89" s="122"/>
      <c r="L89" s="121"/>
      <c r="M89" s="121"/>
      <c r="N89" s="121"/>
      <c r="O89" s="121"/>
      <c r="P89" s="125"/>
      <c r="Q89" s="125"/>
      <c r="R89" s="121"/>
      <c r="S89" s="291">
        <f t="shared" ref="S89:AF89" si="39">SUM(S90:S94)</f>
        <v>0</v>
      </c>
      <c r="T89" s="291">
        <f t="shared" si="39"/>
        <v>0</v>
      </c>
      <c r="U89" s="291">
        <f t="shared" si="39"/>
        <v>0</v>
      </c>
      <c r="V89" s="291">
        <f t="shared" si="39"/>
        <v>0</v>
      </c>
      <c r="W89" s="291">
        <f t="shared" si="39"/>
        <v>0</v>
      </c>
      <c r="X89" s="291">
        <f t="shared" si="39"/>
        <v>0</v>
      </c>
      <c r="Y89" s="291">
        <f t="shared" si="39"/>
        <v>0</v>
      </c>
      <c r="Z89" s="291">
        <f t="shared" si="39"/>
        <v>0</v>
      </c>
      <c r="AA89" s="291">
        <f t="shared" si="39"/>
        <v>0</v>
      </c>
      <c r="AB89" s="291">
        <f t="shared" si="39"/>
        <v>0</v>
      </c>
      <c r="AC89" s="291">
        <f t="shared" si="39"/>
        <v>522730761</v>
      </c>
      <c r="AD89" s="291">
        <f t="shared" si="39"/>
        <v>0</v>
      </c>
      <c r="AE89" s="291">
        <f t="shared" si="39"/>
        <v>0</v>
      </c>
      <c r="AF89" s="291">
        <f t="shared" si="39"/>
        <v>522730761</v>
      </c>
    </row>
    <row r="90" spans="1:39" ht="45" x14ac:dyDescent="0.2">
      <c r="A90" s="51"/>
      <c r="B90" s="197"/>
      <c r="C90" s="292"/>
      <c r="D90" s="134"/>
      <c r="E90" s="640"/>
      <c r="F90" s="90" t="s">
        <v>301</v>
      </c>
      <c r="G90" s="91" t="s">
        <v>302</v>
      </c>
      <c r="H90" s="247">
        <v>4101023</v>
      </c>
      <c r="I90" s="130" t="s">
        <v>303</v>
      </c>
      <c r="J90" s="91" t="s">
        <v>304</v>
      </c>
      <c r="K90" s="238">
        <v>410102300</v>
      </c>
      <c r="L90" s="258" t="s">
        <v>305</v>
      </c>
      <c r="M90" s="283" t="s">
        <v>153</v>
      </c>
      <c r="N90" s="71">
        <v>2500</v>
      </c>
      <c r="O90" s="247">
        <v>200</v>
      </c>
      <c r="P90" s="708" t="s">
        <v>306</v>
      </c>
      <c r="Q90" s="703" t="s">
        <v>307</v>
      </c>
      <c r="R90" s="706" t="s">
        <v>308</v>
      </c>
      <c r="S90" s="76"/>
      <c r="T90" s="76"/>
      <c r="U90" s="76"/>
      <c r="V90" s="76"/>
      <c r="W90" s="76"/>
      <c r="X90" s="76"/>
      <c r="Y90" s="76"/>
      <c r="Z90" s="76"/>
      <c r="AA90" s="76"/>
      <c r="AB90" s="76"/>
      <c r="AC90" s="132">
        <v>310730761</v>
      </c>
      <c r="AD90" s="131"/>
      <c r="AE90" s="131"/>
      <c r="AF90" s="77">
        <f>+S90+T90+U90+V90+W90+X90+Y90+Z90+AA90+AB90+AC90+AD90+AE90</f>
        <v>310730761</v>
      </c>
      <c r="AG90" s="3"/>
      <c r="AH90" s="3"/>
      <c r="AI90" s="3"/>
      <c r="AJ90" s="3"/>
      <c r="AK90" s="3"/>
      <c r="AL90" s="3"/>
      <c r="AM90" s="3"/>
    </row>
    <row r="91" spans="1:39" ht="45" x14ac:dyDescent="0.2">
      <c r="A91" s="51"/>
      <c r="B91" s="197"/>
      <c r="C91" s="293"/>
      <c r="D91" s="152"/>
      <c r="E91" s="642"/>
      <c r="F91" s="251" t="s">
        <v>301</v>
      </c>
      <c r="G91" s="74" t="s">
        <v>309</v>
      </c>
      <c r="H91" s="247">
        <v>4101025</v>
      </c>
      <c r="I91" s="130" t="s">
        <v>310</v>
      </c>
      <c r="J91" s="74" t="s">
        <v>311</v>
      </c>
      <c r="K91" s="238">
        <v>410102511</v>
      </c>
      <c r="L91" s="130" t="s">
        <v>312</v>
      </c>
      <c r="M91" s="283" t="s">
        <v>153</v>
      </c>
      <c r="N91" s="71">
        <v>500</v>
      </c>
      <c r="O91" s="247">
        <v>250</v>
      </c>
      <c r="P91" s="711"/>
      <c r="Q91" s="704"/>
      <c r="R91" s="707"/>
      <c r="S91" s="76"/>
      <c r="T91" s="76"/>
      <c r="U91" s="76"/>
      <c r="V91" s="76"/>
      <c r="W91" s="76"/>
      <c r="X91" s="76"/>
      <c r="Y91" s="76"/>
      <c r="Z91" s="76"/>
      <c r="AA91" s="76"/>
      <c r="AB91" s="76"/>
      <c r="AC91" s="132">
        <v>50000000</v>
      </c>
      <c r="AD91" s="131"/>
      <c r="AE91" s="131"/>
      <c r="AF91" s="77">
        <f>+S91+T91+U91+V91+W91+X91+Y91+Z91+AA91+AB91+AC91+AD91+AE91</f>
        <v>50000000</v>
      </c>
      <c r="AG91" s="3"/>
      <c r="AH91" s="3"/>
      <c r="AI91" s="3"/>
      <c r="AJ91" s="3"/>
      <c r="AK91" s="3"/>
      <c r="AL91" s="3"/>
      <c r="AM91" s="3"/>
    </row>
    <row r="92" spans="1:39" ht="47.25" customHeight="1" x14ac:dyDescent="0.2">
      <c r="A92" s="51"/>
      <c r="B92" s="197"/>
      <c r="C92" s="293"/>
      <c r="D92" s="152"/>
      <c r="E92" s="642"/>
      <c r="F92" s="251" t="s">
        <v>301</v>
      </c>
      <c r="G92" s="74" t="s">
        <v>313</v>
      </c>
      <c r="H92" s="247">
        <v>4101038</v>
      </c>
      <c r="I92" s="130" t="s">
        <v>314</v>
      </c>
      <c r="J92" s="74" t="s">
        <v>315</v>
      </c>
      <c r="K92" s="238">
        <v>410103800</v>
      </c>
      <c r="L92" s="130" t="s">
        <v>316</v>
      </c>
      <c r="M92" s="283" t="s">
        <v>153</v>
      </c>
      <c r="N92" s="71">
        <v>48</v>
      </c>
      <c r="O92" s="247">
        <v>12</v>
      </c>
      <c r="P92" s="711"/>
      <c r="Q92" s="704"/>
      <c r="R92" s="707"/>
      <c r="S92" s="76"/>
      <c r="T92" s="76"/>
      <c r="U92" s="76"/>
      <c r="V92" s="76"/>
      <c r="W92" s="76"/>
      <c r="X92" s="76"/>
      <c r="Y92" s="76"/>
      <c r="Z92" s="76"/>
      <c r="AA92" s="76"/>
      <c r="AB92" s="76"/>
      <c r="AC92" s="132">
        <v>42000000</v>
      </c>
      <c r="AD92" s="131"/>
      <c r="AE92" s="131"/>
      <c r="AF92" s="77">
        <f>+S92+T92+U92+V92+W92+X92+Y92+Z92+AA92+AB92+AC92+AD92+AE92</f>
        <v>42000000</v>
      </c>
      <c r="AG92" s="3"/>
      <c r="AH92" s="3"/>
      <c r="AI92" s="3"/>
      <c r="AJ92" s="3"/>
      <c r="AK92" s="3"/>
      <c r="AL92" s="3"/>
      <c r="AM92" s="3"/>
    </row>
    <row r="93" spans="1:39" ht="46.5" customHeight="1" x14ac:dyDescent="0.2">
      <c r="A93" s="51"/>
      <c r="B93" s="197"/>
      <c r="C93" s="293"/>
      <c r="D93" s="152"/>
      <c r="E93" s="642"/>
      <c r="F93" s="251" t="s">
        <v>317</v>
      </c>
      <c r="G93" s="74" t="s">
        <v>318</v>
      </c>
      <c r="H93" s="247">
        <v>4101073</v>
      </c>
      <c r="I93" s="130" t="s">
        <v>319</v>
      </c>
      <c r="J93" s="74" t="s">
        <v>320</v>
      </c>
      <c r="K93" s="238">
        <v>410107300</v>
      </c>
      <c r="L93" s="130" t="s">
        <v>321</v>
      </c>
      <c r="M93" s="231" t="s">
        <v>153</v>
      </c>
      <c r="N93" s="91">
        <v>200</v>
      </c>
      <c r="O93" s="91">
        <v>20</v>
      </c>
      <c r="P93" s="711"/>
      <c r="Q93" s="704"/>
      <c r="R93" s="707"/>
      <c r="S93" s="76"/>
      <c r="T93" s="76"/>
      <c r="U93" s="76"/>
      <c r="V93" s="76"/>
      <c r="W93" s="76"/>
      <c r="X93" s="76"/>
      <c r="Y93" s="76"/>
      <c r="Z93" s="76"/>
      <c r="AA93" s="76"/>
      <c r="AB93" s="76"/>
      <c r="AC93" s="132">
        <v>65000000</v>
      </c>
      <c r="AD93" s="131"/>
      <c r="AE93" s="131"/>
      <c r="AF93" s="77">
        <f>+S93+T93+U93+V93+W93+X93+Y93+Z93+AA93+AB93+AC93+AD93+AE93</f>
        <v>65000000</v>
      </c>
      <c r="AG93" s="3"/>
      <c r="AH93" s="3"/>
      <c r="AI93" s="3"/>
      <c r="AJ93" s="3"/>
      <c r="AK93" s="3"/>
      <c r="AL93" s="3"/>
      <c r="AM93" s="3"/>
    </row>
    <row r="94" spans="1:39" ht="60" x14ac:dyDescent="0.2">
      <c r="A94" s="51"/>
      <c r="B94" s="197"/>
      <c r="C94" s="294"/>
      <c r="D94" s="295"/>
      <c r="E94" s="641"/>
      <c r="F94" s="251" t="s">
        <v>322</v>
      </c>
      <c r="G94" s="74" t="s">
        <v>323</v>
      </c>
      <c r="H94" s="247">
        <v>4101011</v>
      </c>
      <c r="I94" s="130" t="s">
        <v>324</v>
      </c>
      <c r="J94" s="74" t="s">
        <v>325</v>
      </c>
      <c r="K94" s="238">
        <v>410101100</v>
      </c>
      <c r="L94" s="130" t="s">
        <v>326</v>
      </c>
      <c r="M94" s="283" t="s">
        <v>153</v>
      </c>
      <c r="N94" s="71">
        <v>10</v>
      </c>
      <c r="O94" s="247">
        <v>2</v>
      </c>
      <c r="P94" s="709"/>
      <c r="Q94" s="705"/>
      <c r="R94" s="710"/>
      <c r="S94" s="76"/>
      <c r="T94" s="76"/>
      <c r="U94" s="76"/>
      <c r="V94" s="76"/>
      <c r="W94" s="76"/>
      <c r="X94" s="76"/>
      <c r="Y94" s="76"/>
      <c r="Z94" s="76"/>
      <c r="AA94" s="76"/>
      <c r="AB94" s="76"/>
      <c r="AC94" s="132">
        <v>55000000</v>
      </c>
      <c r="AD94" s="131"/>
      <c r="AE94" s="131"/>
      <c r="AF94" s="77">
        <f>+S94+T94+U94+V94+W94+X94+Y94+Z94+AA94+AB94+AC94+AD94+AE94</f>
        <v>55000000</v>
      </c>
      <c r="AG94" s="3"/>
      <c r="AH94" s="3"/>
      <c r="AI94" s="3"/>
      <c r="AJ94" s="3"/>
      <c r="AK94" s="3"/>
      <c r="AL94" s="3"/>
      <c r="AM94" s="3"/>
    </row>
    <row r="95" spans="1:39" ht="17.25" customHeight="1" x14ac:dyDescent="0.2">
      <c r="A95" s="51"/>
      <c r="B95" s="65"/>
      <c r="C95" s="296">
        <v>37</v>
      </c>
      <c r="D95" s="297">
        <v>4103</v>
      </c>
      <c r="E95" s="119" t="s">
        <v>327</v>
      </c>
      <c r="F95" s="83"/>
      <c r="G95" s="84"/>
      <c r="H95" s="120"/>
      <c r="I95" s="121"/>
      <c r="J95" s="122"/>
      <c r="K95" s="122"/>
      <c r="L95" s="121"/>
      <c r="M95" s="275"/>
      <c r="N95" s="120"/>
      <c r="O95" s="84"/>
      <c r="P95" s="125"/>
      <c r="Q95" s="125"/>
      <c r="R95" s="121"/>
      <c r="S95" s="298">
        <f t="shared" ref="S95:AF95" si="40">+S96</f>
        <v>0</v>
      </c>
      <c r="T95" s="298">
        <f t="shared" si="40"/>
        <v>0</v>
      </c>
      <c r="U95" s="298">
        <f t="shared" si="40"/>
        <v>0</v>
      </c>
      <c r="V95" s="298">
        <f t="shared" si="40"/>
        <v>0</v>
      </c>
      <c r="W95" s="298">
        <f t="shared" si="40"/>
        <v>0</v>
      </c>
      <c r="X95" s="298">
        <f t="shared" si="40"/>
        <v>0</v>
      </c>
      <c r="Y95" s="298">
        <f t="shared" si="40"/>
        <v>0</v>
      </c>
      <c r="Z95" s="298">
        <f t="shared" si="40"/>
        <v>0</v>
      </c>
      <c r="AA95" s="298">
        <f t="shared" si="40"/>
        <v>0</v>
      </c>
      <c r="AB95" s="298">
        <f t="shared" si="40"/>
        <v>0</v>
      </c>
      <c r="AC95" s="298">
        <f t="shared" si="40"/>
        <v>15738667</v>
      </c>
      <c r="AD95" s="298">
        <f t="shared" si="40"/>
        <v>0</v>
      </c>
      <c r="AE95" s="298">
        <f t="shared" si="40"/>
        <v>0</v>
      </c>
      <c r="AF95" s="694">
        <f t="shared" si="40"/>
        <v>15738667</v>
      </c>
      <c r="AG95" s="3"/>
      <c r="AH95" s="3"/>
      <c r="AI95" s="3"/>
      <c r="AJ95" s="3"/>
      <c r="AK95" s="3"/>
      <c r="AL95" s="3"/>
      <c r="AM95" s="3"/>
    </row>
    <row r="96" spans="1:39" ht="77.25" customHeight="1" x14ac:dyDescent="0.2">
      <c r="A96" s="51"/>
      <c r="B96" s="65"/>
      <c r="C96" s="299"/>
      <c r="D96" s="128"/>
      <c r="E96" s="260"/>
      <c r="F96" s="251" t="s">
        <v>328</v>
      </c>
      <c r="G96" s="170" t="s">
        <v>329</v>
      </c>
      <c r="H96" s="71" t="s">
        <v>51</v>
      </c>
      <c r="I96" s="130" t="s">
        <v>330</v>
      </c>
      <c r="J96" s="228" t="s">
        <v>331</v>
      </c>
      <c r="K96" s="238" t="s">
        <v>51</v>
      </c>
      <c r="L96" s="255" t="s">
        <v>332</v>
      </c>
      <c r="M96" s="74" t="s">
        <v>153</v>
      </c>
      <c r="N96" s="71">
        <v>125</v>
      </c>
      <c r="O96" s="71">
        <v>50</v>
      </c>
      <c r="P96" s="94" t="s">
        <v>277</v>
      </c>
      <c r="Q96" s="156" t="s">
        <v>333</v>
      </c>
      <c r="R96" s="155" t="s">
        <v>334</v>
      </c>
      <c r="S96" s="76"/>
      <c r="T96" s="76"/>
      <c r="U96" s="76"/>
      <c r="V96" s="76"/>
      <c r="W96" s="76"/>
      <c r="X96" s="76"/>
      <c r="Y96" s="76"/>
      <c r="Z96" s="76"/>
      <c r="AA96" s="76"/>
      <c r="AB96" s="76"/>
      <c r="AC96" s="132">
        <v>15738667</v>
      </c>
      <c r="AD96" s="131"/>
      <c r="AE96" s="131"/>
      <c r="AF96" s="77">
        <f>+S96+T96+U96+V96+W96+X96+Y96+Z96+AA96+AB96+AC96+AD96+AE96</f>
        <v>15738667</v>
      </c>
      <c r="AG96" s="3"/>
      <c r="AH96" s="3"/>
      <c r="AI96" s="3"/>
      <c r="AJ96" s="3"/>
      <c r="AK96" s="3"/>
      <c r="AL96" s="3"/>
      <c r="AM96" s="3"/>
    </row>
    <row r="97" spans="1:39" ht="15.75" x14ac:dyDescent="0.2">
      <c r="A97" s="51"/>
      <c r="B97" s="65"/>
      <c r="C97" s="194">
        <v>41</v>
      </c>
      <c r="D97" s="195">
        <v>4501</v>
      </c>
      <c r="E97" s="119" t="s">
        <v>335</v>
      </c>
      <c r="F97" s="83"/>
      <c r="G97" s="84"/>
      <c r="H97" s="120"/>
      <c r="I97" s="121"/>
      <c r="J97" s="122"/>
      <c r="K97" s="122"/>
      <c r="L97" s="121"/>
      <c r="M97" s="275"/>
      <c r="N97" s="120"/>
      <c r="O97" s="84"/>
      <c r="P97" s="125"/>
      <c r="Q97" s="125"/>
      <c r="R97" s="121"/>
      <c r="S97" s="298">
        <f t="shared" ref="S97:AF97" si="41">SUM(S98:S100)</f>
        <v>0</v>
      </c>
      <c r="T97" s="298">
        <f t="shared" si="41"/>
        <v>5428613946.8600006</v>
      </c>
      <c r="U97" s="298">
        <f t="shared" si="41"/>
        <v>0</v>
      </c>
      <c r="V97" s="298">
        <f t="shared" si="41"/>
        <v>0</v>
      </c>
      <c r="W97" s="298">
        <f t="shared" si="41"/>
        <v>0</v>
      </c>
      <c r="X97" s="298">
        <f t="shared" si="41"/>
        <v>0</v>
      </c>
      <c r="Y97" s="298">
        <f t="shared" si="41"/>
        <v>0</v>
      </c>
      <c r="Z97" s="298">
        <f t="shared" si="41"/>
        <v>0</v>
      </c>
      <c r="AA97" s="298">
        <f t="shared" si="41"/>
        <v>0</v>
      </c>
      <c r="AB97" s="298">
        <f t="shared" si="41"/>
        <v>0</v>
      </c>
      <c r="AC97" s="298">
        <f t="shared" si="41"/>
        <v>190923000</v>
      </c>
      <c r="AD97" s="298">
        <f t="shared" si="41"/>
        <v>0</v>
      </c>
      <c r="AE97" s="298">
        <f t="shared" si="41"/>
        <v>0</v>
      </c>
      <c r="AF97" s="694">
        <f t="shared" si="41"/>
        <v>5619536946.8600006</v>
      </c>
      <c r="AG97" s="3"/>
      <c r="AH97" s="3"/>
      <c r="AI97" s="3"/>
      <c r="AJ97" s="3"/>
      <c r="AK97" s="3"/>
      <c r="AL97" s="3"/>
      <c r="AM97" s="3"/>
    </row>
    <row r="98" spans="1:39" ht="120" x14ac:dyDescent="0.2">
      <c r="A98" s="51"/>
      <c r="B98" s="197"/>
      <c r="C98" s="198"/>
      <c r="D98" s="67"/>
      <c r="E98" s="300"/>
      <c r="F98" s="90" t="s">
        <v>148</v>
      </c>
      <c r="G98" s="71" t="s">
        <v>336</v>
      </c>
      <c r="H98" s="71" t="s">
        <v>51</v>
      </c>
      <c r="I98" s="130" t="s">
        <v>337</v>
      </c>
      <c r="J98" s="228" t="s">
        <v>338</v>
      </c>
      <c r="K98" s="228" t="s">
        <v>51</v>
      </c>
      <c r="L98" s="255" t="s">
        <v>339</v>
      </c>
      <c r="M98" s="283" t="s">
        <v>58</v>
      </c>
      <c r="N98" s="71">
        <v>5</v>
      </c>
      <c r="O98" s="71">
        <v>5</v>
      </c>
      <c r="P98" s="94" t="s">
        <v>277</v>
      </c>
      <c r="Q98" s="74" t="s">
        <v>285</v>
      </c>
      <c r="R98" s="130" t="s">
        <v>286</v>
      </c>
      <c r="S98" s="76"/>
      <c r="T98" s="288">
        <v>5428613946.8600006</v>
      </c>
      <c r="U98" s="76"/>
      <c r="V98" s="76"/>
      <c r="W98" s="76"/>
      <c r="X98" s="76"/>
      <c r="Y98" s="76"/>
      <c r="Z98" s="76"/>
      <c r="AA98" s="76"/>
      <c r="AB98" s="76"/>
      <c r="AC98" s="132"/>
      <c r="AD98" s="131"/>
      <c r="AE98" s="131"/>
      <c r="AF98" s="77">
        <f>+S98+T98+U98+V98+W98+X98+Y98+Z98+AA98+AB98+AC98+AD98+AE98</f>
        <v>5428613946.8600006</v>
      </c>
      <c r="AG98" s="3"/>
      <c r="AH98" s="3"/>
      <c r="AI98" s="3"/>
      <c r="AJ98" s="3"/>
      <c r="AK98" s="3"/>
      <c r="AL98" s="3"/>
      <c r="AM98" s="3"/>
    </row>
    <row r="99" spans="1:39" ht="119.25" customHeight="1" x14ac:dyDescent="0.2">
      <c r="A99" s="51"/>
      <c r="B99" s="197"/>
      <c r="C99" s="293"/>
      <c r="D99" s="152"/>
      <c r="E99" s="260"/>
      <c r="F99" s="251" t="s">
        <v>340</v>
      </c>
      <c r="G99" s="232" t="s">
        <v>341</v>
      </c>
      <c r="H99" s="71">
        <v>4501024</v>
      </c>
      <c r="I99" s="130" t="s">
        <v>342</v>
      </c>
      <c r="J99" s="232" t="s">
        <v>343</v>
      </c>
      <c r="K99" s="91">
        <v>450102400</v>
      </c>
      <c r="L99" s="258" t="s">
        <v>344</v>
      </c>
      <c r="M99" s="74" t="s">
        <v>58</v>
      </c>
      <c r="N99" s="71">
        <v>10</v>
      </c>
      <c r="O99" s="71">
        <v>10</v>
      </c>
      <c r="P99" s="94" t="s">
        <v>277</v>
      </c>
      <c r="Q99" s="74" t="s">
        <v>333</v>
      </c>
      <c r="R99" s="155" t="s">
        <v>334</v>
      </c>
      <c r="S99" s="76"/>
      <c r="T99" s="76"/>
      <c r="U99" s="76"/>
      <c r="V99" s="76"/>
      <c r="W99" s="76"/>
      <c r="X99" s="76"/>
      <c r="Y99" s="76"/>
      <c r="Z99" s="76"/>
      <c r="AA99" s="76"/>
      <c r="AB99" s="76"/>
      <c r="AC99" s="132">
        <v>94000000</v>
      </c>
      <c r="AD99" s="131"/>
      <c r="AE99" s="131"/>
      <c r="AF99" s="77">
        <f>+S99+T99+U99+V99+W99+X99+Y99+Z99+AA99+AB99+AC99+AD99+AE99</f>
        <v>94000000</v>
      </c>
      <c r="AG99" s="3"/>
      <c r="AH99" s="3"/>
      <c r="AI99" s="3"/>
      <c r="AJ99" s="3"/>
      <c r="AK99" s="3"/>
      <c r="AL99" s="3"/>
      <c r="AM99" s="3"/>
    </row>
    <row r="100" spans="1:39" ht="120" x14ac:dyDescent="0.2">
      <c r="A100" s="51"/>
      <c r="B100" s="293"/>
      <c r="C100" s="294"/>
      <c r="D100" s="295"/>
      <c r="E100" s="68"/>
      <c r="F100" s="90" t="s">
        <v>148</v>
      </c>
      <c r="G100" s="301" t="s">
        <v>345</v>
      </c>
      <c r="H100" s="71">
        <v>4501001</v>
      </c>
      <c r="I100" s="302" t="s">
        <v>346</v>
      </c>
      <c r="J100" s="301" t="s">
        <v>347</v>
      </c>
      <c r="K100" s="71">
        <v>450100100</v>
      </c>
      <c r="L100" s="303" t="s">
        <v>348</v>
      </c>
      <c r="M100" s="283" t="s">
        <v>58</v>
      </c>
      <c r="N100" s="71">
        <v>12</v>
      </c>
      <c r="O100" s="71">
        <v>12</v>
      </c>
      <c r="P100" s="94" t="s">
        <v>74</v>
      </c>
      <c r="Q100" s="304" t="s">
        <v>349</v>
      </c>
      <c r="R100" s="130" t="s">
        <v>350</v>
      </c>
      <c r="S100" s="76"/>
      <c r="T100" s="76"/>
      <c r="U100" s="76"/>
      <c r="V100" s="76"/>
      <c r="W100" s="76"/>
      <c r="X100" s="76"/>
      <c r="Y100" s="76"/>
      <c r="Z100" s="76"/>
      <c r="AA100" s="76"/>
      <c r="AB100" s="76"/>
      <c r="AC100" s="132">
        <v>96923000</v>
      </c>
      <c r="AD100" s="131"/>
      <c r="AE100" s="131"/>
      <c r="AF100" s="77">
        <f>+S100+T100+U100+V100+W100+X100+Y100+Z100+AA100+AB100+AC100+AD100+AE100</f>
        <v>96923000</v>
      </c>
      <c r="AG100" s="3"/>
      <c r="AH100" s="3"/>
      <c r="AI100" s="3"/>
      <c r="AJ100" s="3"/>
      <c r="AK100" s="3"/>
      <c r="AL100" s="3"/>
      <c r="AM100" s="3"/>
    </row>
    <row r="101" spans="1:39" ht="15.75" x14ac:dyDescent="0.2">
      <c r="A101" s="51"/>
      <c r="B101" s="305">
        <v>3</v>
      </c>
      <c r="C101" s="265" t="s">
        <v>3</v>
      </c>
      <c r="D101" s="266"/>
      <c r="E101" s="109"/>
      <c r="F101" s="110"/>
      <c r="G101" s="111"/>
      <c r="H101" s="112"/>
      <c r="I101" s="113"/>
      <c r="J101" s="114"/>
      <c r="K101" s="114"/>
      <c r="L101" s="113"/>
      <c r="M101" s="273"/>
      <c r="N101" s="112"/>
      <c r="O101" s="111"/>
      <c r="P101" s="109"/>
      <c r="Q101" s="109"/>
      <c r="R101" s="113"/>
      <c r="S101" s="274">
        <f t="shared" ref="S101:AF101" si="42">+S102+S105</f>
        <v>0</v>
      </c>
      <c r="T101" s="274">
        <f t="shared" si="42"/>
        <v>0</v>
      </c>
      <c r="U101" s="274">
        <f t="shared" si="42"/>
        <v>0</v>
      </c>
      <c r="V101" s="274">
        <f t="shared" si="42"/>
        <v>0</v>
      </c>
      <c r="W101" s="274">
        <f t="shared" si="42"/>
        <v>0</v>
      </c>
      <c r="X101" s="274">
        <f t="shared" si="42"/>
        <v>0</v>
      </c>
      <c r="Y101" s="274">
        <f t="shared" si="42"/>
        <v>0</v>
      </c>
      <c r="Z101" s="274">
        <f t="shared" si="42"/>
        <v>0</v>
      </c>
      <c r="AA101" s="274">
        <f t="shared" si="42"/>
        <v>0</v>
      </c>
      <c r="AB101" s="274">
        <f t="shared" si="42"/>
        <v>0</v>
      </c>
      <c r="AC101" s="274">
        <f t="shared" si="42"/>
        <v>145932276.30000001</v>
      </c>
      <c r="AD101" s="274">
        <f t="shared" si="42"/>
        <v>0</v>
      </c>
      <c r="AE101" s="274">
        <f t="shared" si="42"/>
        <v>0</v>
      </c>
      <c r="AF101" s="274">
        <f t="shared" si="42"/>
        <v>145932276.30000001</v>
      </c>
      <c r="AG101" s="3"/>
      <c r="AH101" s="3"/>
      <c r="AI101" s="3"/>
      <c r="AJ101" s="3"/>
      <c r="AK101" s="3"/>
      <c r="AL101" s="3"/>
      <c r="AM101" s="3"/>
    </row>
    <row r="102" spans="1:39" ht="15.75" x14ac:dyDescent="0.2">
      <c r="A102" s="51"/>
      <c r="B102" s="79"/>
      <c r="C102" s="194">
        <v>23</v>
      </c>
      <c r="D102" s="195">
        <v>3205</v>
      </c>
      <c r="E102" s="119" t="s">
        <v>225</v>
      </c>
      <c r="F102" s="83"/>
      <c r="G102" s="84"/>
      <c r="H102" s="120"/>
      <c r="I102" s="121"/>
      <c r="J102" s="122"/>
      <c r="K102" s="122"/>
      <c r="L102" s="121"/>
      <c r="M102" s="275"/>
      <c r="N102" s="120"/>
      <c r="O102" s="84"/>
      <c r="P102" s="125"/>
      <c r="Q102" s="125"/>
      <c r="R102" s="121"/>
      <c r="S102" s="298">
        <f t="shared" ref="S102:AF102" si="43">SUM(S103:S104)</f>
        <v>0</v>
      </c>
      <c r="T102" s="298">
        <f t="shared" si="43"/>
        <v>0</v>
      </c>
      <c r="U102" s="298">
        <f t="shared" si="43"/>
        <v>0</v>
      </c>
      <c r="V102" s="298">
        <f t="shared" si="43"/>
        <v>0</v>
      </c>
      <c r="W102" s="298">
        <f t="shared" si="43"/>
        <v>0</v>
      </c>
      <c r="X102" s="298">
        <f t="shared" si="43"/>
        <v>0</v>
      </c>
      <c r="Y102" s="298">
        <f t="shared" si="43"/>
        <v>0</v>
      </c>
      <c r="Z102" s="298">
        <f t="shared" si="43"/>
        <v>0</v>
      </c>
      <c r="AA102" s="298">
        <f t="shared" si="43"/>
        <v>0</v>
      </c>
      <c r="AB102" s="298">
        <f t="shared" si="43"/>
        <v>0</v>
      </c>
      <c r="AC102" s="298">
        <f t="shared" si="43"/>
        <v>17702666.300000001</v>
      </c>
      <c r="AD102" s="298">
        <f t="shared" si="43"/>
        <v>0</v>
      </c>
      <c r="AE102" s="298">
        <f t="shared" si="43"/>
        <v>0</v>
      </c>
      <c r="AF102" s="694">
        <f t="shared" si="43"/>
        <v>17702666.300000001</v>
      </c>
      <c r="AG102" s="3"/>
      <c r="AH102" s="3"/>
      <c r="AI102" s="3"/>
      <c r="AJ102" s="3"/>
      <c r="AK102" s="3"/>
      <c r="AL102" s="3"/>
      <c r="AM102" s="3"/>
    </row>
    <row r="103" spans="1:39" ht="45" x14ac:dyDescent="0.2">
      <c r="A103" s="51"/>
      <c r="B103" s="197"/>
      <c r="C103" s="198"/>
      <c r="D103" s="67"/>
      <c r="E103" s="640"/>
      <c r="F103" s="290" t="s">
        <v>351</v>
      </c>
      <c r="G103" s="74" t="s">
        <v>352</v>
      </c>
      <c r="H103" s="71">
        <v>3205002</v>
      </c>
      <c r="I103" s="130" t="s">
        <v>353</v>
      </c>
      <c r="J103" s="74" t="s">
        <v>354</v>
      </c>
      <c r="K103" s="71">
        <v>320500200</v>
      </c>
      <c r="L103" s="130" t="s">
        <v>355</v>
      </c>
      <c r="M103" s="91" t="s">
        <v>153</v>
      </c>
      <c r="N103" s="91">
        <v>10</v>
      </c>
      <c r="O103" s="91">
        <v>1</v>
      </c>
      <c r="P103" s="708" t="s">
        <v>356</v>
      </c>
      <c r="Q103" s="703" t="s">
        <v>298</v>
      </c>
      <c r="R103" s="706" t="s">
        <v>299</v>
      </c>
      <c r="S103" s="76"/>
      <c r="T103" s="76"/>
      <c r="U103" s="76"/>
      <c r="V103" s="76"/>
      <c r="W103" s="76"/>
      <c r="X103" s="76"/>
      <c r="Y103" s="76"/>
      <c r="Z103" s="76"/>
      <c r="AA103" s="131"/>
      <c r="AB103" s="131"/>
      <c r="AC103" s="132">
        <v>12866668</v>
      </c>
      <c r="AD103" s="131"/>
      <c r="AE103" s="131"/>
      <c r="AF103" s="77">
        <f>+S103+T103+U103+V103+W103+X103+Y103+Z103+AA103+AB103+AC103+AD103+AE103</f>
        <v>12866668</v>
      </c>
      <c r="AG103" s="3"/>
      <c r="AH103" s="3"/>
      <c r="AI103" s="3"/>
      <c r="AJ103" s="3"/>
      <c r="AK103" s="3"/>
      <c r="AL103" s="3"/>
      <c r="AM103" s="3"/>
    </row>
    <row r="104" spans="1:39" ht="45" x14ac:dyDescent="0.2">
      <c r="A104" s="51"/>
      <c r="B104" s="197"/>
      <c r="C104" s="205"/>
      <c r="D104" s="78"/>
      <c r="E104" s="641"/>
      <c r="F104" s="90" t="s">
        <v>357</v>
      </c>
      <c r="G104" s="74" t="s">
        <v>358</v>
      </c>
      <c r="H104" s="71">
        <v>3205021</v>
      </c>
      <c r="I104" s="130" t="s">
        <v>227</v>
      </c>
      <c r="J104" s="74" t="s">
        <v>226</v>
      </c>
      <c r="K104" s="71">
        <v>320502100</v>
      </c>
      <c r="L104" s="302" t="s">
        <v>228</v>
      </c>
      <c r="M104" s="74" t="s">
        <v>153</v>
      </c>
      <c r="N104" s="162">
        <v>4</v>
      </c>
      <c r="O104" s="162">
        <v>1</v>
      </c>
      <c r="P104" s="709"/>
      <c r="Q104" s="705"/>
      <c r="R104" s="710"/>
      <c r="S104" s="76"/>
      <c r="T104" s="76"/>
      <c r="U104" s="76"/>
      <c r="V104" s="76"/>
      <c r="W104" s="76"/>
      <c r="X104" s="76"/>
      <c r="Y104" s="76"/>
      <c r="Z104" s="76"/>
      <c r="AA104" s="131"/>
      <c r="AB104" s="131"/>
      <c r="AC104" s="132">
        <v>4835998.3</v>
      </c>
      <c r="AD104" s="131"/>
      <c r="AE104" s="131"/>
      <c r="AF104" s="77">
        <f>+S104+T104+U104+V104+W104+X104+Y104+Z104+AA104+AB104+AC104+AD104+AE104</f>
        <v>4835998.3</v>
      </c>
      <c r="AG104" s="3"/>
      <c r="AH104" s="3"/>
      <c r="AI104" s="3"/>
      <c r="AJ104" s="3"/>
      <c r="AK104" s="3"/>
      <c r="AL104" s="3"/>
      <c r="AM104" s="3"/>
    </row>
    <row r="105" spans="1:39" ht="15.75" x14ac:dyDescent="0.2">
      <c r="A105" s="51"/>
      <c r="B105" s="79"/>
      <c r="C105" s="280">
        <v>43</v>
      </c>
      <c r="D105" s="281">
        <v>4503</v>
      </c>
      <c r="E105" s="119" t="s">
        <v>359</v>
      </c>
      <c r="F105" s="83"/>
      <c r="G105" s="84"/>
      <c r="H105" s="120"/>
      <c r="I105" s="121"/>
      <c r="J105" s="122"/>
      <c r="K105" s="122"/>
      <c r="L105" s="121"/>
      <c r="M105" s="275"/>
      <c r="N105" s="120"/>
      <c r="O105" s="84"/>
      <c r="P105" s="125"/>
      <c r="Q105" s="125"/>
      <c r="R105" s="121"/>
      <c r="S105" s="298">
        <f t="shared" ref="S105:AF105" si="44">SUM(S106:S108)</f>
        <v>0</v>
      </c>
      <c r="T105" s="298">
        <f t="shared" si="44"/>
        <v>0</v>
      </c>
      <c r="U105" s="298">
        <f t="shared" si="44"/>
        <v>0</v>
      </c>
      <c r="V105" s="298">
        <f t="shared" si="44"/>
        <v>0</v>
      </c>
      <c r="W105" s="298">
        <f t="shared" si="44"/>
        <v>0</v>
      </c>
      <c r="X105" s="298">
        <f t="shared" si="44"/>
        <v>0</v>
      </c>
      <c r="Y105" s="298">
        <f t="shared" si="44"/>
        <v>0</v>
      </c>
      <c r="Z105" s="298">
        <f t="shared" si="44"/>
        <v>0</v>
      </c>
      <c r="AA105" s="298">
        <f t="shared" si="44"/>
        <v>0</v>
      </c>
      <c r="AB105" s="298">
        <f t="shared" si="44"/>
        <v>0</v>
      </c>
      <c r="AC105" s="298">
        <f t="shared" si="44"/>
        <v>128229610</v>
      </c>
      <c r="AD105" s="298">
        <f t="shared" si="44"/>
        <v>0</v>
      </c>
      <c r="AE105" s="298">
        <f t="shared" si="44"/>
        <v>0</v>
      </c>
      <c r="AF105" s="694">
        <f t="shared" si="44"/>
        <v>128229610</v>
      </c>
      <c r="AG105" s="3"/>
      <c r="AH105" s="3"/>
      <c r="AI105" s="3"/>
      <c r="AJ105" s="3"/>
      <c r="AK105" s="3"/>
      <c r="AL105" s="3"/>
      <c r="AM105" s="3"/>
    </row>
    <row r="106" spans="1:39" ht="45" x14ac:dyDescent="0.2">
      <c r="A106" s="51"/>
      <c r="B106" s="197"/>
      <c r="C106" s="198"/>
      <c r="D106" s="67"/>
      <c r="E106" s="637"/>
      <c r="F106" s="290" t="s">
        <v>360</v>
      </c>
      <c r="G106" s="74" t="s">
        <v>361</v>
      </c>
      <c r="H106" s="71">
        <v>4503002</v>
      </c>
      <c r="I106" s="130" t="s">
        <v>362</v>
      </c>
      <c r="J106" s="74" t="s">
        <v>363</v>
      </c>
      <c r="K106" s="71">
        <v>450300200</v>
      </c>
      <c r="L106" s="130" t="s">
        <v>364</v>
      </c>
      <c r="M106" s="74" t="s">
        <v>153</v>
      </c>
      <c r="N106" s="71">
        <v>15000</v>
      </c>
      <c r="O106" s="71">
        <v>1000</v>
      </c>
      <c r="P106" s="708" t="s">
        <v>356</v>
      </c>
      <c r="Q106" s="703" t="s">
        <v>298</v>
      </c>
      <c r="R106" s="706" t="s">
        <v>299</v>
      </c>
      <c r="S106" s="76"/>
      <c r="T106" s="76"/>
      <c r="U106" s="76"/>
      <c r="V106" s="76"/>
      <c r="W106" s="76"/>
      <c r="X106" s="76"/>
      <c r="Y106" s="76"/>
      <c r="Z106" s="76"/>
      <c r="AA106" s="131"/>
      <c r="AB106" s="131"/>
      <c r="AC106" s="132">
        <v>5000000</v>
      </c>
      <c r="AD106" s="131"/>
      <c r="AE106" s="131"/>
      <c r="AF106" s="77">
        <f>+S106+T106+U106+V106+W106+X106+Y106+Z106+AA106+AB106+AC106+AD106+AE106</f>
        <v>5000000</v>
      </c>
      <c r="AG106" s="3"/>
      <c r="AH106" s="3"/>
      <c r="AI106" s="3"/>
      <c r="AJ106" s="3"/>
      <c r="AK106" s="3"/>
      <c r="AL106" s="3"/>
      <c r="AM106" s="3"/>
    </row>
    <row r="107" spans="1:39" ht="52.5" customHeight="1" x14ac:dyDescent="0.2">
      <c r="A107" s="51"/>
      <c r="B107" s="197"/>
      <c r="C107" s="197"/>
      <c r="D107" s="261"/>
      <c r="E107" s="638"/>
      <c r="F107" s="290" t="s">
        <v>365</v>
      </c>
      <c r="G107" s="74" t="s">
        <v>366</v>
      </c>
      <c r="H107" s="71">
        <v>4503003</v>
      </c>
      <c r="I107" s="130" t="s">
        <v>346</v>
      </c>
      <c r="J107" s="74" t="s">
        <v>367</v>
      </c>
      <c r="K107" s="71">
        <v>450300300</v>
      </c>
      <c r="L107" s="130" t="s">
        <v>368</v>
      </c>
      <c r="M107" s="74" t="s">
        <v>58</v>
      </c>
      <c r="N107" s="71">
        <v>12</v>
      </c>
      <c r="O107" s="71">
        <v>12</v>
      </c>
      <c r="P107" s="709"/>
      <c r="Q107" s="705"/>
      <c r="R107" s="710"/>
      <c r="S107" s="76"/>
      <c r="T107" s="76"/>
      <c r="U107" s="76"/>
      <c r="V107" s="76"/>
      <c r="W107" s="76"/>
      <c r="X107" s="76"/>
      <c r="Y107" s="76"/>
      <c r="Z107" s="76"/>
      <c r="AA107" s="131"/>
      <c r="AB107" s="131"/>
      <c r="AC107" s="132">
        <v>110000000</v>
      </c>
      <c r="AD107" s="131"/>
      <c r="AE107" s="131"/>
      <c r="AF107" s="77">
        <f>+S107+T107+U107+V107+W107+X107+Y107+Z107+AA107+AB107+AC107+AD107+AE107</f>
        <v>110000000</v>
      </c>
      <c r="AG107" s="3"/>
      <c r="AH107" s="3"/>
      <c r="AI107" s="3"/>
      <c r="AJ107" s="3"/>
      <c r="AK107" s="3"/>
      <c r="AL107" s="3"/>
      <c r="AM107" s="3"/>
    </row>
    <row r="108" spans="1:39" ht="52.5" customHeight="1" x14ac:dyDescent="0.2">
      <c r="A108" s="51"/>
      <c r="B108" s="205"/>
      <c r="C108" s="205"/>
      <c r="D108" s="78"/>
      <c r="E108" s="639"/>
      <c r="F108" s="290" t="s">
        <v>365</v>
      </c>
      <c r="G108" s="74" t="s">
        <v>369</v>
      </c>
      <c r="H108" s="71">
        <v>4503004</v>
      </c>
      <c r="I108" s="130" t="s">
        <v>370</v>
      </c>
      <c r="J108" s="74" t="s">
        <v>371</v>
      </c>
      <c r="K108" s="71" t="s">
        <v>241</v>
      </c>
      <c r="L108" s="130" t="s">
        <v>372</v>
      </c>
      <c r="M108" s="74" t="s">
        <v>58</v>
      </c>
      <c r="N108" s="93">
        <v>1</v>
      </c>
      <c r="O108" s="93">
        <v>1</v>
      </c>
      <c r="P108" s="94" t="s">
        <v>356</v>
      </c>
      <c r="Q108" s="304" t="s">
        <v>373</v>
      </c>
      <c r="R108" s="302" t="s">
        <v>374</v>
      </c>
      <c r="S108" s="76"/>
      <c r="T108" s="76"/>
      <c r="U108" s="76"/>
      <c r="V108" s="76"/>
      <c r="W108" s="76"/>
      <c r="X108" s="76"/>
      <c r="Y108" s="76"/>
      <c r="Z108" s="76"/>
      <c r="AA108" s="131"/>
      <c r="AB108" s="131"/>
      <c r="AC108" s="132">
        <v>13229610</v>
      </c>
      <c r="AD108" s="131"/>
      <c r="AE108" s="131"/>
      <c r="AF108" s="77">
        <f>+S108+T108+U108+V108+W108+X108+Y108+Z108+AA108+AB108+AC108+AD108+AE108</f>
        <v>13229610</v>
      </c>
      <c r="AG108" s="3"/>
      <c r="AH108" s="3"/>
      <c r="AI108" s="3"/>
      <c r="AJ108" s="3"/>
      <c r="AK108" s="3"/>
      <c r="AL108" s="3"/>
      <c r="AM108" s="3"/>
    </row>
    <row r="109" spans="1:39" ht="15.75" x14ac:dyDescent="0.2">
      <c r="A109" s="51"/>
      <c r="B109" s="306">
        <v>4</v>
      </c>
      <c r="C109" s="265" t="s">
        <v>77</v>
      </c>
      <c r="D109" s="266"/>
      <c r="E109" s="109"/>
      <c r="F109" s="110"/>
      <c r="G109" s="111"/>
      <c r="H109" s="112"/>
      <c r="I109" s="113"/>
      <c r="J109" s="114"/>
      <c r="K109" s="114"/>
      <c r="L109" s="113"/>
      <c r="M109" s="273"/>
      <c r="N109" s="112"/>
      <c r="O109" s="111"/>
      <c r="P109" s="109"/>
      <c r="Q109" s="109"/>
      <c r="R109" s="113"/>
      <c r="S109" s="274">
        <f t="shared" ref="S109:AF109" si="45">+S110</f>
        <v>0</v>
      </c>
      <c r="T109" s="274">
        <f t="shared" si="45"/>
        <v>0</v>
      </c>
      <c r="U109" s="274">
        <f t="shared" si="45"/>
        <v>0</v>
      </c>
      <c r="V109" s="274">
        <f t="shared" si="45"/>
        <v>0</v>
      </c>
      <c r="W109" s="274">
        <f t="shared" si="45"/>
        <v>0</v>
      </c>
      <c r="X109" s="274">
        <f t="shared" si="45"/>
        <v>0</v>
      </c>
      <c r="Y109" s="274">
        <f t="shared" si="45"/>
        <v>0</v>
      </c>
      <c r="Z109" s="274">
        <f t="shared" si="45"/>
        <v>0</v>
      </c>
      <c r="AA109" s="274">
        <f t="shared" si="45"/>
        <v>0</v>
      </c>
      <c r="AB109" s="274">
        <f t="shared" si="45"/>
        <v>0</v>
      </c>
      <c r="AC109" s="274">
        <f t="shared" si="45"/>
        <v>377796636</v>
      </c>
      <c r="AD109" s="274">
        <f t="shared" si="45"/>
        <v>0</v>
      </c>
      <c r="AE109" s="274">
        <f t="shared" si="45"/>
        <v>0</v>
      </c>
      <c r="AF109" s="274">
        <f t="shared" si="45"/>
        <v>377796636</v>
      </c>
      <c r="AG109" s="3"/>
      <c r="AH109" s="3"/>
      <c r="AI109" s="3"/>
      <c r="AJ109" s="3"/>
      <c r="AK109" s="3"/>
      <c r="AL109" s="3"/>
      <c r="AM109" s="3"/>
    </row>
    <row r="110" spans="1:39" ht="15.75" x14ac:dyDescent="0.2">
      <c r="A110" s="51"/>
      <c r="B110" s="307"/>
      <c r="C110" s="308">
        <v>42</v>
      </c>
      <c r="D110" s="195">
        <v>4502</v>
      </c>
      <c r="E110" s="309" t="s">
        <v>68</v>
      </c>
      <c r="F110" s="83"/>
      <c r="G110" s="84"/>
      <c r="H110" s="120"/>
      <c r="I110" s="121"/>
      <c r="J110" s="122"/>
      <c r="K110" s="122"/>
      <c r="L110" s="121"/>
      <c r="M110" s="275"/>
      <c r="N110" s="120"/>
      <c r="O110" s="84"/>
      <c r="P110" s="125"/>
      <c r="Q110" s="125"/>
      <c r="R110" s="121"/>
      <c r="S110" s="291">
        <f t="shared" ref="S110:AF110" si="46">SUM(S111:S115)</f>
        <v>0</v>
      </c>
      <c r="T110" s="291">
        <f t="shared" si="46"/>
        <v>0</v>
      </c>
      <c r="U110" s="291">
        <f t="shared" si="46"/>
        <v>0</v>
      </c>
      <c r="V110" s="291">
        <f t="shared" si="46"/>
        <v>0</v>
      </c>
      <c r="W110" s="291">
        <f t="shared" si="46"/>
        <v>0</v>
      </c>
      <c r="X110" s="291">
        <f t="shared" si="46"/>
        <v>0</v>
      </c>
      <c r="Y110" s="291">
        <f t="shared" si="46"/>
        <v>0</v>
      </c>
      <c r="Z110" s="291">
        <f t="shared" si="46"/>
        <v>0</v>
      </c>
      <c r="AA110" s="291">
        <f t="shared" si="46"/>
        <v>0</v>
      </c>
      <c r="AB110" s="291">
        <f t="shared" si="46"/>
        <v>0</v>
      </c>
      <c r="AC110" s="291">
        <f t="shared" si="46"/>
        <v>377796636</v>
      </c>
      <c r="AD110" s="291">
        <f t="shared" si="46"/>
        <v>0</v>
      </c>
      <c r="AE110" s="291">
        <f t="shared" si="46"/>
        <v>0</v>
      </c>
      <c r="AF110" s="291">
        <f t="shared" si="46"/>
        <v>377796636</v>
      </c>
      <c r="AG110" s="3"/>
      <c r="AH110" s="3"/>
      <c r="AI110" s="3"/>
      <c r="AJ110" s="3"/>
      <c r="AK110" s="3"/>
      <c r="AL110" s="3"/>
      <c r="AM110" s="3"/>
    </row>
    <row r="111" spans="1:39" ht="58.5" customHeight="1" x14ac:dyDescent="0.2">
      <c r="A111" s="51"/>
      <c r="B111" s="293"/>
      <c r="C111" s="292"/>
      <c r="D111" s="134"/>
      <c r="E111" s="640"/>
      <c r="F111" s="90" t="s">
        <v>69</v>
      </c>
      <c r="G111" s="74" t="s">
        <v>375</v>
      </c>
      <c r="H111" s="310">
        <v>4502001</v>
      </c>
      <c r="I111" s="72" t="s">
        <v>376</v>
      </c>
      <c r="J111" s="73" t="s">
        <v>377</v>
      </c>
      <c r="K111" s="71">
        <v>450200100</v>
      </c>
      <c r="L111" s="72" t="s">
        <v>378</v>
      </c>
      <c r="M111" s="283" t="s">
        <v>58</v>
      </c>
      <c r="N111" s="71">
        <v>3</v>
      </c>
      <c r="O111" s="70">
        <v>3</v>
      </c>
      <c r="P111" s="708" t="s">
        <v>74</v>
      </c>
      <c r="Q111" s="703" t="s">
        <v>349</v>
      </c>
      <c r="R111" s="706" t="s">
        <v>350</v>
      </c>
      <c r="S111" s="76"/>
      <c r="T111" s="76"/>
      <c r="U111" s="76"/>
      <c r="V111" s="76"/>
      <c r="W111" s="76"/>
      <c r="X111" s="76"/>
      <c r="Y111" s="76"/>
      <c r="Z111" s="76"/>
      <c r="AA111" s="76"/>
      <c r="AB111" s="76"/>
      <c r="AC111" s="172">
        <v>207796636</v>
      </c>
      <c r="AD111" s="76"/>
      <c r="AE111" s="76"/>
      <c r="AF111" s="77">
        <f>+S111+T111+U111+V111+W111+X111+Y111+Z111+AA111+AB111+AC111+AD111+AE111</f>
        <v>207796636</v>
      </c>
      <c r="AG111" s="3"/>
      <c r="AH111" s="3"/>
      <c r="AI111" s="3"/>
      <c r="AJ111" s="3"/>
      <c r="AK111" s="3"/>
      <c r="AL111" s="3"/>
      <c r="AM111" s="3"/>
    </row>
    <row r="112" spans="1:39" ht="54.75" customHeight="1" x14ac:dyDescent="0.2">
      <c r="A112" s="51"/>
      <c r="B112" s="293"/>
      <c r="C112" s="293"/>
      <c r="D112" s="152"/>
      <c r="E112" s="641"/>
      <c r="F112" s="96" t="s">
        <v>69</v>
      </c>
      <c r="G112" s="311" t="s">
        <v>379</v>
      </c>
      <c r="H112" s="71" t="s">
        <v>51</v>
      </c>
      <c r="I112" s="312" t="s">
        <v>380</v>
      </c>
      <c r="J112" s="311" t="s">
        <v>381</v>
      </c>
      <c r="K112" s="311" t="s">
        <v>51</v>
      </c>
      <c r="L112" s="312" t="s">
        <v>382</v>
      </c>
      <c r="M112" s="313" t="s">
        <v>58</v>
      </c>
      <c r="N112" s="162">
        <v>1</v>
      </c>
      <c r="O112" s="314">
        <v>1</v>
      </c>
      <c r="P112" s="709"/>
      <c r="Q112" s="705"/>
      <c r="R112" s="710"/>
      <c r="S112" s="76"/>
      <c r="T112" s="76"/>
      <c r="U112" s="76"/>
      <c r="V112" s="76"/>
      <c r="W112" s="76"/>
      <c r="X112" s="76"/>
      <c r="Y112" s="76"/>
      <c r="Z112" s="76"/>
      <c r="AA112" s="76"/>
      <c r="AB112" s="76"/>
      <c r="AC112" s="172">
        <v>70000000</v>
      </c>
      <c r="AD112" s="76"/>
      <c r="AE112" s="76"/>
      <c r="AF112" s="77">
        <f>+S112+T112+U112+V112+W112+X112+Y112+Z112+AA112+AB112+AC112+AD112+AE112</f>
        <v>70000000</v>
      </c>
      <c r="AG112" s="3"/>
      <c r="AH112" s="3"/>
      <c r="AI112" s="3"/>
      <c r="AJ112" s="3"/>
      <c r="AK112" s="3"/>
      <c r="AL112" s="3"/>
      <c r="AM112" s="3"/>
    </row>
    <row r="113" spans="1:39" ht="95.25" customHeight="1" x14ac:dyDescent="0.2">
      <c r="A113" s="51"/>
      <c r="B113" s="293"/>
      <c r="C113" s="293"/>
      <c r="D113" s="152"/>
      <c r="E113" s="640"/>
      <c r="F113" s="90" t="s">
        <v>69</v>
      </c>
      <c r="G113" s="73" t="s">
        <v>383</v>
      </c>
      <c r="H113" s="71" t="s">
        <v>51</v>
      </c>
      <c r="I113" s="72" t="s">
        <v>384</v>
      </c>
      <c r="J113" s="73" t="s">
        <v>385</v>
      </c>
      <c r="K113" s="73" t="s">
        <v>51</v>
      </c>
      <c r="L113" s="72" t="s">
        <v>386</v>
      </c>
      <c r="M113" s="283" t="s">
        <v>58</v>
      </c>
      <c r="N113" s="71">
        <v>12</v>
      </c>
      <c r="O113" s="70">
        <v>12</v>
      </c>
      <c r="P113" s="708" t="s">
        <v>74</v>
      </c>
      <c r="Q113" s="703" t="s">
        <v>387</v>
      </c>
      <c r="R113" s="706" t="s">
        <v>388</v>
      </c>
      <c r="S113" s="76"/>
      <c r="T113" s="76"/>
      <c r="U113" s="76"/>
      <c r="V113" s="76"/>
      <c r="W113" s="76"/>
      <c r="X113" s="76"/>
      <c r="Y113" s="76"/>
      <c r="Z113" s="76"/>
      <c r="AA113" s="76"/>
      <c r="AB113" s="76"/>
      <c r="AC113" s="172">
        <v>40000000</v>
      </c>
      <c r="AD113" s="76"/>
      <c r="AE113" s="76"/>
      <c r="AF113" s="77">
        <f>+S113+T113+U113+V113+W113+X113+Y113+Z113+AA113+AB113+AC113+AD113+AE113</f>
        <v>40000000</v>
      </c>
      <c r="AG113" s="3"/>
      <c r="AH113" s="3"/>
      <c r="AI113" s="3"/>
      <c r="AJ113" s="3"/>
      <c r="AK113" s="3"/>
      <c r="AL113" s="3"/>
      <c r="AM113" s="3"/>
    </row>
    <row r="114" spans="1:39" ht="63.75" customHeight="1" x14ac:dyDescent="0.2">
      <c r="A114" s="51"/>
      <c r="B114" s="293"/>
      <c r="C114" s="293"/>
      <c r="D114" s="152"/>
      <c r="E114" s="641"/>
      <c r="F114" s="90" t="s">
        <v>69</v>
      </c>
      <c r="G114" s="315" t="s">
        <v>389</v>
      </c>
      <c r="H114" s="71" t="s">
        <v>51</v>
      </c>
      <c r="I114" s="312" t="s">
        <v>390</v>
      </c>
      <c r="J114" s="315" t="s">
        <v>391</v>
      </c>
      <c r="K114" s="315" t="s">
        <v>51</v>
      </c>
      <c r="L114" s="316" t="s">
        <v>392</v>
      </c>
      <c r="M114" s="313" t="s">
        <v>153</v>
      </c>
      <c r="N114" s="162">
        <v>1</v>
      </c>
      <c r="O114" s="314">
        <v>0.2</v>
      </c>
      <c r="P114" s="709"/>
      <c r="Q114" s="705"/>
      <c r="R114" s="710"/>
      <c r="S114" s="76"/>
      <c r="T114" s="76"/>
      <c r="U114" s="76"/>
      <c r="V114" s="76"/>
      <c r="W114" s="76"/>
      <c r="X114" s="76"/>
      <c r="Y114" s="76"/>
      <c r="Z114" s="76"/>
      <c r="AA114" s="76"/>
      <c r="AB114" s="76"/>
      <c r="AC114" s="172">
        <v>10000000</v>
      </c>
      <c r="AD114" s="76"/>
      <c r="AE114" s="76"/>
      <c r="AF114" s="77">
        <f>+S114+T114+U114+V114+W114+X114+Y114+Z114+AA114+AB114+AC114+AD114+AE114</f>
        <v>10000000</v>
      </c>
      <c r="AG114" s="3"/>
      <c r="AH114" s="3"/>
      <c r="AI114" s="3"/>
      <c r="AJ114" s="3"/>
      <c r="AK114" s="3"/>
      <c r="AL114" s="3"/>
      <c r="AM114" s="3"/>
    </row>
    <row r="115" spans="1:39" ht="46.5" customHeight="1" x14ac:dyDescent="0.2">
      <c r="A115" s="86"/>
      <c r="B115" s="294"/>
      <c r="C115" s="294"/>
      <c r="D115" s="295"/>
      <c r="E115" s="68"/>
      <c r="F115" s="90" t="s">
        <v>69</v>
      </c>
      <c r="G115" s="74" t="s">
        <v>375</v>
      </c>
      <c r="H115" s="317">
        <v>4502001</v>
      </c>
      <c r="I115" s="302" t="s">
        <v>376</v>
      </c>
      <c r="J115" s="74" t="s">
        <v>377</v>
      </c>
      <c r="K115" s="71">
        <v>450200100</v>
      </c>
      <c r="L115" s="130" t="s">
        <v>378</v>
      </c>
      <c r="M115" s="283" t="s">
        <v>58</v>
      </c>
      <c r="N115" s="318">
        <v>3</v>
      </c>
      <c r="O115" s="318">
        <v>3</v>
      </c>
      <c r="P115" s="94" t="s">
        <v>271</v>
      </c>
      <c r="Q115" s="74" t="s">
        <v>393</v>
      </c>
      <c r="R115" s="130" t="s">
        <v>394</v>
      </c>
      <c r="S115" s="76"/>
      <c r="T115" s="76"/>
      <c r="U115" s="76"/>
      <c r="V115" s="76"/>
      <c r="W115" s="76"/>
      <c r="X115" s="76"/>
      <c r="Y115" s="76"/>
      <c r="Z115" s="76"/>
      <c r="AA115" s="76"/>
      <c r="AB115" s="76"/>
      <c r="AC115" s="132">
        <f>50000000</f>
        <v>50000000</v>
      </c>
      <c r="AD115" s="131"/>
      <c r="AE115" s="131"/>
      <c r="AF115" s="77">
        <f>+S115+T115+U115+V115+W115+X115+Y115+Z115+AA115+AB115+AC115+AD115+AE115</f>
        <v>50000000</v>
      </c>
      <c r="AG115" s="3"/>
      <c r="AH115" s="3"/>
      <c r="AI115" s="3"/>
      <c r="AJ115" s="3"/>
      <c r="AK115" s="3"/>
      <c r="AL115" s="3"/>
      <c r="AM115" s="3"/>
    </row>
    <row r="116" spans="1:39" ht="27.75" customHeight="1" x14ac:dyDescent="0.2">
      <c r="B116" s="173"/>
      <c r="C116" s="173"/>
      <c r="D116" s="174"/>
      <c r="E116" s="175"/>
      <c r="F116" s="176"/>
      <c r="G116" s="177"/>
      <c r="H116" s="178"/>
      <c r="I116" s="179"/>
      <c r="J116" s="180"/>
      <c r="K116" s="180"/>
      <c r="L116" s="179"/>
      <c r="M116" s="175"/>
      <c r="N116" s="178"/>
      <c r="O116" s="177"/>
      <c r="P116" s="175"/>
      <c r="Q116" s="175"/>
      <c r="R116" s="179"/>
      <c r="S116" s="181"/>
      <c r="T116" s="181"/>
      <c r="U116" s="181"/>
      <c r="V116" s="181"/>
      <c r="W116" s="181"/>
      <c r="X116" s="181"/>
      <c r="Y116" s="181"/>
      <c r="Z116" s="181"/>
      <c r="AA116" s="181"/>
      <c r="AB116" s="181"/>
      <c r="AC116" s="182"/>
      <c r="AD116" s="181"/>
      <c r="AF116" s="689"/>
      <c r="AG116" s="3"/>
      <c r="AH116" s="3"/>
      <c r="AI116" s="3"/>
      <c r="AJ116" s="3"/>
      <c r="AK116" s="3"/>
      <c r="AL116" s="3"/>
      <c r="AM116" s="3"/>
    </row>
    <row r="117" spans="1:39" ht="19.5" customHeight="1" x14ac:dyDescent="0.2">
      <c r="A117" s="183" t="s">
        <v>395</v>
      </c>
      <c r="B117" s="184"/>
      <c r="C117" s="185"/>
      <c r="D117" s="186"/>
      <c r="E117" s="187"/>
      <c r="F117" s="188"/>
      <c r="G117" s="189"/>
      <c r="H117" s="190"/>
      <c r="I117" s="191"/>
      <c r="J117" s="192"/>
      <c r="K117" s="192"/>
      <c r="L117" s="191"/>
      <c r="M117" s="319"/>
      <c r="N117" s="190"/>
      <c r="O117" s="189"/>
      <c r="P117" s="187"/>
      <c r="Q117" s="187"/>
      <c r="R117" s="191"/>
      <c r="S117" s="193">
        <f t="shared" ref="S117:AF117" si="47">S118</f>
        <v>2577375983.8299999</v>
      </c>
      <c r="T117" s="193">
        <f t="shared" si="47"/>
        <v>0</v>
      </c>
      <c r="U117" s="193">
        <f t="shared" si="47"/>
        <v>0</v>
      </c>
      <c r="V117" s="193">
        <f t="shared" si="47"/>
        <v>0</v>
      </c>
      <c r="W117" s="193">
        <f t="shared" si="47"/>
        <v>0</v>
      </c>
      <c r="X117" s="193">
        <f t="shared" si="47"/>
        <v>0</v>
      </c>
      <c r="Y117" s="193">
        <f t="shared" si="47"/>
        <v>0</v>
      </c>
      <c r="Z117" s="193">
        <f t="shared" si="47"/>
        <v>0</v>
      </c>
      <c r="AA117" s="193">
        <f t="shared" si="47"/>
        <v>0</v>
      </c>
      <c r="AB117" s="193">
        <f t="shared" si="47"/>
        <v>0</v>
      </c>
      <c r="AC117" s="193">
        <f t="shared" si="47"/>
        <v>934149741</v>
      </c>
      <c r="AD117" s="193">
        <f t="shared" si="47"/>
        <v>287355981.30000001</v>
      </c>
      <c r="AE117" s="193">
        <f t="shared" si="47"/>
        <v>0</v>
      </c>
      <c r="AF117" s="193">
        <f t="shared" si="47"/>
        <v>3798881706.1300001</v>
      </c>
      <c r="AG117" s="3"/>
      <c r="AH117" s="3"/>
      <c r="AI117" s="3"/>
      <c r="AJ117" s="3"/>
      <c r="AK117" s="3"/>
      <c r="AL117" s="3"/>
      <c r="AM117" s="3"/>
    </row>
    <row r="118" spans="1:39" ht="19.5" customHeight="1" x14ac:dyDescent="0.2">
      <c r="A118" s="51"/>
      <c r="B118" s="320">
        <v>1</v>
      </c>
      <c r="C118" s="107" t="s">
        <v>1</v>
      </c>
      <c r="D118" s="108"/>
      <c r="E118" s="109"/>
      <c r="F118" s="110"/>
      <c r="G118" s="111"/>
      <c r="H118" s="112"/>
      <c r="I118" s="113"/>
      <c r="J118" s="114"/>
      <c r="K118" s="114"/>
      <c r="L118" s="113"/>
      <c r="M118" s="115"/>
      <c r="N118" s="116"/>
      <c r="O118" s="111"/>
      <c r="P118" s="109"/>
      <c r="Q118" s="109"/>
      <c r="R118" s="113"/>
      <c r="S118" s="50">
        <f t="shared" ref="S118:AF118" si="48">S119+S126</f>
        <v>2577375983.8299999</v>
      </c>
      <c r="T118" s="50">
        <f t="shared" si="48"/>
        <v>0</v>
      </c>
      <c r="U118" s="50">
        <f t="shared" si="48"/>
        <v>0</v>
      </c>
      <c r="V118" s="50">
        <f t="shared" si="48"/>
        <v>0</v>
      </c>
      <c r="W118" s="50">
        <f t="shared" si="48"/>
        <v>0</v>
      </c>
      <c r="X118" s="50">
        <f t="shared" si="48"/>
        <v>0</v>
      </c>
      <c r="Y118" s="50">
        <f t="shared" si="48"/>
        <v>0</v>
      </c>
      <c r="Z118" s="50">
        <f t="shared" si="48"/>
        <v>0</v>
      </c>
      <c r="AA118" s="50">
        <f t="shared" si="48"/>
        <v>0</v>
      </c>
      <c r="AB118" s="50">
        <f t="shared" si="48"/>
        <v>0</v>
      </c>
      <c r="AC118" s="50">
        <f t="shared" si="48"/>
        <v>934149741</v>
      </c>
      <c r="AD118" s="50">
        <f t="shared" si="48"/>
        <v>287355981.30000001</v>
      </c>
      <c r="AE118" s="50">
        <f t="shared" si="48"/>
        <v>0</v>
      </c>
      <c r="AF118" s="50">
        <f t="shared" si="48"/>
        <v>3798881706.1300001</v>
      </c>
      <c r="AG118" s="3"/>
      <c r="AH118" s="3"/>
      <c r="AI118" s="3"/>
      <c r="AJ118" s="3"/>
      <c r="AK118" s="3"/>
      <c r="AL118" s="3"/>
      <c r="AM118" s="3"/>
    </row>
    <row r="119" spans="1:39" ht="19.5" customHeight="1" x14ac:dyDescent="0.2">
      <c r="A119" s="51"/>
      <c r="B119" s="52"/>
      <c r="C119" s="321">
        <v>25</v>
      </c>
      <c r="D119" s="195">
        <v>3301</v>
      </c>
      <c r="E119" s="119" t="s">
        <v>176</v>
      </c>
      <c r="F119" s="83"/>
      <c r="G119" s="84"/>
      <c r="H119" s="120"/>
      <c r="I119" s="121"/>
      <c r="J119" s="122"/>
      <c r="K119" s="122"/>
      <c r="L119" s="121"/>
      <c r="M119" s="123"/>
      <c r="N119" s="124"/>
      <c r="O119" s="84"/>
      <c r="P119" s="125"/>
      <c r="Q119" s="125"/>
      <c r="R119" s="121"/>
      <c r="S119" s="64">
        <f t="shared" ref="S119:AF119" si="49">SUM(S120:S125)</f>
        <v>2577375983.8299999</v>
      </c>
      <c r="T119" s="64">
        <f t="shared" si="49"/>
        <v>0</v>
      </c>
      <c r="U119" s="64">
        <f t="shared" si="49"/>
        <v>0</v>
      </c>
      <c r="V119" s="64">
        <f t="shared" si="49"/>
        <v>0</v>
      </c>
      <c r="W119" s="64">
        <f t="shared" si="49"/>
        <v>0</v>
      </c>
      <c r="X119" s="64">
        <f t="shared" si="49"/>
        <v>0</v>
      </c>
      <c r="Y119" s="64">
        <f t="shared" si="49"/>
        <v>0</v>
      </c>
      <c r="Z119" s="64">
        <f t="shared" si="49"/>
        <v>0</v>
      </c>
      <c r="AA119" s="64">
        <f t="shared" si="49"/>
        <v>0</v>
      </c>
      <c r="AB119" s="64">
        <f t="shared" si="49"/>
        <v>0</v>
      </c>
      <c r="AC119" s="64">
        <f t="shared" si="49"/>
        <v>854149741</v>
      </c>
      <c r="AD119" s="64">
        <f t="shared" si="49"/>
        <v>0</v>
      </c>
      <c r="AE119" s="64">
        <f t="shared" si="49"/>
        <v>0</v>
      </c>
      <c r="AF119" s="64">
        <f t="shared" si="49"/>
        <v>3431525724.8299999</v>
      </c>
      <c r="AG119" s="3"/>
      <c r="AH119" s="3"/>
      <c r="AI119" s="3"/>
      <c r="AJ119" s="3"/>
      <c r="AK119" s="3"/>
      <c r="AL119" s="3"/>
      <c r="AM119" s="3"/>
    </row>
    <row r="120" spans="1:39" ht="69.75" customHeight="1" x14ac:dyDescent="0.2">
      <c r="A120" s="51"/>
      <c r="B120" s="197"/>
      <c r="C120" s="198"/>
      <c r="D120" s="67"/>
      <c r="E120" s="237"/>
      <c r="F120" s="69" t="s">
        <v>396</v>
      </c>
      <c r="G120" s="70" t="s">
        <v>397</v>
      </c>
      <c r="H120" s="71">
        <v>3301087</v>
      </c>
      <c r="I120" s="130" t="s">
        <v>398</v>
      </c>
      <c r="J120" s="74" t="s">
        <v>399</v>
      </c>
      <c r="K120" s="71">
        <v>330108701</v>
      </c>
      <c r="L120" s="130" t="s">
        <v>364</v>
      </c>
      <c r="M120" s="304" t="s">
        <v>153</v>
      </c>
      <c r="N120" s="162">
        <v>18785</v>
      </c>
      <c r="O120" s="71">
        <v>1600</v>
      </c>
      <c r="P120" s="703" t="s">
        <v>184</v>
      </c>
      <c r="Q120" s="703" t="s">
        <v>400</v>
      </c>
      <c r="R120" s="706" t="s">
        <v>401</v>
      </c>
      <c r="S120" s="323"/>
      <c r="T120" s="324"/>
      <c r="U120" s="324"/>
      <c r="V120" s="324"/>
      <c r="W120" s="324"/>
      <c r="X120" s="324"/>
      <c r="Y120" s="324"/>
      <c r="Z120" s="324"/>
      <c r="AA120" s="324"/>
      <c r="AB120" s="324"/>
      <c r="AC120" s="325">
        <v>774149741</v>
      </c>
      <c r="AD120" s="326"/>
      <c r="AE120" s="326"/>
      <c r="AF120" s="327">
        <f t="shared" ref="AF120:AF125" si="50">+S120+T120+U120+V120+W120+X120+Y120+Z120+AA120+AB120+AC120+AD120+AE120</f>
        <v>774149741</v>
      </c>
      <c r="AG120" s="3"/>
      <c r="AH120" s="3"/>
      <c r="AI120" s="3"/>
      <c r="AJ120" s="3"/>
      <c r="AK120" s="3"/>
      <c r="AL120" s="3"/>
      <c r="AM120" s="3"/>
    </row>
    <row r="121" spans="1:39" ht="60" x14ac:dyDescent="0.2">
      <c r="A121" s="51"/>
      <c r="B121" s="197"/>
      <c r="C121" s="197"/>
      <c r="D121" s="261"/>
      <c r="E121" s="649"/>
      <c r="F121" s="69" t="s">
        <v>177</v>
      </c>
      <c r="G121" s="70" t="s">
        <v>402</v>
      </c>
      <c r="H121" s="71">
        <v>3301073</v>
      </c>
      <c r="I121" s="130" t="s">
        <v>403</v>
      </c>
      <c r="J121" s="74" t="s">
        <v>404</v>
      </c>
      <c r="K121" s="71">
        <v>330107301</v>
      </c>
      <c r="L121" s="130" t="s">
        <v>405</v>
      </c>
      <c r="M121" s="74" t="s">
        <v>153</v>
      </c>
      <c r="N121" s="71">
        <v>1800</v>
      </c>
      <c r="O121" s="71">
        <v>200</v>
      </c>
      <c r="P121" s="705"/>
      <c r="Q121" s="704"/>
      <c r="R121" s="707"/>
      <c r="S121" s="328">
        <v>1308657774.3499999</v>
      </c>
      <c r="T121" s="279"/>
      <c r="U121" s="279"/>
      <c r="V121" s="279"/>
      <c r="W121" s="279"/>
      <c r="X121" s="279"/>
      <c r="Y121" s="279"/>
      <c r="Z121" s="279"/>
      <c r="AA121" s="279"/>
      <c r="AB121" s="279"/>
      <c r="AC121" s="330"/>
      <c r="AD121" s="329"/>
      <c r="AE121" s="329"/>
      <c r="AF121" s="327">
        <f t="shared" si="50"/>
        <v>1308657774.3499999</v>
      </c>
      <c r="AG121" s="3"/>
      <c r="AH121" s="3"/>
      <c r="AI121" s="3"/>
      <c r="AJ121" s="3"/>
      <c r="AK121" s="3"/>
      <c r="AL121" s="3"/>
      <c r="AM121" s="3"/>
    </row>
    <row r="122" spans="1:39" ht="45" x14ac:dyDescent="0.2">
      <c r="A122" s="51"/>
      <c r="B122" s="197"/>
      <c r="C122" s="197"/>
      <c r="D122" s="261"/>
      <c r="E122" s="636"/>
      <c r="F122" s="69" t="s">
        <v>406</v>
      </c>
      <c r="G122" s="70" t="s">
        <v>407</v>
      </c>
      <c r="H122" s="71">
        <v>3301085</v>
      </c>
      <c r="I122" s="130" t="s">
        <v>408</v>
      </c>
      <c r="J122" s="74" t="s">
        <v>409</v>
      </c>
      <c r="K122" s="74" t="s">
        <v>410</v>
      </c>
      <c r="L122" s="130" t="s">
        <v>411</v>
      </c>
      <c r="M122" s="74" t="s">
        <v>153</v>
      </c>
      <c r="N122" s="71">
        <v>270958</v>
      </c>
      <c r="O122" s="71">
        <v>958</v>
      </c>
      <c r="P122" s="703" t="s">
        <v>184</v>
      </c>
      <c r="Q122" s="712" t="s">
        <v>412</v>
      </c>
      <c r="R122" s="713" t="s">
        <v>413</v>
      </c>
      <c r="S122" s="328">
        <v>110000000</v>
      </c>
      <c r="T122" s="279"/>
      <c r="U122" s="279"/>
      <c r="V122" s="279"/>
      <c r="W122" s="279"/>
      <c r="X122" s="279"/>
      <c r="Y122" s="279"/>
      <c r="Z122" s="279"/>
      <c r="AA122" s="279"/>
      <c r="AB122" s="279"/>
      <c r="AC122" s="330"/>
      <c r="AD122" s="329"/>
      <c r="AE122" s="329"/>
      <c r="AF122" s="327">
        <f t="shared" si="50"/>
        <v>110000000</v>
      </c>
      <c r="AG122" s="3"/>
      <c r="AH122" s="3"/>
      <c r="AI122" s="3"/>
      <c r="AJ122" s="3"/>
      <c r="AK122" s="3"/>
      <c r="AL122" s="3"/>
      <c r="AM122" s="3"/>
    </row>
    <row r="123" spans="1:39" ht="45" x14ac:dyDescent="0.2">
      <c r="A123" s="51"/>
      <c r="B123" s="197"/>
      <c r="C123" s="197"/>
      <c r="D123" s="261"/>
      <c r="E123" s="636"/>
      <c r="F123" s="69" t="s">
        <v>406</v>
      </c>
      <c r="G123" s="70" t="s">
        <v>414</v>
      </c>
      <c r="H123" s="71">
        <v>3301100</v>
      </c>
      <c r="I123" s="130" t="s">
        <v>415</v>
      </c>
      <c r="J123" s="91" t="s">
        <v>416</v>
      </c>
      <c r="K123" s="331" t="s">
        <v>417</v>
      </c>
      <c r="L123" s="258" t="s">
        <v>418</v>
      </c>
      <c r="M123" s="74" t="s">
        <v>153</v>
      </c>
      <c r="N123" s="71">
        <v>40</v>
      </c>
      <c r="O123" s="71">
        <v>5</v>
      </c>
      <c r="P123" s="705"/>
      <c r="Q123" s="712"/>
      <c r="R123" s="713"/>
      <c r="S123" s="332">
        <f>94814219-0.26</f>
        <v>94814218.739999995</v>
      </c>
      <c r="T123" s="279"/>
      <c r="U123" s="279"/>
      <c r="V123" s="279"/>
      <c r="W123" s="279"/>
      <c r="X123" s="279"/>
      <c r="Y123" s="279"/>
      <c r="Z123" s="279"/>
      <c r="AA123" s="279"/>
      <c r="AB123" s="279"/>
      <c r="AC123" s="279"/>
      <c r="AD123" s="279"/>
      <c r="AE123" s="279"/>
      <c r="AF123" s="327">
        <f t="shared" si="50"/>
        <v>94814218.739999995</v>
      </c>
      <c r="AG123" s="3"/>
      <c r="AH123" s="3"/>
      <c r="AI123" s="3"/>
      <c r="AJ123" s="3"/>
      <c r="AK123" s="3"/>
      <c r="AL123" s="3"/>
      <c r="AM123" s="3"/>
    </row>
    <row r="124" spans="1:39" ht="75" x14ac:dyDescent="0.2">
      <c r="A124" s="51"/>
      <c r="B124" s="197"/>
      <c r="C124" s="197"/>
      <c r="D124" s="261"/>
      <c r="E124" s="649"/>
      <c r="F124" s="90" t="s">
        <v>177</v>
      </c>
      <c r="G124" s="71" t="s">
        <v>419</v>
      </c>
      <c r="H124" s="71">
        <v>3301099</v>
      </c>
      <c r="I124" s="130" t="s">
        <v>420</v>
      </c>
      <c r="J124" s="91" t="s">
        <v>421</v>
      </c>
      <c r="K124" s="331" t="s">
        <v>422</v>
      </c>
      <c r="L124" s="258" t="s">
        <v>423</v>
      </c>
      <c r="M124" s="231" t="s">
        <v>58</v>
      </c>
      <c r="N124" s="91">
        <v>1</v>
      </c>
      <c r="O124" s="71">
        <v>1</v>
      </c>
      <c r="P124" s="156" t="s">
        <v>184</v>
      </c>
      <c r="Q124" s="74" t="s">
        <v>424</v>
      </c>
      <c r="R124" s="130" t="s">
        <v>425</v>
      </c>
      <c r="S124" s="279"/>
      <c r="T124" s="279"/>
      <c r="U124" s="279"/>
      <c r="V124" s="279"/>
      <c r="W124" s="279"/>
      <c r="X124" s="279"/>
      <c r="Y124" s="279"/>
      <c r="Z124" s="279"/>
      <c r="AA124" s="279"/>
      <c r="AB124" s="279"/>
      <c r="AC124" s="330">
        <f>60000000+20000000</f>
        <v>80000000</v>
      </c>
      <c r="AD124" s="329"/>
      <c r="AE124" s="329"/>
      <c r="AF124" s="327">
        <f t="shared" si="50"/>
        <v>80000000</v>
      </c>
      <c r="AG124" s="3"/>
      <c r="AH124" s="3"/>
      <c r="AI124" s="3"/>
      <c r="AJ124" s="3"/>
      <c r="AK124" s="3"/>
      <c r="AL124" s="3"/>
      <c r="AM124" s="3"/>
    </row>
    <row r="125" spans="1:39" ht="60" x14ac:dyDescent="0.2">
      <c r="A125" s="51"/>
      <c r="B125" s="197"/>
      <c r="C125" s="205"/>
      <c r="D125" s="78"/>
      <c r="E125" s="650"/>
      <c r="F125" s="69" t="s">
        <v>177</v>
      </c>
      <c r="G125" s="70" t="s">
        <v>426</v>
      </c>
      <c r="H125" s="71">
        <v>3301095</v>
      </c>
      <c r="I125" s="130" t="s">
        <v>427</v>
      </c>
      <c r="J125" s="156" t="s">
        <v>428</v>
      </c>
      <c r="K125" s="156" t="s">
        <v>429</v>
      </c>
      <c r="L125" s="155" t="s">
        <v>430</v>
      </c>
      <c r="M125" s="231" t="s">
        <v>153</v>
      </c>
      <c r="N125" s="91">
        <v>480</v>
      </c>
      <c r="O125" s="91">
        <v>30</v>
      </c>
      <c r="P125" s="156" t="s">
        <v>184</v>
      </c>
      <c r="Q125" s="74" t="s">
        <v>431</v>
      </c>
      <c r="R125" s="130" t="s">
        <v>432</v>
      </c>
      <c r="S125" s="333">
        <v>1063903990.74</v>
      </c>
      <c r="T125" s="279"/>
      <c r="U125" s="279"/>
      <c r="V125" s="279"/>
      <c r="W125" s="279"/>
      <c r="X125" s="279"/>
      <c r="Y125" s="279"/>
      <c r="Z125" s="279"/>
      <c r="AA125" s="279"/>
      <c r="AB125" s="279"/>
      <c r="AC125" s="325"/>
      <c r="AD125" s="329"/>
      <c r="AE125" s="329"/>
      <c r="AF125" s="327">
        <f t="shared" si="50"/>
        <v>1063903990.74</v>
      </c>
      <c r="AG125" s="3"/>
      <c r="AH125" s="3"/>
      <c r="AI125" s="3"/>
      <c r="AJ125" s="3"/>
      <c r="AK125" s="3"/>
      <c r="AL125" s="3"/>
      <c r="AM125" s="3"/>
    </row>
    <row r="126" spans="1:39" ht="21" customHeight="1" x14ac:dyDescent="0.2">
      <c r="A126" s="51"/>
      <c r="B126" s="79"/>
      <c r="C126" s="334">
        <v>26</v>
      </c>
      <c r="D126" s="281">
        <v>3302</v>
      </c>
      <c r="E126" s="309" t="s">
        <v>433</v>
      </c>
      <c r="F126" s="83"/>
      <c r="G126" s="84"/>
      <c r="H126" s="120"/>
      <c r="I126" s="121"/>
      <c r="J126" s="122"/>
      <c r="K126" s="122"/>
      <c r="L126" s="121"/>
      <c r="M126" s="123"/>
      <c r="N126" s="124"/>
      <c r="O126" s="84"/>
      <c r="P126" s="125"/>
      <c r="Q126" s="125"/>
      <c r="R126" s="121"/>
      <c r="S126" s="64">
        <f t="shared" ref="S126:AF126" si="51">SUM(S127:S128)</f>
        <v>0</v>
      </c>
      <c r="T126" s="64">
        <f t="shared" si="51"/>
        <v>0</v>
      </c>
      <c r="U126" s="64">
        <f t="shared" si="51"/>
        <v>0</v>
      </c>
      <c r="V126" s="64">
        <f t="shared" si="51"/>
        <v>0</v>
      </c>
      <c r="W126" s="64">
        <f t="shared" si="51"/>
        <v>0</v>
      </c>
      <c r="X126" s="64">
        <f t="shared" si="51"/>
        <v>0</v>
      </c>
      <c r="Y126" s="64">
        <f t="shared" si="51"/>
        <v>0</v>
      </c>
      <c r="Z126" s="64">
        <f t="shared" si="51"/>
        <v>0</v>
      </c>
      <c r="AA126" s="64">
        <f t="shared" si="51"/>
        <v>0</v>
      </c>
      <c r="AB126" s="64">
        <f t="shared" si="51"/>
        <v>0</v>
      </c>
      <c r="AC126" s="64">
        <f t="shared" si="51"/>
        <v>80000000</v>
      </c>
      <c r="AD126" s="64">
        <f t="shared" si="51"/>
        <v>287355981.30000001</v>
      </c>
      <c r="AE126" s="64">
        <f t="shared" si="51"/>
        <v>0</v>
      </c>
      <c r="AF126" s="64">
        <f t="shared" si="51"/>
        <v>367355981.30000001</v>
      </c>
      <c r="AG126" s="3"/>
      <c r="AH126" s="3"/>
      <c r="AI126" s="3"/>
      <c r="AJ126" s="3"/>
      <c r="AK126" s="3"/>
      <c r="AL126" s="3"/>
      <c r="AM126" s="3"/>
    </row>
    <row r="127" spans="1:39" ht="99" customHeight="1" x14ac:dyDescent="0.2">
      <c r="A127" s="51"/>
      <c r="B127" s="197"/>
      <c r="C127" s="198"/>
      <c r="D127" s="67"/>
      <c r="E127" s="322"/>
      <c r="F127" s="69" t="s">
        <v>434</v>
      </c>
      <c r="G127" s="74" t="s">
        <v>435</v>
      </c>
      <c r="H127" s="252">
        <v>3302042</v>
      </c>
      <c r="I127" s="130" t="s">
        <v>436</v>
      </c>
      <c r="J127" s="74" t="s">
        <v>437</v>
      </c>
      <c r="K127" s="74" t="s">
        <v>438</v>
      </c>
      <c r="L127" s="130" t="s">
        <v>439</v>
      </c>
      <c r="M127" s="74" t="s">
        <v>153</v>
      </c>
      <c r="N127" s="71">
        <v>48</v>
      </c>
      <c r="O127" s="71">
        <v>12</v>
      </c>
      <c r="P127" s="703" t="s">
        <v>184</v>
      </c>
      <c r="Q127" s="703" t="s">
        <v>440</v>
      </c>
      <c r="R127" s="706" t="s">
        <v>441</v>
      </c>
      <c r="S127" s="76"/>
      <c r="T127" s="76"/>
      <c r="U127" s="76"/>
      <c r="V127" s="76"/>
      <c r="W127" s="76"/>
      <c r="X127" s="76"/>
      <c r="Y127" s="76"/>
      <c r="Z127" s="76"/>
      <c r="AA127" s="76"/>
      <c r="AB127" s="76"/>
      <c r="AC127" s="132">
        <v>80000000</v>
      </c>
      <c r="AD127" s="131"/>
      <c r="AE127" s="285"/>
      <c r="AF127" s="77">
        <f>+S127+T127+U127+V127+W127+X127+Y127+Z127+AA127+AB127+AC127+AD127+AE127</f>
        <v>80000000</v>
      </c>
      <c r="AG127" s="3"/>
      <c r="AH127" s="3"/>
      <c r="AI127" s="3"/>
      <c r="AJ127" s="3"/>
      <c r="AK127" s="3"/>
      <c r="AL127" s="3"/>
      <c r="AM127" s="3"/>
    </row>
    <row r="128" spans="1:39" ht="100.5" customHeight="1" x14ac:dyDescent="0.2">
      <c r="A128" s="86"/>
      <c r="B128" s="205"/>
      <c r="C128" s="205"/>
      <c r="D128" s="78"/>
      <c r="E128" s="322"/>
      <c r="F128" s="69" t="s">
        <v>434</v>
      </c>
      <c r="G128" s="91" t="s">
        <v>442</v>
      </c>
      <c r="H128" s="252">
        <v>3302070</v>
      </c>
      <c r="I128" s="130" t="s">
        <v>443</v>
      </c>
      <c r="J128" s="91" t="s">
        <v>444</v>
      </c>
      <c r="K128" s="331" t="s">
        <v>445</v>
      </c>
      <c r="L128" s="258" t="s">
        <v>418</v>
      </c>
      <c r="M128" s="74" t="s">
        <v>58</v>
      </c>
      <c r="N128" s="71">
        <v>4</v>
      </c>
      <c r="O128" s="71">
        <v>4</v>
      </c>
      <c r="P128" s="705"/>
      <c r="Q128" s="705"/>
      <c r="R128" s="710"/>
      <c r="S128" s="76"/>
      <c r="T128" s="76"/>
      <c r="U128" s="76"/>
      <c r="V128" s="76"/>
      <c r="W128" s="76"/>
      <c r="X128" s="76"/>
      <c r="Y128" s="76"/>
      <c r="Z128" s="76"/>
      <c r="AA128" s="76"/>
      <c r="AB128" s="76"/>
      <c r="AC128" s="132"/>
      <c r="AD128" s="335">
        <v>287355981.30000001</v>
      </c>
      <c r="AE128" s="285"/>
      <c r="AF128" s="77">
        <f>+S128+T128+U128+V128+W128+X128+Y128+Z128+AA128+AB128+AC128+AD128+AE128</f>
        <v>287355981.30000001</v>
      </c>
      <c r="AG128" s="3"/>
      <c r="AH128" s="3"/>
      <c r="AI128" s="3"/>
      <c r="AJ128" s="3"/>
      <c r="AK128" s="3"/>
      <c r="AL128" s="3"/>
      <c r="AM128" s="3"/>
    </row>
    <row r="129" spans="1:39" ht="28.5" customHeight="1" x14ac:dyDescent="0.2">
      <c r="AF129" s="689"/>
      <c r="AG129" s="3"/>
      <c r="AH129" s="3"/>
      <c r="AI129" s="3"/>
      <c r="AJ129" s="3"/>
      <c r="AK129" s="3"/>
      <c r="AL129" s="3"/>
      <c r="AM129" s="3"/>
    </row>
    <row r="130" spans="1:39" ht="15.75" x14ac:dyDescent="0.2">
      <c r="A130" s="23" t="s">
        <v>446</v>
      </c>
      <c r="B130" s="25"/>
      <c r="C130" s="25"/>
      <c r="D130" s="26"/>
      <c r="E130" s="27"/>
      <c r="F130" s="28"/>
      <c r="G130" s="29"/>
      <c r="H130" s="30"/>
      <c r="I130" s="31"/>
      <c r="J130" s="32"/>
      <c r="K130" s="32"/>
      <c r="L130" s="31"/>
      <c r="M130" s="104"/>
      <c r="N130" s="30"/>
      <c r="O130" s="29"/>
      <c r="P130" s="27"/>
      <c r="Q130" s="27"/>
      <c r="R130" s="31"/>
      <c r="S130" s="193">
        <f t="shared" ref="S130:AB130" si="52">S131</f>
        <v>0</v>
      </c>
      <c r="T130" s="193">
        <f t="shared" si="52"/>
        <v>0</v>
      </c>
      <c r="U130" s="193">
        <f t="shared" si="52"/>
        <v>0</v>
      </c>
      <c r="V130" s="193">
        <f t="shared" si="52"/>
        <v>0</v>
      </c>
      <c r="W130" s="193">
        <f t="shared" si="52"/>
        <v>0</v>
      </c>
      <c r="X130" s="193">
        <f t="shared" si="52"/>
        <v>0</v>
      </c>
      <c r="Y130" s="193">
        <f t="shared" si="52"/>
        <v>0</v>
      </c>
      <c r="Z130" s="193">
        <f t="shared" si="52"/>
        <v>0</v>
      </c>
      <c r="AA130" s="193">
        <f t="shared" si="52"/>
        <v>0</v>
      </c>
      <c r="AB130" s="193">
        <f t="shared" si="52"/>
        <v>0</v>
      </c>
      <c r="AC130" s="193">
        <f t="shared" ref="AC130:AE130" si="53">AC131</f>
        <v>1026689937</v>
      </c>
      <c r="AD130" s="193">
        <f t="shared" si="53"/>
        <v>545981904.85000002</v>
      </c>
      <c r="AE130" s="193">
        <f t="shared" si="53"/>
        <v>0</v>
      </c>
      <c r="AF130" s="193">
        <f>AF131</f>
        <v>1572671841.8499999</v>
      </c>
      <c r="AG130" s="3"/>
      <c r="AH130" s="3"/>
      <c r="AI130" s="3"/>
      <c r="AJ130" s="3"/>
      <c r="AK130" s="3"/>
      <c r="AL130" s="3"/>
      <c r="AM130" s="3"/>
    </row>
    <row r="131" spans="1:39" ht="15.75" x14ac:dyDescent="0.2">
      <c r="A131" s="51"/>
      <c r="B131" s="107">
        <v>2</v>
      </c>
      <c r="C131" s="107" t="s">
        <v>2</v>
      </c>
      <c r="D131" s="108"/>
      <c r="E131" s="347"/>
      <c r="F131" s="110"/>
      <c r="G131" s="111"/>
      <c r="H131" s="112"/>
      <c r="I131" s="113"/>
      <c r="J131" s="114"/>
      <c r="K131" s="114"/>
      <c r="L131" s="113"/>
      <c r="M131" s="115"/>
      <c r="N131" s="116"/>
      <c r="O131" s="111"/>
      <c r="P131" s="109"/>
      <c r="Q131" s="109"/>
      <c r="R131" s="113"/>
      <c r="S131" s="50">
        <f t="shared" ref="S131:AB131" si="54">S132+S141</f>
        <v>0</v>
      </c>
      <c r="T131" s="50">
        <f t="shared" si="54"/>
        <v>0</v>
      </c>
      <c r="U131" s="50">
        <f t="shared" si="54"/>
        <v>0</v>
      </c>
      <c r="V131" s="50">
        <f t="shared" si="54"/>
        <v>0</v>
      </c>
      <c r="W131" s="50">
        <f t="shared" si="54"/>
        <v>0</v>
      </c>
      <c r="X131" s="50">
        <f t="shared" si="54"/>
        <v>0</v>
      </c>
      <c r="Y131" s="50">
        <f t="shared" si="54"/>
        <v>0</v>
      </c>
      <c r="Z131" s="50">
        <f t="shared" si="54"/>
        <v>0</v>
      </c>
      <c r="AA131" s="50">
        <f t="shared" si="54"/>
        <v>0</v>
      </c>
      <c r="AB131" s="50">
        <f t="shared" si="54"/>
        <v>0</v>
      </c>
      <c r="AC131" s="50">
        <f t="shared" ref="AC131:AE131" si="55">AC132+AC141</f>
        <v>1026689937</v>
      </c>
      <c r="AD131" s="50">
        <f t="shared" si="55"/>
        <v>545981904.85000002</v>
      </c>
      <c r="AE131" s="50">
        <f t="shared" si="55"/>
        <v>0</v>
      </c>
      <c r="AF131" s="50">
        <f>AF132+AF141</f>
        <v>1572671841.8499999</v>
      </c>
      <c r="AG131" s="3"/>
      <c r="AH131" s="3"/>
      <c r="AI131" s="3"/>
      <c r="AJ131" s="3"/>
      <c r="AK131" s="3"/>
      <c r="AL131" s="3"/>
      <c r="AM131" s="3"/>
    </row>
    <row r="132" spans="1:39" ht="15.75" x14ac:dyDescent="0.2">
      <c r="A132" s="51"/>
      <c r="B132" s="723"/>
      <c r="C132" s="348">
        <v>27</v>
      </c>
      <c r="D132" s="349">
        <v>3502</v>
      </c>
      <c r="E132" s="55" t="s">
        <v>204</v>
      </c>
      <c r="F132" s="83"/>
      <c r="G132" s="84"/>
      <c r="H132" s="120"/>
      <c r="I132" s="121"/>
      <c r="J132" s="122"/>
      <c r="K132" s="122"/>
      <c r="L132" s="121"/>
      <c r="M132" s="123"/>
      <c r="N132" s="124"/>
      <c r="O132" s="84"/>
      <c r="P132" s="125"/>
      <c r="Q132" s="125"/>
      <c r="R132" s="121"/>
      <c r="S132" s="64">
        <f t="shared" ref="S132:AB132" si="56">SUM(S133:S140)</f>
        <v>0</v>
      </c>
      <c r="T132" s="64">
        <f t="shared" si="56"/>
        <v>0</v>
      </c>
      <c r="U132" s="64">
        <f t="shared" si="56"/>
        <v>0</v>
      </c>
      <c r="V132" s="64">
        <f t="shared" si="56"/>
        <v>0</v>
      </c>
      <c r="W132" s="64">
        <f t="shared" si="56"/>
        <v>0</v>
      </c>
      <c r="X132" s="64">
        <f t="shared" si="56"/>
        <v>0</v>
      </c>
      <c r="Y132" s="64">
        <f t="shared" si="56"/>
        <v>0</v>
      </c>
      <c r="Z132" s="64">
        <f t="shared" si="56"/>
        <v>0</v>
      </c>
      <c r="AA132" s="64">
        <f t="shared" si="56"/>
        <v>0</v>
      </c>
      <c r="AB132" s="64">
        <f t="shared" si="56"/>
        <v>0</v>
      </c>
      <c r="AC132" s="64">
        <f t="shared" ref="AC132:AE132" si="57">SUM(AC133:AC140)</f>
        <v>741004937</v>
      </c>
      <c r="AD132" s="64">
        <f t="shared" si="57"/>
        <v>545981904.85000002</v>
      </c>
      <c r="AE132" s="64">
        <f t="shared" si="57"/>
        <v>0</v>
      </c>
      <c r="AF132" s="64">
        <f>SUM(AF133:AF140)</f>
        <v>1286986841.8499999</v>
      </c>
      <c r="AG132" s="3"/>
      <c r="AH132" s="3"/>
      <c r="AI132" s="3"/>
      <c r="AJ132" s="3"/>
      <c r="AK132" s="3"/>
      <c r="AL132" s="3"/>
      <c r="AM132" s="3"/>
    </row>
    <row r="133" spans="1:39" ht="56.25" customHeight="1" x14ac:dyDescent="0.2">
      <c r="A133" s="51"/>
      <c r="B133" s="724"/>
      <c r="C133" s="350"/>
      <c r="D133" s="351"/>
      <c r="E133" s="651"/>
      <c r="F133" s="352" t="s">
        <v>447</v>
      </c>
      <c r="G133" s="353" t="s">
        <v>448</v>
      </c>
      <c r="H133" s="137">
        <v>3502006</v>
      </c>
      <c r="I133" s="354" t="s">
        <v>449</v>
      </c>
      <c r="J133" s="355" t="s">
        <v>450</v>
      </c>
      <c r="K133" s="355" t="s">
        <v>451</v>
      </c>
      <c r="L133" s="354" t="s">
        <v>452</v>
      </c>
      <c r="M133" s="283" t="s">
        <v>153</v>
      </c>
      <c r="N133" s="71">
        <v>4</v>
      </c>
      <c r="O133" s="71">
        <v>1</v>
      </c>
      <c r="P133" s="708" t="s">
        <v>201</v>
      </c>
      <c r="Q133" s="717" t="s">
        <v>453</v>
      </c>
      <c r="R133" s="720" t="s">
        <v>454</v>
      </c>
      <c r="S133" s="356"/>
      <c r="T133" s="356"/>
      <c r="U133" s="356"/>
      <c r="V133" s="356"/>
      <c r="W133" s="356"/>
      <c r="X133" s="356"/>
      <c r="Y133" s="356"/>
      <c r="Z133" s="356"/>
      <c r="AA133" s="356"/>
      <c r="AB133" s="356"/>
      <c r="AC133" s="358">
        <f>20000000+12500000</f>
        <v>32500000</v>
      </c>
      <c r="AD133" s="357"/>
      <c r="AE133" s="131"/>
      <c r="AF133" s="77">
        <f t="shared" ref="AF133:AF140" si="58">+S133+T133+U133+V133+W133+X133+Y133+Z133+AA133+AB133+AC133+AD133+AE133</f>
        <v>32500000</v>
      </c>
      <c r="AG133" s="3"/>
      <c r="AH133" s="3"/>
      <c r="AI133" s="3"/>
      <c r="AJ133" s="3"/>
      <c r="AK133" s="3"/>
      <c r="AL133" s="3"/>
      <c r="AM133" s="3"/>
    </row>
    <row r="134" spans="1:39" ht="47.25" customHeight="1" x14ac:dyDescent="0.2">
      <c r="A134" s="51"/>
      <c r="B134" s="724"/>
      <c r="C134" s="197"/>
      <c r="D134" s="261"/>
      <c r="E134" s="639"/>
      <c r="F134" s="360" t="s">
        <v>447</v>
      </c>
      <c r="G134" s="128" t="s">
        <v>455</v>
      </c>
      <c r="H134" s="137">
        <v>3502007</v>
      </c>
      <c r="I134" s="130" t="s">
        <v>456</v>
      </c>
      <c r="J134" s="74" t="s">
        <v>457</v>
      </c>
      <c r="K134" s="74" t="s">
        <v>458</v>
      </c>
      <c r="L134" s="130" t="s">
        <v>459</v>
      </c>
      <c r="M134" s="283" t="s">
        <v>58</v>
      </c>
      <c r="N134" s="71">
        <v>7</v>
      </c>
      <c r="O134" s="71">
        <v>7</v>
      </c>
      <c r="P134" s="709"/>
      <c r="Q134" s="719"/>
      <c r="R134" s="722"/>
      <c r="S134" s="76"/>
      <c r="T134" s="76"/>
      <c r="U134" s="76"/>
      <c r="V134" s="76"/>
      <c r="W134" s="76"/>
      <c r="X134" s="76"/>
      <c r="Y134" s="76"/>
      <c r="Z134" s="76"/>
      <c r="AA134" s="76"/>
      <c r="AB134" s="76"/>
      <c r="AC134" s="132">
        <f>30000000+12500000</f>
        <v>42500000</v>
      </c>
      <c r="AD134" s="131"/>
      <c r="AE134" s="131"/>
      <c r="AF134" s="77">
        <f t="shared" si="58"/>
        <v>42500000</v>
      </c>
      <c r="AG134" s="3"/>
      <c r="AH134" s="3"/>
      <c r="AI134" s="3"/>
      <c r="AJ134" s="3"/>
      <c r="AK134" s="3"/>
      <c r="AL134" s="3"/>
      <c r="AM134" s="3"/>
    </row>
    <row r="135" spans="1:39" ht="43.5" customHeight="1" x14ac:dyDescent="0.2">
      <c r="A135" s="51"/>
      <c r="B135" s="724"/>
      <c r="C135" s="725"/>
      <c r="D135" s="361"/>
      <c r="E135" s="643"/>
      <c r="F135" s="352" t="s">
        <v>447</v>
      </c>
      <c r="G135" s="353" t="s">
        <v>460</v>
      </c>
      <c r="H135" s="247">
        <v>3502022</v>
      </c>
      <c r="I135" s="130" t="s">
        <v>461</v>
      </c>
      <c r="J135" s="91" t="s">
        <v>462</v>
      </c>
      <c r="K135" s="232" t="s">
        <v>463</v>
      </c>
      <c r="L135" s="258" t="s">
        <v>464</v>
      </c>
      <c r="M135" s="91" t="s">
        <v>58</v>
      </c>
      <c r="N135" s="91">
        <v>14</v>
      </c>
      <c r="O135" s="91">
        <v>14</v>
      </c>
      <c r="P135" s="708" t="s">
        <v>201</v>
      </c>
      <c r="Q135" s="717" t="s">
        <v>465</v>
      </c>
      <c r="R135" s="720" t="s">
        <v>466</v>
      </c>
      <c r="S135" s="356"/>
      <c r="T135" s="356"/>
      <c r="U135" s="356"/>
      <c r="V135" s="356"/>
      <c r="W135" s="356"/>
      <c r="X135" s="356"/>
      <c r="Y135" s="356"/>
      <c r="Z135" s="356"/>
      <c r="AA135" s="356"/>
      <c r="AB135" s="356"/>
      <c r="AC135" s="358">
        <f>100000000+89600000</f>
        <v>189600000</v>
      </c>
      <c r="AD135" s="357"/>
      <c r="AE135" s="131"/>
      <c r="AF135" s="77">
        <f t="shared" si="58"/>
        <v>189600000</v>
      </c>
      <c r="AG135" s="3"/>
      <c r="AH135" s="3"/>
      <c r="AI135" s="3"/>
      <c r="AJ135" s="3"/>
      <c r="AK135" s="3"/>
      <c r="AL135" s="3"/>
      <c r="AM135" s="3"/>
    </row>
    <row r="136" spans="1:39" ht="39.75" customHeight="1" x14ac:dyDescent="0.2">
      <c r="A136" s="51"/>
      <c r="B136" s="724"/>
      <c r="C136" s="725"/>
      <c r="D136" s="361"/>
      <c r="E136" s="641"/>
      <c r="F136" s="352" t="s">
        <v>447</v>
      </c>
      <c r="G136" s="353" t="s">
        <v>467</v>
      </c>
      <c r="H136" s="247">
        <v>3502047</v>
      </c>
      <c r="I136" s="130" t="s">
        <v>468</v>
      </c>
      <c r="J136" s="91" t="s">
        <v>469</v>
      </c>
      <c r="K136" s="232" t="s">
        <v>470</v>
      </c>
      <c r="L136" s="258" t="s">
        <v>471</v>
      </c>
      <c r="M136" s="74" t="s">
        <v>58</v>
      </c>
      <c r="N136" s="71">
        <v>1</v>
      </c>
      <c r="O136" s="71">
        <v>1</v>
      </c>
      <c r="P136" s="711"/>
      <c r="Q136" s="718"/>
      <c r="R136" s="721"/>
      <c r="S136" s="76"/>
      <c r="T136" s="76"/>
      <c r="U136" s="76"/>
      <c r="V136" s="76"/>
      <c r="W136" s="76"/>
      <c r="X136" s="76"/>
      <c r="Y136" s="76"/>
      <c r="Z136" s="76"/>
      <c r="AA136" s="76"/>
      <c r="AB136" s="76"/>
      <c r="AC136" s="132">
        <v>20000000</v>
      </c>
      <c r="AD136" s="131"/>
      <c r="AE136" s="131"/>
      <c r="AF136" s="77">
        <f t="shared" si="58"/>
        <v>20000000</v>
      </c>
      <c r="AG136" s="3"/>
      <c r="AH136" s="3"/>
      <c r="AI136" s="3"/>
      <c r="AJ136" s="3"/>
      <c r="AK136" s="3"/>
      <c r="AL136" s="3"/>
      <c r="AM136" s="3"/>
    </row>
    <row r="137" spans="1:39" ht="62.25" customHeight="1" x14ac:dyDescent="0.2">
      <c r="A137" s="51"/>
      <c r="B137" s="724"/>
      <c r="C137" s="725"/>
      <c r="D137" s="261"/>
      <c r="E137" s="640"/>
      <c r="F137" s="360" t="s">
        <v>472</v>
      </c>
      <c r="G137" s="128" t="s">
        <v>473</v>
      </c>
      <c r="H137" s="247">
        <v>3502039</v>
      </c>
      <c r="I137" s="130" t="s">
        <v>474</v>
      </c>
      <c r="J137" s="74" t="s">
        <v>475</v>
      </c>
      <c r="K137" s="74" t="s">
        <v>476</v>
      </c>
      <c r="L137" s="130" t="s">
        <v>276</v>
      </c>
      <c r="M137" s="74" t="s">
        <v>58</v>
      </c>
      <c r="N137" s="71">
        <v>12</v>
      </c>
      <c r="O137" s="71">
        <v>12</v>
      </c>
      <c r="P137" s="708" t="s">
        <v>201</v>
      </c>
      <c r="Q137" s="703" t="s">
        <v>477</v>
      </c>
      <c r="R137" s="706" t="s">
        <v>478</v>
      </c>
      <c r="S137" s="76"/>
      <c r="T137" s="76"/>
      <c r="U137" s="76"/>
      <c r="V137" s="76"/>
      <c r="W137" s="76"/>
      <c r="X137" s="76"/>
      <c r="Y137" s="76"/>
      <c r="Z137" s="76"/>
      <c r="AA137" s="76"/>
      <c r="AB137" s="76"/>
      <c r="AC137" s="132">
        <f>434485000-14600000-236245001</f>
        <v>183639999</v>
      </c>
      <c r="AD137" s="131"/>
      <c r="AE137" s="131"/>
      <c r="AF137" s="77">
        <f t="shared" si="58"/>
        <v>183639999</v>
      </c>
      <c r="AG137" s="3"/>
      <c r="AH137" s="3"/>
      <c r="AI137" s="3"/>
      <c r="AJ137" s="3"/>
      <c r="AK137" s="3"/>
      <c r="AL137" s="3"/>
      <c r="AM137" s="3"/>
    </row>
    <row r="138" spans="1:39" ht="62.25" customHeight="1" x14ac:dyDescent="0.2">
      <c r="A138" s="51"/>
      <c r="B138" s="724"/>
      <c r="C138" s="725"/>
      <c r="D138" s="261"/>
      <c r="E138" s="642"/>
      <c r="F138" s="360" t="s">
        <v>472</v>
      </c>
      <c r="G138" s="128" t="s">
        <v>473</v>
      </c>
      <c r="H138" s="247">
        <v>3502039</v>
      </c>
      <c r="I138" s="130" t="s">
        <v>474</v>
      </c>
      <c r="J138" s="91" t="s">
        <v>479</v>
      </c>
      <c r="K138" s="232" t="s">
        <v>480</v>
      </c>
      <c r="L138" s="258" t="s">
        <v>481</v>
      </c>
      <c r="M138" s="74" t="s">
        <v>153</v>
      </c>
      <c r="N138" s="71">
        <v>6</v>
      </c>
      <c r="O138" s="71">
        <v>1</v>
      </c>
      <c r="P138" s="711"/>
      <c r="Q138" s="704"/>
      <c r="R138" s="707"/>
      <c r="S138" s="76"/>
      <c r="T138" s="76"/>
      <c r="U138" s="76"/>
      <c r="V138" s="76"/>
      <c r="W138" s="76"/>
      <c r="X138" s="76"/>
      <c r="Y138" s="76"/>
      <c r="Z138" s="76"/>
      <c r="AA138" s="76"/>
      <c r="AB138" s="76"/>
      <c r="AC138" s="132">
        <v>236245001</v>
      </c>
      <c r="AD138" s="131"/>
      <c r="AE138" s="131"/>
      <c r="AF138" s="77">
        <f t="shared" si="58"/>
        <v>236245001</v>
      </c>
      <c r="AG138" s="3"/>
      <c r="AH138" s="3"/>
      <c r="AI138" s="3"/>
      <c r="AJ138" s="3"/>
      <c r="AK138" s="3"/>
      <c r="AL138" s="3"/>
      <c r="AM138" s="3"/>
    </row>
    <row r="139" spans="1:39" ht="46.5" customHeight="1" x14ac:dyDescent="0.2">
      <c r="A139" s="51"/>
      <c r="B139" s="724"/>
      <c r="C139" s="725"/>
      <c r="D139" s="261"/>
      <c r="E139" s="641"/>
      <c r="F139" s="360" t="s">
        <v>447</v>
      </c>
      <c r="G139" s="128" t="s">
        <v>467</v>
      </c>
      <c r="H139" s="247">
        <v>3502047</v>
      </c>
      <c r="I139" s="130" t="s">
        <v>468</v>
      </c>
      <c r="J139" s="74" t="s">
        <v>469</v>
      </c>
      <c r="K139" s="232">
        <v>350204700</v>
      </c>
      <c r="L139" s="130" t="s">
        <v>471</v>
      </c>
      <c r="M139" s="74" t="s">
        <v>58</v>
      </c>
      <c r="N139" s="71">
        <v>1</v>
      </c>
      <c r="O139" s="71">
        <v>1</v>
      </c>
      <c r="P139" s="709"/>
      <c r="Q139" s="705"/>
      <c r="R139" s="710"/>
      <c r="S139" s="76"/>
      <c r="T139" s="76"/>
      <c r="U139" s="76"/>
      <c r="V139" s="76"/>
      <c r="W139" s="76"/>
      <c r="X139" s="76"/>
      <c r="Y139" s="76"/>
      <c r="Z139" s="76"/>
      <c r="AA139" s="76"/>
      <c r="AB139" s="76"/>
      <c r="AC139" s="132">
        <v>36519937</v>
      </c>
      <c r="AD139" s="131"/>
      <c r="AE139" s="131"/>
      <c r="AF139" s="77">
        <f t="shared" si="58"/>
        <v>36519937</v>
      </c>
      <c r="AG139" s="3"/>
      <c r="AH139" s="3"/>
      <c r="AI139" s="3"/>
      <c r="AJ139" s="3"/>
      <c r="AK139" s="3"/>
      <c r="AL139" s="3"/>
      <c r="AM139" s="3"/>
    </row>
    <row r="140" spans="1:39" s="253" customFormat="1" ht="42.75" customHeight="1" x14ac:dyDescent="0.25">
      <c r="A140" s="362"/>
      <c r="B140" s="724"/>
      <c r="C140" s="726"/>
      <c r="D140" s="363"/>
      <c r="E140" s="68"/>
      <c r="F140" s="364" t="s">
        <v>472</v>
      </c>
      <c r="G140" s="365" t="s">
        <v>482</v>
      </c>
      <c r="H140" s="247">
        <v>3502046</v>
      </c>
      <c r="I140" s="130" t="s">
        <v>483</v>
      </c>
      <c r="J140" s="74" t="s">
        <v>484</v>
      </c>
      <c r="K140" s="74" t="s">
        <v>485</v>
      </c>
      <c r="L140" s="130" t="s">
        <v>486</v>
      </c>
      <c r="M140" s="74" t="s">
        <v>153</v>
      </c>
      <c r="N140" s="71">
        <v>4</v>
      </c>
      <c r="O140" s="71">
        <v>1</v>
      </c>
      <c r="P140" s="94" t="s">
        <v>201</v>
      </c>
      <c r="Q140" s="74" t="s">
        <v>487</v>
      </c>
      <c r="R140" s="130" t="s">
        <v>488</v>
      </c>
      <c r="S140" s="76"/>
      <c r="T140" s="76"/>
      <c r="U140" s="76"/>
      <c r="V140" s="76"/>
      <c r="W140" s="76"/>
      <c r="X140" s="76"/>
      <c r="Y140" s="76"/>
      <c r="Z140" s="76"/>
      <c r="AA140" s="76"/>
      <c r="AB140" s="76"/>
      <c r="AC140" s="132"/>
      <c r="AD140" s="366">
        <f>291845334+22109904.85+232026666</f>
        <v>545981904.85000002</v>
      </c>
      <c r="AE140" s="366"/>
      <c r="AF140" s="77">
        <f t="shared" si="58"/>
        <v>545981904.85000002</v>
      </c>
      <c r="AG140" s="367"/>
      <c r="AH140" s="367"/>
      <c r="AI140" s="367"/>
      <c r="AJ140" s="367"/>
      <c r="AK140" s="367"/>
      <c r="AL140" s="367"/>
      <c r="AM140" s="367"/>
    </row>
    <row r="141" spans="1:39" ht="15.75" x14ac:dyDescent="0.2">
      <c r="A141" s="51"/>
      <c r="B141" s="723"/>
      <c r="C141" s="368">
        <v>28</v>
      </c>
      <c r="D141" s="369">
        <v>3602</v>
      </c>
      <c r="E141" s="55" t="s">
        <v>489</v>
      </c>
      <c r="F141" s="83"/>
      <c r="G141" s="84"/>
      <c r="H141" s="120"/>
      <c r="I141" s="121"/>
      <c r="J141" s="122"/>
      <c r="K141" s="122"/>
      <c r="L141" s="121"/>
      <c r="M141" s="123"/>
      <c r="N141" s="124"/>
      <c r="O141" s="84"/>
      <c r="P141" s="125"/>
      <c r="Q141" s="125"/>
      <c r="R141" s="121"/>
      <c r="S141" s="64">
        <f t="shared" ref="S141:AB141" si="59">SUM(S142:S145)</f>
        <v>0</v>
      </c>
      <c r="T141" s="64">
        <f t="shared" si="59"/>
        <v>0</v>
      </c>
      <c r="U141" s="64">
        <f t="shared" si="59"/>
        <v>0</v>
      </c>
      <c r="V141" s="64">
        <f t="shared" si="59"/>
        <v>0</v>
      </c>
      <c r="W141" s="64">
        <f t="shared" si="59"/>
        <v>0</v>
      </c>
      <c r="X141" s="64">
        <f t="shared" si="59"/>
        <v>0</v>
      </c>
      <c r="Y141" s="64">
        <f t="shared" si="59"/>
        <v>0</v>
      </c>
      <c r="Z141" s="64">
        <f t="shared" si="59"/>
        <v>0</v>
      </c>
      <c r="AA141" s="64">
        <f t="shared" si="59"/>
        <v>0</v>
      </c>
      <c r="AB141" s="64">
        <f t="shared" si="59"/>
        <v>0</v>
      </c>
      <c r="AC141" s="64">
        <f t="shared" ref="AC141:AE141" si="60">SUM(AC142:AC145)</f>
        <v>285685000</v>
      </c>
      <c r="AD141" s="64">
        <f t="shared" si="60"/>
        <v>0</v>
      </c>
      <c r="AE141" s="64">
        <f t="shared" si="60"/>
        <v>0</v>
      </c>
      <c r="AF141" s="64">
        <f>SUM(AF142:AF145)</f>
        <v>285685000</v>
      </c>
    </row>
    <row r="142" spans="1:39" ht="51" customHeight="1" x14ac:dyDescent="0.2">
      <c r="A142" s="51"/>
      <c r="B142" s="724"/>
      <c r="C142" s="714"/>
      <c r="D142" s="351"/>
      <c r="E142" s="643"/>
      <c r="F142" s="352" t="s">
        <v>447</v>
      </c>
      <c r="G142" s="91" t="s">
        <v>490</v>
      </c>
      <c r="H142" s="71">
        <v>3602018</v>
      </c>
      <c r="I142" s="370" t="s">
        <v>491</v>
      </c>
      <c r="J142" s="91" t="s">
        <v>492</v>
      </c>
      <c r="K142" s="232">
        <v>360201800</v>
      </c>
      <c r="L142" s="258" t="s">
        <v>493</v>
      </c>
      <c r="M142" s="91" t="s">
        <v>153</v>
      </c>
      <c r="N142" s="91">
        <v>14</v>
      </c>
      <c r="O142" s="91">
        <v>3</v>
      </c>
      <c r="P142" s="703" t="s">
        <v>201</v>
      </c>
      <c r="Q142" s="717" t="s">
        <v>494</v>
      </c>
      <c r="R142" s="720" t="s">
        <v>495</v>
      </c>
      <c r="S142" s="356"/>
      <c r="T142" s="356"/>
      <c r="U142" s="356"/>
      <c r="V142" s="356"/>
      <c r="W142" s="356"/>
      <c r="X142" s="356"/>
      <c r="Y142" s="356"/>
      <c r="Z142" s="356"/>
      <c r="AA142" s="356"/>
      <c r="AB142" s="356"/>
      <c r="AC142" s="358">
        <f>223285000-50000000</f>
        <v>173285000</v>
      </c>
      <c r="AD142" s="357"/>
      <c r="AE142" s="131"/>
      <c r="AF142" s="77">
        <f>+S142+T142+U142+V142+W142+X142+Y142+Z142+AA142+AB142+AC142+AD142+AE142</f>
        <v>173285000</v>
      </c>
    </row>
    <row r="143" spans="1:39" ht="51" customHeight="1" x14ac:dyDescent="0.2">
      <c r="A143" s="51"/>
      <c r="B143" s="724"/>
      <c r="C143" s="715"/>
      <c r="D143" s="361"/>
      <c r="E143" s="644"/>
      <c r="F143" s="352" t="s">
        <v>447</v>
      </c>
      <c r="G143" s="91" t="s">
        <v>496</v>
      </c>
      <c r="H143" s="137">
        <v>3602032</v>
      </c>
      <c r="I143" s="130" t="s">
        <v>497</v>
      </c>
      <c r="J143" s="91" t="s">
        <v>498</v>
      </c>
      <c r="K143" s="232">
        <v>360203201</v>
      </c>
      <c r="L143" s="258" t="s">
        <v>499</v>
      </c>
      <c r="M143" s="91" t="s">
        <v>58</v>
      </c>
      <c r="N143" s="91">
        <v>14</v>
      </c>
      <c r="O143" s="91">
        <v>14</v>
      </c>
      <c r="P143" s="704"/>
      <c r="Q143" s="718"/>
      <c r="R143" s="721"/>
      <c r="S143" s="356"/>
      <c r="T143" s="356"/>
      <c r="U143" s="356"/>
      <c r="V143" s="356"/>
      <c r="W143" s="356"/>
      <c r="X143" s="356"/>
      <c r="Y143" s="356"/>
      <c r="Z143" s="356"/>
      <c r="AA143" s="356"/>
      <c r="AB143" s="356"/>
      <c r="AC143" s="358">
        <f>124400000-50000000</f>
        <v>74400000</v>
      </c>
      <c r="AD143" s="357"/>
      <c r="AE143" s="131"/>
      <c r="AF143" s="77">
        <f>+S143+T143+U143+V143+W143+X143+Y143+Z143+AA143+AB143+AC143+AD143+AE143</f>
        <v>74400000</v>
      </c>
    </row>
    <row r="144" spans="1:39" ht="51" customHeight="1" x14ac:dyDescent="0.2">
      <c r="A144" s="51"/>
      <c r="B144" s="724"/>
      <c r="C144" s="715"/>
      <c r="D144" s="361"/>
      <c r="E144" s="644"/>
      <c r="F144" s="352" t="s">
        <v>447</v>
      </c>
      <c r="G144" s="91" t="s">
        <v>500</v>
      </c>
      <c r="H144" s="137">
        <v>3602029</v>
      </c>
      <c r="I144" s="130" t="s">
        <v>501</v>
      </c>
      <c r="J144" s="91" t="s">
        <v>502</v>
      </c>
      <c r="K144" s="232">
        <v>360202904</v>
      </c>
      <c r="L144" s="258" t="s">
        <v>503</v>
      </c>
      <c r="M144" s="91" t="s">
        <v>153</v>
      </c>
      <c r="N144" s="91">
        <v>42</v>
      </c>
      <c r="O144" s="91">
        <v>5</v>
      </c>
      <c r="P144" s="704"/>
      <c r="Q144" s="718"/>
      <c r="R144" s="721"/>
      <c r="S144" s="356"/>
      <c r="T144" s="356"/>
      <c r="U144" s="356"/>
      <c r="V144" s="356"/>
      <c r="W144" s="356"/>
      <c r="X144" s="356"/>
      <c r="Y144" s="356"/>
      <c r="Z144" s="356"/>
      <c r="AA144" s="356"/>
      <c r="AB144" s="356"/>
      <c r="AC144" s="358">
        <v>20000000</v>
      </c>
      <c r="AD144" s="357"/>
      <c r="AE144" s="131"/>
      <c r="AF144" s="77">
        <f>+S144+T144+U144+V144+W144+X144+Y144+Z144+AA144+AB144+AC144+AD144+AE144</f>
        <v>20000000</v>
      </c>
    </row>
    <row r="145" spans="1:39" ht="51" customHeight="1" x14ac:dyDescent="0.2">
      <c r="A145" s="86"/>
      <c r="B145" s="724"/>
      <c r="C145" s="716"/>
      <c r="D145" s="363"/>
      <c r="E145" s="645"/>
      <c r="F145" s="352" t="s">
        <v>447</v>
      </c>
      <c r="G145" s="91" t="s">
        <v>504</v>
      </c>
      <c r="H145" s="137">
        <v>3602030</v>
      </c>
      <c r="I145" s="130" t="s">
        <v>505</v>
      </c>
      <c r="J145" s="91" t="s">
        <v>506</v>
      </c>
      <c r="K145" s="232" t="s">
        <v>507</v>
      </c>
      <c r="L145" s="258" t="s">
        <v>508</v>
      </c>
      <c r="M145" s="283" t="s">
        <v>153</v>
      </c>
      <c r="N145" s="162">
        <v>12</v>
      </c>
      <c r="O145" s="162">
        <v>1</v>
      </c>
      <c r="P145" s="705"/>
      <c r="Q145" s="719"/>
      <c r="R145" s="722"/>
      <c r="S145" s="356"/>
      <c r="T145" s="356"/>
      <c r="U145" s="356"/>
      <c r="V145" s="356"/>
      <c r="W145" s="356"/>
      <c r="X145" s="356"/>
      <c r="Y145" s="356"/>
      <c r="Z145" s="356"/>
      <c r="AA145" s="356"/>
      <c r="AB145" s="356"/>
      <c r="AC145" s="358">
        <v>18000000</v>
      </c>
      <c r="AD145" s="357"/>
      <c r="AE145" s="131"/>
      <c r="AF145" s="77">
        <f>+S145+T145+U145+V145+W145+X145+Y145+Z145+AA145+AB145+AC145+AD145+AE145</f>
        <v>18000000</v>
      </c>
    </row>
    <row r="146" spans="1:39" ht="27.75" customHeight="1" x14ac:dyDescent="0.2">
      <c r="AF146" s="695"/>
    </row>
    <row r="147" spans="1:39" ht="17.25" customHeight="1" x14ac:dyDescent="0.2">
      <c r="A147" s="23" t="s">
        <v>509</v>
      </c>
      <c r="B147" s="24"/>
      <c r="C147" s="23"/>
      <c r="D147" s="371"/>
      <c r="E147" s="372"/>
      <c r="F147" s="373"/>
      <c r="G147" s="374"/>
      <c r="H147" s="375"/>
      <c r="I147" s="376"/>
      <c r="J147" s="377"/>
      <c r="K147" s="377"/>
      <c r="L147" s="376"/>
      <c r="M147" s="33"/>
      <c r="N147" s="375"/>
      <c r="O147" s="374"/>
      <c r="P147" s="372"/>
      <c r="Q147" s="372"/>
      <c r="R147" s="376"/>
      <c r="S147" s="378">
        <f t="shared" ref="S147:AF147" si="61">S148+S179</f>
        <v>0</v>
      </c>
      <c r="T147" s="378">
        <f t="shared" si="61"/>
        <v>0</v>
      </c>
      <c r="U147" s="378">
        <f t="shared" si="61"/>
        <v>0</v>
      </c>
      <c r="V147" s="378">
        <f t="shared" si="61"/>
        <v>0</v>
      </c>
      <c r="W147" s="378">
        <f t="shared" si="61"/>
        <v>0</v>
      </c>
      <c r="X147" s="378">
        <f t="shared" si="61"/>
        <v>0</v>
      </c>
      <c r="Y147" s="378">
        <f t="shared" si="61"/>
        <v>0</v>
      </c>
      <c r="Z147" s="378">
        <f t="shared" si="61"/>
        <v>0</v>
      </c>
      <c r="AA147" s="378">
        <f t="shared" si="61"/>
        <v>0</v>
      </c>
      <c r="AB147" s="378">
        <f t="shared" si="61"/>
        <v>0</v>
      </c>
      <c r="AC147" s="378">
        <f t="shared" si="61"/>
        <v>2852390196.25</v>
      </c>
      <c r="AD147" s="378">
        <f t="shared" si="61"/>
        <v>0</v>
      </c>
      <c r="AE147" s="378">
        <f t="shared" si="61"/>
        <v>0</v>
      </c>
      <c r="AF147" s="378">
        <f t="shared" si="61"/>
        <v>2852390196.25</v>
      </c>
    </row>
    <row r="148" spans="1:39" ht="17.25" customHeight="1" x14ac:dyDescent="0.2">
      <c r="A148" s="51"/>
      <c r="B148" s="39">
        <v>2</v>
      </c>
      <c r="C148" s="107" t="s">
        <v>2</v>
      </c>
      <c r="D148" s="108"/>
      <c r="E148" s="109"/>
      <c r="F148" s="110"/>
      <c r="G148" s="111"/>
      <c r="H148" s="112"/>
      <c r="I148" s="113"/>
      <c r="J148" s="114"/>
      <c r="K148" s="114"/>
      <c r="L148" s="113"/>
      <c r="M148" s="115"/>
      <c r="N148" s="116"/>
      <c r="O148" s="111"/>
      <c r="P148" s="109"/>
      <c r="Q148" s="109"/>
      <c r="R148" s="113"/>
      <c r="S148" s="50">
        <f t="shared" ref="S148:AF148" si="62">+S149+S162+S164+S167+S169+S171+S173+S176</f>
        <v>0</v>
      </c>
      <c r="T148" s="50">
        <f t="shared" si="62"/>
        <v>0</v>
      </c>
      <c r="U148" s="50">
        <f t="shared" si="62"/>
        <v>0</v>
      </c>
      <c r="V148" s="50">
        <f t="shared" si="62"/>
        <v>0</v>
      </c>
      <c r="W148" s="50">
        <f t="shared" si="62"/>
        <v>0</v>
      </c>
      <c r="X148" s="50">
        <f t="shared" si="62"/>
        <v>0</v>
      </c>
      <c r="Y148" s="50">
        <f t="shared" si="62"/>
        <v>0</v>
      </c>
      <c r="Z148" s="50">
        <f t="shared" si="62"/>
        <v>0</v>
      </c>
      <c r="AA148" s="50">
        <f t="shared" si="62"/>
        <v>0</v>
      </c>
      <c r="AB148" s="50">
        <f t="shared" si="62"/>
        <v>0</v>
      </c>
      <c r="AC148" s="50">
        <f t="shared" si="62"/>
        <v>1323519269</v>
      </c>
      <c r="AD148" s="50">
        <f t="shared" si="62"/>
        <v>0</v>
      </c>
      <c r="AE148" s="50">
        <f t="shared" si="62"/>
        <v>0</v>
      </c>
      <c r="AF148" s="50">
        <f t="shared" si="62"/>
        <v>1323519269</v>
      </c>
      <c r="AG148" s="379"/>
      <c r="AH148" s="379"/>
      <c r="AI148" s="379"/>
      <c r="AJ148" s="379"/>
      <c r="AK148" s="379"/>
      <c r="AL148" s="380"/>
    </row>
    <row r="149" spans="1:39" ht="17.25" customHeight="1" x14ac:dyDescent="0.2">
      <c r="A149" s="51"/>
      <c r="B149" s="52"/>
      <c r="C149" s="220">
        <v>4</v>
      </c>
      <c r="D149" s="57">
        <v>1702</v>
      </c>
      <c r="E149" s="55" t="s">
        <v>510</v>
      </c>
      <c r="F149" s="56"/>
      <c r="G149" s="84"/>
      <c r="H149" s="120"/>
      <c r="I149" s="121"/>
      <c r="J149" s="122"/>
      <c r="K149" s="122"/>
      <c r="L149" s="121"/>
      <c r="M149" s="123"/>
      <c r="N149" s="124"/>
      <c r="O149" s="84"/>
      <c r="P149" s="125"/>
      <c r="Q149" s="125"/>
      <c r="R149" s="121"/>
      <c r="S149" s="64">
        <f t="shared" ref="S149:AF149" si="63">SUM(S150:S161)</f>
        <v>0</v>
      </c>
      <c r="T149" s="64">
        <f t="shared" si="63"/>
        <v>0</v>
      </c>
      <c r="U149" s="64">
        <f t="shared" si="63"/>
        <v>0</v>
      </c>
      <c r="V149" s="64">
        <f t="shared" si="63"/>
        <v>0</v>
      </c>
      <c r="W149" s="64">
        <f t="shared" si="63"/>
        <v>0</v>
      </c>
      <c r="X149" s="64">
        <f t="shared" si="63"/>
        <v>0</v>
      </c>
      <c r="Y149" s="64">
        <f t="shared" si="63"/>
        <v>0</v>
      </c>
      <c r="Z149" s="64">
        <f t="shared" si="63"/>
        <v>0</v>
      </c>
      <c r="AA149" s="64">
        <f t="shared" si="63"/>
        <v>0</v>
      </c>
      <c r="AB149" s="64">
        <f t="shared" si="63"/>
        <v>0</v>
      </c>
      <c r="AC149" s="64">
        <f t="shared" si="63"/>
        <v>845354420</v>
      </c>
      <c r="AD149" s="64">
        <f t="shared" si="63"/>
        <v>0</v>
      </c>
      <c r="AE149" s="64">
        <f t="shared" si="63"/>
        <v>0</v>
      </c>
      <c r="AF149" s="64">
        <f t="shared" si="63"/>
        <v>845354420</v>
      </c>
      <c r="AG149" s="379"/>
      <c r="AH149" s="379"/>
      <c r="AI149" s="379"/>
      <c r="AJ149" s="379"/>
      <c r="AK149" s="379"/>
      <c r="AL149" s="380"/>
    </row>
    <row r="150" spans="1:39" ht="66" customHeight="1" x14ac:dyDescent="0.2">
      <c r="A150" s="51"/>
      <c r="B150" s="65"/>
      <c r="C150" s="223"/>
      <c r="D150" s="224"/>
      <c r="E150" s="640"/>
      <c r="F150" s="90" t="s">
        <v>197</v>
      </c>
      <c r="G150" s="74" t="s">
        <v>511</v>
      </c>
      <c r="H150" s="247">
        <v>1702011</v>
      </c>
      <c r="I150" s="130" t="s">
        <v>512</v>
      </c>
      <c r="J150" s="74" t="s">
        <v>513</v>
      </c>
      <c r="K150" s="74" t="s">
        <v>514</v>
      </c>
      <c r="L150" s="130" t="s">
        <v>515</v>
      </c>
      <c r="M150" s="74" t="s">
        <v>58</v>
      </c>
      <c r="N150" s="71">
        <v>30</v>
      </c>
      <c r="O150" s="247">
        <v>30</v>
      </c>
      <c r="P150" s="712" t="s">
        <v>201</v>
      </c>
      <c r="Q150" s="712" t="s">
        <v>516</v>
      </c>
      <c r="R150" s="713" t="s">
        <v>517</v>
      </c>
      <c r="S150" s="76"/>
      <c r="T150" s="76"/>
      <c r="U150" s="76"/>
      <c r="V150" s="76"/>
      <c r="W150" s="76"/>
      <c r="X150" s="76"/>
      <c r="Y150" s="76"/>
      <c r="Z150" s="76"/>
      <c r="AA150" s="76"/>
      <c r="AB150" s="76"/>
      <c r="AC150" s="381">
        <v>195850000</v>
      </c>
      <c r="AD150" s="382"/>
      <c r="AE150" s="382"/>
      <c r="AF150" s="77">
        <f t="shared" ref="AF150:AF161" si="64">+S150+T150+U150+V150+W150+X150+Y150+Z150+AA150+AB150+AC150+AD150+AE150</f>
        <v>195850000</v>
      </c>
      <c r="AG150" s="383"/>
      <c r="AH150" s="384"/>
      <c r="AI150" s="384"/>
      <c r="AJ150" s="384"/>
      <c r="AK150" s="384"/>
      <c r="AL150" s="385"/>
      <c r="AM150" s="3"/>
    </row>
    <row r="151" spans="1:39" ht="54.75" customHeight="1" x14ac:dyDescent="0.2">
      <c r="A151" s="51"/>
      <c r="B151" s="65"/>
      <c r="C151" s="223"/>
      <c r="D151" s="224"/>
      <c r="E151" s="464"/>
      <c r="F151" s="90" t="s">
        <v>197</v>
      </c>
      <c r="G151" s="386" t="s">
        <v>518</v>
      </c>
      <c r="H151" s="247">
        <v>1702007</v>
      </c>
      <c r="I151" s="130" t="s">
        <v>519</v>
      </c>
      <c r="J151" s="386" t="s">
        <v>520</v>
      </c>
      <c r="K151" s="387" t="s">
        <v>521</v>
      </c>
      <c r="L151" s="388" t="s">
        <v>522</v>
      </c>
      <c r="M151" s="136" t="s">
        <v>153</v>
      </c>
      <c r="N151" s="137">
        <v>16</v>
      </c>
      <c r="O151" s="247">
        <v>5</v>
      </c>
      <c r="P151" s="712"/>
      <c r="Q151" s="712"/>
      <c r="R151" s="713"/>
      <c r="S151" s="389"/>
      <c r="T151" s="389"/>
      <c r="U151" s="389"/>
      <c r="V151" s="389"/>
      <c r="W151" s="389"/>
      <c r="X151" s="389"/>
      <c r="Y151" s="389"/>
      <c r="Z151" s="389"/>
      <c r="AA151" s="389"/>
      <c r="AB151" s="389"/>
      <c r="AC151" s="381">
        <v>130000000</v>
      </c>
      <c r="AD151" s="382"/>
      <c r="AE151" s="382"/>
      <c r="AF151" s="77">
        <f t="shared" si="64"/>
        <v>130000000</v>
      </c>
      <c r="AG151" s="390"/>
      <c r="AH151" s="390"/>
      <c r="AI151" s="390"/>
      <c r="AJ151" s="390"/>
      <c r="AK151" s="390"/>
      <c r="AL151" s="385"/>
      <c r="AM151" s="3"/>
    </row>
    <row r="152" spans="1:39" ht="54" customHeight="1" x14ac:dyDescent="0.2">
      <c r="A152" s="51"/>
      <c r="B152" s="65"/>
      <c r="C152" s="223"/>
      <c r="D152" s="224"/>
      <c r="E152" s="641"/>
      <c r="F152" s="90" t="s">
        <v>197</v>
      </c>
      <c r="G152" s="91" t="s">
        <v>523</v>
      </c>
      <c r="H152" s="247">
        <v>1702009</v>
      </c>
      <c r="I152" s="130" t="s">
        <v>524</v>
      </c>
      <c r="J152" s="91" t="s">
        <v>525</v>
      </c>
      <c r="K152" s="232">
        <v>170200900</v>
      </c>
      <c r="L152" s="258" t="s">
        <v>526</v>
      </c>
      <c r="M152" s="136" t="s">
        <v>153</v>
      </c>
      <c r="N152" s="137">
        <v>500</v>
      </c>
      <c r="O152" s="247">
        <v>100</v>
      </c>
      <c r="P152" s="712"/>
      <c r="Q152" s="712"/>
      <c r="R152" s="713"/>
      <c r="S152" s="389"/>
      <c r="T152" s="389"/>
      <c r="U152" s="389"/>
      <c r="V152" s="389"/>
      <c r="W152" s="389"/>
      <c r="X152" s="389"/>
      <c r="Y152" s="389"/>
      <c r="Z152" s="389"/>
      <c r="AA152" s="389"/>
      <c r="AB152" s="389"/>
      <c r="AC152" s="381">
        <v>89300265</v>
      </c>
      <c r="AD152" s="382"/>
      <c r="AE152" s="382"/>
      <c r="AF152" s="77">
        <f t="shared" si="64"/>
        <v>89300265</v>
      </c>
      <c r="AG152" s="390"/>
      <c r="AH152" s="390"/>
      <c r="AI152" s="390"/>
      <c r="AJ152" s="390"/>
      <c r="AK152" s="390"/>
      <c r="AL152" s="385"/>
      <c r="AM152" s="3"/>
    </row>
    <row r="153" spans="1:39" ht="93.75" customHeight="1" x14ac:dyDescent="0.2">
      <c r="A153" s="51"/>
      <c r="B153" s="65"/>
      <c r="C153" s="223"/>
      <c r="D153" s="224"/>
      <c r="E153" s="74"/>
      <c r="F153" s="90" t="s">
        <v>197</v>
      </c>
      <c r="G153" s="91" t="s">
        <v>527</v>
      </c>
      <c r="H153" s="391">
        <v>1702017</v>
      </c>
      <c r="I153" s="130" t="s">
        <v>528</v>
      </c>
      <c r="J153" s="91" t="s">
        <v>529</v>
      </c>
      <c r="K153" s="232" t="s">
        <v>530</v>
      </c>
      <c r="L153" s="258" t="s">
        <v>531</v>
      </c>
      <c r="M153" s="136" t="s">
        <v>153</v>
      </c>
      <c r="N153" s="137">
        <v>2500</v>
      </c>
      <c r="O153" s="635">
        <v>250</v>
      </c>
      <c r="P153" s="392" t="s">
        <v>532</v>
      </c>
      <c r="Q153" s="74" t="s">
        <v>533</v>
      </c>
      <c r="R153" s="130" t="s">
        <v>534</v>
      </c>
      <c r="S153" s="389"/>
      <c r="T153" s="389"/>
      <c r="U153" s="389"/>
      <c r="V153" s="389"/>
      <c r="W153" s="389"/>
      <c r="X153" s="389"/>
      <c r="Y153" s="389"/>
      <c r="Z153" s="389"/>
      <c r="AA153" s="389"/>
      <c r="AB153" s="389"/>
      <c r="AC153" s="381">
        <v>110000000</v>
      </c>
      <c r="AD153" s="382"/>
      <c r="AE153" s="382"/>
      <c r="AF153" s="77">
        <f t="shared" si="64"/>
        <v>110000000</v>
      </c>
      <c r="AG153" s="390"/>
      <c r="AH153" s="390"/>
      <c r="AI153" s="390"/>
      <c r="AJ153" s="390"/>
      <c r="AK153" s="390"/>
      <c r="AL153" s="385"/>
      <c r="AM153" s="3"/>
    </row>
    <row r="154" spans="1:39" ht="41.25" customHeight="1" x14ac:dyDescent="0.2">
      <c r="A154" s="51"/>
      <c r="B154" s="65"/>
      <c r="C154" s="223"/>
      <c r="D154" s="224"/>
      <c r="E154" s="640"/>
      <c r="F154" s="90" t="s">
        <v>197</v>
      </c>
      <c r="G154" s="156" t="s">
        <v>535</v>
      </c>
      <c r="H154" s="247">
        <v>1702038</v>
      </c>
      <c r="I154" s="130" t="s">
        <v>536</v>
      </c>
      <c r="J154" s="156" t="s">
        <v>537</v>
      </c>
      <c r="K154" s="156" t="s">
        <v>538</v>
      </c>
      <c r="L154" s="155" t="s">
        <v>539</v>
      </c>
      <c r="M154" s="91" t="s">
        <v>58</v>
      </c>
      <c r="N154" s="91">
        <v>30</v>
      </c>
      <c r="O154" s="91">
        <v>30</v>
      </c>
      <c r="P154" s="703" t="s">
        <v>201</v>
      </c>
      <c r="Q154" s="703" t="s">
        <v>540</v>
      </c>
      <c r="R154" s="703" t="s">
        <v>541</v>
      </c>
      <c r="S154" s="389"/>
      <c r="T154" s="389"/>
      <c r="U154" s="389"/>
      <c r="V154" s="389"/>
      <c r="W154" s="389"/>
      <c r="X154" s="389"/>
      <c r="Y154" s="389"/>
      <c r="Z154" s="389"/>
      <c r="AA154" s="389"/>
      <c r="AB154" s="389"/>
      <c r="AC154" s="381">
        <v>71204155</v>
      </c>
      <c r="AD154" s="382"/>
      <c r="AE154" s="382"/>
      <c r="AF154" s="77">
        <f t="shared" si="64"/>
        <v>71204155</v>
      </c>
      <c r="AG154" s="390"/>
      <c r="AH154" s="390"/>
      <c r="AI154" s="390"/>
      <c r="AJ154" s="390"/>
      <c r="AK154" s="390"/>
      <c r="AL154" s="385"/>
      <c r="AM154" s="3"/>
    </row>
    <row r="155" spans="1:39" ht="63.75" customHeight="1" x14ac:dyDescent="0.2">
      <c r="A155" s="51"/>
      <c r="B155" s="65"/>
      <c r="C155" s="223"/>
      <c r="D155" s="224"/>
      <c r="E155" s="641"/>
      <c r="F155" s="90" t="s">
        <v>197</v>
      </c>
      <c r="G155" s="156" t="s">
        <v>535</v>
      </c>
      <c r="H155" s="247">
        <v>1702038</v>
      </c>
      <c r="I155" s="130" t="s">
        <v>536</v>
      </c>
      <c r="J155" s="156" t="s">
        <v>542</v>
      </c>
      <c r="K155" s="156" t="s">
        <v>543</v>
      </c>
      <c r="L155" s="155" t="s">
        <v>544</v>
      </c>
      <c r="M155" s="91" t="s">
        <v>153</v>
      </c>
      <c r="N155" s="91">
        <v>300</v>
      </c>
      <c r="O155" s="91">
        <v>60</v>
      </c>
      <c r="P155" s="705"/>
      <c r="Q155" s="705"/>
      <c r="R155" s="705"/>
      <c r="S155" s="389"/>
      <c r="T155" s="389"/>
      <c r="U155" s="389"/>
      <c r="V155" s="389"/>
      <c r="W155" s="389"/>
      <c r="X155" s="389"/>
      <c r="Y155" s="389"/>
      <c r="Z155" s="389"/>
      <c r="AA155" s="389"/>
      <c r="AB155" s="389"/>
      <c r="AC155" s="381">
        <v>40000000</v>
      </c>
      <c r="AD155" s="382"/>
      <c r="AE155" s="382"/>
      <c r="AF155" s="77">
        <f t="shared" si="64"/>
        <v>40000000</v>
      </c>
      <c r="AG155" s="390"/>
      <c r="AH155" s="390"/>
      <c r="AI155" s="390"/>
      <c r="AJ155" s="390"/>
      <c r="AK155" s="390"/>
      <c r="AL155" s="385"/>
      <c r="AM155" s="3"/>
    </row>
    <row r="156" spans="1:39" ht="74.25" customHeight="1" x14ac:dyDescent="0.2">
      <c r="A156" s="51"/>
      <c r="B156" s="65"/>
      <c r="C156" s="223"/>
      <c r="D156" s="224"/>
      <c r="E156" s="640"/>
      <c r="F156" s="90" t="s">
        <v>197</v>
      </c>
      <c r="G156" s="74" t="s">
        <v>545</v>
      </c>
      <c r="H156" s="247">
        <v>1702023</v>
      </c>
      <c r="I156" s="130" t="s">
        <v>468</v>
      </c>
      <c r="J156" s="74" t="s">
        <v>546</v>
      </c>
      <c r="K156" s="74" t="s">
        <v>547</v>
      </c>
      <c r="L156" s="130" t="s">
        <v>548</v>
      </c>
      <c r="M156" s="136" t="s">
        <v>58</v>
      </c>
      <c r="N156" s="137">
        <v>1</v>
      </c>
      <c r="O156" s="393">
        <v>1</v>
      </c>
      <c r="P156" s="703" t="s">
        <v>532</v>
      </c>
      <c r="Q156" s="712" t="s">
        <v>549</v>
      </c>
      <c r="R156" s="728" t="s">
        <v>550</v>
      </c>
      <c r="S156" s="389"/>
      <c r="T156" s="389"/>
      <c r="U156" s="389"/>
      <c r="V156" s="389"/>
      <c r="W156" s="389"/>
      <c r="X156" s="389"/>
      <c r="Y156" s="389"/>
      <c r="Z156" s="389"/>
      <c r="AA156" s="389"/>
      <c r="AB156" s="389"/>
      <c r="AC156" s="381">
        <v>50000000</v>
      </c>
      <c r="AD156" s="382"/>
      <c r="AE156" s="382"/>
      <c r="AF156" s="77">
        <f t="shared" si="64"/>
        <v>50000000</v>
      </c>
      <c r="AG156" s="390"/>
      <c r="AH156" s="390"/>
      <c r="AI156" s="390"/>
      <c r="AJ156" s="390"/>
      <c r="AK156" s="390"/>
      <c r="AL156" s="385"/>
      <c r="AM156" s="3"/>
    </row>
    <row r="157" spans="1:39" ht="58.5" customHeight="1" x14ac:dyDescent="0.2">
      <c r="A157" s="51"/>
      <c r="B157" s="65"/>
      <c r="C157" s="223"/>
      <c r="D157" s="224"/>
      <c r="E157" s="641"/>
      <c r="F157" s="90" t="s">
        <v>197</v>
      </c>
      <c r="G157" s="91" t="s">
        <v>551</v>
      </c>
      <c r="H157" s="247">
        <v>1702024</v>
      </c>
      <c r="I157" s="130" t="s">
        <v>552</v>
      </c>
      <c r="J157" s="91" t="s">
        <v>553</v>
      </c>
      <c r="K157" s="232" t="s">
        <v>554</v>
      </c>
      <c r="L157" s="258" t="s">
        <v>555</v>
      </c>
      <c r="M157" s="136" t="s">
        <v>58</v>
      </c>
      <c r="N157" s="137">
        <v>12</v>
      </c>
      <c r="O157" s="393">
        <v>12</v>
      </c>
      <c r="P157" s="705"/>
      <c r="Q157" s="712"/>
      <c r="R157" s="728"/>
      <c r="S157" s="389"/>
      <c r="T157" s="389"/>
      <c r="U157" s="389"/>
      <c r="V157" s="389"/>
      <c r="W157" s="389"/>
      <c r="X157" s="389"/>
      <c r="Y157" s="389"/>
      <c r="Z157" s="389"/>
      <c r="AA157" s="389"/>
      <c r="AB157" s="389"/>
      <c r="AC157" s="381">
        <v>50000000</v>
      </c>
      <c r="AD157" s="382"/>
      <c r="AE157" s="382"/>
      <c r="AF157" s="77">
        <f t="shared" si="64"/>
        <v>50000000</v>
      </c>
      <c r="AG157" s="390"/>
      <c r="AH157" s="390"/>
      <c r="AI157" s="390"/>
      <c r="AJ157" s="390"/>
      <c r="AK157" s="390"/>
      <c r="AL157" s="385"/>
      <c r="AM157" s="3"/>
    </row>
    <row r="158" spans="1:39" ht="41.25" customHeight="1" x14ac:dyDescent="0.2">
      <c r="A158" s="51"/>
      <c r="B158" s="65"/>
      <c r="C158" s="223"/>
      <c r="D158" s="224"/>
      <c r="E158" s="640"/>
      <c r="F158" s="90" t="s">
        <v>197</v>
      </c>
      <c r="G158" s="91" t="s">
        <v>556</v>
      </c>
      <c r="H158" s="247">
        <v>1702014</v>
      </c>
      <c r="I158" s="130" t="s">
        <v>557</v>
      </c>
      <c r="J158" s="91" t="s">
        <v>558</v>
      </c>
      <c r="K158" s="232" t="s">
        <v>559</v>
      </c>
      <c r="L158" s="258" t="s">
        <v>560</v>
      </c>
      <c r="M158" s="91" t="s">
        <v>153</v>
      </c>
      <c r="N158" s="91">
        <v>100</v>
      </c>
      <c r="O158" s="91">
        <v>25</v>
      </c>
      <c r="P158" s="703" t="s">
        <v>532</v>
      </c>
      <c r="Q158" s="712" t="s">
        <v>561</v>
      </c>
      <c r="R158" s="728" t="s">
        <v>562</v>
      </c>
      <c r="S158" s="389"/>
      <c r="T158" s="389"/>
      <c r="U158" s="389"/>
      <c r="V158" s="389"/>
      <c r="W158" s="389"/>
      <c r="X158" s="389"/>
      <c r="Y158" s="389"/>
      <c r="Z158" s="389"/>
      <c r="AA158" s="389"/>
      <c r="AB158" s="389"/>
      <c r="AC158" s="381">
        <v>50000000</v>
      </c>
      <c r="AD158" s="382"/>
      <c r="AE158" s="382"/>
      <c r="AF158" s="77">
        <f t="shared" si="64"/>
        <v>50000000</v>
      </c>
      <c r="AG158" s="390"/>
      <c r="AH158" s="390"/>
      <c r="AI158" s="390"/>
      <c r="AJ158" s="390"/>
      <c r="AK158" s="390"/>
      <c r="AL158" s="385"/>
      <c r="AM158" s="3"/>
    </row>
    <row r="159" spans="1:39" ht="57.75" customHeight="1" x14ac:dyDescent="0.2">
      <c r="A159" s="51"/>
      <c r="B159" s="65"/>
      <c r="C159" s="223"/>
      <c r="D159" s="224"/>
      <c r="E159" s="642"/>
      <c r="F159" s="90" t="s">
        <v>197</v>
      </c>
      <c r="G159" s="91" t="s">
        <v>527</v>
      </c>
      <c r="H159" s="247">
        <v>1702017</v>
      </c>
      <c r="I159" s="130" t="s">
        <v>563</v>
      </c>
      <c r="J159" s="91" t="s">
        <v>529</v>
      </c>
      <c r="K159" s="232" t="s">
        <v>530</v>
      </c>
      <c r="L159" s="258" t="s">
        <v>531</v>
      </c>
      <c r="M159" s="136" t="s">
        <v>153</v>
      </c>
      <c r="N159" s="137">
        <v>2500</v>
      </c>
      <c r="O159" s="635">
        <v>250</v>
      </c>
      <c r="P159" s="704"/>
      <c r="Q159" s="712"/>
      <c r="R159" s="728"/>
      <c r="S159" s="389"/>
      <c r="T159" s="389"/>
      <c r="U159" s="389"/>
      <c r="V159" s="389"/>
      <c r="W159" s="389"/>
      <c r="X159" s="389"/>
      <c r="Y159" s="389"/>
      <c r="Z159" s="389"/>
      <c r="AA159" s="389"/>
      <c r="AB159" s="389"/>
      <c r="AC159" s="381">
        <v>19000000</v>
      </c>
      <c r="AD159" s="382"/>
      <c r="AE159" s="382"/>
      <c r="AF159" s="77">
        <f t="shared" si="64"/>
        <v>19000000</v>
      </c>
      <c r="AG159" s="390"/>
      <c r="AH159" s="390"/>
      <c r="AI159" s="390"/>
      <c r="AJ159" s="390"/>
      <c r="AK159" s="390"/>
      <c r="AL159" s="385"/>
      <c r="AM159" s="3"/>
    </row>
    <row r="160" spans="1:39" ht="54" customHeight="1" x14ac:dyDescent="0.2">
      <c r="A160" s="51"/>
      <c r="B160" s="65"/>
      <c r="C160" s="223"/>
      <c r="D160" s="224"/>
      <c r="E160" s="641"/>
      <c r="F160" s="90" t="s">
        <v>197</v>
      </c>
      <c r="G160" s="91" t="s">
        <v>564</v>
      </c>
      <c r="H160" s="247">
        <v>1702021</v>
      </c>
      <c r="I160" s="130" t="s">
        <v>565</v>
      </c>
      <c r="J160" s="91" t="s">
        <v>566</v>
      </c>
      <c r="K160" s="232" t="s">
        <v>567</v>
      </c>
      <c r="L160" s="258" t="s">
        <v>568</v>
      </c>
      <c r="M160" s="91" t="s">
        <v>153</v>
      </c>
      <c r="N160" s="91">
        <v>500</v>
      </c>
      <c r="O160" s="91">
        <v>50</v>
      </c>
      <c r="P160" s="705"/>
      <c r="Q160" s="712"/>
      <c r="R160" s="728"/>
      <c r="S160" s="389"/>
      <c r="T160" s="389"/>
      <c r="U160" s="389"/>
      <c r="V160" s="389"/>
      <c r="W160" s="389"/>
      <c r="X160" s="389"/>
      <c r="Y160" s="389"/>
      <c r="Z160" s="389"/>
      <c r="AA160" s="389"/>
      <c r="AB160" s="389"/>
      <c r="AC160" s="381">
        <v>10000000</v>
      </c>
      <c r="AD160" s="382"/>
      <c r="AE160" s="382"/>
      <c r="AF160" s="77">
        <f t="shared" si="64"/>
        <v>10000000</v>
      </c>
      <c r="AG160" s="390"/>
      <c r="AH160" s="390"/>
      <c r="AI160" s="390"/>
      <c r="AJ160" s="390"/>
      <c r="AK160" s="390"/>
      <c r="AL160" s="385"/>
      <c r="AM160" s="3"/>
    </row>
    <row r="161" spans="1:39" ht="51" customHeight="1" x14ac:dyDescent="0.2">
      <c r="A161" s="51"/>
      <c r="B161" s="65"/>
      <c r="C161" s="223"/>
      <c r="D161" s="224"/>
      <c r="E161" s="74"/>
      <c r="F161" s="90" t="s">
        <v>197</v>
      </c>
      <c r="G161" s="91" t="s">
        <v>569</v>
      </c>
      <c r="H161" s="247">
        <v>1702025</v>
      </c>
      <c r="I161" s="130" t="s">
        <v>570</v>
      </c>
      <c r="J161" s="91" t="s">
        <v>571</v>
      </c>
      <c r="K161" s="232" t="s">
        <v>572</v>
      </c>
      <c r="L161" s="258" t="s">
        <v>573</v>
      </c>
      <c r="M161" s="136" t="s">
        <v>153</v>
      </c>
      <c r="N161" s="137">
        <v>100</v>
      </c>
      <c r="O161" s="393">
        <v>25</v>
      </c>
      <c r="P161" s="74" t="s">
        <v>201</v>
      </c>
      <c r="Q161" s="74" t="s">
        <v>574</v>
      </c>
      <c r="R161" s="72" t="s">
        <v>575</v>
      </c>
      <c r="S161" s="389"/>
      <c r="T161" s="389"/>
      <c r="U161" s="389"/>
      <c r="V161" s="389"/>
      <c r="W161" s="389"/>
      <c r="X161" s="389"/>
      <c r="Y161" s="389"/>
      <c r="Z161" s="389"/>
      <c r="AA161" s="389"/>
      <c r="AB161" s="389"/>
      <c r="AC161" s="381">
        <v>30000000</v>
      </c>
      <c r="AD161" s="382"/>
      <c r="AE161" s="382"/>
      <c r="AF161" s="77">
        <f t="shared" si="64"/>
        <v>30000000</v>
      </c>
      <c r="AG161" s="390"/>
      <c r="AH161" s="390"/>
      <c r="AI161" s="390"/>
      <c r="AJ161" s="390"/>
      <c r="AK161" s="390"/>
      <c r="AL161" s="385"/>
      <c r="AM161" s="3"/>
    </row>
    <row r="162" spans="1:39" ht="23.25" customHeight="1" x14ac:dyDescent="0.2">
      <c r="A162" s="51"/>
      <c r="B162" s="79"/>
      <c r="C162" s="235">
        <v>5</v>
      </c>
      <c r="D162" s="84">
        <v>1703</v>
      </c>
      <c r="E162" s="55" t="s">
        <v>576</v>
      </c>
      <c r="F162" s="56"/>
      <c r="G162" s="57"/>
      <c r="H162" s="58"/>
      <c r="I162" s="59"/>
      <c r="J162" s="60"/>
      <c r="K162" s="60"/>
      <c r="L162" s="59"/>
      <c r="M162" s="61"/>
      <c r="N162" s="62"/>
      <c r="O162" s="57"/>
      <c r="P162" s="63"/>
      <c r="Q162" s="63"/>
      <c r="R162" s="59"/>
      <c r="S162" s="64">
        <f t="shared" ref="S162:AF162" si="65">SUM(S163)</f>
        <v>0</v>
      </c>
      <c r="T162" s="64">
        <f t="shared" si="65"/>
        <v>0</v>
      </c>
      <c r="U162" s="64">
        <f t="shared" si="65"/>
        <v>0</v>
      </c>
      <c r="V162" s="64">
        <f t="shared" si="65"/>
        <v>0</v>
      </c>
      <c r="W162" s="64">
        <f t="shared" si="65"/>
        <v>0</v>
      </c>
      <c r="X162" s="64">
        <f t="shared" si="65"/>
        <v>0</v>
      </c>
      <c r="Y162" s="64">
        <f t="shared" si="65"/>
        <v>0</v>
      </c>
      <c r="Z162" s="64">
        <f t="shared" si="65"/>
        <v>0</v>
      </c>
      <c r="AA162" s="64">
        <f t="shared" si="65"/>
        <v>0</v>
      </c>
      <c r="AB162" s="64">
        <f t="shared" si="65"/>
        <v>0</v>
      </c>
      <c r="AC162" s="64">
        <f t="shared" si="65"/>
        <v>90000000</v>
      </c>
      <c r="AD162" s="64">
        <f t="shared" si="65"/>
        <v>0</v>
      </c>
      <c r="AE162" s="64">
        <f t="shared" si="65"/>
        <v>0</v>
      </c>
      <c r="AF162" s="394">
        <f t="shared" si="65"/>
        <v>90000000</v>
      </c>
      <c r="AG162" s="379"/>
      <c r="AH162" s="379"/>
      <c r="AI162" s="379"/>
      <c r="AJ162" s="379"/>
      <c r="AK162" s="379"/>
      <c r="AL162" s="380"/>
      <c r="AM162" s="3"/>
    </row>
    <row r="163" spans="1:39" ht="78.75" customHeight="1" x14ac:dyDescent="0.2">
      <c r="A163" s="51"/>
      <c r="B163" s="65"/>
      <c r="C163" s="223"/>
      <c r="D163" s="224"/>
      <c r="E163" s="74"/>
      <c r="F163" s="90" t="s">
        <v>197</v>
      </c>
      <c r="G163" s="91" t="s">
        <v>577</v>
      </c>
      <c r="H163" s="247">
        <v>1703013</v>
      </c>
      <c r="I163" s="130" t="s">
        <v>578</v>
      </c>
      <c r="J163" s="91" t="s">
        <v>579</v>
      </c>
      <c r="K163" s="232" t="s">
        <v>580</v>
      </c>
      <c r="L163" s="258" t="s">
        <v>581</v>
      </c>
      <c r="M163" s="647" t="s">
        <v>153</v>
      </c>
      <c r="N163" s="137">
        <v>300</v>
      </c>
      <c r="O163" s="393">
        <v>75</v>
      </c>
      <c r="P163" s="74" t="s">
        <v>532</v>
      </c>
      <c r="Q163" s="74" t="s">
        <v>561</v>
      </c>
      <c r="R163" s="72" t="s">
        <v>4</v>
      </c>
      <c r="S163" s="389"/>
      <c r="T163" s="389"/>
      <c r="U163" s="389"/>
      <c r="V163" s="389"/>
      <c r="W163" s="389"/>
      <c r="X163" s="389"/>
      <c r="Y163" s="389"/>
      <c r="Z163" s="389"/>
      <c r="AA163" s="389"/>
      <c r="AB163" s="389"/>
      <c r="AC163" s="381">
        <v>90000000</v>
      </c>
      <c r="AD163" s="382"/>
      <c r="AE163" s="382"/>
      <c r="AF163" s="77">
        <f>+S163+T163+U163+V163+W163+X163+Y163+Z163+AA163+AB163+AC163+AD163+AE163</f>
        <v>90000000</v>
      </c>
      <c r="AG163" s="390"/>
      <c r="AH163" s="390"/>
      <c r="AI163" s="390"/>
      <c r="AJ163" s="390"/>
      <c r="AK163" s="390"/>
      <c r="AL163" s="385"/>
      <c r="AM163" s="3"/>
    </row>
    <row r="164" spans="1:39" ht="23.25" customHeight="1" x14ac:dyDescent="0.2">
      <c r="A164" s="51"/>
      <c r="B164" s="79"/>
      <c r="C164" s="235">
        <v>6</v>
      </c>
      <c r="D164" s="84">
        <v>1704</v>
      </c>
      <c r="E164" s="55" t="s">
        <v>582</v>
      </c>
      <c r="F164" s="395"/>
      <c r="G164" s="395"/>
      <c r="H164" s="395"/>
      <c r="I164" s="395"/>
      <c r="J164" s="395"/>
      <c r="K164" s="395"/>
      <c r="L164" s="395"/>
      <c r="M164" s="395"/>
      <c r="N164" s="395"/>
      <c r="O164" s="395"/>
      <c r="P164" s="395"/>
      <c r="Q164" s="396"/>
      <c r="R164" s="397"/>
      <c r="S164" s="398">
        <f t="shared" ref="S164:AF164" si="66">SUM(S165:S166)</f>
        <v>0</v>
      </c>
      <c r="T164" s="398">
        <f t="shared" si="66"/>
        <v>0</v>
      </c>
      <c r="U164" s="398">
        <f t="shared" si="66"/>
        <v>0</v>
      </c>
      <c r="V164" s="398">
        <f t="shared" si="66"/>
        <v>0</v>
      </c>
      <c r="W164" s="398">
        <f t="shared" si="66"/>
        <v>0</v>
      </c>
      <c r="X164" s="398">
        <f t="shared" si="66"/>
        <v>0</v>
      </c>
      <c r="Y164" s="398">
        <f t="shared" si="66"/>
        <v>0</v>
      </c>
      <c r="Z164" s="398">
        <f t="shared" si="66"/>
        <v>0</v>
      </c>
      <c r="AA164" s="398">
        <f t="shared" si="66"/>
        <v>0</v>
      </c>
      <c r="AB164" s="398">
        <f t="shared" si="66"/>
        <v>0</v>
      </c>
      <c r="AC164" s="399">
        <f t="shared" si="66"/>
        <v>80364849</v>
      </c>
      <c r="AD164" s="399">
        <f t="shared" si="66"/>
        <v>0</v>
      </c>
      <c r="AE164" s="399">
        <f t="shared" si="66"/>
        <v>0</v>
      </c>
      <c r="AF164" s="400">
        <f t="shared" si="66"/>
        <v>80364849</v>
      </c>
      <c r="AG164" s="401"/>
      <c r="AH164" s="401"/>
      <c r="AI164" s="401"/>
      <c r="AJ164" s="401"/>
      <c r="AK164" s="401"/>
      <c r="AL164" s="380"/>
      <c r="AM164" s="3"/>
    </row>
    <row r="165" spans="1:39" ht="80.25" customHeight="1" x14ac:dyDescent="0.2">
      <c r="A165" s="51"/>
      <c r="B165" s="402"/>
      <c r="C165" s="403"/>
      <c r="D165" s="404"/>
      <c r="E165" s="652"/>
      <c r="F165" s="90" t="s">
        <v>197</v>
      </c>
      <c r="G165" s="74" t="s">
        <v>583</v>
      </c>
      <c r="H165" s="247">
        <v>1704002</v>
      </c>
      <c r="I165" s="130" t="s">
        <v>584</v>
      </c>
      <c r="J165" s="74" t="s">
        <v>585</v>
      </c>
      <c r="K165" s="74" t="s">
        <v>586</v>
      </c>
      <c r="L165" s="130" t="s">
        <v>587</v>
      </c>
      <c r="M165" s="91" t="s">
        <v>58</v>
      </c>
      <c r="N165" s="91">
        <v>1</v>
      </c>
      <c r="O165" s="91">
        <v>1</v>
      </c>
      <c r="P165" s="703" t="s">
        <v>201</v>
      </c>
      <c r="Q165" s="712" t="s">
        <v>588</v>
      </c>
      <c r="R165" s="713" t="s">
        <v>589</v>
      </c>
      <c r="S165" s="171"/>
      <c r="T165" s="171"/>
      <c r="U165" s="171"/>
      <c r="V165" s="171"/>
      <c r="W165" s="171"/>
      <c r="X165" s="171"/>
      <c r="Y165" s="171"/>
      <c r="Z165" s="171"/>
      <c r="AA165" s="171"/>
      <c r="AB165" s="171"/>
      <c r="AC165" s="382">
        <v>50000000</v>
      </c>
      <c r="AD165" s="382"/>
      <c r="AE165" s="382"/>
      <c r="AF165" s="77">
        <f>+S165+T165+U165+V165+W165+X165+Y165+Z165+AA165+AB165+AC165+AD165+AE165</f>
        <v>50000000</v>
      </c>
      <c r="AG165" s="3"/>
      <c r="AH165" s="3"/>
      <c r="AI165" s="3"/>
      <c r="AJ165" s="3"/>
      <c r="AK165" s="3"/>
      <c r="AL165" s="3"/>
      <c r="AM165" s="3"/>
    </row>
    <row r="166" spans="1:39" ht="57.75" customHeight="1" x14ac:dyDescent="0.2">
      <c r="A166" s="51"/>
      <c r="B166" s="402"/>
      <c r="C166" s="403"/>
      <c r="D166" s="404"/>
      <c r="E166" s="653"/>
      <c r="F166" s="90" t="s">
        <v>197</v>
      </c>
      <c r="G166" s="304" t="s">
        <v>590</v>
      </c>
      <c r="H166" s="247">
        <v>1704017</v>
      </c>
      <c r="I166" s="130" t="s">
        <v>591</v>
      </c>
      <c r="J166" s="304" t="s">
        <v>592</v>
      </c>
      <c r="K166" s="304" t="s">
        <v>593</v>
      </c>
      <c r="L166" s="302" t="s">
        <v>594</v>
      </c>
      <c r="M166" s="91" t="s">
        <v>153</v>
      </c>
      <c r="N166" s="91">
        <v>500</v>
      </c>
      <c r="O166" s="91">
        <v>50</v>
      </c>
      <c r="P166" s="705"/>
      <c r="Q166" s="712"/>
      <c r="R166" s="713"/>
      <c r="S166" s="171"/>
      <c r="T166" s="171"/>
      <c r="U166" s="171"/>
      <c r="V166" s="171"/>
      <c r="W166" s="171"/>
      <c r="X166" s="171"/>
      <c r="Y166" s="171"/>
      <c r="Z166" s="171"/>
      <c r="AA166" s="171"/>
      <c r="AB166" s="171"/>
      <c r="AC166" s="382">
        <v>30364849</v>
      </c>
      <c r="AD166" s="382"/>
      <c r="AE166" s="382"/>
      <c r="AF166" s="77">
        <f>+S166+T166+U166+V166+W166+X166+Y166+Z166+AA166+AB166+AC166+AD166+AE166</f>
        <v>30364849</v>
      </c>
      <c r="AG166" s="3"/>
      <c r="AH166" s="3"/>
      <c r="AI166" s="3"/>
      <c r="AJ166" s="3"/>
      <c r="AK166" s="3"/>
      <c r="AL166" s="3"/>
      <c r="AM166" s="3"/>
    </row>
    <row r="167" spans="1:39" ht="21.75" customHeight="1" x14ac:dyDescent="0.2">
      <c r="A167" s="51"/>
      <c r="B167" s="79"/>
      <c r="C167" s="235">
        <v>7</v>
      </c>
      <c r="D167" s="84">
        <v>1706</v>
      </c>
      <c r="E167" s="55" t="s">
        <v>595</v>
      </c>
      <c r="F167" s="56"/>
      <c r="G167" s="57"/>
      <c r="H167" s="58"/>
      <c r="I167" s="59"/>
      <c r="J167" s="60"/>
      <c r="K167" s="60"/>
      <c r="L167" s="59"/>
      <c r="M167" s="59"/>
      <c r="N167" s="59"/>
      <c r="O167" s="59"/>
      <c r="P167" s="63"/>
      <c r="Q167" s="63"/>
      <c r="R167" s="59"/>
      <c r="S167" s="64">
        <f t="shared" ref="S167:AF167" si="67">SUM(S168)</f>
        <v>0</v>
      </c>
      <c r="T167" s="64">
        <f t="shared" si="67"/>
        <v>0</v>
      </c>
      <c r="U167" s="64">
        <f t="shared" si="67"/>
        <v>0</v>
      </c>
      <c r="V167" s="64">
        <f t="shared" si="67"/>
        <v>0</v>
      </c>
      <c r="W167" s="64">
        <f t="shared" si="67"/>
        <v>0</v>
      </c>
      <c r="X167" s="64">
        <f t="shared" si="67"/>
        <v>0</v>
      </c>
      <c r="Y167" s="64">
        <f t="shared" si="67"/>
        <v>0</v>
      </c>
      <c r="Z167" s="64">
        <f t="shared" si="67"/>
        <v>0</v>
      </c>
      <c r="AA167" s="64">
        <f t="shared" si="67"/>
        <v>0</v>
      </c>
      <c r="AB167" s="64">
        <f t="shared" si="67"/>
        <v>0</v>
      </c>
      <c r="AC167" s="64">
        <f t="shared" si="67"/>
        <v>12800000</v>
      </c>
      <c r="AD167" s="64">
        <f t="shared" si="67"/>
        <v>0</v>
      </c>
      <c r="AE167" s="64">
        <f t="shared" si="67"/>
        <v>0</v>
      </c>
      <c r="AF167" s="394">
        <f t="shared" si="67"/>
        <v>12800000</v>
      </c>
      <c r="AG167" s="379"/>
      <c r="AH167" s="379"/>
      <c r="AI167" s="379"/>
      <c r="AJ167" s="379"/>
      <c r="AK167" s="379"/>
      <c r="AL167" s="380"/>
      <c r="AM167" s="3"/>
    </row>
    <row r="168" spans="1:39" ht="72.75" customHeight="1" x14ac:dyDescent="0.2">
      <c r="A168" s="51"/>
      <c r="B168" s="65"/>
      <c r="C168" s="223"/>
      <c r="D168" s="224"/>
      <c r="E168" s="136"/>
      <c r="F168" s="90" t="s">
        <v>197</v>
      </c>
      <c r="G168" s="74" t="s">
        <v>596</v>
      </c>
      <c r="H168" s="247">
        <v>1706004</v>
      </c>
      <c r="I168" s="130" t="s">
        <v>597</v>
      </c>
      <c r="J168" s="74" t="s">
        <v>598</v>
      </c>
      <c r="K168" s="74" t="s">
        <v>599</v>
      </c>
      <c r="L168" s="130" t="s">
        <v>600</v>
      </c>
      <c r="M168" s="91" t="s">
        <v>58</v>
      </c>
      <c r="N168" s="91">
        <v>10</v>
      </c>
      <c r="O168" s="91">
        <v>10</v>
      </c>
      <c r="P168" s="74" t="s">
        <v>201</v>
      </c>
      <c r="Q168" s="74" t="s">
        <v>540</v>
      </c>
      <c r="R168" s="130" t="s">
        <v>541</v>
      </c>
      <c r="S168" s="76"/>
      <c r="T168" s="76"/>
      <c r="U168" s="76"/>
      <c r="V168" s="76"/>
      <c r="W168" s="76"/>
      <c r="X168" s="76"/>
      <c r="Y168" s="76"/>
      <c r="Z168" s="76"/>
      <c r="AA168" s="76"/>
      <c r="AB168" s="76"/>
      <c r="AC168" s="382">
        <v>12800000</v>
      </c>
      <c r="AD168" s="382"/>
      <c r="AE168" s="382"/>
      <c r="AF168" s="77">
        <f>+S168+T168+U168+V168+W168+X168+Y168+Z168+AA168+AB168+AC168+AD168+AE168</f>
        <v>12800000</v>
      </c>
      <c r="AG168" s="383"/>
      <c r="AH168" s="384"/>
      <c r="AI168" s="384"/>
      <c r="AJ168" s="384"/>
      <c r="AK168" s="384"/>
      <c r="AL168" s="385"/>
      <c r="AM168" s="3"/>
    </row>
    <row r="169" spans="1:39" ht="25.5" customHeight="1" x14ac:dyDescent="0.2">
      <c r="A169" s="51"/>
      <c r="B169" s="79"/>
      <c r="C169" s="235">
        <v>8</v>
      </c>
      <c r="D169" s="84">
        <v>1707</v>
      </c>
      <c r="E169" s="55" t="s">
        <v>601</v>
      </c>
      <c r="F169" s="56"/>
      <c r="G169" s="57"/>
      <c r="H169" s="58"/>
      <c r="I169" s="59"/>
      <c r="J169" s="60"/>
      <c r="K169" s="60"/>
      <c r="L169" s="59"/>
      <c r="M169" s="61"/>
      <c r="N169" s="62"/>
      <c r="O169" s="57"/>
      <c r="P169" s="63"/>
      <c r="Q169" s="63"/>
      <c r="R169" s="59"/>
      <c r="S169" s="64">
        <f t="shared" ref="S169:AF169" si="68">SUM(S170)</f>
        <v>0</v>
      </c>
      <c r="T169" s="64">
        <f t="shared" si="68"/>
        <v>0</v>
      </c>
      <c r="U169" s="64">
        <f t="shared" si="68"/>
        <v>0</v>
      </c>
      <c r="V169" s="64">
        <f t="shared" si="68"/>
        <v>0</v>
      </c>
      <c r="W169" s="64">
        <f t="shared" si="68"/>
        <v>0</v>
      </c>
      <c r="X169" s="64">
        <f t="shared" si="68"/>
        <v>0</v>
      </c>
      <c r="Y169" s="64">
        <f t="shared" si="68"/>
        <v>0</v>
      </c>
      <c r="Z169" s="64">
        <f t="shared" si="68"/>
        <v>0</v>
      </c>
      <c r="AA169" s="64">
        <f t="shared" si="68"/>
        <v>0</v>
      </c>
      <c r="AB169" s="64">
        <f t="shared" si="68"/>
        <v>0</v>
      </c>
      <c r="AC169" s="64">
        <f t="shared" si="68"/>
        <v>50000000</v>
      </c>
      <c r="AD169" s="64">
        <f t="shared" si="68"/>
        <v>0</v>
      </c>
      <c r="AE169" s="64">
        <f t="shared" si="68"/>
        <v>0</v>
      </c>
      <c r="AF169" s="394">
        <f t="shared" si="68"/>
        <v>50000000</v>
      </c>
      <c r="AG169" s="379"/>
      <c r="AH169" s="379"/>
      <c r="AI169" s="379"/>
      <c r="AJ169" s="379"/>
      <c r="AK169" s="379"/>
      <c r="AL169" s="380"/>
      <c r="AM169" s="3"/>
    </row>
    <row r="170" spans="1:39" ht="45" customHeight="1" x14ac:dyDescent="0.2">
      <c r="A170" s="51"/>
      <c r="B170" s="65"/>
      <c r="C170" s="223"/>
      <c r="D170" s="224"/>
      <c r="E170" s="74"/>
      <c r="F170" s="90" t="s">
        <v>197</v>
      </c>
      <c r="G170" s="74" t="s">
        <v>602</v>
      </c>
      <c r="H170" s="247">
        <v>1707069</v>
      </c>
      <c r="I170" s="130" t="s">
        <v>603</v>
      </c>
      <c r="J170" s="74" t="s">
        <v>604</v>
      </c>
      <c r="K170" s="74" t="s">
        <v>605</v>
      </c>
      <c r="L170" s="130" t="s">
        <v>606</v>
      </c>
      <c r="M170" s="91" t="s">
        <v>153</v>
      </c>
      <c r="N170" s="91">
        <v>20</v>
      </c>
      <c r="O170" s="91">
        <v>5</v>
      </c>
      <c r="P170" s="74" t="s">
        <v>532</v>
      </c>
      <c r="Q170" s="74" t="s">
        <v>549</v>
      </c>
      <c r="R170" s="72" t="s">
        <v>5</v>
      </c>
      <c r="S170" s="389"/>
      <c r="T170" s="389"/>
      <c r="U170" s="389"/>
      <c r="V170" s="389"/>
      <c r="W170" s="389"/>
      <c r="X170" s="389"/>
      <c r="Y170" s="389"/>
      <c r="Z170" s="389"/>
      <c r="AA170" s="389"/>
      <c r="AB170" s="389"/>
      <c r="AC170" s="381">
        <v>50000000</v>
      </c>
      <c r="AD170" s="382"/>
      <c r="AE170" s="382"/>
      <c r="AF170" s="77">
        <f>+S170+T170+U170+V170+W170+X170+Y170+Z170+AA170+AB170+AC170+AD170+AE170</f>
        <v>50000000</v>
      </c>
      <c r="AG170" s="390"/>
      <c r="AH170" s="390"/>
      <c r="AI170" s="390"/>
      <c r="AJ170" s="390"/>
      <c r="AK170" s="390"/>
      <c r="AL170" s="385"/>
      <c r="AM170" s="3"/>
    </row>
    <row r="171" spans="1:39" ht="24" customHeight="1" x14ac:dyDescent="0.2">
      <c r="A171" s="51"/>
      <c r="B171" s="79"/>
      <c r="C171" s="235">
        <v>9</v>
      </c>
      <c r="D171" s="84">
        <v>1708</v>
      </c>
      <c r="E171" s="55" t="s">
        <v>607</v>
      </c>
      <c r="F171" s="56"/>
      <c r="G171" s="57"/>
      <c r="H171" s="58"/>
      <c r="I171" s="59"/>
      <c r="J171" s="60"/>
      <c r="K171" s="60"/>
      <c r="L171" s="59"/>
      <c r="M171" s="61"/>
      <c r="N171" s="62"/>
      <c r="O171" s="57"/>
      <c r="P171" s="63"/>
      <c r="Q171" s="63"/>
      <c r="R171" s="59"/>
      <c r="S171" s="64">
        <f t="shared" ref="S171:AF171" si="69">SUM(S172:S172)</f>
        <v>0</v>
      </c>
      <c r="T171" s="64">
        <f t="shared" si="69"/>
        <v>0</v>
      </c>
      <c r="U171" s="64">
        <f t="shared" si="69"/>
        <v>0</v>
      </c>
      <c r="V171" s="64">
        <f t="shared" si="69"/>
        <v>0</v>
      </c>
      <c r="W171" s="64">
        <f t="shared" si="69"/>
        <v>0</v>
      </c>
      <c r="X171" s="64">
        <f t="shared" si="69"/>
        <v>0</v>
      </c>
      <c r="Y171" s="64">
        <f t="shared" si="69"/>
        <v>0</v>
      </c>
      <c r="Z171" s="64">
        <f t="shared" si="69"/>
        <v>0</v>
      </c>
      <c r="AA171" s="64">
        <f t="shared" si="69"/>
        <v>0</v>
      </c>
      <c r="AB171" s="64">
        <f t="shared" si="69"/>
        <v>0</v>
      </c>
      <c r="AC171" s="64">
        <f t="shared" si="69"/>
        <v>80000000</v>
      </c>
      <c r="AD171" s="64">
        <f t="shared" si="69"/>
        <v>0</v>
      </c>
      <c r="AE171" s="64">
        <f t="shared" si="69"/>
        <v>0</v>
      </c>
      <c r="AF171" s="394">
        <f t="shared" si="69"/>
        <v>80000000</v>
      </c>
      <c r="AG171" s="379"/>
      <c r="AH171" s="379"/>
      <c r="AI171" s="379"/>
      <c r="AJ171" s="379"/>
      <c r="AK171" s="379"/>
      <c r="AL171" s="380"/>
    </row>
    <row r="172" spans="1:39" ht="45" customHeight="1" x14ac:dyDescent="0.2">
      <c r="A172" s="51"/>
      <c r="B172" s="65"/>
      <c r="C172" s="223"/>
      <c r="D172" s="224"/>
      <c r="E172" s="136"/>
      <c r="F172" s="90" t="s">
        <v>197</v>
      </c>
      <c r="G172" s="91" t="s">
        <v>608</v>
      </c>
      <c r="H172" s="247">
        <v>1708016</v>
      </c>
      <c r="I172" s="130" t="s">
        <v>584</v>
      </c>
      <c r="J172" s="91" t="s">
        <v>609</v>
      </c>
      <c r="K172" s="232" t="s">
        <v>610</v>
      </c>
      <c r="L172" s="258" t="s">
        <v>611</v>
      </c>
      <c r="M172" s="91" t="s">
        <v>58</v>
      </c>
      <c r="N172" s="91">
        <v>2</v>
      </c>
      <c r="O172" s="91">
        <v>2</v>
      </c>
      <c r="P172" s="156" t="s">
        <v>201</v>
      </c>
      <c r="Q172" s="74" t="s">
        <v>612</v>
      </c>
      <c r="R172" s="130" t="s">
        <v>613</v>
      </c>
      <c r="S172" s="76"/>
      <c r="T172" s="76"/>
      <c r="U172" s="76"/>
      <c r="V172" s="76"/>
      <c r="W172" s="76"/>
      <c r="X172" s="76"/>
      <c r="Y172" s="76"/>
      <c r="Z172" s="76"/>
      <c r="AA172" s="76"/>
      <c r="AB172" s="76"/>
      <c r="AC172" s="382">
        <f>50000000+30000000</f>
        <v>80000000</v>
      </c>
      <c r="AD172" s="382"/>
      <c r="AE172" s="382"/>
      <c r="AF172" s="77">
        <f>+S172+T172+U172+V172+W172+X172+Y172+Z172+AA172+AB172+AC172+AD172+AE172</f>
        <v>80000000</v>
      </c>
      <c r="AG172" s="383"/>
      <c r="AH172" s="384"/>
      <c r="AI172" s="384"/>
      <c r="AJ172" s="384"/>
      <c r="AK172" s="384"/>
      <c r="AL172" s="385"/>
      <c r="AM172" s="3"/>
    </row>
    <row r="173" spans="1:39" ht="25.5" customHeight="1" x14ac:dyDescent="0.2">
      <c r="A173" s="51"/>
      <c r="B173" s="79"/>
      <c r="C173" s="235">
        <v>10</v>
      </c>
      <c r="D173" s="84">
        <v>1709</v>
      </c>
      <c r="E173" s="55" t="s">
        <v>196</v>
      </c>
      <c r="F173" s="395"/>
      <c r="G173" s="395"/>
      <c r="H173" s="395"/>
      <c r="I173" s="395"/>
      <c r="J173" s="395"/>
      <c r="K173" s="395"/>
      <c r="L173" s="395"/>
      <c r="M173" s="395"/>
      <c r="N173" s="395"/>
      <c r="O173" s="395"/>
      <c r="P173" s="395"/>
      <c r="Q173" s="395"/>
      <c r="R173" s="397"/>
      <c r="S173" s="398">
        <f t="shared" ref="S173:AF173" si="70">SUM(S174:S175)</f>
        <v>0</v>
      </c>
      <c r="T173" s="398">
        <f t="shared" si="70"/>
        <v>0</v>
      </c>
      <c r="U173" s="398">
        <f t="shared" si="70"/>
        <v>0</v>
      </c>
      <c r="V173" s="398">
        <f t="shared" si="70"/>
        <v>0</v>
      </c>
      <c r="W173" s="398">
        <f t="shared" si="70"/>
        <v>0</v>
      </c>
      <c r="X173" s="398">
        <f t="shared" si="70"/>
        <v>0</v>
      </c>
      <c r="Y173" s="398">
        <f t="shared" si="70"/>
        <v>0</v>
      </c>
      <c r="Z173" s="398">
        <f t="shared" si="70"/>
        <v>0</v>
      </c>
      <c r="AA173" s="398">
        <f t="shared" si="70"/>
        <v>0</v>
      </c>
      <c r="AB173" s="398">
        <f t="shared" si="70"/>
        <v>0</v>
      </c>
      <c r="AC173" s="399">
        <f t="shared" si="70"/>
        <v>125000000</v>
      </c>
      <c r="AD173" s="399">
        <f t="shared" si="70"/>
        <v>0</v>
      </c>
      <c r="AE173" s="399">
        <f t="shared" si="70"/>
        <v>0</v>
      </c>
      <c r="AF173" s="400">
        <f t="shared" si="70"/>
        <v>125000000</v>
      </c>
      <c r="AG173" s="401"/>
      <c r="AH173" s="401"/>
      <c r="AI173" s="401"/>
      <c r="AJ173" s="401"/>
      <c r="AK173" s="401"/>
      <c r="AL173" s="380"/>
    </row>
    <row r="174" spans="1:39" ht="75" customHeight="1" x14ac:dyDescent="0.2">
      <c r="A174" s="51"/>
      <c r="B174" s="402"/>
      <c r="C174" s="403"/>
      <c r="D174" s="404"/>
      <c r="E174" s="652"/>
      <c r="F174" s="90" t="s">
        <v>197</v>
      </c>
      <c r="G174" s="91" t="s">
        <v>614</v>
      </c>
      <c r="H174" s="247">
        <v>1709019</v>
      </c>
      <c r="I174" s="130" t="s">
        <v>615</v>
      </c>
      <c r="J174" s="91" t="s">
        <v>616</v>
      </c>
      <c r="K174" s="232" t="s">
        <v>617</v>
      </c>
      <c r="L174" s="258" t="s">
        <v>615</v>
      </c>
      <c r="M174" s="91" t="s">
        <v>153</v>
      </c>
      <c r="N174" s="91">
        <v>15</v>
      </c>
      <c r="O174" s="91">
        <v>3</v>
      </c>
      <c r="P174" s="703" t="s">
        <v>201</v>
      </c>
      <c r="Q174" s="727" t="s">
        <v>574</v>
      </c>
      <c r="R174" s="728" t="s">
        <v>618</v>
      </c>
      <c r="S174" s="171"/>
      <c r="T174" s="171"/>
      <c r="U174" s="171"/>
      <c r="V174" s="171"/>
      <c r="W174" s="171"/>
      <c r="X174" s="171"/>
      <c r="Y174" s="171"/>
      <c r="Z174" s="171"/>
      <c r="AA174" s="171"/>
      <c r="AB174" s="171"/>
      <c r="AC174" s="382">
        <f>50000000+25000000</f>
        <v>75000000</v>
      </c>
      <c r="AD174" s="382"/>
      <c r="AE174" s="382"/>
      <c r="AF174" s="77">
        <f>+S174+T174+U174+V174+W174+X174+Y174+Z174+AA174+AB174+AC174+AD174+AE174</f>
        <v>75000000</v>
      </c>
      <c r="AG174" s="3"/>
      <c r="AH174" s="3"/>
      <c r="AI174" s="3"/>
      <c r="AJ174" s="3"/>
      <c r="AK174" s="3"/>
      <c r="AL174" s="3"/>
      <c r="AM174" s="3"/>
    </row>
    <row r="175" spans="1:39" ht="48.75" customHeight="1" x14ac:dyDescent="0.2">
      <c r="A175" s="51"/>
      <c r="B175" s="402"/>
      <c r="C175" s="403"/>
      <c r="D175" s="404"/>
      <c r="E175" s="654"/>
      <c r="F175" s="90" t="s">
        <v>197</v>
      </c>
      <c r="G175" s="91" t="s">
        <v>619</v>
      </c>
      <c r="H175" s="247">
        <v>1709034</v>
      </c>
      <c r="I175" s="130" t="s">
        <v>620</v>
      </c>
      <c r="J175" s="91" t="s">
        <v>621</v>
      </c>
      <c r="K175" s="232" t="s">
        <v>622</v>
      </c>
      <c r="L175" s="258" t="s">
        <v>620</v>
      </c>
      <c r="M175" s="91" t="s">
        <v>153</v>
      </c>
      <c r="N175" s="91">
        <v>10</v>
      </c>
      <c r="O175" s="91">
        <v>1</v>
      </c>
      <c r="P175" s="704"/>
      <c r="Q175" s="727"/>
      <c r="R175" s="728"/>
      <c r="S175" s="171"/>
      <c r="T175" s="171"/>
      <c r="U175" s="171"/>
      <c r="V175" s="171"/>
      <c r="W175" s="171"/>
      <c r="X175" s="171"/>
      <c r="Y175" s="171"/>
      <c r="Z175" s="171"/>
      <c r="AA175" s="171"/>
      <c r="AB175" s="171"/>
      <c r="AC175" s="382">
        <v>50000000</v>
      </c>
      <c r="AD175" s="382"/>
      <c r="AE175" s="382"/>
      <c r="AF175" s="77">
        <f>+S175+T175+U175+V175+W175+X175+Y175+Z175+AA175+AB175+AC175+AD175+AE175</f>
        <v>50000000</v>
      </c>
      <c r="AG175" s="3"/>
      <c r="AH175" s="3"/>
      <c r="AI175" s="3"/>
      <c r="AJ175" s="3"/>
      <c r="AK175" s="3"/>
      <c r="AL175" s="3"/>
      <c r="AM175" s="3"/>
    </row>
    <row r="176" spans="1:39" ht="23.25" customHeight="1" x14ac:dyDescent="0.2">
      <c r="A176" s="51"/>
      <c r="B176" s="79"/>
      <c r="C176" s="235">
        <v>27</v>
      </c>
      <c r="D176" s="84">
        <v>3502</v>
      </c>
      <c r="E176" s="55" t="s">
        <v>204</v>
      </c>
      <c r="F176" s="56"/>
      <c r="G176" s="57"/>
      <c r="H176" s="58"/>
      <c r="I176" s="59"/>
      <c r="J176" s="60"/>
      <c r="K176" s="60"/>
      <c r="L176" s="59"/>
      <c r="M176" s="61"/>
      <c r="N176" s="62"/>
      <c r="O176" s="57"/>
      <c r="P176" s="63"/>
      <c r="Q176" s="63"/>
      <c r="R176" s="59"/>
      <c r="S176" s="64">
        <f t="shared" ref="S176:AF176" si="71">SUM(S177:S178)</f>
        <v>0</v>
      </c>
      <c r="T176" s="64">
        <f t="shared" si="71"/>
        <v>0</v>
      </c>
      <c r="U176" s="64">
        <f t="shared" si="71"/>
        <v>0</v>
      </c>
      <c r="V176" s="64">
        <f t="shared" si="71"/>
        <v>0</v>
      </c>
      <c r="W176" s="64">
        <f t="shared" si="71"/>
        <v>0</v>
      </c>
      <c r="X176" s="64">
        <f t="shared" si="71"/>
        <v>0</v>
      </c>
      <c r="Y176" s="64">
        <f t="shared" si="71"/>
        <v>0</v>
      </c>
      <c r="Z176" s="64">
        <f t="shared" si="71"/>
        <v>0</v>
      </c>
      <c r="AA176" s="64">
        <f t="shared" si="71"/>
        <v>0</v>
      </c>
      <c r="AB176" s="64">
        <f t="shared" si="71"/>
        <v>0</v>
      </c>
      <c r="AC176" s="64">
        <f t="shared" si="71"/>
        <v>40000000</v>
      </c>
      <c r="AD176" s="64">
        <f t="shared" si="71"/>
        <v>0</v>
      </c>
      <c r="AE176" s="64">
        <f t="shared" si="71"/>
        <v>0</v>
      </c>
      <c r="AF176" s="394">
        <f t="shared" si="71"/>
        <v>40000000</v>
      </c>
      <c r="AG176" s="379"/>
      <c r="AH176" s="379"/>
      <c r="AI176" s="379"/>
      <c r="AJ176" s="379"/>
      <c r="AK176" s="379"/>
      <c r="AL176" s="380"/>
    </row>
    <row r="177" spans="1:39" ht="69.75" customHeight="1" x14ac:dyDescent="0.2">
      <c r="A177" s="51"/>
      <c r="B177" s="65"/>
      <c r="C177" s="151"/>
      <c r="D177" s="406"/>
      <c r="E177" s="640"/>
      <c r="F177" s="90" t="s">
        <v>623</v>
      </c>
      <c r="G177" s="91" t="s">
        <v>624</v>
      </c>
      <c r="H177" s="247">
        <v>3502017</v>
      </c>
      <c r="I177" s="130" t="s">
        <v>625</v>
      </c>
      <c r="J177" s="91" t="s">
        <v>626</v>
      </c>
      <c r="K177" s="232" t="s">
        <v>627</v>
      </c>
      <c r="L177" s="258" t="s">
        <v>628</v>
      </c>
      <c r="M177" s="91" t="s">
        <v>58</v>
      </c>
      <c r="N177" s="91">
        <v>6</v>
      </c>
      <c r="O177" s="91">
        <v>6</v>
      </c>
      <c r="P177" s="703" t="s">
        <v>201</v>
      </c>
      <c r="Q177" s="712" t="s">
        <v>540</v>
      </c>
      <c r="R177" s="713" t="s">
        <v>541</v>
      </c>
      <c r="S177" s="76"/>
      <c r="T177" s="76"/>
      <c r="U177" s="76"/>
      <c r="V177" s="76"/>
      <c r="W177" s="76"/>
      <c r="X177" s="76"/>
      <c r="Y177" s="76"/>
      <c r="Z177" s="76"/>
      <c r="AA177" s="76"/>
      <c r="AB177" s="76"/>
      <c r="AC177" s="382">
        <v>22138800</v>
      </c>
      <c r="AD177" s="382"/>
      <c r="AE177" s="382"/>
      <c r="AF177" s="77">
        <f>+S177+T177+U177+V177+W177+X177+Y177+Z177+AA177+AB177+AC177+AD177+AE177</f>
        <v>22138800</v>
      </c>
      <c r="AG177" s="383"/>
      <c r="AH177" s="383"/>
      <c r="AI177" s="383"/>
      <c r="AJ177" s="383"/>
      <c r="AK177" s="383"/>
      <c r="AL177" s="385"/>
      <c r="AM177" s="3"/>
    </row>
    <row r="178" spans="1:39" s="37" customFormat="1" ht="54" customHeight="1" x14ac:dyDescent="0.25">
      <c r="A178" s="38"/>
      <c r="B178" s="407"/>
      <c r="C178" s="151"/>
      <c r="D178" s="406"/>
      <c r="E178" s="641"/>
      <c r="F178" s="90" t="s">
        <v>623</v>
      </c>
      <c r="G178" s="304" t="s">
        <v>455</v>
      </c>
      <c r="H178" s="247">
        <v>3502007</v>
      </c>
      <c r="I178" s="130" t="s">
        <v>629</v>
      </c>
      <c r="J178" s="304" t="s">
        <v>457</v>
      </c>
      <c r="K178" s="304" t="s">
        <v>458</v>
      </c>
      <c r="L178" s="302" t="s">
        <v>459</v>
      </c>
      <c r="M178" s="74" t="s">
        <v>58</v>
      </c>
      <c r="N178" s="162">
        <v>5</v>
      </c>
      <c r="O178" s="634">
        <v>5</v>
      </c>
      <c r="P178" s="705"/>
      <c r="Q178" s="712"/>
      <c r="R178" s="713"/>
      <c r="S178" s="76"/>
      <c r="T178" s="76"/>
      <c r="U178" s="76"/>
      <c r="V178" s="76"/>
      <c r="W178" s="76"/>
      <c r="X178" s="76"/>
      <c r="Y178" s="76"/>
      <c r="Z178" s="76"/>
      <c r="AA178" s="76"/>
      <c r="AB178" s="76"/>
      <c r="AC178" s="382">
        <v>17861200</v>
      </c>
      <c r="AD178" s="382"/>
      <c r="AE178" s="382"/>
      <c r="AF178" s="77">
        <f>+S178+T178+U178+V178+W178+X178+Y178+Z178+AA178+AB178+AC178+AD178+AE178</f>
        <v>17861200</v>
      </c>
      <c r="AG178" s="383"/>
      <c r="AH178" s="383"/>
      <c r="AI178" s="383"/>
      <c r="AJ178" s="383"/>
      <c r="AK178" s="383"/>
      <c r="AL178" s="408"/>
    </row>
    <row r="179" spans="1:39" ht="20.25" customHeight="1" x14ac:dyDescent="0.2">
      <c r="A179" s="51"/>
      <c r="B179" s="409">
        <v>3</v>
      </c>
      <c r="C179" s="107" t="s">
        <v>3</v>
      </c>
      <c r="D179" s="108"/>
      <c r="E179" s="42"/>
      <c r="F179" s="43"/>
      <c r="G179" s="44"/>
      <c r="H179" s="45"/>
      <c r="I179" s="46"/>
      <c r="J179" s="47"/>
      <c r="K179" s="47"/>
      <c r="L179" s="46"/>
      <c r="M179" s="48"/>
      <c r="N179" s="49"/>
      <c r="O179" s="44"/>
      <c r="P179" s="42"/>
      <c r="Q179" s="42"/>
      <c r="R179" s="46"/>
      <c r="S179" s="50">
        <f t="shared" ref="S179:AF179" si="72">+S180+S182+S188+S190+S192</f>
        <v>0</v>
      </c>
      <c r="T179" s="50">
        <f t="shared" si="72"/>
        <v>0</v>
      </c>
      <c r="U179" s="50">
        <f t="shared" si="72"/>
        <v>0</v>
      </c>
      <c r="V179" s="50">
        <f t="shared" si="72"/>
        <v>0</v>
      </c>
      <c r="W179" s="50">
        <f t="shared" si="72"/>
        <v>0</v>
      </c>
      <c r="X179" s="50">
        <f t="shared" si="72"/>
        <v>0</v>
      </c>
      <c r="Y179" s="50">
        <f t="shared" si="72"/>
        <v>0</v>
      </c>
      <c r="Z179" s="50">
        <f t="shared" si="72"/>
        <v>0</v>
      </c>
      <c r="AA179" s="50">
        <f t="shared" si="72"/>
        <v>0</v>
      </c>
      <c r="AB179" s="50">
        <f t="shared" si="72"/>
        <v>0</v>
      </c>
      <c r="AC179" s="50">
        <f t="shared" si="72"/>
        <v>1528870927.25</v>
      </c>
      <c r="AD179" s="50">
        <f t="shared" si="72"/>
        <v>0</v>
      </c>
      <c r="AE179" s="50">
        <f t="shared" si="72"/>
        <v>0</v>
      </c>
      <c r="AF179" s="410">
        <f t="shared" si="72"/>
        <v>1528870927.25</v>
      </c>
      <c r="AG179" s="379"/>
      <c r="AH179" s="379"/>
      <c r="AI179" s="379"/>
      <c r="AJ179" s="379"/>
      <c r="AK179" s="379"/>
      <c r="AL179" s="380"/>
    </row>
    <row r="180" spans="1:39" ht="19.5" customHeight="1" x14ac:dyDescent="0.2">
      <c r="A180" s="51"/>
      <c r="B180" s="52"/>
      <c r="C180" s="321">
        <v>20</v>
      </c>
      <c r="D180" s="195" t="s">
        <v>630</v>
      </c>
      <c r="E180" s="55" t="s">
        <v>631</v>
      </c>
      <c r="F180" s="56"/>
      <c r="G180" s="57"/>
      <c r="H180" s="58"/>
      <c r="I180" s="59"/>
      <c r="J180" s="60"/>
      <c r="K180" s="60"/>
      <c r="L180" s="59"/>
      <c r="M180" s="61"/>
      <c r="N180" s="62"/>
      <c r="O180" s="57"/>
      <c r="P180" s="63"/>
      <c r="Q180" s="63"/>
      <c r="R180" s="59"/>
      <c r="S180" s="64">
        <f t="shared" ref="S180:AF180" si="73">SUM(S181:S181)</f>
        <v>0</v>
      </c>
      <c r="T180" s="64">
        <f t="shared" si="73"/>
        <v>0</v>
      </c>
      <c r="U180" s="64">
        <f t="shared" si="73"/>
        <v>0</v>
      </c>
      <c r="V180" s="64">
        <f t="shared" si="73"/>
        <v>0</v>
      </c>
      <c r="W180" s="64">
        <f t="shared" si="73"/>
        <v>0</v>
      </c>
      <c r="X180" s="64">
        <f t="shared" si="73"/>
        <v>0</v>
      </c>
      <c r="Y180" s="64">
        <f t="shared" si="73"/>
        <v>0</v>
      </c>
      <c r="Z180" s="64">
        <f t="shared" si="73"/>
        <v>0</v>
      </c>
      <c r="AA180" s="64">
        <f t="shared" si="73"/>
        <v>0</v>
      </c>
      <c r="AB180" s="64">
        <f t="shared" si="73"/>
        <v>0</v>
      </c>
      <c r="AC180" s="64">
        <f t="shared" si="73"/>
        <v>40000000</v>
      </c>
      <c r="AD180" s="64">
        <f t="shared" si="73"/>
        <v>0</v>
      </c>
      <c r="AE180" s="64">
        <f t="shared" si="73"/>
        <v>0</v>
      </c>
      <c r="AF180" s="394">
        <f t="shared" si="73"/>
        <v>40000000</v>
      </c>
      <c r="AG180" s="379"/>
      <c r="AH180" s="379"/>
      <c r="AI180" s="379"/>
      <c r="AJ180" s="379"/>
      <c r="AK180" s="379"/>
      <c r="AL180" s="380"/>
    </row>
    <row r="181" spans="1:39" ht="86.25" customHeight="1" x14ac:dyDescent="0.2">
      <c r="A181" s="51"/>
      <c r="B181" s="65"/>
      <c r="C181" s="411"/>
      <c r="D181" s="412"/>
      <c r="E181" s="413"/>
      <c r="F181" s="90" t="s">
        <v>221</v>
      </c>
      <c r="G181" s="91" t="s">
        <v>632</v>
      </c>
      <c r="H181" s="247">
        <v>3201013</v>
      </c>
      <c r="I181" s="130" t="s">
        <v>633</v>
      </c>
      <c r="J181" s="91" t="s">
        <v>634</v>
      </c>
      <c r="K181" s="232" t="s">
        <v>635</v>
      </c>
      <c r="L181" s="258" t="s">
        <v>636</v>
      </c>
      <c r="M181" s="91" t="s">
        <v>153</v>
      </c>
      <c r="N181" s="91">
        <v>4</v>
      </c>
      <c r="O181" s="91">
        <v>1</v>
      </c>
      <c r="P181" s="156" t="s">
        <v>637</v>
      </c>
      <c r="Q181" s="414" t="s">
        <v>638</v>
      </c>
      <c r="R181" s="130" t="s">
        <v>639</v>
      </c>
      <c r="S181" s="138"/>
      <c r="T181" s="138"/>
      <c r="U181" s="138"/>
      <c r="V181" s="138"/>
      <c r="W181" s="138"/>
      <c r="X181" s="138"/>
      <c r="Y181" s="138"/>
      <c r="Z181" s="138"/>
      <c r="AA181" s="138"/>
      <c r="AB181" s="138"/>
      <c r="AC181" s="382">
        <v>40000000</v>
      </c>
      <c r="AD181" s="382"/>
      <c r="AE181" s="382"/>
      <c r="AF181" s="77">
        <f>+S181+T181+U181+V181+W181+X181+Y181+Z181+AA181+AB181+AC181+AD181+AE181</f>
        <v>40000000</v>
      </c>
      <c r="AG181" s="415"/>
      <c r="AH181" s="415"/>
      <c r="AI181" s="415"/>
      <c r="AJ181" s="415"/>
      <c r="AK181" s="415"/>
      <c r="AL181" s="385"/>
      <c r="AM181" s="3"/>
    </row>
    <row r="182" spans="1:39" ht="21.75" customHeight="1" x14ac:dyDescent="0.2">
      <c r="A182" s="51"/>
      <c r="B182" s="79"/>
      <c r="C182" s="334">
        <v>21</v>
      </c>
      <c r="D182" s="281" t="s">
        <v>219</v>
      </c>
      <c r="E182" s="55" t="s">
        <v>220</v>
      </c>
      <c r="F182" s="56"/>
      <c r="G182" s="57"/>
      <c r="H182" s="58"/>
      <c r="I182" s="59"/>
      <c r="J182" s="60"/>
      <c r="K182" s="60"/>
      <c r="L182" s="59"/>
      <c r="M182" s="61"/>
      <c r="N182" s="62"/>
      <c r="O182" s="57"/>
      <c r="P182" s="63"/>
      <c r="Q182" s="63"/>
      <c r="R182" s="59"/>
      <c r="S182" s="64">
        <f t="shared" ref="S182:AF182" si="74">SUM(S183:S187)</f>
        <v>0</v>
      </c>
      <c r="T182" s="64">
        <f t="shared" si="74"/>
        <v>0</v>
      </c>
      <c r="U182" s="64">
        <f t="shared" si="74"/>
        <v>0</v>
      </c>
      <c r="V182" s="64">
        <f t="shared" si="74"/>
        <v>0</v>
      </c>
      <c r="W182" s="64">
        <f t="shared" si="74"/>
        <v>0</v>
      </c>
      <c r="X182" s="64">
        <f t="shared" si="74"/>
        <v>0</v>
      </c>
      <c r="Y182" s="64">
        <f t="shared" si="74"/>
        <v>0</v>
      </c>
      <c r="Z182" s="64">
        <f t="shared" si="74"/>
        <v>0</v>
      </c>
      <c r="AA182" s="64">
        <f t="shared" si="74"/>
        <v>0</v>
      </c>
      <c r="AB182" s="64">
        <f t="shared" si="74"/>
        <v>0</v>
      </c>
      <c r="AC182" s="64">
        <f t="shared" si="74"/>
        <v>1392870927.25</v>
      </c>
      <c r="AD182" s="64">
        <f t="shared" si="74"/>
        <v>0</v>
      </c>
      <c r="AE182" s="64">
        <f t="shared" si="74"/>
        <v>0</v>
      </c>
      <c r="AF182" s="394">
        <f t="shared" si="74"/>
        <v>1392870927.25</v>
      </c>
      <c r="AG182" s="379"/>
      <c r="AH182" s="379"/>
      <c r="AI182" s="379"/>
      <c r="AJ182" s="379"/>
      <c r="AK182" s="379"/>
      <c r="AL182" s="380"/>
    </row>
    <row r="183" spans="1:39" ht="98.25" customHeight="1" x14ac:dyDescent="0.2">
      <c r="A183" s="51"/>
      <c r="B183" s="65"/>
      <c r="C183" s="198"/>
      <c r="D183" s="67"/>
      <c r="E183" s="68"/>
      <c r="F183" s="90" t="s">
        <v>221</v>
      </c>
      <c r="G183" s="91" t="s">
        <v>640</v>
      </c>
      <c r="H183" s="247">
        <v>3202017</v>
      </c>
      <c r="I183" s="130" t="s">
        <v>641</v>
      </c>
      <c r="J183" s="91" t="s">
        <v>642</v>
      </c>
      <c r="K183" s="232" t="s">
        <v>643</v>
      </c>
      <c r="L183" s="258" t="s">
        <v>644</v>
      </c>
      <c r="M183" s="91" t="s">
        <v>58</v>
      </c>
      <c r="N183" s="416">
        <v>1</v>
      </c>
      <c r="O183" s="416">
        <v>1</v>
      </c>
      <c r="P183" s="417" t="s">
        <v>637</v>
      </c>
      <c r="Q183" s="74" t="s">
        <v>645</v>
      </c>
      <c r="R183" s="130" t="s">
        <v>646</v>
      </c>
      <c r="S183" s="76"/>
      <c r="T183" s="76"/>
      <c r="U183" s="76"/>
      <c r="V183" s="76"/>
      <c r="W183" s="76"/>
      <c r="X183" s="76"/>
      <c r="Y183" s="76"/>
      <c r="Z183" s="76"/>
      <c r="AA183" s="76"/>
      <c r="AB183" s="76"/>
      <c r="AC183" s="382">
        <v>80000000</v>
      </c>
      <c r="AD183" s="382"/>
      <c r="AE183" s="382"/>
      <c r="AF183" s="77">
        <f>+S183+T183+U183+V183+W183+X183+Y183+Z183+AA183+AB183+AC183+AD183+AE183</f>
        <v>80000000</v>
      </c>
      <c r="AG183" s="383"/>
      <c r="AH183" s="384"/>
      <c r="AI183" s="384"/>
      <c r="AJ183" s="384"/>
      <c r="AK183" s="384"/>
      <c r="AL183" s="385"/>
      <c r="AM183" s="3"/>
    </row>
    <row r="184" spans="1:39" ht="66" customHeight="1" x14ac:dyDescent="0.2">
      <c r="A184" s="51"/>
      <c r="B184" s="65"/>
      <c r="C184" s="197"/>
      <c r="D184" s="261"/>
      <c r="E184" s="640"/>
      <c r="F184" s="90" t="s">
        <v>221</v>
      </c>
      <c r="G184" s="91" t="s">
        <v>647</v>
      </c>
      <c r="H184" s="247">
        <v>3202037</v>
      </c>
      <c r="I184" s="130" t="s">
        <v>648</v>
      </c>
      <c r="J184" s="91" t="s">
        <v>649</v>
      </c>
      <c r="K184" s="232" t="s">
        <v>650</v>
      </c>
      <c r="L184" s="258" t="s">
        <v>651</v>
      </c>
      <c r="M184" s="91" t="s">
        <v>153</v>
      </c>
      <c r="N184" s="416">
        <v>200</v>
      </c>
      <c r="O184" s="91">
        <v>30</v>
      </c>
      <c r="P184" s="703" t="s">
        <v>637</v>
      </c>
      <c r="Q184" s="712" t="s">
        <v>652</v>
      </c>
      <c r="R184" s="713" t="s">
        <v>653</v>
      </c>
      <c r="S184" s="76"/>
      <c r="T184" s="76"/>
      <c r="U184" s="76"/>
      <c r="V184" s="76"/>
      <c r="W184" s="76"/>
      <c r="X184" s="76"/>
      <c r="Y184" s="76"/>
      <c r="Z184" s="76"/>
      <c r="AA184" s="76"/>
      <c r="AB184" s="76"/>
      <c r="AC184" s="382">
        <v>128662000</v>
      </c>
      <c r="AD184" s="382"/>
      <c r="AE184" s="382"/>
      <c r="AF184" s="77">
        <f>+S184+T184+U184+V184+W184+X184+Y184+Z184+AA184+AB184+AC184+AD184+AE184</f>
        <v>128662000</v>
      </c>
      <c r="AG184" s="383"/>
      <c r="AH184" s="384"/>
      <c r="AI184" s="384"/>
      <c r="AJ184" s="384"/>
      <c r="AK184" s="384"/>
      <c r="AL184" s="385"/>
      <c r="AM184" s="3"/>
    </row>
    <row r="185" spans="1:39" ht="86.25" customHeight="1" x14ac:dyDescent="0.2">
      <c r="A185" s="51"/>
      <c r="B185" s="65"/>
      <c r="C185" s="197"/>
      <c r="D185" s="261"/>
      <c r="E185" s="641"/>
      <c r="F185" s="90" t="s">
        <v>221</v>
      </c>
      <c r="G185" s="91" t="s">
        <v>654</v>
      </c>
      <c r="H185" s="137" t="s">
        <v>655</v>
      </c>
      <c r="I185" s="130" t="s">
        <v>656</v>
      </c>
      <c r="J185" s="91" t="s">
        <v>657</v>
      </c>
      <c r="K185" s="91" t="s">
        <v>51</v>
      </c>
      <c r="L185" s="258" t="s">
        <v>658</v>
      </c>
      <c r="M185" s="91" t="s">
        <v>153</v>
      </c>
      <c r="N185" s="159">
        <v>200</v>
      </c>
      <c r="O185" s="91">
        <v>20</v>
      </c>
      <c r="P185" s="704"/>
      <c r="Q185" s="712"/>
      <c r="R185" s="713"/>
      <c r="S185" s="76"/>
      <c r="T185" s="76"/>
      <c r="U185" s="76"/>
      <c r="V185" s="76"/>
      <c r="W185" s="76"/>
      <c r="X185" s="76"/>
      <c r="Y185" s="76"/>
      <c r="Z185" s="76"/>
      <c r="AA185" s="76"/>
      <c r="AB185" s="76"/>
      <c r="AC185" s="382">
        <f>1114208927.55-0.3</f>
        <v>1114208927.25</v>
      </c>
      <c r="AD185" s="382"/>
      <c r="AE185" s="382"/>
      <c r="AF185" s="77">
        <f>+S185+T185+U185+V185+W185+X185+Y185+Z185+AA185+AB185+AC185+AD185+AE185</f>
        <v>1114208927.25</v>
      </c>
      <c r="AG185" s="383"/>
      <c r="AH185" s="384"/>
      <c r="AI185" s="384"/>
      <c r="AJ185" s="384"/>
      <c r="AK185" s="384"/>
      <c r="AL185" s="385"/>
      <c r="AM185" s="3"/>
    </row>
    <row r="186" spans="1:39" ht="86.25" customHeight="1" x14ac:dyDescent="0.2">
      <c r="A186" s="51"/>
      <c r="B186" s="65"/>
      <c r="C186" s="197"/>
      <c r="D186" s="261"/>
      <c r="E186" s="640"/>
      <c r="F186" s="90" t="s">
        <v>221</v>
      </c>
      <c r="G186" s="91" t="s">
        <v>659</v>
      </c>
      <c r="H186" s="71" t="s">
        <v>655</v>
      </c>
      <c r="I186" s="130" t="s">
        <v>660</v>
      </c>
      <c r="J186" s="91" t="s">
        <v>661</v>
      </c>
      <c r="K186" s="91" t="s">
        <v>51</v>
      </c>
      <c r="L186" s="258" t="s">
        <v>662</v>
      </c>
      <c r="M186" s="91" t="s">
        <v>58</v>
      </c>
      <c r="N186" s="159">
        <v>1</v>
      </c>
      <c r="O186" s="159">
        <v>1</v>
      </c>
      <c r="P186" s="417" t="s">
        <v>637</v>
      </c>
      <c r="Q186" s="74" t="s">
        <v>663</v>
      </c>
      <c r="R186" s="130" t="s">
        <v>664</v>
      </c>
      <c r="S186" s="76"/>
      <c r="T186" s="76"/>
      <c r="U186" s="76"/>
      <c r="V186" s="76"/>
      <c r="W186" s="76"/>
      <c r="X186" s="76"/>
      <c r="Y186" s="76"/>
      <c r="Z186" s="76"/>
      <c r="AA186" s="76"/>
      <c r="AB186" s="76"/>
      <c r="AC186" s="382">
        <v>30000000</v>
      </c>
      <c r="AD186" s="382"/>
      <c r="AE186" s="382"/>
      <c r="AF186" s="77">
        <f>+S186+T186+U186+V186+W186+X186+Y186+Z186+AA186+AB186+AC186+AD186+AE186</f>
        <v>30000000</v>
      </c>
      <c r="AG186" s="383"/>
      <c r="AH186" s="384"/>
      <c r="AI186" s="384"/>
      <c r="AJ186" s="384"/>
      <c r="AK186" s="384"/>
      <c r="AL186" s="385"/>
      <c r="AM186" s="3"/>
    </row>
    <row r="187" spans="1:39" ht="86.25" customHeight="1" x14ac:dyDescent="0.2">
      <c r="A187" s="51"/>
      <c r="B187" s="65"/>
      <c r="C187" s="205"/>
      <c r="D187" s="78"/>
      <c r="E187" s="641"/>
      <c r="F187" s="90" t="s">
        <v>221</v>
      </c>
      <c r="G187" s="91" t="s">
        <v>665</v>
      </c>
      <c r="H187" s="71" t="s">
        <v>655</v>
      </c>
      <c r="I187" s="130" t="s">
        <v>666</v>
      </c>
      <c r="J187" s="91" t="s">
        <v>667</v>
      </c>
      <c r="K187" s="91" t="s">
        <v>51</v>
      </c>
      <c r="L187" s="258" t="s">
        <v>668</v>
      </c>
      <c r="M187" s="91" t="s">
        <v>153</v>
      </c>
      <c r="N187" s="159">
        <v>4</v>
      </c>
      <c r="O187" s="159">
        <v>1</v>
      </c>
      <c r="P187" s="417" t="s">
        <v>637</v>
      </c>
      <c r="Q187" s="74" t="s">
        <v>669</v>
      </c>
      <c r="R187" s="130" t="s">
        <v>670</v>
      </c>
      <c r="S187" s="76"/>
      <c r="T187" s="76"/>
      <c r="U187" s="76"/>
      <c r="V187" s="76"/>
      <c r="W187" s="76"/>
      <c r="X187" s="76"/>
      <c r="Y187" s="76"/>
      <c r="Z187" s="76"/>
      <c r="AA187" s="76"/>
      <c r="AB187" s="76"/>
      <c r="AC187" s="382">
        <v>40000000</v>
      </c>
      <c r="AD187" s="382"/>
      <c r="AE187" s="382"/>
      <c r="AF187" s="77">
        <f>+S187+T187+U187+V187+W187+X187+Y187+Z187+AA187+AB187+AC187+AD187+AE187</f>
        <v>40000000</v>
      </c>
      <c r="AG187" s="383"/>
      <c r="AH187" s="384"/>
      <c r="AI187" s="384"/>
      <c r="AJ187" s="384"/>
      <c r="AK187" s="384"/>
      <c r="AL187" s="385"/>
      <c r="AM187" s="3"/>
    </row>
    <row r="188" spans="1:39" ht="21" customHeight="1" x14ac:dyDescent="0.2">
      <c r="A188" s="51"/>
      <c r="B188" s="79"/>
      <c r="C188" s="334">
        <v>22</v>
      </c>
      <c r="D188" s="418" t="s">
        <v>671</v>
      </c>
      <c r="E188" s="55" t="s">
        <v>672</v>
      </c>
      <c r="F188" s="56"/>
      <c r="G188" s="57"/>
      <c r="H188" s="58"/>
      <c r="I188" s="59"/>
      <c r="J188" s="60"/>
      <c r="K188" s="60"/>
      <c r="L188" s="59"/>
      <c r="M188" s="61"/>
      <c r="N188" s="62"/>
      <c r="O188" s="57"/>
      <c r="P188" s="63"/>
      <c r="Q188" s="63"/>
      <c r="R188" s="59"/>
      <c r="S188" s="64">
        <f t="shared" ref="S188:AF188" si="75">SUM(S189:S189)</f>
        <v>0</v>
      </c>
      <c r="T188" s="64">
        <f t="shared" si="75"/>
        <v>0</v>
      </c>
      <c r="U188" s="64">
        <f t="shared" si="75"/>
        <v>0</v>
      </c>
      <c r="V188" s="64">
        <f t="shared" si="75"/>
        <v>0</v>
      </c>
      <c r="W188" s="64">
        <f t="shared" si="75"/>
        <v>0</v>
      </c>
      <c r="X188" s="64">
        <f t="shared" si="75"/>
        <v>0</v>
      </c>
      <c r="Y188" s="64">
        <f t="shared" si="75"/>
        <v>0</v>
      </c>
      <c r="Z188" s="64">
        <f t="shared" si="75"/>
        <v>0</v>
      </c>
      <c r="AA188" s="64">
        <f t="shared" si="75"/>
        <v>0</v>
      </c>
      <c r="AB188" s="64">
        <f t="shared" si="75"/>
        <v>0</v>
      </c>
      <c r="AC188" s="64">
        <f t="shared" si="75"/>
        <v>26000000</v>
      </c>
      <c r="AD188" s="64">
        <f t="shared" si="75"/>
        <v>0</v>
      </c>
      <c r="AE188" s="64">
        <f t="shared" si="75"/>
        <v>0</v>
      </c>
      <c r="AF188" s="394">
        <f t="shared" si="75"/>
        <v>26000000</v>
      </c>
      <c r="AG188" s="379"/>
      <c r="AH188" s="379"/>
      <c r="AI188" s="379"/>
      <c r="AJ188" s="379"/>
      <c r="AK188" s="379"/>
      <c r="AL188" s="380"/>
    </row>
    <row r="189" spans="1:39" ht="62.25" customHeight="1" x14ac:dyDescent="0.2">
      <c r="A189" s="51"/>
      <c r="B189" s="65"/>
      <c r="C189" s="236"/>
      <c r="D189" s="89"/>
      <c r="E189" s="68"/>
      <c r="F189" s="90" t="s">
        <v>221</v>
      </c>
      <c r="G189" s="91" t="s">
        <v>673</v>
      </c>
      <c r="H189" s="247">
        <v>3204012</v>
      </c>
      <c r="I189" s="130" t="s">
        <v>674</v>
      </c>
      <c r="J189" s="91" t="s">
        <v>675</v>
      </c>
      <c r="K189" s="232" t="s">
        <v>676</v>
      </c>
      <c r="L189" s="258" t="s">
        <v>677</v>
      </c>
      <c r="M189" s="91" t="s">
        <v>153</v>
      </c>
      <c r="N189" s="416">
        <v>12</v>
      </c>
      <c r="O189" s="91">
        <v>3</v>
      </c>
      <c r="P189" s="156" t="s">
        <v>637</v>
      </c>
      <c r="Q189" s="74" t="s">
        <v>678</v>
      </c>
      <c r="R189" s="130" t="s">
        <v>679</v>
      </c>
      <c r="S189" s="76"/>
      <c r="T189" s="76"/>
      <c r="U189" s="76"/>
      <c r="V189" s="76"/>
      <c r="W189" s="76"/>
      <c r="X189" s="76"/>
      <c r="Y189" s="76"/>
      <c r="Z189" s="76"/>
      <c r="AA189" s="76"/>
      <c r="AB189" s="76"/>
      <c r="AC189" s="382">
        <v>26000000</v>
      </c>
      <c r="AD189" s="382"/>
      <c r="AE189" s="382"/>
      <c r="AF189" s="77">
        <f>+S189+T189+U189+V189+W189+X189+Y189+Z189+AA189+AB189+AC189+AD189+AE189</f>
        <v>26000000</v>
      </c>
      <c r="AG189" s="383"/>
      <c r="AH189" s="384"/>
      <c r="AI189" s="384"/>
      <c r="AJ189" s="384"/>
      <c r="AK189" s="384"/>
      <c r="AL189" s="385"/>
      <c r="AM189" s="3"/>
    </row>
    <row r="190" spans="1:39" ht="23.25" customHeight="1" x14ac:dyDescent="0.2">
      <c r="A190" s="51"/>
      <c r="B190" s="79"/>
      <c r="C190" s="334">
        <v>23</v>
      </c>
      <c r="D190" s="418">
        <v>3205</v>
      </c>
      <c r="E190" s="55" t="s">
        <v>225</v>
      </c>
      <c r="F190" s="56"/>
      <c r="G190" s="57"/>
      <c r="H190" s="58"/>
      <c r="I190" s="59"/>
      <c r="J190" s="60"/>
      <c r="K190" s="60"/>
      <c r="L190" s="59"/>
      <c r="M190" s="61"/>
      <c r="N190" s="62"/>
      <c r="O190" s="57"/>
      <c r="P190" s="63"/>
      <c r="Q190" s="63"/>
      <c r="R190" s="59"/>
      <c r="S190" s="64">
        <f t="shared" ref="S190:AF190" si="76">SUM(S191:S191)</f>
        <v>0</v>
      </c>
      <c r="T190" s="64">
        <f t="shared" si="76"/>
        <v>0</v>
      </c>
      <c r="U190" s="64">
        <f t="shared" si="76"/>
        <v>0</v>
      </c>
      <c r="V190" s="64">
        <f t="shared" si="76"/>
        <v>0</v>
      </c>
      <c r="W190" s="64">
        <f t="shared" si="76"/>
        <v>0</v>
      </c>
      <c r="X190" s="64">
        <f t="shared" si="76"/>
        <v>0</v>
      </c>
      <c r="Y190" s="64">
        <f t="shared" si="76"/>
        <v>0</v>
      </c>
      <c r="Z190" s="64">
        <f t="shared" si="76"/>
        <v>0</v>
      </c>
      <c r="AA190" s="64">
        <f t="shared" si="76"/>
        <v>0</v>
      </c>
      <c r="AB190" s="64">
        <f t="shared" si="76"/>
        <v>0</v>
      </c>
      <c r="AC190" s="64">
        <f t="shared" si="76"/>
        <v>50000000</v>
      </c>
      <c r="AD190" s="64">
        <f t="shared" si="76"/>
        <v>0</v>
      </c>
      <c r="AE190" s="64">
        <f t="shared" si="76"/>
        <v>0</v>
      </c>
      <c r="AF190" s="394">
        <f t="shared" si="76"/>
        <v>50000000</v>
      </c>
      <c r="AG190" s="379"/>
      <c r="AH190" s="379"/>
      <c r="AI190" s="379"/>
      <c r="AJ190" s="379"/>
      <c r="AK190" s="379"/>
      <c r="AL190" s="380"/>
    </row>
    <row r="191" spans="1:39" ht="63" customHeight="1" x14ac:dyDescent="0.2">
      <c r="A191" s="51"/>
      <c r="B191" s="65"/>
      <c r="C191" s="236"/>
      <c r="D191" s="89"/>
      <c r="E191" s="68"/>
      <c r="F191" s="90" t="s">
        <v>221</v>
      </c>
      <c r="G191" s="71">
        <v>23.3</v>
      </c>
      <c r="H191" s="247">
        <v>3205010</v>
      </c>
      <c r="I191" s="130" t="s">
        <v>680</v>
      </c>
      <c r="J191" s="74" t="s">
        <v>681</v>
      </c>
      <c r="K191" s="74" t="s">
        <v>682</v>
      </c>
      <c r="L191" s="130" t="s">
        <v>683</v>
      </c>
      <c r="M191" s="71" t="s">
        <v>153</v>
      </c>
      <c r="N191" s="71">
        <v>4</v>
      </c>
      <c r="O191" s="635">
        <v>1</v>
      </c>
      <c r="P191" s="417" t="s">
        <v>684</v>
      </c>
      <c r="Q191" s="74" t="s">
        <v>669</v>
      </c>
      <c r="R191" s="130" t="s">
        <v>670</v>
      </c>
      <c r="S191" s="76"/>
      <c r="T191" s="76"/>
      <c r="U191" s="76"/>
      <c r="V191" s="76"/>
      <c r="W191" s="76"/>
      <c r="X191" s="76"/>
      <c r="Y191" s="76"/>
      <c r="Z191" s="76"/>
      <c r="AA191" s="76"/>
      <c r="AB191" s="76"/>
      <c r="AC191" s="382">
        <v>50000000</v>
      </c>
      <c r="AD191" s="382"/>
      <c r="AE191" s="382"/>
      <c r="AF191" s="77">
        <f>+S191+T191+U191+V191+W191+X191+Y191+Z191+AA191+AB191+AC191+AD191+AE191</f>
        <v>50000000</v>
      </c>
      <c r="AG191" s="383"/>
      <c r="AH191" s="384"/>
      <c r="AI191" s="384"/>
      <c r="AJ191" s="384"/>
      <c r="AK191" s="384"/>
      <c r="AL191" s="385"/>
      <c r="AM191" s="3"/>
    </row>
    <row r="192" spans="1:39" ht="21" customHeight="1" x14ac:dyDescent="0.2">
      <c r="A192" s="51"/>
      <c r="B192" s="79"/>
      <c r="C192" s="334">
        <v>24</v>
      </c>
      <c r="D192" s="418" t="s">
        <v>685</v>
      </c>
      <c r="E192" s="55" t="s">
        <v>686</v>
      </c>
      <c r="F192" s="56"/>
      <c r="G192" s="57"/>
      <c r="H192" s="58"/>
      <c r="I192" s="59"/>
      <c r="J192" s="60"/>
      <c r="K192" s="60"/>
      <c r="L192" s="59"/>
      <c r="M192" s="61"/>
      <c r="N192" s="62"/>
      <c r="O192" s="57"/>
      <c r="P192" s="63"/>
      <c r="Q192" s="63"/>
      <c r="R192" s="59"/>
      <c r="S192" s="64">
        <f t="shared" ref="S192:AF192" si="77">SUM(S193:S193)</f>
        <v>0</v>
      </c>
      <c r="T192" s="64">
        <f t="shared" si="77"/>
        <v>0</v>
      </c>
      <c r="U192" s="64">
        <f t="shared" si="77"/>
        <v>0</v>
      </c>
      <c r="V192" s="64">
        <f t="shared" si="77"/>
        <v>0</v>
      </c>
      <c r="W192" s="64">
        <f t="shared" si="77"/>
        <v>0</v>
      </c>
      <c r="X192" s="64">
        <f t="shared" si="77"/>
        <v>0</v>
      </c>
      <c r="Y192" s="64">
        <f t="shared" si="77"/>
        <v>0</v>
      </c>
      <c r="Z192" s="64">
        <f t="shared" si="77"/>
        <v>0</v>
      </c>
      <c r="AA192" s="64">
        <f t="shared" si="77"/>
        <v>0</v>
      </c>
      <c r="AB192" s="64">
        <f t="shared" si="77"/>
        <v>0</v>
      </c>
      <c r="AC192" s="64">
        <f t="shared" si="77"/>
        <v>20000000</v>
      </c>
      <c r="AD192" s="64">
        <f t="shared" si="77"/>
        <v>0</v>
      </c>
      <c r="AE192" s="64">
        <f t="shared" si="77"/>
        <v>0</v>
      </c>
      <c r="AF192" s="394">
        <f t="shared" si="77"/>
        <v>20000000</v>
      </c>
      <c r="AG192" s="379"/>
      <c r="AH192" s="379"/>
      <c r="AI192" s="379"/>
      <c r="AJ192" s="379"/>
      <c r="AK192" s="379"/>
      <c r="AL192" s="380"/>
    </row>
    <row r="193" spans="1:39" ht="78" customHeight="1" x14ac:dyDescent="0.2">
      <c r="A193" s="86"/>
      <c r="B193" s="87"/>
      <c r="C193" s="236"/>
      <c r="D193" s="89"/>
      <c r="E193" s="68"/>
      <c r="F193" s="90" t="s">
        <v>221</v>
      </c>
      <c r="G193" s="91" t="s">
        <v>687</v>
      </c>
      <c r="H193" s="247">
        <v>3206014</v>
      </c>
      <c r="I193" s="130" t="s">
        <v>688</v>
      </c>
      <c r="J193" s="91" t="s">
        <v>689</v>
      </c>
      <c r="K193" s="232" t="s">
        <v>690</v>
      </c>
      <c r="L193" s="258" t="s">
        <v>691</v>
      </c>
      <c r="M193" s="91" t="s">
        <v>153</v>
      </c>
      <c r="N193" s="416">
        <v>6000</v>
      </c>
      <c r="O193" s="91">
        <v>50</v>
      </c>
      <c r="P193" s="74" t="s">
        <v>637</v>
      </c>
      <c r="Q193" s="74" t="s">
        <v>692</v>
      </c>
      <c r="R193" s="130" t="s">
        <v>6</v>
      </c>
      <c r="S193" s="76"/>
      <c r="T193" s="76"/>
      <c r="U193" s="76"/>
      <c r="V193" s="76"/>
      <c r="W193" s="76"/>
      <c r="X193" s="76"/>
      <c r="Y193" s="76"/>
      <c r="Z193" s="76"/>
      <c r="AA193" s="76"/>
      <c r="AB193" s="76"/>
      <c r="AC193" s="382">
        <v>20000000</v>
      </c>
      <c r="AD193" s="382"/>
      <c r="AE193" s="382"/>
      <c r="AF193" s="77">
        <f>+S193+T193+U193+V193+W193+X193+Y193+Z193+AA193+AB193+AC193+AD193+AE193</f>
        <v>20000000</v>
      </c>
      <c r="AG193" s="383"/>
      <c r="AH193" s="384"/>
      <c r="AI193" s="384"/>
      <c r="AJ193" s="384"/>
      <c r="AK193" s="384"/>
      <c r="AL193" s="385"/>
      <c r="AM193" s="3"/>
    </row>
    <row r="194" spans="1:39" ht="33.75" customHeight="1" x14ac:dyDescent="0.2">
      <c r="AF194" s="695"/>
    </row>
    <row r="195" spans="1:39" ht="25.5" customHeight="1" x14ac:dyDescent="0.2">
      <c r="A195" s="23" t="s">
        <v>693</v>
      </c>
      <c r="B195" s="24"/>
      <c r="C195" s="25"/>
      <c r="D195" s="26"/>
      <c r="E195" s="27"/>
      <c r="F195" s="28"/>
      <c r="G195" s="29"/>
      <c r="H195" s="30"/>
      <c r="I195" s="31"/>
      <c r="J195" s="32"/>
      <c r="K195" s="32"/>
      <c r="L195" s="31"/>
      <c r="M195" s="104"/>
      <c r="N195" s="30"/>
      <c r="O195" s="29"/>
      <c r="P195" s="27"/>
      <c r="Q195" s="27"/>
      <c r="R195" s="31"/>
      <c r="S195" s="193">
        <f t="shared" ref="S195:AF195" si="78">S196</f>
        <v>0</v>
      </c>
      <c r="T195" s="193">
        <f t="shared" si="78"/>
        <v>0</v>
      </c>
      <c r="U195" s="193">
        <f t="shared" si="78"/>
        <v>0</v>
      </c>
      <c r="V195" s="193">
        <f t="shared" si="78"/>
        <v>0</v>
      </c>
      <c r="W195" s="193">
        <f t="shared" si="78"/>
        <v>0</v>
      </c>
      <c r="X195" s="193">
        <f t="shared" si="78"/>
        <v>0</v>
      </c>
      <c r="Y195" s="193">
        <f t="shared" si="78"/>
        <v>0</v>
      </c>
      <c r="Z195" s="193">
        <f t="shared" si="78"/>
        <v>0</v>
      </c>
      <c r="AA195" s="193">
        <f t="shared" si="78"/>
        <v>0</v>
      </c>
      <c r="AB195" s="193">
        <f t="shared" si="78"/>
        <v>0</v>
      </c>
      <c r="AC195" s="193">
        <f t="shared" si="78"/>
        <v>991267429</v>
      </c>
      <c r="AD195" s="193">
        <f t="shared" si="78"/>
        <v>0</v>
      </c>
      <c r="AE195" s="193">
        <f t="shared" si="78"/>
        <v>0</v>
      </c>
      <c r="AF195" s="193">
        <f t="shared" si="78"/>
        <v>991267429</v>
      </c>
    </row>
    <row r="196" spans="1:39" ht="24" customHeight="1" x14ac:dyDescent="0.2">
      <c r="A196" s="51"/>
      <c r="B196" s="305">
        <v>4</v>
      </c>
      <c r="C196" s="419" t="s">
        <v>50</v>
      </c>
      <c r="D196" s="420"/>
      <c r="E196" s="421"/>
      <c r="F196" s="422"/>
      <c r="G196" s="423"/>
      <c r="H196" s="424"/>
      <c r="I196" s="425"/>
      <c r="J196" s="426"/>
      <c r="K196" s="426"/>
      <c r="L196" s="425"/>
      <c r="M196" s="427"/>
      <c r="N196" s="428"/>
      <c r="O196" s="423"/>
      <c r="P196" s="421"/>
      <c r="Q196" s="421"/>
      <c r="R196" s="425"/>
      <c r="S196" s="429">
        <f t="shared" ref="S196:AF196" si="79">S197+S200</f>
        <v>0</v>
      </c>
      <c r="T196" s="429">
        <f t="shared" si="79"/>
        <v>0</v>
      </c>
      <c r="U196" s="429">
        <f t="shared" si="79"/>
        <v>0</v>
      </c>
      <c r="V196" s="429">
        <f t="shared" si="79"/>
        <v>0</v>
      </c>
      <c r="W196" s="429">
        <f t="shared" si="79"/>
        <v>0</v>
      </c>
      <c r="X196" s="429">
        <f t="shared" si="79"/>
        <v>0</v>
      </c>
      <c r="Y196" s="429">
        <f t="shared" si="79"/>
        <v>0</v>
      </c>
      <c r="Z196" s="429">
        <f t="shared" si="79"/>
        <v>0</v>
      </c>
      <c r="AA196" s="429">
        <f t="shared" si="79"/>
        <v>0</v>
      </c>
      <c r="AB196" s="429">
        <f t="shared" si="79"/>
        <v>0</v>
      </c>
      <c r="AC196" s="429">
        <f t="shared" si="79"/>
        <v>991267429</v>
      </c>
      <c r="AD196" s="429">
        <f t="shared" si="79"/>
        <v>0</v>
      </c>
      <c r="AE196" s="429">
        <f t="shared" si="79"/>
        <v>0</v>
      </c>
      <c r="AF196" s="429">
        <f t="shared" si="79"/>
        <v>991267429</v>
      </c>
    </row>
    <row r="197" spans="1:39" s="37" customFormat="1" ht="21.75" customHeight="1" x14ac:dyDescent="0.25">
      <c r="A197" s="38"/>
      <c r="B197" s="52"/>
      <c r="C197" s="194">
        <v>45</v>
      </c>
      <c r="D197" s="430" t="s">
        <v>51</v>
      </c>
      <c r="E197" s="729" t="s">
        <v>694</v>
      </c>
      <c r="F197" s="729"/>
      <c r="G197" s="729"/>
      <c r="H197" s="729"/>
      <c r="I197" s="729"/>
      <c r="J197" s="63"/>
      <c r="K197" s="63"/>
      <c r="L197" s="55"/>
      <c r="M197" s="431"/>
      <c r="N197" s="432"/>
      <c r="O197" s="433"/>
      <c r="P197" s="63"/>
      <c r="Q197" s="63"/>
      <c r="R197" s="59"/>
      <c r="S197" s="64">
        <f t="shared" ref="S197:AF197" si="80">SUM(S198:S199)</f>
        <v>0</v>
      </c>
      <c r="T197" s="64">
        <f t="shared" si="80"/>
        <v>0</v>
      </c>
      <c r="U197" s="64">
        <f t="shared" si="80"/>
        <v>0</v>
      </c>
      <c r="V197" s="64">
        <f t="shared" si="80"/>
        <v>0</v>
      </c>
      <c r="W197" s="64">
        <f t="shared" si="80"/>
        <v>0</v>
      </c>
      <c r="X197" s="64">
        <f t="shared" si="80"/>
        <v>0</v>
      </c>
      <c r="Y197" s="64">
        <f t="shared" si="80"/>
        <v>0</v>
      </c>
      <c r="Z197" s="64">
        <f t="shared" si="80"/>
        <v>0</v>
      </c>
      <c r="AA197" s="64">
        <f t="shared" si="80"/>
        <v>0</v>
      </c>
      <c r="AB197" s="64">
        <f t="shared" si="80"/>
        <v>0</v>
      </c>
      <c r="AC197" s="64">
        <f t="shared" si="80"/>
        <v>741267429</v>
      </c>
      <c r="AD197" s="64">
        <f t="shared" si="80"/>
        <v>0</v>
      </c>
      <c r="AE197" s="64">
        <f t="shared" si="80"/>
        <v>0</v>
      </c>
      <c r="AF197" s="64">
        <f t="shared" si="80"/>
        <v>741267429</v>
      </c>
      <c r="AG197" s="36"/>
      <c r="AH197" s="36"/>
      <c r="AI197" s="36"/>
      <c r="AJ197" s="36"/>
      <c r="AK197" s="36"/>
      <c r="AL197" s="36"/>
      <c r="AM197" s="36"/>
    </row>
    <row r="198" spans="1:39" ht="113.25" customHeight="1" x14ac:dyDescent="0.2">
      <c r="A198" s="51"/>
      <c r="B198" s="65"/>
      <c r="C198" s="198"/>
      <c r="D198" s="67"/>
      <c r="E198" s="68"/>
      <c r="F198" s="69" t="s">
        <v>53</v>
      </c>
      <c r="G198" s="159" t="s">
        <v>695</v>
      </c>
      <c r="H198" s="71" t="s">
        <v>51</v>
      </c>
      <c r="I198" s="90" t="s">
        <v>696</v>
      </c>
      <c r="J198" s="159" t="s">
        <v>697</v>
      </c>
      <c r="K198" s="91" t="s">
        <v>51</v>
      </c>
      <c r="L198" s="92" t="s">
        <v>698</v>
      </c>
      <c r="M198" s="416" t="s">
        <v>58</v>
      </c>
      <c r="N198" s="91">
        <v>1</v>
      </c>
      <c r="O198" s="159">
        <v>1</v>
      </c>
      <c r="P198" s="74" t="s">
        <v>59</v>
      </c>
      <c r="Q198" s="74" t="s">
        <v>699</v>
      </c>
      <c r="R198" s="130" t="s">
        <v>700</v>
      </c>
      <c r="S198" s="76"/>
      <c r="T198" s="76"/>
      <c r="U198" s="76"/>
      <c r="V198" s="76"/>
      <c r="W198" s="76"/>
      <c r="X198" s="76"/>
      <c r="Y198" s="76"/>
      <c r="Z198" s="76"/>
      <c r="AA198" s="76"/>
      <c r="AB198" s="76"/>
      <c r="AC198" s="434">
        <v>255021326</v>
      </c>
      <c r="AD198" s="76"/>
      <c r="AE198" s="76"/>
      <c r="AF198" s="77">
        <f>+S198+T198+U198+V198+W198+X198+Y198+Z198+AA198+AB198+AC198+AD198+AE198</f>
        <v>255021326</v>
      </c>
      <c r="AG198" s="3"/>
      <c r="AH198" s="3"/>
      <c r="AI198" s="3"/>
      <c r="AJ198" s="3"/>
      <c r="AK198" s="3"/>
      <c r="AL198" s="3"/>
      <c r="AM198" s="3"/>
    </row>
    <row r="199" spans="1:39" ht="81" customHeight="1" x14ac:dyDescent="0.2">
      <c r="A199" s="51"/>
      <c r="B199" s="65"/>
      <c r="C199" s="205"/>
      <c r="D199" s="78"/>
      <c r="E199" s="359"/>
      <c r="F199" s="69" t="s">
        <v>53</v>
      </c>
      <c r="G199" s="159" t="s">
        <v>701</v>
      </c>
      <c r="H199" s="71" t="s">
        <v>51</v>
      </c>
      <c r="I199" s="130" t="s">
        <v>702</v>
      </c>
      <c r="J199" s="159" t="s">
        <v>703</v>
      </c>
      <c r="K199" s="91" t="s">
        <v>51</v>
      </c>
      <c r="L199" s="92" t="s">
        <v>704</v>
      </c>
      <c r="M199" s="416" t="s">
        <v>58</v>
      </c>
      <c r="N199" s="91">
        <v>1</v>
      </c>
      <c r="O199" s="159">
        <v>1</v>
      </c>
      <c r="P199" s="74" t="s">
        <v>59</v>
      </c>
      <c r="Q199" s="74" t="s">
        <v>705</v>
      </c>
      <c r="R199" s="130" t="s">
        <v>706</v>
      </c>
      <c r="S199" s="76"/>
      <c r="T199" s="76"/>
      <c r="U199" s="76"/>
      <c r="V199" s="76"/>
      <c r="W199" s="76"/>
      <c r="X199" s="76"/>
      <c r="Y199" s="76"/>
      <c r="Z199" s="76"/>
      <c r="AA199" s="76"/>
      <c r="AB199" s="76"/>
      <c r="AC199" s="434">
        <v>486246103</v>
      </c>
      <c r="AD199" s="76"/>
      <c r="AE199" s="76"/>
      <c r="AF199" s="77">
        <f>+S199+T199+U199+V199+W199+X199+Y199+Z199+AA199+AB199+AC199+AD199+AE199</f>
        <v>486246103</v>
      </c>
      <c r="AG199" s="3"/>
      <c r="AH199" s="3"/>
      <c r="AI199" s="3"/>
      <c r="AJ199" s="3"/>
      <c r="AK199" s="3"/>
      <c r="AL199" s="3"/>
      <c r="AM199" s="3"/>
    </row>
    <row r="200" spans="1:39" ht="21" customHeight="1" x14ac:dyDescent="0.2">
      <c r="A200" s="51"/>
      <c r="B200" s="79"/>
      <c r="C200" s="280">
        <v>42</v>
      </c>
      <c r="D200" s="418">
        <v>4502</v>
      </c>
      <c r="E200" s="435" t="s">
        <v>68</v>
      </c>
      <c r="F200" s="56"/>
      <c r="G200" s="57"/>
      <c r="H200" s="58"/>
      <c r="I200" s="59"/>
      <c r="J200" s="60"/>
      <c r="K200" s="60"/>
      <c r="L200" s="59"/>
      <c r="M200" s="61"/>
      <c r="N200" s="62"/>
      <c r="O200" s="57"/>
      <c r="P200" s="63"/>
      <c r="Q200" s="63"/>
      <c r="R200" s="59"/>
      <c r="S200" s="64">
        <f t="shared" ref="S200:AF200" si="81">SUM(S201)</f>
        <v>0</v>
      </c>
      <c r="T200" s="64">
        <f t="shared" si="81"/>
        <v>0</v>
      </c>
      <c r="U200" s="64">
        <f t="shared" si="81"/>
        <v>0</v>
      </c>
      <c r="V200" s="64">
        <f t="shared" si="81"/>
        <v>0</v>
      </c>
      <c r="W200" s="64">
        <f t="shared" si="81"/>
        <v>0</v>
      </c>
      <c r="X200" s="64">
        <f t="shared" si="81"/>
        <v>0</v>
      </c>
      <c r="Y200" s="64">
        <f t="shared" si="81"/>
        <v>0</v>
      </c>
      <c r="Z200" s="64">
        <f t="shared" si="81"/>
        <v>0</v>
      </c>
      <c r="AA200" s="64">
        <f t="shared" si="81"/>
        <v>0</v>
      </c>
      <c r="AB200" s="64">
        <f t="shared" si="81"/>
        <v>0</v>
      </c>
      <c r="AC200" s="64">
        <f t="shared" si="81"/>
        <v>250000000</v>
      </c>
      <c r="AD200" s="64">
        <f t="shared" si="81"/>
        <v>0</v>
      </c>
      <c r="AE200" s="64">
        <f t="shared" si="81"/>
        <v>0</v>
      </c>
      <c r="AF200" s="64">
        <f t="shared" si="81"/>
        <v>250000000</v>
      </c>
    </row>
    <row r="201" spans="1:39" ht="117" customHeight="1" x14ac:dyDescent="0.2">
      <c r="A201" s="86"/>
      <c r="B201" s="87"/>
      <c r="C201" s="236"/>
      <c r="D201" s="89"/>
      <c r="E201" s="4"/>
      <c r="F201" s="90" t="s">
        <v>69</v>
      </c>
      <c r="G201" s="91" t="s">
        <v>707</v>
      </c>
      <c r="H201" s="71" t="s">
        <v>51</v>
      </c>
      <c r="I201" s="72" t="s">
        <v>708</v>
      </c>
      <c r="J201" s="91" t="s">
        <v>709</v>
      </c>
      <c r="K201" s="91" t="s">
        <v>51</v>
      </c>
      <c r="L201" s="92" t="s">
        <v>710</v>
      </c>
      <c r="M201" s="416" t="s">
        <v>58</v>
      </c>
      <c r="N201" s="91">
        <v>30</v>
      </c>
      <c r="O201" s="91">
        <v>30</v>
      </c>
      <c r="P201" s="94" t="s">
        <v>74</v>
      </c>
      <c r="Q201" s="136" t="s">
        <v>711</v>
      </c>
      <c r="R201" s="72" t="s">
        <v>712</v>
      </c>
      <c r="S201" s="138"/>
      <c r="T201" s="138"/>
      <c r="U201" s="138"/>
      <c r="V201" s="138"/>
      <c r="W201" s="138"/>
      <c r="X201" s="138"/>
      <c r="Y201" s="138"/>
      <c r="Z201" s="138"/>
      <c r="AA201" s="138"/>
      <c r="AB201" s="138"/>
      <c r="AC201" s="436">
        <v>250000000</v>
      </c>
      <c r="AD201" s="138"/>
      <c r="AE201" s="138"/>
      <c r="AF201" s="77">
        <f>+S201+T201+U201+V201+W201+X201+Y201+Z201+AA201+AB201+AC201+AD201+AE201</f>
        <v>250000000</v>
      </c>
      <c r="AG201" s="3"/>
      <c r="AH201" s="3"/>
      <c r="AI201" s="3"/>
      <c r="AJ201" s="3"/>
      <c r="AK201" s="3"/>
      <c r="AL201" s="3"/>
      <c r="AM201" s="3"/>
    </row>
    <row r="202" spans="1:39" ht="31.5" customHeight="1" x14ac:dyDescent="0.2">
      <c r="AF202" s="695"/>
    </row>
    <row r="203" spans="1:39" ht="15.75" x14ac:dyDescent="0.2">
      <c r="A203" s="23" t="s">
        <v>713</v>
      </c>
      <c r="B203" s="24"/>
      <c r="C203" s="25"/>
      <c r="D203" s="26"/>
      <c r="E203" s="27"/>
      <c r="F203" s="28"/>
      <c r="G203" s="29"/>
      <c r="H203" s="30"/>
      <c r="I203" s="31"/>
      <c r="J203" s="32"/>
      <c r="K203" s="32"/>
      <c r="L203" s="31"/>
      <c r="M203" s="104"/>
      <c r="N203" s="30"/>
      <c r="O203" s="29"/>
      <c r="P203" s="27"/>
      <c r="Q203" s="27"/>
      <c r="R203" s="31"/>
      <c r="S203" s="193">
        <f>S204</f>
        <v>0</v>
      </c>
      <c r="T203" s="193">
        <f>T204</f>
        <v>0</v>
      </c>
      <c r="U203" s="193">
        <f>U204</f>
        <v>0</v>
      </c>
      <c r="V203" s="193">
        <f t="shared" ref="V203:AF203" si="82">V204</f>
        <v>2854044988.79</v>
      </c>
      <c r="W203" s="193">
        <f t="shared" si="82"/>
        <v>0</v>
      </c>
      <c r="X203" s="193">
        <f t="shared" si="82"/>
        <v>0</v>
      </c>
      <c r="Y203" s="193">
        <f t="shared" si="82"/>
        <v>134989913515.46001</v>
      </c>
      <c r="Z203" s="193">
        <f t="shared" si="82"/>
        <v>23500000000</v>
      </c>
      <c r="AA203" s="193">
        <f t="shared" si="82"/>
        <v>12173030541.870001</v>
      </c>
      <c r="AB203" s="193">
        <f t="shared" si="82"/>
        <v>0</v>
      </c>
      <c r="AC203" s="193">
        <f t="shared" si="82"/>
        <v>2676547493.2183161</v>
      </c>
      <c r="AD203" s="193">
        <f t="shared" si="82"/>
        <v>83149.960000000006</v>
      </c>
      <c r="AE203" s="193">
        <f t="shared" si="82"/>
        <v>0</v>
      </c>
      <c r="AF203" s="193">
        <f t="shared" si="82"/>
        <v>176193619689.29831</v>
      </c>
      <c r="AG203" s="3"/>
      <c r="AH203" s="3"/>
      <c r="AI203" s="3"/>
      <c r="AJ203" s="3"/>
      <c r="AK203" s="3"/>
      <c r="AL203" s="3"/>
      <c r="AM203" s="3"/>
    </row>
    <row r="204" spans="1:39" ht="15.75" x14ac:dyDescent="0.2">
      <c r="A204" s="51"/>
      <c r="B204" s="320">
        <v>1</v>
      </c>
      <c r="C204" s="107" t="s">
        <v>1</v>
      </c>
      <c r="D204" s="108"/>
      <c r="E204" s="109"/>
      <c r="F204" s="110"/>
      <c r="G204" s="111"/>
      <c r="H204" s="112"/>
      <c r="I204" s="113"/>
      <c r="J204" s="114"/>
      <c r="K204" s="114"/>
      <c r="L204" s="113"/>
      <c r="M204" s="115"/>
      <c r="N204" s="116"/>
      <c r="O204" s="111"/>
      <c r="P204" s="109"/>
      <c r="Q204" s="109"/>
      <c r="R204" s="113"/>
      <c r="S204" s="50">
        <f>S205+S228</f>
        <v>0</v>
      </c>
      <c r="T204" s="50">
        <f>T205+T228</f>
        <v>0</v>
      </c>
      <c r="U204" s="50">
        <f>U205+U228</f>
        <v>0</v>
      </c>
      <c r="V204" s="50">
        <f t="shared" ref="V204:AF204" si="83">V205+V228</f>
        <v>2854044988.79</v>
      </c>
      <c r="W204" s="50">
        <f t="shared" si="83"/>
        <v>0</v>
      </c>
      <c r="X204" s="50">
        <f t="shared" si="83"/>
        <v>0</v>
      </c>
      <c r="Y204" s="50">
        <f t="shared" si="83"/>
        <v>134989913515.46001</v>
      </c>
      <c r="Z204" s="50">
        <f t="shared" si="83"/>
        <v>23500000000</v>
      </c>
      <c r="AA204" s="50">
        <f t="shared" si="83"/>
        <v>12173030541.870001</v>
      </c>
      <c r="AB204" s="50">
        <f t="shared" si="83"/>
        <v>0</v>
      </c>
      <c r="AC204" s="50">
        <f t="shared" si="83"/>
        <v>2676547493.2183161</v>
      </c>
      <c r="AD204" s="50">
        <f t="shared" si="83"/>
        <v>83149.960000000006</v>
      </c>
      <c r="AE204" s="50">
        <f t="shared" si="83"/>
        <v>0</v>
      </c>
      <c r="AF204" s="50">
        <f t="shared" si="83"/>
        <v>176193619689.29831</v>
      </c>
      <c r="AG204" s="3"/>
      <c r="AH204" s="3"/>
      <c r="AI204" s="3"/>
      <c r="AJ204" s="3"/>
      <c r="AK204" s="3"/>
      <c r="AL204" s="3"/>
      <c r="AM204" s="3"/>
    </row>
    <row r="205" spans="1:39" ht="15.75" x14ac:dyDescent="0.2">
      <c r="A205" s="51"/>
      <c r="B205" s="52"/>
      <c r="C205" s="437">
        <v>15</v>
      </c>
      <c r="D205" s="118">
        <v>2201</v>
      </c>
      <c r="E205" s="438" t="s">
        <v>166</v>
      </c>
      <c r="F205" s="439"/>
      <c r="G205" s="195"/>
      <c r="H205" s="440"/>
      <c r="I205" s="441"/>
      <c r="J205" s="442"/>
      <c r="K205" s="442"/>
      <c r="L205" s="441"/>
      <c r="M205" s="443"/>
      <c r="N205" s="444"/>
      <c r="O205" s="195"/>
      <c r="P205" s="445"/>
      <c r="Q205" s="445"/>
      <c r="R205" s="441"/>
      <c r="S205" s="64">
        <f>SUM(S206:S227)</f>
        <v>0</v>
      </c>
      <c r="T205" s="64">
        <f>SUM(T206:T227)</f>
        <v>0</v>
      </c>
      <c r="U205" s="64">
        <f>SUM(U206:U227)</f>
        <v>0</v>
      </c>
      <c r="V205" s="64">
        <f t="shared" ref="V205:AF205" si="84">SUM(V206:V227)</f>
        <v>2764044988.79</v>
      </c>
      <c r="W205" s="64">
        <f t="shared" si="84"/>
        <v>0</v>
      </c>
      <c r="X205" s="64">
        <f t="shared" si="84"/>
        <v>0</v>
      </c>
      <c r="Y205" s="64">
        <f t="shared" si="84"/>
        <v>134989913515.46001</v>
      </c>
      <c r="Z205" s="64">
        <f t="shared" si="84"/>
        <v>23500000000</v>
      </c>
      <c r="AA205" s="64">
        <f t="shared" si="84"/>
        <v>12173030541.870001</v>
      </c>
      <c r="AB205" s="64">
        <f t="shared" si="84"/>
        <v>0</v>
      </c>
      <c r="AC205" s="64">
        <f t="shared" si="84"/>
        <v>2522708993.2183161</v>
      </c>
      <c r="AD205" s="64">
        <f t="shared" si="84"/>
        <v>83149.960000000006</v>
      </c>
      <c r="AE205" s="64">
        <f t="shared" si="84"/>
        <v>0</v>
      </c>
      <c r="AF205" s="64">
        <f t="shared" si="84"/>
        <v>175949781189.29831</v>
      </c>
      <c r="AG205" s="3"/>
      <c r="AH205" s="3"/>
      <c r="AI205" s="3"/>
      <c r="AJ205" s="3"/>
      <c r="AK205" s="3"/>
      <c r="AL205" s="3"/>
      <c r="AM205" s="3"/>
    </row>
    <row r="206" spans="1:39" ht="91.5" customHeight="1" x14ac:dyDescent="0.2">
      <c r="A206" s="51"/>
      <c r="B206" s="198"/>
      <c r="C206" s="198"/>
      <c r="D206" s="67"/>
      <c r="E206" s="640"/>
      <c r="F206" s="90" t="s">
        <v>714</v>
      </c>
      <c r="G206" s="446" t="s">
        <v>715</v>
      </c>
      <c r="H206" s="71">
        <v>2201033</v>
      </c>
      <c r="I206" s="130" t="s">
        <v>716</v>
      </c>
      <c r="J206" s="446" t="s">
        <v>717</v>
      </c>
      <c r="K206" s="447">
        <v>220103300</v>
      </c>
      <c r="L206" s="258" t="s">
        <v>718</v>
      </c>
      <c r="M206" s="231" t="s">
        <v>153</v>
      </c>
      <c r="N206" s="91">
        <v>36000</v>
      </c>
      <c r="O206" s="91">
        <v>9000</v>
      </c>
      <c r="P206" s="730" t="s">
        <v>173</v>
      </c>
      <c r="Q206" s="712" t="s">
        <v>719</v>
      </c>
      <c r="R206" s="706" t="s">
        <v>720</v>
      </c>
      <c r="S206" s="76"/>
      <c r="T206" s="76"/>
      <c r="U206" s="76"/>
      <c r="V206" s="76">
        <f>2349543380-59954338</f>
        <v>2289589042</v>
      </c>
      <c r="W206" s="76"/>
      <c r="X206" s="76"/>
      <c r="Y206" s="76"/>
      <c r="Z206" s="76"/>
      <c r="AA206" s="164"/>
      <c r="AB206" s="164"/>
      <c r="AC206" s="448">
        <f>1140000000+130863000+400000000</f>
        <v>1670863000</v>
      </c>
      <c r="AD206" s="76"/>
      <c r="AE206" s="164"/>
      <c r="AF206" s="77">
        <f t="shared" ref="AF206:AF222" si="85">+S206+T206+U206+V206+W206+X206+Y206+Z206+AA206+AB206+AC206+AD206+AE206</f>
        <v>3960452042</v>
      </c>
      <c r="AG206" s="3"/>
      <c r="AH206" s="3"/>
      <c r="AI206" s="3"/>
      <c r="AJ206" s="3"/>
      <c r="AK206" s="3"/>
      <c r="AL206" s="3"/>
      <c r="AM206" s="3"/>
    </row>
    <row r="207" spans="1:39" ht="75" x14ac:dyDescent="0.2">
      <c r="A207" s="51"/>
      <c r="B207" s="197"/>
      <c r="C207" s="197"/>
      <c r="D207" s="261"/>
      <c r="E207" s="642"/>
      <c r="F207" s="90" t="s">
        <v>721</v>
      </c>
      <c r="G207" s="74" t="s">
        <v>722</v>
      </c>
      <c r="H207" s="71">
        <v>2201028</v>
      </c>
      <c r="I207" s="130" t="s">
        <v>723</v>
      </c>
      <c r="J207" s="74" t="s">
        <v>724</v>
      </c>
      <c r="K207" s="447">
        <v>220102801</v>
      </c>
      <c r="L207" s="130" t="s">
        <v>725</v>
      </c>
      <c r="M207" s="231" t="s">
        <v>153</v>
      </c>
      <c r="N207" s="91">
        <v>36000</v>
      </c>
      <c r="O207" s="91">
        <v>9000</v>
      </c>
      <c r="P207" s="730"/>
      <c r="Q207" s="712"/>
      <c r="R207" s="707"/>
      <c r="S207" s="76"/>
      <c r="T207" s="76"/>
      <c r="U207" s="76"/>
      <c r="V207" s="449"/>
      <c r="W207" s="76"/>
      <c r="X207" s="76"/>
      <c r="Y207" s="76">
        <v>394351422</v>
      </c>
      <c r="Z207" s="450"/>
      <c r="AA207" s="451">
        <f>12150000000-50000000+73030541.87</f>
        <v>12173030541.870001</v>
      </c>
      <c r="AB207" s="164"/>
      <c r="AC207" s="451">
        <v>286000000</v>
      </c>
      <c r="AD207" s="451">
        <v>83149.960000000006</v>
      </c>
      <c r="AE207" s="76"/>
      <c r="AF207" s="77">
        <f t="shared" si="85"/>
        <v>12853465113.83</v>
      </c>
      <c r="AG207" s="3"/>
      <c r="AH207" s="3"/>
      <c r="AI207" s="3"/>
      <c r="AJ207" s="3"/>
      <c r="AK207" s="3"/>
      <c r="AL207" s="3"/>
      <c r="AM207" s="3"/>
    </row>
    <row r="208" spans="1:39" ht="75" x14ac:dyDescent="0.2">
      <c r="A208" s="51"/>
      <c r="B208" s="197"/>
      <c r="C208" s="197"/>
      <c r="D208" s="261"/>
      <c r="E208" s="641"/>
      <c r="F208" s="90" t="s">
        <v>721</v>
      </c>
      <c r="G208" s="74" t="s">
        <v>726</v>
      </c>
      <c r="H208" s="71">
        <v>2201029</v>
      </c>
      <c r="I208" s="130" t="s">
        <v>727</v>
      </c>
      <c r="J208" s="74" t="s">
        <v>728</v>
      </c>
      <c r="K208" s="447">
        <v>220102900</v>
      </c>
      <c r="L208" s="130" t="s">
        <v>729</v>
      </c>
      <c r="M208" s="231" t="s">
        <v>153</v>
      </c>
      <c r="N208" s="91">
        <v>4000</v>
      </c>
      <c r="O208" s="91">
        <v>300</v>
      </c>
      <c r="P208" s="730"/>
      <c r="Q208" s="712"/>
      <c r="R208" s="710"/>
      <c r="S208" s="76"/>
      <c r="T208" s="76"/>
      <c r="U208" s="76"/>
      <c r="V208" s="449">
        <f>300000000</f>
        <v>300000000</v>
      </c>
      <c r="W208" s="76"/>
      <c r="X208" s="76"/>
      <c r="Y208" s="76"/>
      <c r="Z208" s="76"/>
      <c r="AA208" s="131"/>
      <c r="AB208" s="131"/>
      <c r="AC208" s="451">
        <f>860000000+40000000-400000000-317093240.421684-266.36</f>
        <v>182906493.21831596</v>
      </c>
      <c r="AD208" s="76"/>
      <c r="AE208" s="131"/>
      <c r="AF208" s="77">
        <f t="shared" si="85"/>
        <v>482906493.21831596</v>
      </c>
      <c r="AG208" s="3"/>
      <c r="AH208" s="3"/>
      <c r="AI208" s="3"/>
      <c r="AJ208" s="3"/>
      <c r="AK208" s="3"/>
      <c r="AL208" s="3"/>
      <c r="AM208" s="3"/>
    </row>
    <row r="209" spans="1:39" ht="133.5" customHeight="1" x14ac:dyDescent="0.2">
      <c r="A209" s="51"/>
      <c r="B209" s="197"/>
      <c r="C209" s="197"/>
      <c r="D209" s="261"/>
      <c r="E209" s="640"/>
      <c r="F209" s="452" t="s">
        <v>730</v>
      </c>
      <c r="G209" s="446" t="s">
        <v>731</v>
      </c>
      <c r="H209" s="162">
        <v>2201055</v>
      </c>
      <c r="I209" s="302" t="s">
        <v>732</v>
      </c>
      <c r="J209" s="446" t="s">
        <v>733</v>
      </c>
      <c r="K209" s="447">
        <v>220105500</v>
      </c>
      <c r="L209" s="258" t="s">
        <v>734</v>
      </c>
      <c r="M209" s="231" t="s">
        <v>58</v>
      </c>
      <c r="N209" s="91">
        <v>1</v>
      </c>
      <c r="O209" s="91">
        <v>1</v>
      </c>
      <c r="P209" s="730" t="s">
        <v>173</v>
      </c>
      <c r="Q209" s="712" t="s">
        <v>735</v>
      </c>
      <c r="R209" s="707" t="s">
        <v>736</v>
      </c>
      <c r="S209" s="203"/>
      <c r="T209" s="203"/>
      <c r="U209" s="203"/>
      <c r="V209" s="203"/>
      <c r="W209" s="203"/>
      <c r="X209" s="203"/>
      <c r="Y209" s="203">
        <v>52000000</v>
      </c>
      <c r="Z209" s="203"/>
      <c r="AA209" s="453"/>
      <c r="AB209" s="453"/>
      <c r="AC209" s="454">
        <v>0</v>
      </c>
      <c r="AD209" s="453"/>
      <c r="AE209" s="453"/>
      <c r="AF209" s="284">
        <f t="shared" si="85"/>
        <v>52000000</v>
      </c>
      <c r="AG209" s="3"/>
      <c r="AH209" s="3"/>
      <c r="AI209" s="3"/>
      <c r="AJ209" s="3"/>
      <c r="AK209" s="3"/>
      <c r="AL209" s="3"/>
      <c r="AM209" s="3"/>
    </row>
    <row r="210" spans="1:39" ht="75" x14ac:dyDescent="0.2">
      <c r="A210" s="51"/>
      <c r="B210" s="197"/>
      <c r="C210" s="197"/>
      <c r="D210" s="261"/>
      <c r="E210" s="641"/>
      <c r="F210" s="90" t="s">
        <v>737</v>
      </c>
      <c r="G210" s="446" t="s">
        <v>738</v>
      </c>
      <c r="H210" s="71">
        <v>2201030</v>
      </c>
      <c r="I210" s="130" t="s">
        <v>739</v>
      </c>
      <c r="J210" s="446" t="s">
        <v>740</v>
      </c>
      <c r="K210" s="447">
        <v>220103000</v>
      </c>
      <c r="L210" s="258" t="s">
        <v>741</v>
      </c>
      <c r="M210" s="231" t="s">
        <v>58</v>
      </c>
      <c r="N210" s="91">
        <v>2500</v>
      </c>
      <c r="O210" s="91">
        <v>2500</v>
      </c>
      <c r="P210" s="730"/>
      <c r="Q210" s="712"/>
      <c r="R210" s="710"/>
      <c r="S210" s="76"/>
      <c r="T210" s="76"/>
      <c r="U210" s="76"/>
      <c r="V210" s="76"/>
      <c r="W210" s="76"/>
      <c r="X210" s="76"/>
      <c r="Y210" s="449">
        <v>1580000000</v>
      </c>
      <c r="Z210" s="76"/>
      <c r="AA210" s="131"/>
      <c r="AB210" s="131"/>
      <c r="AC210" s="132"/>
      <c r="AD210" s="131"/>
      <c r="AE210" s="131"/>
      <c r="AF210" s="77">
        <f t="shared" si="85"/>
        <v>1580000000</v>
      </c>
      <c r="AG210" s="3"/>
      <c r="AH210" s="3"/>
      <c r="AI210" s="3"/>
      <c r="AJ210" s="3"/>
      <c r="AK210" s="3"/>
      <c r="AL210" s="3"/>
      <c r="AM210" s="3"/>
    </row>
    <row r="211" spans="1:39" ht="60" x14ac:dyDescent="0.2">
      <c r="A211" s="51"/>
      <c r="B211" s="197"/>
      <c r="C211" s="197"/>
      <c r="D211" s="261"/>
      <c r="E211" s="68"/>
      <c r="F211" s="69" t="s">
        <v>742</v>
      </c>
      <c r="G211" s="74" t="s">
        <v>743</v>
      </c>
      <c r="H211" s="71">
        <v>2201071</v>
      </c>
      <c r="I211" s="130" t="s">
        <v>744</v>
      </c>
      <c r="J211" s="74" t="s">
        <v>745</v>
      </c>
      <c r="K211" s="447">
        <v>220107100</v>
      </c>
      <c r="L211" s="130" t="s">
        <v>746</v>
      </c>
      <c r="M211" s="231" t="s">
        <v>58</v>
      </c>
      <c r="N211" s="91">
        <v>54</v>
      </c>
      <c r="O211" s="91">
        <v>54</v>
      </c>
      <c r="P211" s="283" t="s">
        <v>173</v>
      </c>
      <c r="Q211" s="74" t="s">
        <v>747</v>
      </c>
      <c r="R211" s="130" t="s">
        <v>8</v>
      </c>
      <c r="S211" s="76"/>
      <c r="T211" s="76"/>
      <c r="U211" s="76"/>
      <c r="V211" s="76"/>
      <c r="W211" s="76"/>
      <c r="X211" s="76"/>
      <c r="Y211" s="76">
        <f>128238000000+30000000+50000000+103135464.94</f>
        <v>128421135464.94</v>
      </c>
      <c r="Z211" s="455">
        <f>16500000000+7000000000</f>
        <v>23500000000</v>
      </c>
      <c r="AA211" s="76"/>
      <c r="AB211" s="76"/>
      <c r="AC211" s="132"/>
      <c r="AD211" s="131"/>
      <c r="AE211" s="131"/>
      <c r="AF211" s="77">
        <f t="shared" si="85"/>
        <v>151921135464.94</v>
      </c>
      <c r="AG211" s="3"/>
      <c r="AH211" s="3"/>
      <c r="AI211" s="3"/>
      <c r="AJ211" s="3"/>
      <c r="AK211" s="3"/>
      <c r="AL211" s="3"/>
      <c r="AM211" s="3"/>
    </row>
    <row r="212" spans="1:39" ht="60" x14ac:dyDescent="0.2">
      <c r="A212" s="51"/>
      <c r="B212" s="197"/>
      <c r="C212" s="197"/>
      <c r="D212" s="261"/>
      <c r="E212" s="68"/>
      <c r="F212" s="69" t="s">
        <v>742</v>
      </c>
      <c r="G212" s="74" t="s">
        <v>743</v>
      </c>
      <c r="H212" s="71">
        <v>2201071</v>
      </c>
      <c r="I212" s="456" t="s">
        <v>744</v>
      </c>
      <c r="J212" s="74" t="s">
        <v>745</v>
      </c>
      <c r="K212" s="447">
        <v>220107100</v>
      </c>
      <c r="L212" s="130" t="s">
        <v>746</v>
      </c>
      <c r="M212" s="231" t="s">
        <v>58</v>
      </c>
      <c r="N212" s="91">
        <v>54</v>
      </c>
      <c r="O212" s="91">
        <v>54</v>
      </c>
      <c r="P212" s="283" t="s">
        <v>173</v>
      </c>
      <c r="Q212" s="74" t="s">
        <v>748</v>
      </c>
      <c r="R212" s="155" t="s">
        <v>749</v>
      </c>
      <c r="S212" s="457"/>
      <c r="T212" s="457"/>
      <c r="U212" s="457"/>
      <c r="V212" s="457"/>
      <c r="W212" s="457"/>
      <c r="X212" s="457"/>
      <c r="Y212" s="458">
        <v>3762000000</v>
      </c>
      <c r="Z212" s="459"/>
      <c r="AA212" s="457"/>
      <c r="AB212" s="457"/>
      <c r="AC212" s="132"/>
      <c r="AD212" s="460"/>
      <c r="AE212" s="460"/>
      <c r="AF212" s="77">
        <f t="shared" si="85"/>
        <v>3762000000</v>
      </c>
      <c r="AG212" s="3"/>
      <c r="AH212" s="3"/>
      <c r="AI212" s="3"/>
      <c r="AJ212" s="3"/>
      <c r="AK212" s="3"/>
      <c r="AL212" s="3"/>
      <c r="AM212" s="3"/>
    </row>
    <row r="213" spans="1:39" ht="90" x14ac:dyDescent="0.2">
      <c r="A213" s="51"/>
      <c r="B213" s="197"/>
      <c r="C213" s="197"/>
      <c r="D213" s="261"/>
      <c r="E213" s="637"/>
      <c r="F213" s="69" t="s">
        <v>750</v>
      </c>
      <c r="G213" s="91" t="s">
        <v>751</v>
      </c>
      <c r="H213" s="71">
        <v>2201006</v>
      </c>
      <c r="I213" s="130" t="s">
        <v>752</v>
      </c>
      <c r="J213" s="91" t="s">
        <v>753</v>
      </c>
      <c r="K213" s="447">
        <v>220100600</v>
      </c>
      <c r="L213" s="258" t="s">
        <v>754</v>
      </c>
      <c r="M213" s="231" t="s">
        <v>58</v>
      </c>
      <c r="N213" s="91">
        <v>54</v>
      </c>
      <c r="O213" s="91">
        <v>54</v>
      </c>
      <c r="P213" s="461" t="s">
        <v>173</v>
      </c>
      <c r="Q213" s="703" t="s">
        <v>755</v>
      </c>
      <c r="R213" s="706" t="s">
        <v>756</v>
      </c>
      <c r="S213" s="76"/>
      <c r="T213" s="76"/>
      <c r="U213" s="76"/>
      <c r="V213" s="76"/>
      <c r="W213" s="76"/>
      <c r="X213" s="76"/>
      <c r="Y213" s="76"/>
      <c r="Z213" s="76"/>
      <c r="AA213" s="76"/>
      <c r="AB213" s="76"/>
      <c r="AC213" s="132">
        <f>20000000+10000000+31600000</f>
        <v>61600000</v>
      </c>
      <c r="AD213" s="131"/>
      <c r="AE213" s="131"/>
      <c r="AF213" s="77">
        <f t="shared" si="85"/>
        <v>61600000</v>
      </c>
      <c r="AG213" s="3"/>
      <c r="AH213" s="3"/>
      <c r="AI213" s="3"/>
      <c r="AJ213" s="3"/>
      <c r="AK213" s="3"/>
      <c r="AL213" s="3"/>
      <c r="AM213" s="3"/>
    </row>
    <row r="214" spans="1:39" ht="77.25" customHeight="1" x14ac:dyDescent="0.2">
      <c r="A214" s="51"/>
      <c r="B214" s="197"/>
      <c r="C214" s="197"/>
      <c r="D214" s="261"/>
      <c r="E214" s="638"/>
      <c r="F214" s="69" t="s">
        <v>714</v>
      </c>
      <c r="G214" s="74" t="s">
        <v>715</v>
      </c>
      <c r="H214" s="71">
        <v>2201033</v>
      </c>
      <c r="I214" s="130" t="s">
        <v>716</v>
      </c>
      <c r="J214" s="74" t="s">
        <v>717</v>
      </c>
      <c r="K214" s="447">
        <v>220103300</v>
      </c>
      <c r="L214" s="130" t="s">
        <v>718</v>
      </c>
      <c r="M214" s="231" t="s">
        <v>153</v>
      </c>
      <c r="N214" s="91">
        <v>36000</v>
      </c>
      <c r="O214" s="91">
        <v>9000</v>
      </c>
      <c r="P214" s="463"/>
      <c r="Q214" s="704"/>
      <c r="R214" s="707"/>
      <c r="S214" s="76"/>
      <c r="T214" s="76"/>
      <c r="U214" s="76"/>
      <c r="V214" s="76"/>
      <c r="W214" s="76"/>
      <c r="X214" s="76"/>
      <c r="Y214" s="76">
        <v>25000000</v>
      </c>
      <c r="Z214" s="76"/>
      <c r="AA214" s="131"/>
      <c r="AB214" s="131"/>
      <c r="AC214" s="132"/>
      <c r="AD214" s="131"/>
      <c r="AE214" s="131"/>
      <c r="AF214" s="77">
        <f t="shared" si="85"/>
        <v>25000000</v>
      </c>
      <c r="AG214" s="3"/>
      <c r="AH214" s="3"/>
      <c r="AI214" s="3"/>
      <c r="AJ214" s="3"/>
      <c r="AK214" s="3"/>
      <c r="AL214" s="3"/>
      <c r="AM214" s="3"/>
    </row>
    <row r="215" spans="1:39" ht="105" x14ac:dyDescent="0.2">
      <c r="A215" s="51"/>
      <c r="B215" s="197"/>
      <c r="C215" s="197"/>
      <c r="D215" s="261"/>
      <c r="E215" s="638"/>
      <c r="F215" s="69" t="s">
        <v>757</v>
      </c>
      <c r="G215" s="446" t="s">
        <v>293</v>
      </c>
      <c r="H215" s="71">
        <v>2201068</v>
      </c>
      <c r="I215" s="130" t="s">
        <v>294</v>
      </c>
      <c r="J215" s="446" t="s">
        <v>295</v>
      </c>
      <c r="K215" s="447">
        <v>220106800</v>
      </c>
      <c r="L215" s="258" t="s">
        <v>296</v>
      </c>
      <c r="M215" s="74" t="s">
        <v>58</v>
      </c>
      <c r="N215" s="71">
        <v>266</v>
      </c>
      <c r="O215" s="71">
        <v>40</v>
      </c>
      <c r="P215" s="463"/>
      <c r="Q215" s="704"/>
      <c r="R215" s="707"/>
      <c r="S215" s="76"/>
      <c r="T215" s="76"/>
      <c r="U215" s="76"/>
      <c r="V215" s="76"/>
      <c r="W215" s="76"/>
      <c r="X215" s="76"/>
      <c r="Y215" s="76"/>
      <c r="Z215" s="76"/>
      <c r="AA215" s="76"/>
      <c r="AB215" s="76"/>
      <c r="AC215" s="132">
        <f>35000000-8222000+8000000</f>
        <v>34778000</v>
      </c>
      <c r="AD215" s="131"/>
      <c r="AE215" s="131"/>
      <c r="AF215" s="77">
        <f t="shared" si="85"/>
        <v>34778000</v>
      </c>
      <c r="AG215" s="3"/>
      <c r="AH215" s="3"/>
      <c r="AI215" s="3"/>
      <c r="AJ215" s="3"/>
      <c r="AK215" s="3"/>
      <c r="AL215" s="3"/>
      <c r="AM215" s="3"/>
    </row>
    <row r="216" spans="1:39" ht="102" customHeight="1" x14ac:dyDescent="0.2">
      <c r="A216" s="51"/>
      <c r="B216" s="197"/>
      <c r="C216" s="197"/>
      <c r="D216" s="261"/>
      <c r="E216" s="642"/>
      <c r="F216" s="69" t="s">
        <v>721</v>
      </c>
      <c r="G216" s="74" t="s">
        <v>758</v>
      </c>
      <c r="H216" s="71">
        <v>2201046</v>
      </c>
      <c r="I216" s="130" t="s">
        <v>759</v>
      </c>
      <c r="J216" s="74" t="s">
        <v>760</v>
      </c>
      <c r="K216" s="447">
        <v>220104602</v>
      </c>
      <c r="L216" s="130" t="s">
        <v>761</v>
      </c>
      <c r="M216" s="231" t="s">
        <v>153</v>
      </c>
      <c r="N216" s="91">
        <v>54</v>
      </c>
      <c r="O216" s="91">
        <v>5</v>
      </c>
      <c r="P216" s="463"/>
      <c r="Q216" s="704"/>
      <c r="R216" s="707"/>
      <c r="S216" s="76"/>
      <c r="T216" s="76"/>
      <c r="U216" s="76"/>
      <c r="V216" s="466"/>
      <c r="W216" s="76"/>
      <c r="X216" s="76"/>
      <c r="Y216" s="76"/>
      <c r="Z216" s="76"/>
      <c r="AA216" s="76"/>
      <c r="AB216" s="76"/>
      <c r="AC216" s="132">
        <f>10000000+5000000-9600000</f>
        <v>5400000</v>
      </c>
      <c r="AD216" s="131"/>
      <c r="AE216" s="131"/>
      <c r="AF216" s="77">
        <f t="shared" si="85"/>
        <v>5400000</v>
      </c>
      <c r="AG216" s="3"/>
      <c r="AH216" s="3"/>
      <c r="AI216" s="3"/>
      <c r="AJ216" s="3"/>
      <c r="AK216" s="3"/>
      <c r="AL216" s="3"/>
      <c r="AM216" s="3"/>
    </row>
    <row r="217" spans="1:39" ht="92.25" customHeight="1" x14ac:dyDescent="0.2">
      <c r="A217" s="51"/>
      <c r="B217" s="197"/>
      <c r="C217" s="197"/>
      <c r="D217" s="261"/>
      <c r="E217" s="642"/>
      <c r="F217" s="90" t="s">
        <v>168</v>
      </c>
      <c r="G217" s="156" t="s">
        <v>169</v>
      </c>
      <c r="H217" s="129" t="s">
        <v>51</v>
      </c>
      <c r="I217" s="130" t="s">
        <v>170</v>
      </c>
      <c r="J217" s="156" t="s">
        <v>171</v>
      </c>
      <c r="K217" s="156" t="s">
        <v>51</v>
      </c>
      <c r="L217" s="155" t="s">
        <v>172</v>
      </c>
      <c r="M217" s="228" t="s">
        <v>153</v>
      </c>
      <c r="N217" s="71">
        <v>54</v>
      </c>
      <c r="O217" s="71">
        <v>9</v>
      </c>
      <c r="P217" s="463"/>
      <c r="Q217" s="704"/>
      <c r="R217" s="707"/>
      <c r="S217" s="76"/>
      <c r="T217" s="76"/>
      <c r="U217" s="76"/>
      <c r="V217" s="467"/>
      <c r="W217" s="76"/>
      <c r="X217" s="76"/>
      <c r="Y217" s="76">
        <v>12426628.52</v>
      </c>
      <c r="Z217" s="76"/>
      <c r="AA217" s="76"/>
      <c r="AB217" s="76"/>
      <c r="AC217" s="132">
        <f>20000000+5000000</f>
        <v>25000000</v>
      </c>
      <c r="AD217" s="131"/>
      <c r="AE217" s="131"/>
      <c r="AF217" s="77">
        <f t="shared" si="85"/>
        <v>37426628.519999996</v>
      </c>
      <c r="AG217" s="3"/>
      <c r="AH217" s="3"/>
      <c r="AI217" s="3"/>
      <c r="AJ217" s="3"/>
      <c r="AK217" s="3"/>
      <c r="AL217" s="3"/>
      <c r="AM217" s="3"/>
    </row>
    <row r="218" spans="1:39" ht="78.75" customHeight="1" x14ac:dyDescent="0.2">
      <c r="A218" s="51"/>
      <c r="B218" s="197"/>
      <c r="C218" s="197"/>
      <c r="D218" s="261"/>
      <c r="E218" s="641"/>
      <c r="F218" s="69" t="s">
        <v>762</v>
      </c>
      <c r="G218" s="74" t="s">
        <v>763</v>
      </c>
      <c r="H218" s="71">
        <v>2201026</v>
      </c>
      <c r="I218" s="130" t="s">
        <v>764</v>
      </c>
      <c r="J218" s="74" t="s">
        <v>765</v>
      </c>
      <c r="K218" s="447">
        <v>220102600</v>
      </c>
      <c r="L218" s="130" t="s">
        <v>766</v>
      </c>
      <c r="M218" s="231" t="s">
        <v>153</v>
      </c>
      <c r="N218" s="91">
        <v>54</v>
      </c>
      <c r="O218" s="91">
        <v>5</v>
      </c>
      <c r="P218" s="468"/>
      <c r="Q218" s="705"/>
      <c r="R218" s="710"/>
      <c r="S218" s="76"/>
      <c r="T218" s="76"/>
      <c r="U218" s="76"/>
      <c r="V218" s="76">
        <v>174455946.78999999</v>
      </c>
      <c r="W218" s="76"/>
      <c r="X218" s="76"/>
      <c r="Y218" s="76">
        <v>43000000</v>
      </c>
      <c r="Z218" s="76"/>
      <c r="AA218" s="76"/>
      <c r="AB218" s="76"/>
      <c r="AC218" s="172">
        <v>90161500</v>
      </c>
      <c r="AD218" s="76"/>
      <c r="AE218" s="76"/>
      <c r="AF218" s="77">
        <f t="shared" si="85"/>
        <v>307617446.78999996</v>
      </c>
      <c r="AG218" s="3"/>
      <c r="AH218" s="3"/>
      <c r="AI218" s="3"/>
      <c r="AJ218" s="3"/>
      <c r="AK218" s="3"/>
      <c r="AL218" s="3"/>
      <c r="AM218" s="3"/>
    </row>
    <row r="219" spans="1:39" ht="90" x14ac:dyDescent="0.2">
      <c r="A219" s="51"/>
      <c r="B219" s="197"/>
      <c r="C219" s="197"/>
      <c r="D219" s="261"/>
      <c r="E219" s="68"/>
      <c r="F219" s="69" t="s">
        <v>750</v>
      </c>
      <c r="G219" s="91" t="s">
        <v>751</v>
      </c>
      <c r="H219" s="71">
        <v>2201006</v>
      </c>
      <c r="I219" s="130" t="s">
        <v>752</v>
      </c>
      <c r="J219" s="91" t="s">
        <v>753</v>
      </c>
      <c r="K219" s="447">
        <v>220100600</v>
      </c>
      <c r="L219" s="258" t="s">
        <v>754</v>
      </c>
      <c r="M219" s="231" t="s">
        <v>58</v>
      </c>
      <c r="N219" s="91">
        <v>54</v>
      </c>
      <c r="O219" s="91">
        <v>54</v>
      </c>
      <c r="P219" s="283" t="s">
        <v>173</v>
      </c>
      <c r="Q219" s="74" t="s">
        <v>767</v>
      </c>
      <c r="R219" s="130" t="s">
        <v>768</v>
      </c>
      <c r="S219" s="76"/>
      <c r="T219" s="76"/>
      <c r="U219" s="76"/>
      <c r="V219" s="76"/>
      <c r="W219" s="76"/>
      <c r="X219" s="470"/>
      <c r="Y219" s="471"/>
      <c r="Z219" s="470"/>
      <c r="AA219" s="470"/>
      <c r="AB219" s="76"/>
      <c r="AC219" s="132">
        <v>20000000</v>
      </c>
      <c r="AD219" s="131"/>
      <c r="AE219" s="131"/>
      <c r="AF219" s="77">
        <f t="shared" si="85"/>
        <v>20000000</v>
      </c>
      <c r="AG219" s="3"/>
      <c r="AH219" s="3"/>
      <c r="AI219" s="3"/>
      <c r="AJ219" s="3"/>
      <c r="AK219" s="3"/>
      <c r="AL219" s="3"/>
      <c r="AM219" s="3"/>
    </row>
    <row r="220" spans="1:39" s="473" customFormat="1" ht="108" customHeight="1" x14ac:dyDescent="0.25">
      <c r="A220" s="472"/>
      <c r="B220" s="197"/>
      <c r="C220" s="197"/>
      <c r="D220" s="261"/>
      <c r="E220" s="68"/>
      <c r="F220" s="69" t="s">
        <v>721</v>
      </c>
      <c r="G220" s="74" t="s">
        <v>758</v>
      </c>
      <c r="H220" s="71">
        <v>2201046</v>
      </c>
      <c r="I220" s="130" t="s">
        <v>759</v>
      </c>
      <c r="J220" s="74" t="s">
        <v>760</v>
      </c>
      <c r="K220" s="447">
        <v>220104602</v>
      </c>
      <c r="L220" s="130" t="s">
        <v>761</v>
      </c>
      <c r="M220" s="231" t="s">
        <v>153</v>
      </c>
      <c r="N220" s="91">
        <v>54</v>
      </c>
      <c r="O220" s="91">
        <v>5</v>
      </c>
      <c r="P220" s="283" t="s">
        <v>173</v>
      </c>
      <c r="Q220" s="74" t="s">
        <v>769</v>
      </c>
      <c r="R220" s="130" t="s">
        <v>770</v>
      </c>
      <c r="S220" s="76"/>
      <c r="T220" s="76"/>
      <c r="U220" s="76"/>
      <c r="V220" s="76"/>
      <c r="W220" s="76"/>
      <c r="X220" s="76"/>
      <c r="Y220" s="139"/>
      <c r="Z220" s="139"/>
      <c r="AA220" s="76"/>
      <c r="AB220" s="76"/>
      <c r="AC220" s="132">
        <v>76000000</v>
      </c>
      <c r="AD220" s="131"/>
      <c r="AE220" s="131"/>
      <c r="AF220" s="77">
        <f t="shared" si="85"/>
        <v>76000000</v>
      </c>
    </row>
    <row r="221" spans="1:39" ht="85.5" customHeight="1" x14ac:dyDescent="0.2">
      <c r="A221" s="51"/>
      <c r="B221" s="197"/>
      <c r="C221" s="197"/>
      <c r="D221" s="261"/>
      <c r="E221" s="474"/>
      <c r="F221" s="69" t="s">
        <v>771</v>
      </c>
      <c r="G221" s="446" t="s">
        <v>772</v>
      </c>
      <c r="H221" s="71">
        <v>2201037</v>
      </c>
      <c r="I221" s="130" t="s">
        <v>773</v>
      </c>
      <c r="J221" s="446" t="s">
        <v>774</v>
      </c>
      <c r="K221" s="447">
        <v>220103700</v>
      </c>
      <c r="L221" s="258" t="s">
        <v>775</v>
      </c>
      <c r="M221" s="231" t="s">
        <v>58</v>
      </c>
      <c r="N221" s="91">
        <v>54</v>
      </c>
      <c r="O221" s="91">
        <v>54</v>
      </c>
      <c r="P221" s="283" t="s">
        <v>173</v>
      </c>
      <c r="Q221" s="74" t="s">
        <v>776</v>
      </c>
      <c r="R221" s="130" t="s">
        <v>777</v>
      </c>
      <c r="S221" s="76"/>
      <c r="T221" s="76"/>
      <c r="U221" s="76"/>
      <c r="V221" s="76"/>
      <c r="W221" s="76"/>
      <c r="X221" s="76"/>
      <c r="Y221" s="76"/>
      <c r="Z221" s="76"/>
      <c r="AA221" s="76"/>
      <c r="AB221" s="76"/>
      <c r="AC221" s="451">
        <f>25000000-5000000+20000000</f>
        <v>40000000</v>
      </c>
      <c r="AD221" s="131"/>
      <c r="AE221" s="131"/>
      <c r="AF221" s="77">
        <f t="shared" si="85"/>
        <v>40000000</v>
      </c>
      <c r="AG221" s="3"/>
      <c r="AH221" s="3"/>
      <c r="AI221" s="3"/>
      <c r="AJ221" s="3"/>
      <c r="AK221" s="3"/>
      <c r="AL221" s="3"/>
      <c r="AM221" s="3"/>
    </row>
    <row r="222" spans="1:39" ht="75" customHeight="1" x14ac:dyDescent="0.2">
      <c r="A222" s="51"/>
      <c r="B222" s="197"/>
      <c r="C222" s="197"/>
      <c r="D222" s="261"/>
      <c r="E222" s="731"/>
      <c r="F222" s="733" t="s">
        <v>721</v>
      </c>
      <c r="G222" s="735" t="s">
        <v>778</v>
      </c>
      <c r="H222" s="737">
        <v>2201050</v>
      </c>
      <c r="I222" s="706" t="s">
        <v>779</v>
      </c>
      <c r="J222" s="446" t="s">
        <v>780</v>
      </c>
      <c r="K222" s="447">
        <v>220105001</v>
      </c>
      <c r="L222" s="258" t="s">
        <v>781</v>
      </c>
      <c r="M222" s="231" t="s">
        <v>58</v>
      </c>
      <c r="N222" s="91">
        <v>150</v>
      </c>
      <c r="O222" s="91">
        <v>150</v>
      </c>
      <c r="P222" s="739" t="s">
        <v>173</v>
      </c>
      <c r="Q222" s="741" t="s">
        <v>782</v>
      </c>
      <c r="R222" s="706" t="s">
        <v>783</v>
      </c>
      <c r="S222" s="76"/>
      <c r="T222" s="76"/>
      <c r="U222" s="76"/>
      <c r="V222" s="76"/>
      <c r="W222" s="76"/>
      <c r="X222" s="76"/>
      <c r="Y222" s="475">
        <v>700000000</v>
      </c>
      <c r="Z222" s="76"/>
      <c r="AA222" s="76"/>
      <c r="AB222" s="76"/>
      <c r="AC222" s="476"/>
      <c r="AD222" s="76"/>
      <c r="AE222" s="76"/>
      <c r="AF222" s="77">
        <f t="shared" si="85"/>
        <v>700000000</v>
      </c>
      <c r="AG222" s="3"/>
      <c r="AH222" s="3"/>
      <c r="AI222" s="3"/>
      <c r="AJ222" s="3"/>
      <c r="AK222" s="3"/>
      <c r="AL222" s="3"/>
      <c r="AM222" s="3"/>
    </row>
    <row r="223" spans="1:39" ht="53.25" customHeight="1" x14ac:dyDescent="0.2">
      <c r="A223" s="51"/>
      <c r="B223" s="197"/>
      <c r="C223" s="197"/>
      <c r="D223" s="261"/>
      <c r="E223" s="732"/>
      <c r="F223" s="734"/>
      <c r="G223" s="736"/>
      <c r="H223" s="738"/>
      <c r="I223" s="710"/>
      <c r="J223" s="446" t="s">
        <v>784</v>
      </c>
      <c r="K223" s="447">
        <v>220105000</v>
      </c>
      <c r="L223" s="477" t="s">
        <v>785</v>
      </c>
      <c r="M223" s="478" t="s">
        <v>153</v>
      </c>
      <c r="N223" s="91">
        <v>33000</v>
      </c>
      <c r="O223" s="478">
        <v>10000</v>
      </c>
      <c r="P223" s="740"/>
      <c r="Q223" s="742"/>
      <c r="R223" s="710"/>
      <c r="S223" s="76"/>
      <c r="T223" s="76"/>
      <c r="U223" s="76"/>
      <c r="V223" s="76"/>
      <c r="W223" s="76"/>
      <c r="X223" s="76"/>
      <c r="Y223" s="475"/>
      <c r="Z223" s="76"/>
      <c r="AA223" s="76"/>
      <c r="AB223" s="76"/>
      <c r="AC223" s="476"/>
      <c r="AD223" s="76"/>
      <c r="AE223" s="76"/>
      <c r="AF223" s="77"/>
      <c r="AG223" s="3"/>
      <c r="AH223" s="3"/>
      <c r="AI223" s="3"/>
      <c r="AJ223" s="3"/>
      <c r="AK223" s="3"/>
      <c r="AL223" s="3"/>
      <c r="AM223" s="3"/>
    </row>
    <row r="224" spans="1:39" ht="63.75" customHeight="1" x14ac:dyDescent="0.2">
      <c r="A224" s="51"/>
      <c r="B224" s="197"/>
      <c r="C224" s="197"/>
      <c r="D224" s="261"/>
      <c r="E224" s="731"/>
      <c r="F224" s="746" t="s">
        <v>786</v>
      </c>
      <c r="G224" s="747" t="s">
        <v>787</v>
      </c>
      <c r="H224" s="748">
        <v>2201034</v>
      </c>
      <c r="I224" s="713" t="s">
        <v>788</v>
      </c>
      <c r="J224" s="446" t="s">
        <v>789</v>
      </c>
      <c r="K224" s="447">
        <v>220103400</v>
      </c>
      <c r="L224" s="258" t="s">
        <v>790</v>
      </c>
      <c r="M224" s="231" t="s">
        <v>153</v>
      </c>
      <c r="N224" s="91">
        <v>15000</v>
      </c>
      <c r="O224" s="91">
        <v>100</v>
      </c>
      <c r="P224" s="739" t="s">
        <v>173</v>
      </c>
      <c r="Q224" s="703" t="s">
        <v>791</v>
      </c>
      <c r="R224" s="706" t="s">
        <v>792</v>
      </c>
      <c r="S224" s="76"/>
      <c r="T224" s="76"/>
      <c r="U224" s="76"/>
      <c r="V224" s="76"/>
      <c r="W224" s="76"/>
      <c r="X224" s="76"/>
      <c r="Y224" s="76"/>
      <c r="Z224" s="76"/>
      <c r="AA224" s="76"/>
      <c r="AB224" s="76"/>
      <c r="AC224" s="476">
        <v>5000000</v>
      </c>
      <c r="AD224" s="76"/>
      <c r="AE224" s="76"/>
      <c r="AF224" s="77">
        <f>+S224+T224+U224+V224+W224+X224+Y224+Z224+AA224+AB224+AC224+AD224+AE224</f>
        <v>5000000</v>
      </c>
      <c r="AG224" s="3"/>
      <c r="AH224" s="3"/>
      <c r="AI224" s="3"/>
      <c r="AJ224" s="3"/>
      <c r="AK224" s="3"/>
      <c r="AL224" s="3"/>
      <c r="AM224" s="3"/>
    </row>
    <row r="225" spans="1:39" ht="63.75" customHeight="1" x14ac:dyDescent="0.2">
      <c r="A225" s="51"/>
      <c r="B225" s="197"/>
      <c r="C225" s="197"/>
      <c r="D225" s="261"/>
      <c r="E225" s="745"/>
      <c r="F225" s="746"/>
      <c r="G225" s="747"/>
      <c r="H225" s="748"/>
      <c r="I225" s="713"/>
      <c r="J225" s="446" t="s">
        <v>793</v>
      </c>
      <c r="K225" s="447">
        <v>220103401</v>
      </c>
      <c r="L225" s="258" t="s">
        <v>794</v>
      </c>
      <c r="M225" s="231" t="s">
        <v>58</v>
      </c>
      <c r="N225" s="91">
        <v>54</v>
      </c>
      <c r="O225" s="91">
        <v>54</v>
      </c>
      <c r="P225" s="749"/>
      <c r="Q225" s="704"/>
      <c r="R225" s="707"/>
      <c r="S225" s="76"/>
      <c r="T225" s="76"/>
      <c r="U225" s="76"/>
      <c r="V225" s="76"/>
      <c r="W225" s="76"/>
      <c r="X225" s="76"/>
      <c r="Y225" s="76"/>
      <c r="Z225" s="76"/>
      <c r="AA225" s="76"/>
      <c r="AB225" s="76"/>
      <c r="AC225" s="476">
        <v>10000000</v>
      </c>
      <c r="AD225" s="76"/>
      <c r="AE225" s="76"/>
      <c r="AF225" s="77">
        <f>+S225+T225+U225+V225+W225+X225+Y225+Z225+AA225+AB225+AC225+AD225+AE225</f>
        <v>10000000</v>
      </c>
      <c r="AG225" s="3"/>
      <c r="AH225" s="3"/>
      <c r="AI225" s="3"/>
      <c r="AJ225" s="3"/>
      <c r="AK225" s="3"/>
      <c r="AL225" s="3"/>
      <c r="AM225" s="3"/>
    </row>
    <row r="226" spans="1:39" ht="61.5" customHeight="1" x14ac:dyDescent="0.2">
      <c r="A226" s="51"/>
      <c r="B226" s="197"/>
      <c r="C226" s="197"/>
      <c r="D226" s="261"/>
      <c r="E226" s="639"/>
      <c r="F226" s="69" t="s">
        <v>786</v>
      </c>
      <c r="G226" s="74" t="s">
        <v>795</v>
      </c>
      <c r="H226" s="97">
        <v>2201060</v>
      </c>
      <c r="I226" s="130" t="s">
        <v>796</v>
      </c>
      <c r="J226" s="74" t="s">
        <v>797</v>
      </c>
      <c r="K226" s="447">
        <v>220106000</v>
      </c>
      <c r="L226" s="130" t="s">
        <v>798</v>
      </c>
      <c r="M226" s="231" t="s">
        <v>153</v>
      </c>
      <c r="N226" s="91">
        <v>500</v>
      </c>
      <c r="O226" s="91">
        <v>50</v>
      </c>
      <c r="P226" s="740"/>
      <c r="Q226" s="705"/>
      <c r="R226" s="710"/>
      <c r="S226" s="76"/>
      <c r="T226" s="76"/>
      <c r="U226" s="76"/>
      <c r="V226" s="76"/>
      <c r="W226" s="76"/>
      <c r="X226" s="76"/>
      <c r="Y226" s="76"/>
      <c r="Z226" s="76"/>
      <c r="AA226" s="76"/>
      <c r="AB226" s="76"/>
      <c r="AC226" s="476">
        <v>5000000</v>
      </c>
      <c r="AD226" s="76"/>
      <c r="AE226" s="76"/>
      <c r="AF226" s="77">
        <f>+S226+T226+U226+V226+W226+X226+Y226+Z226+AA226+AB226+AC226+AD226+AE226</f>
        <v>5000000</v>
      </c>
      <c r="AG226" s="3"/>
      <c r="AH226" s="3"/>
      <c r="AI226" s="3"/>
      <c r="AJ226" s="3"/>
      <c r="AK226" s="3"/>
      <c r="AL226" s="3"/>
      <c r="AM226" s="3"/>
    </row>
    <row r="227" spans="1:39" ht="90" x14ac:dyDescent="0.2">
      <c r="A227" s="51"/>
      <c r="B227" s="197"/>
      <c r="C227" s="205"/>
      <c r="D227" s="78"/>
      <c r="E227" s="359"/>
      <c r="F227" s="69" t="s">
        <v>750</v>
      </c>
      <c r="G227" s="74" t="s">
        <v>799</v>
      </c>
      <c r="H227" s="97">
        <v>2201015</v>
      </c>
      <c r="I227" s="130" t="s">
        <v>800</v>
      </c>
      <c r="J227" s="74" t="s">
        <v>801</v>
      </c>
      <c r="K227" s="479">
        <v>220101500</v>
      </c>
      <c r="L227" s="130" t="s">
        <v>802</v>
      </c>
      <c r="M227" s="231" t="s">
        <v>58</v>
      </c>
      <c r="N227" s="91">
        <v>11</v>
      </c>
      <c r="O227" s="91">
        <v>11</v>
      </c>
      <c r="P227" s="283" t="s">
        <v>173</v>
      </c>
      <c r="Q227" s="74" t="s">
        <v>803</v>
      </c>
      <c r="R227" s="130" t="s">
        <v>7</v>
      </c>
      <c r="S227" s="76"/>
      <c r="T227" s="76"/>
      <c r="U227" s="76"/>
      <c r="V227" s="76"/>
      <c r="W227" s="76"/>
      <c r="X227" s="76"/>
      <c r="Y227" s="76"/>
      <c r="Z227" s="76"/>
      <c r="AA227" s="76"/>
      <c r="AB227" s="76"/>
      <c r="AC227" s="476">
        <v>10000000</v>
      </c>
      <c r="AD227" s="76"/>
      <c r="AE227" s="76"/>
      <c r="AF227" s="77">
        <f>+S227+T227+U227+V227+W227+X227+Y227+Z227+AA227+AB227+AC227+AD227+AE227</f>
        <v>10000000</v>
      </c>
      <c r="AG227" s="3"/>
      <c r="AH227" s="3"/>
      <c r="AI227" s="3"/>
      <c r="AJ227" s="3"/>
      <c r="AK227" s="3"/>
      <c r="AL227" s="3"/>
      <c r="AM227" s="3"/>
    </row>
    <row r="228" spans="1:39" ht="15.75" x14ac:dyDescent="0.2">
      <c r="A228" s="51"/>
      <c r="B228" s="52"/>
      <c r="C228" s="334">
        <v>44</v>
      </c>
      <c r="D228" s="281" t="s">
        <v>51</v>
      </c>
      <c r="E228" s="119" t="s">
        <v>804</v>
      </c>
      <c r="F228" s="83"/>
      <c r="G228" s="84"/>
      <c r="H228" s="120"/>
      <c r="I228" s="121"/>
      <c r="J228" s="122"/>
      <c r="K228" s="122"/>
      <c r="L228" s="121"/>
      <c r="M228" s="123"/>
      <c r="N228" s="124"/>
      <c r="O228" s="84"/>
      <c r="P228" s="125"/>
      <c r="Q228" s="125"/>
      <c r="R228" s="121"/>
      <c r="S228" s="64">
        <f>SUM(S229:S230)</f>
        <v>0</v>
      </c>
      <c r="T228" s="64">
        <f>SUM(T229:T230)</f>
        <v>0</v>
      </c>
      <c r="U228" s="64">
        <f>SUM(U229:U230)</f>
        <v>0</v>
      </c>
      <c r="V228" s="64">
        <f t="shared" ref="V228:AF228" si="86">SUM(V229:V230)</f>
        <v>90000000</v>
      </c>
      <c r="W228" s="64">
        <f t="shared" si="86"/>
        <v>0</v>
      </c>
      <c r="X228" s="64">
        <f t="shared" si="86"/>
        <v>0</v>
      </c>
      <c r="Y228" s="64">
        <f t="shared" si="86"/>
        <v>0</v>
      </c>
      <c r="Z228" s="64">
        <f t="shared" si="86"/>
        <v>0</v>
      </c>
      <c r="AA228" s="64">
        <f t="shared" si="86"/>
        <v>0</v>
      </c>
      <c r="AB228" s="64">
        <f t="shared" si="86"/>
        <v>0</v>
      </c>
      <c r="AC228" s="64">
        <f t="shared" si="86"/>
        <v>153838500</v>
      </c>
      <c r="AD228" s="64">
        <f t="shared" si="86"/>
        <v>0</v>
      </c>
      <c r="AE228" s="64">
        <f t="shared" si="86"/>
        <v>0</v>
      </c>
      <c r="AF228" s="64">
        <f t="shared" si="86"/>
        <v>243838500</v>
      </c>
    </row>
    <row r="229" spans="1:39" s="473" customFormat="1" ht="84.75" customHeight="1" x14ac:dyDescent="0.25">
      <c r="A229" s="472"/>
      <c r="B229" s="197"/>
      <c r="C229" s="198"/>
      <c r="D229" s="67"/>
      <c r="E229" s="74"/>
      <c r="F229" s="69" t="s">
        <v>805</v>
      </c>
      <c r="G229" s="74" t="s">
        <v>806</v>
      </c>
      <c r="H229" s="71" t="s">
        <v>51</v>
      </c>
      <c r="I229" s="130" t="s">
        <v>807</v>
      </c>
      <c r="J229" s="74" t="s">
        <v>808</v>
      </c>
      <c r="K229" s="74" t="s">
        <v>51</v>
      </c>
      <c r="L229" s="130" t="s">
        <v>809</v>
      </c>
      <c r="M229" s="231" t="s">
        <v>58</v>
      </c>
      <c r="N229" s="91">
        <v>1</v>
      </c>
      <c r="O229" s="91">
        <v>1</v>
      </c>
      <c r="P229" s="283" t="s">
        <v>173</v>
      </c>
      <c r="Q229" s="146" t="s">
        <v>769</v>
      </c>
      <c r="R229" s="480" t="s">
        <v>810</v>
      </c>
      <c r="S229" s="76"/>
      <c r="T229" s="76"/>
      <c r="U229" s="76"/>
      <c r="V229" s="76">
        <v>40000000</v>
      </c>
      <c r="W229" s="76"/>
      <c r="X229" s="76"/>
      <c r="Y229" s="139"/>
      <c r="Z229" s="139"/>
      <c r="AA229" s="76"/>
      <c r="AB229" s="76"/>
      <c r="AC229" s="132">
        <f>126778000-76778000-46161500</f>
        <v>3838500</v>
      </c>
      <c r="AD229" s="131"/>
      <c r="AE229" s="131"/>
      <c r="AF229" s="77">
        <f>+S229+T229+U229+V229+W229+X229+Y229+Z229+AA229+AB229+AC229+AD229+AE229</f>
        <v>43838500</v>
      </c>
    </row>
    <row r="230" spans="1:39" s="473" customFormat="1" ht="98.25" customHeight="1" x14ac:dyDescent="0.25">
      <c r="A230" s="481"/>
      <c r="B230" s="205"/>
      <c r="C230" s="205"/>
      <c r="D230" s="78"/>
      <c r="E230" s="74"/>
      <c r="F230" s="69" t="s">
        <v>805</v>
      </c>
      <c r="G230" s="91" t="s">
        <v>806</v>
      </c>
      <c r="H230" s="71" t="s">
        <v>51</v>
      </c>
      <c r="I230" s="130" t="s">
        <v>807</v>
      </c>
      <c r="J230" s="91" t="s">
        <v>808</v>
      </c>
      <c r="K230" s="277" t="s">
        <v>51</v>
      </c>
      <c r="L230" s="258" t="s">
        <v>809</v>
      </c>
      <c r="M230" s="74" t="s">
        <v>58</v>
      </c>
      <c r="N230" s="71">
        <v>1</v>
      </c>
      <c r="O230" s="247">
        <v>1</v>
      </c>
      <c r="P230" s="283" t="s">
        <v>173</v>
      </c>
      <c r="Q230" s="482" t="s">
        <v>811</v>
      </c>
      <c r="R230" s="130" t="s">
        <v>812</v>
      </c>
      <c r="S230" s="76"/>
      <c r="T230" s="76"/>
      <c r="U230" s="76"/>
      <c r="V230" s="76">
        <v>50000000</v>
      </c>
      <c r="W230" s="76"/>
      <c r="X230" s="76"/>
      <c r="Y230" s="139"/>
      <c r="Z230" s="139"/>
      <c r="AA230" s="131"/>
      <c r="AB230" s="131"/>
      <c r="AC230" s="172">
        <f>145000000+5000000</f>
        <v>150000000</v>
      </c>
      <c r="AD230" s="76"/>
      <c r="AE230" s="76"/>
      <c r="AF230" s="77">
        <f>+S230+T230+U230+V230+W230+X230+Y230+Z230+AA230+AB230+AC230+AD230+AE230</f>
        <v>200000000</v>
      </c>
    </row>
    <row r="231" spans="1:39" ht="33.75" customHeight="1" x14ac:dyDescent="0.2">
      <c r="AF231" s="695"/>
    </row>
    <row r="232" spans="1:39" s="209" customFormat="1" ht="15.75" x14ac:dyDescent="0.2">
      <c r="A232" s="23" t="s">
        <v>813</v>
      </c>
      <c r="B232" s="24"/>
      <c r="C232" s="25"/>
      <c r="D232" s="26"/>
      <c r="E232" s="27"/>
      <c r="F232" s="28"/>
      <c r="G232" s="29"/>
      <c r="H232" s="30"/>
      <c r="I232" s="31"/>
      <c r="J232" s="32"/>
      <c r="K232" s="32"/>
      <c r="L232" s="31"/>
      <c r="M232" s="104"/>
      <c r="N232" s="30"/>
      <c r="O232" s="29"/>
      <c r="P232" s="27"/>
      <c r="Q232" s="27"/>
      <c r="R232" s="31"/>
      <c r="S232" s="193">
        <f t="shared" ref="S232:AF232" si="87">S233+S269+S274</f>
        <v>4262727592.3899999</v>
      </c>
      <c r="T232" s="193">
        <f t="shared" si="87"/>
        <v>0</v>
      </c>
      <c r="U232" s="193">
        <f t="shared" si="87"/>
        <v>0</v>
      </c>
      <c r="V232" s="193">
        <f t="shared" si="87"/>
        <v>0</v>
      </c>
      <c r="W232" s="193">
        <f t="shared" si="87"/>
        <v>0</v>
      </c>
      <c r="X232" s="193">
        <f t="shared" si="87"/>
        <v>0</v>
      </c>
      <c r="Y232" s="193">
        <f t="shared" si="87"/>
        <v>0</v>
      </c>
      <c r="Z232" s="193">
        <f t="shared" si="87"/>
        <v>0</v>
      </c>
      <c r="AA232" s="193">
        <f t="shared" si="87"/>
        <v>0</v>
      </c>
      <c r="AB232" s="193">
        <f t="shared" si="87"/>
        <v>0</v>
      </c>
      <c r="AC232" s="193">
        <f t="shared" si="87"/>
        <v>1934044477</v>
      </c>
      <c r="AD232" s="193">
        <f t="shared" si="87"/>
        <v>0</v>
      </c>
      <c r="AE232" s="193">
        <f t="shared" si="87"/>
        <v>0</v>
      </c>
      <c r="AF232" s="193">
        <f t="shared" si="87"/>
        <v>6196772069.3899994</v>
      </c>
      <c r="AG232" s="219"/>
      <c r="AH232" s="219"/>
      <c r="AI232" s="219"/>
      <c r="AJ232" s="219"/>
      <c r="AK232" s="219"/>
      <c r="AL232" s="219"/>
      <c r="AM232" s="219"/>
    </row>
    <row r="233" spans="1:39" s="209" customFormat="1" ht="15.75" x14ac:dyDescent="0.2">
      <c r="A233" s="483"/>
      <c r="B233" s="106">
        <v>1</v>
      </c>
      <c r="C233" s="107" t="s">
        <v>814</v>
      </c>
      <c r="D233" s="108"/>
      <c r="E233" s="109"/>
      <c r="F233" s="110"/>
      <c r="G233" s="111"/>
      <c r="H233" s="112"/>
      <c r="I233" s="113"/>
      <c r="J233" s="114"/>
      <c r="K233" s="114"/>
      <c r="L233" s="113"/>
      <c r="M233" s="115"/>
      <c r="N233" s="116"/>
      <c r="O233" s="111"/>
      <c r="P233" s="109"/>
      <c r="Q233" s="109"/>
      <c r="R233" s="113"/>
      <c r="S233" s="50">
        <f t="shared" ref="S233:AF233" si="88">+S234+S237+S239+S248+S256+S266</f>
        <v>4262727592.3899999</v>
      </c>
      <c r="T233" s="50">
        <f t="shared" si="88"/>
        <v>0</v>
      </c>
      <c r="U233" s="50">
        <f t="shared" si="88"/>
        <v>0</v>
      </c>
      <c r="V233" s="50">
        <f t="shared" si="88"/>
        <v>0</v>
      </c>
      <c r="W233" s="50">
        <f t="shared" si="88"/>
        <v>0</v>
      </c>
      <c r="X233" s="50">
        <f t="shared" si="88"/>
        <v>0</v>
      </c>
      <c r="Y233" s="50">
        <f t="shared" si="88"/>
        <v>0</v>
      </c>
      <c r="Z233" s="50">
        <f t="shared" si="88"/>
        <v>0</v>
      </c>
      <c r="AA233" s="50">
        <f t="shared" si="88"/>
        <v>0</v>
      </c>
      <c r="AB233" s="50">
        <f t="shared" si="88"/>
        <v>0</v>
      </c>
      <c r="AC233" s="50">
        <f t="shared" si="88"/>
        <v>1867044477</v>
      </c>
      <c r="AD233" s="50">
        <f t="shared" si="88"/>
        <v>0</v>
      </c>
      <c r="AE233" s="50">
        <f t="shared" si="88"/>
        <v>0</v>
      </c>
      <c r="AF233" s="50">
        <f t="shared" si="88"/>
        <v>6129772069.3899994</v>
      </c>
      <c r="AG233" s="219"/>
      <c r="AH233" s="219"/>
      <c r="AI233" s="219"/>
      <c r="AJ233" s="219"/>
      <c r="AK233" s="219"/>
      <c r="AL233" s="219"/>
      <c r="AM233" s="219"/>
    </row>
    <row r="234" spans="1:39" s="209" customFormat="1" ht="15.75" x14ac:dyDescent="0.2">
      <c r="A234" s="483"/>
      <c r="B234" s="52"/>
      <c r="C234" s="321">
        <v>12</v>
      </c>
      <c r="D234" s="195">
        <v>1905</v>
      </c>
      <c r="E234" s="484" t="s">
        <v>815</v>
      </c>
      <c r="F234" s="83"/>
      <c r="G234" s="84"/>
      <c r="H234" s="120"/>
      <c r="I234" s="121"/>
      <c r="J234" s="122"/>
      <c r="K234" s="122"/>
      <c r="L234" s="121"/>
      <c r="M234" s="123"/>
      <c r="N234" s="124"/>
      <c r="O234" s="84"/>
      <c r="P234" s="125"/>
      <c r="Q234" s="125"/>
      <c r="R234" s="121"/>
      <c r="S234" s="485">
        <f t="shared" ref="S234:AF234" si="89">SUM(S235:S236)</f>
        <v>0</v>
      </c>
      <c r="T234" s="485">
        <f t="shared" si="89"/>
        <v>0</v>
      </c>
      <c r="U234" s="485">
        <f t="shared" si="89"/>
        <v>0</v>
      </c>
      <c r="V234" s="485">
        <f t="shared" si="89"/>
        <v>0</v>
      </c>
      <c r="W234" s="485">
        <f t="shared" si="89"/>
        <v>0</v>
      </c>
      <c r="X234" s="485">
        <f t="shared" si="89"/>
        <v>0</v>
      </c>
      <c r="Y234" s="485">
        <f t="shared" si="89"/>
        <v>0</v>
      </c>
      <c r="Z234" s="485">
        <f t="shared" si="89"/>
        <v>0</v>
      </c>
      <c r="AA234" s="485">
        <f t="shared" si="89"/>
        <v>0</v>
      </c>
      <c r="AB234" s="485">
        <f t="shared" si="89"/>
        <v>0</v>
      </c>
      <c r="AC234" s="485">
        <f t="shared" si="89"/>
        <v>54477635</v>
      </c>
      <c r="AD234" s="485">
        <f t="shared" si="89"/>
        <v>0</v>
      </c>
      <c r="AE234" s="485">
        <f t="shared" si="89"/>
        <v>0</v>
      </c>
      <c r="AF234" s="486">
        <f t="shared" si="89"/>
        <v>54477635</v>
      </c>
      <c r="AG234" s="219"/>
      <c r="AH234" s="219"/>
      <c r="AI234" s="219"/>
      <c r="AJ234" s="219"/>
      <c r="AK234" s="219"/>
      <c r="AL234" s="219"/>
      <c r="AM234" s="219"/>
    </row>
    <row r="235" spans="1:39" s="488" customFormat="1" ht="157.5" customHeight="1" x14ac:dyDescent="0.2">
      <c r="A235" s="140"/>
      <c r="B235" s="197"/>
      <c r="C235" s="292"/>
      <c r="D235" s="134"/>
      <c r="E235" s="474"/>
      <c r="F235" s="90" t="s">
        <v>816</v>
      </c>
      <c r="G235" s="74" t="s">
        <v>817</v>
      </c>
      <c r="H235" s="479">
        <v>1905021</v>
      </c>
      <c r="I235" s="130" t="s">
        <v>818</v>
      </c>
      <c r="J235" s="74" t="s">
        <v>819</v>
      </c>
      <c r="K235" s="479">
        <v>190502100</v>
      </c>
      <c r="L235" s="130" t="s">
        <v>820</v>
      </c>
      <c r="M235" s="231" t="s">
        <v>58</v>
      </c>
      <c r="N235" s="91">
        <v>12</v>
      </c>
      <c r="O235" s="91">
        <v>12</v>
      </c>
      <c r="P235" s="703" t="s">
        <v>163</v>
      </c>
      <c r="Q235" s="703" t="s">
        <v>821</v>
      </c>
      <c r="R235" s="743" t="s">
        <v>822</v>
      </c>
      <c r="S235" s="76"/>
      <c r="T235" s="76"/>
      <c r="U235" s="76"/>
      <c r="V235" s="76"/>
      <c r="W235" s="76"/>
      <c r="X235" s="76"/>
      <c r="Y235" s="76"/>
      <c r="Z235" s="76"/>
      <c r="AA235" s="76"/>
      <c r="AB235" s="76"/>
      <c r="AC235" s="487">
        <v>25000000</v>
      </c>
      <c r="AD235" s="131"/>
      <c r="AE235" s="131"/>
      <c r="AF235" s="77">
        <f>+S235+T235+U235+V235+W235+X235+Y235+Z235+AA235+AB235+AC235+AD235+AE235</f>
        <v>25000000</v>
      </c>
    </row>
    <row r="236" spans="1:39" s="488" customFormat="1" ht="120" x14ac:dyDescent="0.2">
      <c r="A236" s="140"/>
      <c r="B236" s="197"/>
      <c r="C236" s="294"/>
      <c r="D236" s="295"/>
      <c r="E236" s="474"/>
      <c r="F236" s="90" t="s">
        <v>823</v>
      </c>
      <c r="G236" s="91" t="s">
        <v>824</v>
      </c>
      <c r="H236" s="489">
        <v>1905022</v>
      </c>
      <c r="I236" s="490" t="s">
        <v>825</v>
      </c>
      <c r="J236" s="91" t="s">
        <v>826</v>
      </c>
      <c r="K236" s="91">
        <v>190502200</v>
      </c>
      <c r="L236" s="258" t="s">
        <v>827</v>
      </c>
      <c r="M236" s="231" t="s">
        <v>58</v>
      </c>
      <c r="N236" s="91">
        <v>12</v>
      </c>
      <c r="O236" s="91">
        <v>12</v>
      </c>
      <c r="P236" s="705"/>
      <c r="Q236" s="705"/>
      <c r="R236" s="744"/>
      <c r="S236" s="76"/>
      <c r="T236" s="76"/>
      <c r="U236" s="76"/>
      <c r="V236" s="76"/>
      <c r="W236" s="76"/>
      <c r="X236" s="76"/>
      <c r="Y236" s="76"/>
      <c r="Z236" s="76"/>
      <c r="AA236" s="76"/>
      <c r="AB236" s="76"/>
      <c r="AC236" s="487">
        <v>29477635</v>
      </c>
      <c r="AD236" s="131"/>
      <c r="AE236" s="131"/>
      <c r="AF236" s="77">
        <f>+S236+T236+U236+V236+W236+X236+Y236+Z236+AA236+AB236+AC236+AD236+AE236</f>
        <v>29477635</v>
      </c>
    </row>
    <row r="237" spans="1:39" s="209" customFormat="1" ht="15.75" customHeight="1" x14ac:dyDescent="0.2">
      <c r="A237" s="483"/>
      <c r="B237" s="79"/>
      <c r="C237" s="334">
        <v>25</v>
      </c>
      <c r="D237" s="281">
        <v>3301</v>
      </c>
      <c r="E237" s="119" t="s">
        <v>176</v>
      </c>
      <c r="F237" s="83"/>
      <c r="G237" s="84"/>
      <c r="H237" s="120"/>
      <c r="I237" s="121"/>
      <c r="J237" s="122"/>
      <c r="K237" s="122"/>
      <c r="L237" s="121"/>
      <c r="M237" s="491"/>
      <c r="N237" s="492"/>
      <c r="O237" s="84"/>
      <c r="P237" s="125"/>
      <c r="Q237" s="125"/>
      <c r="R237" s="121"/>
      <c r="S237" s="485">
        <f t="shared" ref="S237:AF237" si="90">SUM(S238)</f>
        <v>0</v>
      </c>
      <c r="T237" s="485">
        <f t="shared" si="90"/>
        <v>0</v>
      </c>
      <c r="U237" s="485">
        <f t="shared" si="90"/>
        <v>0</v>
      </c>
      <c r="V237" s="485">
        <f t="shared" si="90"/>
        <v>0</v>
      </c>
      <c r="W237" s="485">
        <f t="shared" si="90"/>
        <v>0</v>
      </c>
      <c r="X237" s="485">
        <f t="shared" si="90"/>
        <v>0</v>
      </c>
      <c r="Y237" s="485">
        <f t="shared" si="90"/>
        <v>0</v>
      </c>
      <c r="Z237" s="485">
        <f t="shared" si="90"/>
        <v>0</v>
      </c>
      <c r="AA237" s="485">
        <f t="shared" si="90"/>
        <v>0</v>
      </c>
      <c r="AB237" s="485">
        <f t="shared" si="90"/>
        <v>0</v>
      </c>
      <c r="AC237" s="485">
        <f t="shared" si="90"/>
        <v>47000000</v>
      </c>
      <c r="AD237" s="485">
        <f t="shared" si="90"/>
        <v>0</v>
      </c>
      <c r="AE237" s="485">
        <f t="shared" si="90"/>
        <v>0</v>
      </c>
      <c r="AF237" s="486">
        <f t="shared" si="90"/>
        <v>47000000</v>
      </c>
      <c r="AG237" s="219"/>
      <c r="AH237" s="219"/>
      <c r="AI237" s="219"/>
      <c r="AJ237" s="219"/>
      <c r="AK237" s="219"/>
      <c r="AL237" s="219"/>
      <c r="AM237" s="219"/>
    </row>
    <row r="238" spans="1:39" s="488" customFormat="1" ht="65.25" customHeight="1" x14ac:dyDescent="0.2">
      <c r="A238" s="140"/>
      <c r="B238" s="197"/>
      <c r="C238" s="299"/>
      <c r="D238" s="128"/>
      <c r="E238" s="493"/>
      <c r="F238" s="90" t="s">
        <v>828</v>
      </c>
      <c r="G238" s="156" t="s">
        <v>829</v>
      </c>
      <c r="H238" s="247">
        <v>3301051</v>
      </c>
      <c r="I238" s="130" t="s">
        <v>830</v>
      </c>
      <c r="J238" s="156" t="s">
        <v>831</v>
      </c>
      <c r="K238" s="479">
        <v>330105110</v>
      </c>
      <c r="L238" s="155" t="s">
        <v>832</v>
      </c>
      <c r="M238" s="231" t="s">
        <v>153</v>
      </c>
      <c r="N238" s="91">
        <v>1000</v>
      </c>
      <c r="O238" s="91">
        <v>50</v>
      </c>
      <c r="P238" s="156" t="s">
        <v>184</v>
      </c>
      <c r="Q238" s="156" t="s">
        <v>833</v>
      </c>
      <c r="R238" s="494" t="s">
        <v>834</v>
      </c>
      <c r="S238" s="76"/>
      <c r="T238" s="76"/>
      <c r="U238" s="76"/>
      <c r="V238" s="76"/>
      <c r="W238" s="76"/>
      <c r="X238" s="76"/>
      <c r="Y238" s="76"/>
      <c r="Z238" s="76"/>
      <c r="AA238" s="131"/>
      <c r="AB238" s="131"/>
      <c r="AC238" s="487">
        <f>20000000+27000000</f>
        <v>47000000</v>
      </c>
      <c r="AD238" s="131"/>
      <c r="AE238" s="131"/>
      <c r="AF238" s="77">
        <f>+S238+T238+U238+V238+W238+X238+Y238+Z238+AA238+AB238+AC238+AD238+AE238</f>
        <v>47000000</v>
      </c>
    </row>
    <row r="239" spans="1:39" s="209" customFormat="1" ht="15.75" x14ac:dyDescent="0.2">
      <c r="A239" s="483"/>
      <c r="B239" s="79"/>
      <c r="C239" s="334">
        <v>36</v>
      </c>
      <c r="D239" s="281">
        <v>4102</v>
      </c>
      <c r="E239" s="119" t="s">
        <v>835</v>
      </c>
      <c r="F239" s="83"/>
      <c r="G239" s="84"/>
      <c r="H239" s="120"/>
      <c r="I239" s="121"/>
      <c r="J239" s="122"/>
      <c r="K239" s="122"/>
      <c r="L239" s="121"/>
      <c r="M239" s="123"/>
      <c r="N239" s="124"/>
      <c r="O239" s="84"/>
      <c r="P239" s="125"/>
      <c r="Q239" s="125"/>
      <c r="R239" s="121"/>
      <c r="S239" s="485">
        <f t="shared" ref="S239:AF239" si="91">SUM(S240:S247)</f>
        <v>0</v>
      </c>
      <c r="T239" s="485">
        <f t="shared" si="91"/>
        <v>0</v>
      </c>
      <c r="U239" s="485">
        <f t="shared" si="91"/>
        <v>0</v>
      </c>
      <c r="V239" s="485">
        <f t="shared" si="91"/>
        <v>0</v>
      </c>
      <c r="W239" s="485">
        <f t="shared" si="91"/>
        <v>0</v>
      </c>
      <c r="X239" s="485">
        <f t="shared" si="91"/>
        <v>0</v>
      </c>
      <c r="Y239" s="485">
        <f t="shared" si="91"/>
        <v>0</v>
      </c>
      <c r="Z239" s="485">
        <f t="shared" si="91"/>
        <v>0</v>
      </c>
      <c r="AA239" s="485">
        <f t="shared" si="91"/>
        <v>0</v>
      </c>
      <c r="AB239" s="485">
        <f t="shared" si="91"/>
        <v>0</v>
      </c>
      <c r="AC239" s="485">
        <f t="shared" si="91"/>
        <v>737000000</v>
      </c>
      <c r="AD239" s="485">
        <f t="shared" si="91"/>
        <v>0</v>
      </c>
      <c r="AE239" s="485">
        <f t="shared" si="91"/>
        <v>0</v>
      </c>
      <c r="AF239" s="486">
        <f t="shared" si="91"/>
        <v>737000000</v>
      </c>
      <c r="AG239" s="219"/>
      <c r="AH239" s="219"/>
      <c r="AI239" s="219"/>
      <c r="AJ239" s="219"/>
      <c r="AK239" s="219"/>
      <c r="AL239" s="219"/>
      <c r="AM239" s="219"/>
    </row>
    <row r="240" spans="1:39" s="488" customFormat="1" ht="69" customHeight="1" x14ac:dyDescent="0.2">
      <c r="A240" s="140"/>
      <c r="B240" s="197"/>
      <c r="C240" s="198"/>
      <c r="D240" s="67"/>
      <c r="E240" s="637"/>
      <c r="F240" s="90" t="s">
        <v>836</v>
      </c>
      <c r="G240" s="91" t="s">
        <v>837</v>
      </c>
      <c r="H240" s="247" t="s">
        <v>51</v>
      </c>
      <c r="I240" s="130" t="s">
        <v>838</v>
      </c>
      <c r="J240" s="91" t="s">
        <v>839</v>
      </c>
      <c r="K240" s="232" t="s">
        <v>51</v>
      </c>
      <c r="L240" s="278" t="s">
        <v>840</v>
      </c>
      <c r="M240" s="495" t="s">
        <v>58</v>
      </c>
      <c r="N240" s="232">
        <v>1</v>
      </c>
      <c r="O240" s="232">
        <v>1</v>
      </c>
      <c r="P240" s="703" t="s">
        <v>306</v>
      </c>
      <c r="Q240" s="703" t="s">
        <v>841</v>
      </c>
      <c r="R240" s="706" t="s">
        <v>842</v>
      </c>
      <c r="S240" s="76"/>
      <c r="T240" s="76"/>
      <c r="U240" s="76"/>
      <c r="V240" s="76"/>
      <c r="W240" s="76"/>
      <c r="X240" s="76"/>
      <c r="Y240" s="76"/>
      <c r="Z240" s="76"/>
      <c r="AA240" s="131"/>
      <c r="AB240" s="131"/>
      <c r="AC240" s="487">
        <v>30000000</v>
      </c>
      <c r="AD240" s="131"/>
      <c r="AE240" s="131"/>
      <c r="AF240" s="77">
        <f t="shared" ref="AF240:AF247" si="92">+S240+T240+U240+V240+W240+X240+Y240+Z240+AA240+AB240+AC240+AD240+AE240</f>
        <v>30000000</v>
      </c>
    </row>
    <row r="241" spans="1:39" s="488" customFormat="1" ht="57.75" customHeight="1" x14ac:dyDescent="0.2">
      <c r="A241" s="140"/>
      <c r="B241" s="197"/>
      <c r="C241" s="197"/>
      <c r="D241" s="261"/>
      <c r="E241" s="639"/>
      <c r="F241" s="90" t="s">
        <v>843</v>
      </c>
      <c r="G241" s="91" t="s">
        <v>844</v>
      </c>
      <c r="H241" s="247" t="s">
        <v>51</v>
      </c>
      <c r="I241" s="130" t="s">
        <v>845</v>
      </c>
      <c r="J241" s="91" t="s">
        <v>846</v>
      </c>
      <c r="K241" s="232" t="s">
        <v>51</v>
      </c>
      <c r="L241" s="278" t="s">
        <v>847</v>
      </c>
      <c r="M241" s="495" t="s">
        <v>58</v>
      </c>
      <c r="N241" s="232">
        <v>12</v>
      </c>
      <c r="O241" s="232">
        <v>12</v>
      </c>
      <c r="P241" s="705"/>
      <c r="Q241" s="705"/>
      <c r="R241" s="710"/>
      <c r="S241" s="76"/>
      <c r="T241" s="76"/>
      <c r="U241" s="76"/>
      <c r="V241" s="76"/>
      <c r="W241" s="76"/>
      <c r="X241" s="76"/>
      <c r="Y241" s="76"/>
      <c r="Z241" s="76"/>
      <c r="AA241" s="131"/>
      <c r="AB241" s="131"/>
      <c r="AC241" s="487">
        <v>25000000</v>
      </c>
      <c r="AD241" s="131"/>
      <c r="AE241" s="131"/>
      <c r="AF241" s="77">
        <f t="shared" si="92"/>
        <v>25000000</v>
      </c>
    </row>
    <row r="242" spans="1:39" s="488" customFormat="1" ht="101.25" customHeight="1" x14ac:dyDescent="0.2">
      <c r="A242" s="140"/>
      <c r="B242" s="197"/>
      <c r="C242" s="293"/>
      <c r="D242" s="152"/>
      <c r="E242" s="68"/>
      <c r="F242" s="90" t="s">
        <v>848</v>
      </c>
      <c r="G242" s="91" t="s">
        <v>849</v>
      </c>
      <c r="H242" s="497" t="s">
        <v>51</v>
      </c>
      <c r="I242" s="130" t="s">
        <v>850</v>
      </c>
      <c r="J242" s="91" t="s">
        <v>851</v>
      </c>
      <c r="K242" s="277" t="s">
        <v>51</v>
      </c>
      <c r="L242" s="278" t="s">
        <v>852</v>
      </c>
      <c r="M242" s="495" t="s">
        <v>58</v>
      </c>
      <c r="N242" s="232">
        <v>1</v>
      </c>
      <c r="O242" s="232">
        <v>1</v>
      </c>
      <c r="P242" s="94" t="s">
        <v>74</v>
      </c>
      <c r="Q242" s="74" t="s">
        <v>853</v>
      </c>
      <c r="R242" s="130" t="s">
        <v>854</v>
      </c>
      <c r="S242" s="76"/>
      <c r="T242" s="76"/>
      <c r="U242" s="76"/>
      <c r="V242" s="76"/>
      <c r="W242" s="76"/>
      <c r="X242" s="76"/>
      <c r="Y242" s="76"/>
      <c r="Z242" s="76"/>
      <c r="AA242" s="76"/>
      <c r="AB242" s="76"/>
      <c r="AC242" s="487">
        <v>180000000</v>
      </c>
      <c r="AD242" s="131"/>
      <c r="AE242" s="131"/>
      <c r="AF242" s="77">
        <f t="shared" si="92"/>
        <v>180000000</v>
      </c>
    </row>
    <row r="243" spans="1:39" s="488" customFormat="1" ht="106.5" customHeight="1" x14ac:dyDescent="0.2">
      <c r="A243" s="140"/>
      <c r="B243" s="197"/>
      <c r="C243" s="293"/>
      <c r="D243" s="152"/>
      <c r="E243" s="496"/>
      <c r="F243" s="69" t="s">
        <v>855</v>
      </c>
      <c r="G243" s="228" t="s">
        <v>856</v>
      </c>
      <c r="H243" s="497" t="s">
        <v>51</v>
      </c>
      <c r="I243" s="130" t="s">
        <v>857</v>
      </c>
      <c r="J243" s="228" t="s">
        <v>858</v>
      </c>
      <c r="K243" s="228" t="s">
        <v>51</v>
      </c>
      <c r="L243" s="130" t="s">
        <v>859</v>
      </c>
      <c r="M243" s="495" t="s">
        <v>58</v>
      </c>
      <c r="N243" s="232">
        <v>1</v>
      </c>
      <c r="O243" s="232">
        <v>1</v>
      </c>
      <c r="P243" s="94" t="s">
        <v>306</v>
      </c>
      <c r="Q243" s="156" t="s">
        <v>860</v>
      </c>
      <c r="R243" s="155" t="s">
        <v>861</v>
      </c>
      <c r="S243" s="76"/>
      <c r="T243" s="76"/>
      <c r="U243" s="76"/>
      <c r="V243" s="76"/>
      <c r="W243" s="76"/>
      <c r="X243" s="76"/>
      <c r="Y243" s="76"/>
      <c r="Z243" s="76"/>
      <c r="AA243" s="131"/>
      <c r="AB243" s="131"/>
      <c r="AC243" s="487">
        <v>240000000</v>
      </c>
      <c r="AD243" s="131"/>
      <c r="AE243" s="131"/>
      <c r="AF243" s="77">
        <f t="shared" si="92"/>
        <v>240000000</v>
      </c>
    </row>
    <row r="244" spans="1:39" s="488" customFormat="1" ht="99" customHeight="1" x14ac:dyDescent="0.2">
      <c r="A244" s="140"/>
      <c r="B244" s="197"/>
      <c r="C244" s="293"/>
      <c r="D244" s="152"/>
      <c r="E244" s="493"/>
      <c r="F244" s="90" t="s">
        <v>862</v>
      </c>
      <c r="G244" s="91" t="s">
        <v>863</v>
      </c>
      <c r="H244" s="497" t="s">
        <v>51</v>
      </c>
      <c r="I244" s="72" t="s">
        <v>864</v>
      </c>
      <c r="J244" s="91" t="s">
        <v>865</v>
      </c>
      <c r="K244" s="277" t="s">
        <v>51</v>
      </c>
      <c r="L244" s="258" t="s">
        <v>866</v>
      </c>
      <c r="M244" s="495" t="s">
        <v>58</v>
      </c>
      <c r="N244" s="232">
        <v>1</v>
      </c>
      <c r="O244" s="232">
        <v>1</v>
      </c>
      <c r="P244" s="94" t="s">
        <v>306</v>
      </c>
      <c r="Q244" s="156" t="s">
        <v>833</v>
      </c>
      <c r="R244" s="494" t="s">
        <v>834</v>
      </c>
      <c r="S244" s="76"/>
      <c r="T244" s="76"/>
      <c r="U244" s="76"/>
      <c r="V244" s="76"/>
      <c r="W244" s="76"/>
      <c r="X244" s="76"/>
      <c r="Y244" s="76"/>
      <c r="Z244" s="76"/>
      <c r="AA244" s="131"/>
      <c r="AB244" s="131"/>
      <c r="AC244" s="487">
        <v>180000000</v>
      </c>
      <c r="AD244" s="131"/>
      <c r="AE244" s="131"/>
      <c r="AF244" s="77">
        <f t="shared" si="92"/>
        <v>180000000</v>
      </c>
    </row>
    <row r="245" spans="1:39" s="488" customFormat="1" ht="120" customHeight="1" x14ac:dyDescent="0.2">
      <c r="A245" s="140"/>
      <c r="B245" s="197"/>
      <c r="C245" s="293"/>
      <c r="D245" s="152"/>
      <c r="E245" s="474"/>
      <c r="F245" s="90" t="s">
        <v>867</v>
      </c>
      <c r="G245" s="228" t="s">
        <v>868</v>
      </c>
      <c r="H245" s="247" t="s">
        <v>51</v>
      </c>
      <c r="I245" s="130" t="s">
        <v>869</v>
      </c>
      <c r="J245" s="228" t="s">
        <v>870</v>
      </c>
      <c r="K245" s="228" t="s">
        <v>51</v>
      </c>
      <c r="L245" s="130" t="s">
        <v>871</v>
      </c>
      <c r="M245" s="495" t="s">
        <v>58</v>
      </c>
      <c r="N245" s="232">
        <v>12</v>
      </c>
      <c r="O245" s="232">
        <v>12</v>
      </c>
      <c r="P245" s="498" t="s">
        <v>277</v>
      </c>
      <c r="Q245" s="156" t="s">
        <v>872</v>
      </c>
      <c r="R245" s="499" t="s">
        <v>873</v>
      </c>
      <c r="S245" s="76"/>
      <c r="T245" s="76"/>
      <c r="U245" s="76"/>
      <c r="V245" s="76"/>
      <c r="W245" s="76"/>
      <c r="X245" s="76"/>
      <c r="Y245" s="76"/>
      <c r="Z245" s="76"/>
      <c r="AA245" s="76"/>
      <c r="AB245" s="76"/>
      <c r="AC245" s="487">
        <v>13000000</v>
      </c>
      <c r="AD245" s="131"/>
      <c r="AE245" s="131"/>
      <c r="AF245" s="77">
        <f t="shared" si="92"/>
        <v>13000000</v>
      </c>
    </row>
    <row r="246" spans="1:39" s="488" customFormat="1" ht="112.5" customHeight="1" x14ac:dyDescent="0.2">
      <c r="A246" s="140"/>
      <c r="B246" s="197"/>
      <c r="C246" s="293"/>
      <c r="D246" s="152"/>
      <c r="E246" s="474"/>
      <c r="F246" s="90" t="s">
        <v>874</v>
      </c>
      <c r="G246" s="500" t="s">
        <v>875</v>
      </c>
      <c r="H246" s="489">
        <v>4102022</v>
      </c>
      <c r="I246" s="490" t="s">
        <v>876</v>
      </c>
      <c r="J246" s="500" t="s">
        <v>877</v>
      </c>
      <c r="K246" s="500" t="s">
        <v>878</v>
      </c>
      <c r="L246" s="501" t="s">
        <v>879</v>
      </c>
      <c r="M246" s="495" t="s">
        <v>153</v>
      </c>
      <c r="N246" s="232">
        <v>64</v>
      </c>
      <c r="O246" s="232">
        <v>6</v>
      </c>
      <c r="P246" s="498" t="s">
        <v>306</v>
      </c>
      <c r="Q246" s="156" t="s">
        <v>880</v>
      </c>
      <c r="R246" s="499" t="s">
        <v>881</v>
      </c>
      <c r="S246" s="76"/>
      <c r="T246" s="76"/>
      <c r="U246" s="76"/>
      <c r="V246" s="76"/>
      <c r="W246" s="76"/>
      <c r="X246" s="76"/>
      <c r="Y246" s="76"/>
      <c r="Z246" s="76"/>
      <c r="AA246" s="76"/>
      <c r="AB246" s="76"/>
      <c r="AC246" s="487">
        <f>20000000+35000000</f>
        <v>55000000</v>
      </c>
      <c r="AD246" s="131"/>
      <c r="AE246" s="131"/>
      <c r="AF246" s="77">
        <f t="shared" si="92"/>
        <v>55000000</v>
      </c>
    </row>
    <row r="247" spans="1:39" s="488" customFormat="1" ht="73.5" customHeight="1" x14ac:dyDescent="0.2">
      <c r="A247" s="140"/>
      <c r="B247" s="197"/>
      <c r="C247" s="294"/>
      <c r="D247" s="295"/>
      <c r="E247" s="474"/>
      <c r="F247" s="90" t="s">
        <v>882</v>
      </c>
      <c r="G247" s="91" t="s">
        <v>883</v>
      </c>
      <c r="H247" s="71">
        <v>4102038</v>
      </c>
      <c r="I247" s="130" t="s">
        <v>884</v>
      </c>
      <c r="J247" s="91" t="s">
        <v>885</v>
      </c>
      <c r="K247" s="91">
        <v>410203800</v>
      </c>
      <c r="L247" s="258" t="s">
        <v>886</v>
      </c>
      <c r="M247" s="495" t="s">
        <v>153</v>
      </c>
      <c r="N247" s="232">
        <v>40</v>
      </c>
      <c r="O247" s="232">
        <v>10</v>
      </c>
      <c r="P247" s="94" t="s">
        <v>277</v>
      </c>
      <c r="Q247" s="74" t="s">
        <v>887</v>
      </c>
      <c r="R247" s="499" t="s">
        <v>888</v>
      </c>
      <c r="S247" s="76"/>
      <c r="T247" s="76"/>
      <c r="U247" s="76"/>
      <c r="V247" s="76"/>
      <c r="W247" s="76"/>
      <c r="X247" s="76"/>
      <c r="Y247" s="76"/>
      <c r="Z247" s="76"/>
      <c r="AA247" s="76"/>
      <c r="AB247" s="76"/>
      <c r="AC247" s="487">
        <v>14000000</v>
      </c>
      <c r="AD247" s="131"/>
      <c r="AE247" s="131"/>
      <c r="AF247" s="77">
        <f t="shared" si="92"/>
        <v>14000000</v>
      </c>
    </row>
    <row r="248" spans="1:39" s="209" customFormat="1" ht="15.75" x14ac:dyDescent="0.2">
      <c r="A248" s="483"/>
      <c r="B248" s="79"/>
      <c r="C248" s="334">
        <v>37</v>
      </c>
      <c r="D248" s="281">
        <v>4103</v>
      </c>
      <c r="E248" s="119" t="s">
        <v>327</v>
      </c>
      <c r="F248" s="83"/>
      <c r="G248" s="84"/>
      <c r="H248" s="120"/>
      <c r="I248" s="121"/>
      <c r="J248" s="122"/>
      <c r="K248" s="122"/>
      <c r="L248" s="121"/>
      <c r="M248" s="123"/>
      <c r="N248" s="124"/>
      <c r="O248" s="84"/>
      <c r="P248" s="125"/>
      <c r="Q248" s="125"/>
      <c r="R248" s="121"/>
      <c r="S248" s="485">
        <f t="shared" ref="S248:AF248" si="93">SUM(S249:S255)</f>
        <v>0</v>
      </c>
      <c r="T248" s="485">
        <f t="shared" si="93"/>
        <v>0</v>
      </c>
      <c r="U248" s="485">
        <f t="shared" si="93"/>
        <v>0</v>
      </c>
      <c r="V248" s="485">
        <f t="shared" si="93"/>
        <v>0</v>
      </c>
      <c r="W248" s="485">
        <f t="shared" si="93"/>
        <v>0</v>
      </c>
      <c r="X248" s="485">
        <f t="shared" si="93"/>
        <v>0</v>
      </c>
      <c r="Y248" s="485">
        <f t="shared" si="93"/>
        <v>0</v>
      </c>
      <c r="Z248" s="485">
        <f t="shared" si="93"/>
        <v>0</v>
      </c>
      <c r="AA248" s="485">
        <f t="shared" si="93"/>
        <v>0</v>
      </c>
      <c r="AB248" s="485">
        <f t="shared" si="93"/>
        <v>0</v>
      </c>
      <c r="AC248" s="485">
        <f t="shared" si="93"/>
        <v>273020000</v>
      </c>
      <c r="AD248" s="485">
        <f t="shared" si="93"/>
        <v>0</v>
      </c>
      <c r="AE248" s="485">
        <f t="shared" si="93"/>
        <v>0</v>
      </c>
      <c r="AF248" s="486">
        <f t="shared" si="93"/>
        <v>273020000</v>
      </c>
      <c r="AG248" s="219"/>
      <c r="AH248" s="219"/>
      <c r="AI248" s="219"/>
      <c r="AJ248" s="219"/>
      <c r="AK248" s="219"/>
      <c r="AL248" s="219"/>
      <c r="AM248" s="219"/>
    </row>
    <row r="249" spans="1:39" s="488" customFormat="1" ht="76.5" customHeight="1" x14ac:dyDescent="0.2">
      <c r="A249" s="140"/>
      <c r="B249" s="197"/>
      <c r="C249" s="292"/>
      <c r="D249" s="134"/>
      <c r="E249" s="493"/>
      <c r="F249" s="90" t="s">
        <v>889</v>
      </c>
      <c r="G249" s="91" t="s">
        <v>890</v>
      </c>
      <c r="H249" s="247">
        <v>4103059</v>
      </c>
      <c r="I249" s="130" t="s">
        <v>891</v>
      </c>
      <c r="J249" s="91" t="s">
        <v>892</v>
      </c>
      <c r="K249" s="232">
        <v>410305900</v>
      </c>
      <c r="L249" s="258" t="s">
        <v>893</v>
      </c>
      <c r="M249" s="231" t="s">
        <v>153</v>
      </c>
      <c r="N249" s="91">
        <v>50</v>
      </c>
      <c r="O249" s="91">
        <v>8</v>
      </c>
      <c r="P249" s="94" t="s">
        <v>306</v>
      </c>
      <c r="Q249" s="156" t="s">
        <v>833</v>
      </c>
      <c r="R249" s="494" t="s">
        <v>834</v>
      </c>
      <c r="S249" s="76"/>
      <c r="T249" s="76"/>
      <c r="U249" s="76"/>
      <c r="V249" s="76"/>
      <c r="W249" s="76"/>
      <c r="X249" s="76"/>
      <c r="Y249" s="76"/>
      <c r="Z249" s="76"/>
      <c r="AA249" s="131"/>
      <c r="AB249" s="131"/>
      <c r="AC249" s="487">
        <v>27000000</v>
      </c>
      <c r="AD249" s="131"/>
      <c r="AE249" s="131"/>
      <c r="AF249" s="77">
        <f t="shared" ref="AF249:AF255" si="94">+S249+T249+U249+V249+W249+X249+Y249+Z249+AA249+AB249+AC249+AD249+AE249</f>
        <v>27000000</v>
      </c>
    </row>
    <row r="250" spans="1:39" s="488" customFormat="1" ht="63" customHeight="1" x14ac:dyDescent="0.2">
      <c r="A250" s="140"/>
      <c r="B250" s="197"/>
      <c r="C250" s="293"/>
      <c r="D250" s="152"/>
      <c r="E250" s="474"/>
      <c r="F250" s="69" t="s">
        <v>894</v>
      </c>
      <c r="G250" s="91" t="s">
        <v>895</v>
      </c>
      <c r="H250" s="70">
        <v>4103052</v>
      </c>
      <c r="I250" s="72" t="s">
        <v>896</v>
      </c>
      <c r="J250" s="91" t="s">
        <v>897</v>
      </c>
      <c r="K250" s="277">
        <v>410305202</v>
      </c>
      <c r="L250" s="278" t="s">
        <v>898</v>
      </c>
      <c r="M250" s="231" t="s">
        <v>58</v>
      </c>
      <c r="N250" s="91">
        <v>1</v>
      </c>
      <c r="O250" s="91">
        <v>1</v>
      </c>
      <c r="P250" s="94" t="s">
        <v>306</v>
      </c>
      <c r="Q250" s="74" t="s">
        <v>899</v>
      </c>
      <c r="R250" s="130" t="s">
        <v>900</v>
      </c>
      <c r="S250" s="76"/>
      <c r="T250" s="76"/>
      <c r="U250" s="76"/>
      <c r="V250" s="76"/>
      <c r="W250" s="76"/>
      <c r="X250" s="76"/>
      <c r="Y250" s="76"/>
      <c r="Z250" s="76"/>
      <c r="AA250" s="76"/>
      <c r="AB250" s="76"/>
      <c r="AC250" s="487">
        <v>44520000</v>
      </c>
      <c r="AD250" s="131"/>
      <c r="AE250" s="131"/>
      <c r="AF250" s="77">
        <f t="shared" si="94"/>
        <v>44520000</v>
      </c>
    </row>
    <row r="251" spans="1:39" s="488" customFormat="1" ht="101.25" customHeight="1" x14ac:dyDescent="0.2">
      <c r="A251" s="140"/>
      <c r="B251" s="197"/>
      <c r="C251" s="293"/>
      <c r="D251" s="152"/>
      <c r="E251" s="474"/>
      <c r="F251" s="90" t="s">
        <v>901</v>
      </c>
      <c r="G251" s="91" t="s">
        <v>902</v>
      </c>
      <c r="H251" s="129">
        <v>4103050</v>
      </c>
      <c r="I251" s="155" t="s">
        <v>903</v>
      </c>
      <c r="J251" s="91" t="s">
        <v>904</v>
      </c>
      <c r="K251" s="91">
        <v>410305001</v>
      </c>
      <c r="L251" s="258" t="s">
        <v>905</v>
      </c>
      <c r="M251" s="231" t="s">
        <v>58</v>
      </c>
      <c r="N251" s="91">
        <v>12</v>
      </c>
      <c r="O251" s="489">
        <v>12</v>
      </c>
      <c r="P251" s="94" t="s">
        <v>277</v>
      </c>
      <c r="Q251" s="304" t="s">
        <v>872</v>
      </c>
      <c r="R251" s="499" t="s">
        <v>873</v>
      </c>
      <c r="S251" s="76"/>
      <c r="T251" s="76"/>
      <c r="U251" s="76"/>
      <c r="V251" s="76"/>
      <c r="W251" s="76"/>
      <c r="X251" s="76"/>
      <c r="Y251" s="76"/>
      <c r="Z251" s="76"/>
      <c r="AA251" s="76"/>
      <c r="AB251" s="76"/>
      <c r="AC251" s="487">
        <v>25000000</v>
      </c>
      <c r="AD251" s="131"/>
      <c r="AE251" s="131"/>
      <c r="AF251" s="77">
        <f t="shared" si="94"/>
        <v>25000000</v>
      </c>
    </row>
    <row r="252" spans="1:39" s="488" customFormat="1" ht="77.25" customHeight="1" x14ac:dyDescent="0.2">
      <c r="A252" s="140"/>
      <c r="B252" s="197"/>
      <c r="C252" s="293"/>
      <c r="D252" s="152"/>
      <c r="E252" s="474"/>
      <c r="F252" s="90" t="s">
        <v>906</v>
      </c>
      <c r="G252" s="91" t="s">
        <v>907</v>
      </c>
      <c r="H252" s="247">
        <v>4103058</v>
      </c>
      <c r="I252" s="130" t="s">
        <v>908</v>
      </c>
      <c r="J252" s="91" t="s">
        <v>909</v>
      </c>
      <c r="K252" s="232">
        <v>410305800</v>
      </c>
      <c r="L252" s="258" t="s">
        <v>910</v>
      </c>
      <c r="M252" s="231" t="s">
        <v>153</v>
      </c>
      <c r="N252" s="91">
        <v>12</v>
      </c>
      <c r="O252" s="91">
        <v>1</v>
      </c>
      <c r="P252" s="94" t="s">
        <v>306</v>
      </c>
      <c r="Q252" s="304" t="s">
        <v>911</v>
      </c>
      <c r="R252" s="130" t="s">
        <v>912</v>
      </c>
      <c r="S252" s="76"/>
      <c r="T252" s="76"/>
      <c r="U252" s="76"/>
      <c r="V252" s="76"/>
      <c r="W252" s="76"/>
      <c r="X252" s="76"/>
      <c r="Y252" s="76"/>
      <c r="Z252" s="76"/>
      <c r="AA252" s="76"/>
      <c r="AB252" s="76"/>
      <c r="AC252" s="487">
        <v>27000000</v>
      </c>
      <c r="AD252" s="131"/>
      <c r="AE252" s="131"/>
      <c r="AF252" s="77">
        <f t="shared" si="94"/>
        <v>27000000</v>
      </c>
    </row>
    <row r="253" spans="1:39" s="488" customFormat="1" ht="77.25" customHeight="1" x14ac:dyDescent="0.2">
      <c r="A253" s="140"/>
      <c r="B253" s="197"/>
      <c r="C253" s="293"/>
      <c r="D253" s="152"/>
      <c r="E253" s="637"/>
      <c r="F253" s="244" t="s">
        <v>913</v>
      </c>
      <c r="G253" s="91" t="s">
        <v>914</v>
      </c>
      <c r="H253" s="247" t="s">
        <v>51</v>
      </c>
      <c r="I253" s="130" t="s">
        <v>915</v>
      </c>
      <c r="J253" s="91" t="s">
        <v>916</v>
      </c>
      <c r="K253" s="232" t="s">
        <v>51</v>
      </c>
      <c r="L253" s="258" t="s">
        <v>917</v>
      </c>
      <c r="M253" s="231" t="s">
        <v>153</v>
      </c>
      <c r="N253" s="91">
        <v>17</v>
      </c>
      <c r="O253" s="91">
        <v>2</v>
      </c>
      <c r="P253" s="708" t="s">
        <v>306</v>
      </c>
      <c r="Q253" s="703" t="s">
        <v>918</v>
      </c>
      <c r="R253" s="706" t="s">
        <v>919</v>
      </c>
      <c r="S253" s="76"/>
      <c r="T253" s="76"/>
      <c r="U253" s="76"/>
      <c r="V253" s="76"/>
      <c r="W253" s="76"/>
      <c r="X253" s="76"/>
      <c r="Y253" s="76"/>
      <c r="Z253" s="76"/>
      <c r="AA253" s="76"/>
      <c r="AB253" s="76"/>
      <c r="AC253" s="487">
        <v>30000000</v>
      </c>
      <c r="AD253" s="131"/>
      <c r="AE253" s="131"/>
      <c r="AF253" s="77">
        <f t="shared" si="94"/>
        <v>30000000</v>
      </c>
    </row>
    <row r="254" spans="1:39" s="488" customFormat="1" ht="77.25" customHeight="1" x14ac:dyDescent="0.2">
      <c r="A254" s="140"/>
      <c r="B254" s="197"/>
      <c r="C254" s="293"/>
      <c r="D254" s="152"/>
      <c r="E254" s="639"/>
      <c r="F254" s="244" t="s">
        <v>920</v>
      </c>
      <c r="G254" s="74" t="s">
        <v>921</v>
      </c>
      <c r="H254" s="479" t="s">
        <v>51</v>
      </c>
      <c r="I254" s="155" t="s">
        <v>922</v>
      </c>
      <c r="J254" s="74" t="s">
        <v>923</v>
      </c>
      <c r="K254" s="74" t="s">
        <v>51</v>
      </c>
      <c r="L254" s="130" t="s">
        <v>924</v>
      </c>
      <c r="M254" s="231" t="s">
        <v>58</v>
      </c>
      <c r="N254" s="91">
        <v>2</v>
      </c>
      <c r="O254" s="91">
        <v>2</v>
      </c>
      <c r="P254" s="709"/>
      <c r="Q254" s="705"/>
      <c r="R254" s="707"/>
      <c r="S254" s="76"/>
      <c r="T254" s="76"/>
      <c r="U254" s="76"/>
      <c r="V254" s="76"/>
      <c r="W254" s="76"/>
      <c r="X254" s="76"/>
      <c r="Y254" s="76"/>
      <c r="Z254" s="76"/>
      <c r="AA254" s="76"/>
      <c r="AB254" s="76"/>
      <c r="AC254" s="487">
        <v>49500000</v>
      </c>
      <c r="AD254" s="131"/>
      <c r="AE254" s="131"/>
      <c r="AF254" s="77">
        <f t="shared" si="94"/>
        <v>49500000</v>
      </c>
    </row>
    <row r="255" spans="1:39" s="488" customFormat="1" ht="102.75" customHeight="1" x14ac:dyDescent="0.2">
      <c r="A255" s="140"/>
      <c r="B255" s="197"/>
      <c r="C255" s="293"/>
      <c r="D255" s="152"/>
      <c r="E255" s="474"/>
      <c r="F255" s="69" t="s">
        <v>925</v>
      </c>
      <c r="G255" s="91" t="s">
        <v>926</v>
      </c>
      <c r="H255" s="247" t="s">
        <v>51</v>
      </c>
      <c r="I255" s="155" t="s">
        <v>927</v>
      </c>
      <c r="J255" s="91" t="s">
        <v>928</v>
      </c>
      <c r="K255" s="232" t="s">
        <v>51</v>
      </c>
      <c r="L255" s="258" t="s">
        <v>929</v>
      </c>
      <c r="M255" s="231" t="s">
        <v>58</v>
      </c>
      <c r="N255" s="91">
        <v>1</v>
      </c>
      <c r="O255" s="91">
        <v>1</v>
      </c>
      <c r="P255" s="94" t="s">
        <v>306</v>
      </c>
      <c r="Q255" s="74" t="s">
        <v>930</v>
      </c>
      <c r="R255" s="155" t="s">
        <v>931</v>
      </c>
      <c r="S255" s="76"/>
      <c r="T255" s="76"/>
      <c r="U255" s="76"/>
      <c r="V255" s="76"/>
      <c r="W255" s="76"/>
      <c r="X255" s="76"/>
      <c r="Y255" s="76"/>
      <c r="Z255" s="76"/>
      <c r="AA255" s="76"/>
      <c r="AB255" s="76"/>
      <c r="AC255" s="487">
        <v>70000000</v>
      </c>
      <c r="AD255" s="131"/>
      <c r="AE255" s="131"/>
      <c r="AF255" s="77">
        <f t="shared" si="94"/>
        <v>70000000</v>
      </c>
    </row>
    <row r="256" spans="1:39" s="209" customFormat="1" ht="15.75" x14ac:dyDescent="0.2">
      <c r="A256" s="483"/>
      <c r="B256" s="502"/>
      <c r="C256" s="503">
        <v>38</v>
      </c>
      <c r="D256" s="504">
        <v>4104</v>
      </c>
      <c r="E256" s="119" t="s">
        <v>932</v>
      </c>
      <c r="F256" s="83"/>
      <c r="G256" s="84"/>
      <c r="H256" s="120"/>
      <c r="I256" s="121"/>
      <c r="J256" s="122"/>
      <c r="K256" s="122"/>
      <c r="L256" s="121"/>
      <c r="M256" s="505"/>
      <c r="N256" s="506"/>
      <c r="O256" s="84"/>
      <c r="P256" s="125"/>
      <c r="Q256" s="125"/>
      <c r="R256" s="121"/>
      <c r="S256" s="485">
        <f t="shared" ref="S256:AF256" si="95">SUM(S257:S265)</f>
        <v>4262727592.3899999</v>
      </c>
      <c r="T256" s="485">
        <f t="shared" si="95"/>
        <v>0</v>
      </c>
      <c r="U256" s="485">
        <f t="shared" si="95"/>
        <v>0</v>
      </c>
      <c r="V256" s="485">
        <f t="shared" si="95"/>
        <v>0</v>
      </c>
      <c r="W256" s="485">
        <f t="shared" si="95"/>
        <v>0</v>
      </c>
      <c r="X256" s="485">
        <f t="shared" si="95"/>
        <v>0</v>
      </c>
      <c r="Y256" s="485">
        <f t="shared" si="95"/>
        <v>0</v>
      </c>
      <c r="Z256" s="485">
        <f t="shared" si="95"/>
        <v>0</v>
      </c>
      <c r="AA256" s="485">
        <f t="shared" si="95"/>
        <v>0</v>
      </c>
      <c r="AB256" s="485">
        <f t="shared" si="95"/>
        <v>0</v>
      </c>
      <c r="AC256" s="485">
        <f t="shared" si="95"/>
        <v>675546842</v>
      </c>
      <c r="AD256" s="485">
        <f t="shared" si="95"/>
        <v>0</v>
      </c>
      <c r="AE256" s="485">
        <f t="shared" si="95"/>
        <v>0</v>
      </c>
      <c r="AF256" s="486">
        <f t="shared" si="95"/>
        <v>4938274434.3899994</v>
      </c>
      <c r="AG256" s="219"/>
      <c r="AH256" s="219"/>
      <c r="AI256" s="219"/>
      <c r="AJ256" s="219"/>
      <c r="AK256" s="219"/>
      <c r="AL256" s="219"/>
      <c r="AM256" s="219"/>
    </row>
    <row r="257" spans="1:39" s="488" customFormat="1" ht="90" x14ac:dyDescent="0.2">
      <c r="A257" s="140"/>
      <c r="B257" s="197"/>
      <c r="C257" s="293"/>
      <c r="D257" s="152"/>
      <c r="E257" s="637"/>
      <c r="F257" s="90" t="s">
        <v>933</v>
      </c>
      <c r="G257" s="256" t="s">
        <v>934</v>
      </c>
      <c r="H257" s="247" t="s">
        <v>935</v>
      </c>
      <c r="I257" s="155" t="s">
        <v>936</v>
      </c>
      <c r="J257" s="256" t="s">
        <v>937</v>
      </c>
      <c r="K257" s="247">
        <v>410403500</v>
      </c>
      <c r="L257" s="130" t="s">
        <v>938</v>
      </c>
      <c r="M257" s="231" t="s">
        <v>153</v>
      </c>
      <c r="N257" s="91">
        <v>500</v>
      </c>
      <c r="O257" s="91">
        <v>20</v>
      </c>
      <c r="P257" s="708" t="s">
        <v>306</v>
      </c>
      <c r="Q257" s="703" t="s">
        <v>911</v>
      </c>
      <c r="R257" s="706" t="s">
        <v>912</v>
      </c>
      <c r="S257" s="76"/>
      <c r="T257" s="76"/>
      <c r="U257" s="76"/>
      <c r="V257" s="76"/>
      <c r="W257" s="76"/>
      <c r="X257" s="76"/>
      <c r="Y257" s="76"/>
      <c r="Z257" s="76"/>
      <c r="AA257" s="76"/>
      <c r="AB257" s="76"/>
      <c r="AC257" s="487">
        <v>14000000</v>
      </c>
      <c r="AD257" s="131"/>
      <c r="AE257" s="131"/>
      <c r="AF257" s="77">
        <f t="shared" ref="AF257:AF265" si="96">+S257+T257+U257+V257+W257+X257+Y257+Z257+AA257+AB257+AC257+AD257+AE257</f>
        <v>14000000</v>
      </c>
    </row>
    <row r="258" spans="1:39" s="488" customFormat="1" ht="68.25" customHeight="1" x14ac:dyDescent="0.2">
      <c r="A258" s="140"/>
      <c r="B258" s="197"/>
      <c r="C258" s="293"/>
      <c r="D258" s="152"/>
      <c r="E258" s="639"/>
      <c r="F258" s="90" t="s">
        <v>933</v>
      </c>
      <c r="G258" s="256" t="s">
        <v>934</v>
      </c>
      <c r="H258" s="247" t="s">
        <v>935</v>
      </c>
      <c r="I258" s="155" t="s">
        <v>936</v>
      </c>
      <c r="J258" s="91" t="s">
        <v>939</v>
      </c>
      <c r="K258" s="232" t="s">
        <v>51</v>
      </c>
      <c r="L258" s="507" t="s">
        <v>940</v>
      </c>
      <c r="M258" s="283" t="s">
        <v>58</v>
      </c>
      <c r="N258" s="129">
        <v>12</v>
      </c>
      <c r="O258" s="489">
        <v>12</v>
      </c>
      <c r="P258" s="709"/>
      <c r="Q258" s="705"/>
      <c r="R258" s="710"/>
      <c r="S258" s="76"/>
      <c r="T258" s="76"/>
      <c r="U258" s="76"/>
      <c r="V258" s="76"/>
      <c r="W258" s="76"/>
      <c r="X258" s="76"/>
      <c r="Y258" s="76"/>
      <c r="Z258" s="76"/>
      <c r="AA258" s="76"/>
      <c r="AB258" s="76"/>
      <c r="AC258" s="487">
        <v>25000000</v>
      </c>
      <c r="AD258" s="131"/>
      <c r="AE258" s="131"/>
      <c r="AF258" s="77">
        <f t="shared" si="96"/>
        <v>25000000</v>
      </c>
    </row>
    <row r="259" spans="1:39" s="488" customFormat="1" ht="69.75" customHeight="1" x14ac:dyDescent="0.2">
      <c r="A259" s="140"/>
      <c r="B259" s="197"/>
      <c r="C259" s="293"/>
      <c r="D259" s="152"/>
      <c r="E259" s="474"/>
      <c r="F259" s="90" t="s">
        <v>941</v>
      </c>
      <c r="G259" s="91" t="s">
        <v>942</v>
      </c>
      <c r="H259" s="247" t="s">
        <v>943</v>
      </c>
      <c r="I259" s="130" t="s">
        <v>944</v>
      </c>
      <c r="J259" s="228" t="s">
        <v>945</v>
      </c>
      <c r="K259" s="228" t="s">
        <v>51</v>
      </c>
      <c r="L259" s="130" t="s">
        <v>946</v>
      </c>
      <c r="M259" s="231" t="s">
        <v>58</v>
      </c>
      <c r="N259" s="91">
        <v>12</v>
      </c>
      <c r="O259" s="91">
        <v>12</v>
      </c>
      <c r="P259" s="94" t="s">
        <v>306</v>
      </c>
      <c r="Q259" s="74" t="s">
        <v>947</v>
      </c>
      <c r="R259" s="130" t="s">
        <v>948</v>
      </c>
      <c r="S259" s="76"/>
      <c r="T259" s="76"/>
      <c r="U259" s="76"/>
      <c r="V259" s="76"/>
      <c r="W259" s="76"/>
      <c r="X259" s="76"/>
      <c r="Y259" s="76"/>
      <c r="Z259" s="76"/>
      <c r="AA259" s="76"/>
      <c r="AB259" s="76"/>
      <c r="AC259" s="487">
        <v>18000000</v>
      </c>
      <c r="AD259" s="131"/>
      <c r="AE259" s="131"/>
      <c r="AF259" s="77">
        <f t="shared" si="96"/>
        <v>18000000</v>
      </c>
    </row>
    <row r="260" spans="1:39" s="488" customFormat="1" ht="93.75" customHeight="1" x14ac:dyDescent="0.2">
      <c r="A260" s="140"/>
      <c r="B260" s="197"/>
      <c r="C260" s="293"/>
      <c r="D260" s="152"/>
      <c r="E260" s="68"/>
      <c r="F260" s="90" t="s">
        <v>949</v>
      </c>
      <c r="G260" s="228" t="s">
        <v>950</v>
      </c>
      <c r="H260" s="508" t="s">
        <v>51</v>
      </c>
      <c r="I260" s="72" t="s">
        <v>951</v>
      </c>
      <c r="J260" s="232" t="s">
        <v>952</v>
      </c>
      <c r="K260" s="277" t="s">
        <v>51</v>
      </c>
      <c r="L260" s="278" t="s">
        <v>953</v>
      </c>
      <c r="M260" s="231" t="s">
        <v>58</v>
      </c>
      <c r="N260" s="91">
        <v>1</v>
      </c>
      <c r="O260" s="91">
        <v>1</v>
      </c>
      <c r="P260" s="94" t="s">
        <v>306</v>
      </c>
      <c r="Q260" s="74" t="s">
        <v>954</v>
      </c>
      <c r="R260" s="130" t="s">
        <v>955</v>
      </c>
      <c r="S260" s="76"/>
      <c r="T260" s="76"/>
      <c r="U260" s="76"/>
      <c r="V260" s="76"/>
      <c r="W260" s="76"/>
      <c r="X260" s="76"/>
      <c r="Y260" s="76"/>
      <c r="Z260" s="76"/>
      <c r="AA260" s="76"/>
      <c r="AB260" s="76"/>
      <c r="AC260" s="487">
        <v>170000000</v>
      </c>
      <c r="AD260" s="131"/>
      <c r="AE260" s="131"/>
      <c r="AF260" s="77">
        <f t="shared" si="96"/>
        <v>170000000</v>
      </c>
    </row>
    <row r="261" spans="1:39" s="488" customFormat="1" ht="99" customHeight="1" x14ac:dyDescent="0.2">
      <c r="A261" s="140"/>
      <c r="B261" s="197"/>
      <c r="C261" s="293"/>
      <c r="D261" s="152"/>
      <c r="E261" s="68"/>
      <c r="F261" s="90" t="s">
        <v>956</v>
      </c>
      <c r="G261" s="232" t="s">
        <v>957</v>
      </c>
      <c r="H261" s="508" t="s">
        <v>51</v>
      </c>
      <c r="I261" s="72" t="s">
        <v>958</v>
      </c>
      <c r="J261" s="232" t="s">
        <v>959</v>
      </c>
      <c r="K261" s="277" t="s">
        <v>51</v>
      </c>
      <c r="L261" s="278" t="s">
        <v>960</v>
      </c>
      <c r="M261" s="231" t="s">
        <v>58</v>
      </c>
      <c r="N261" s="91">
        <v>1</v>
      </c>
      <c r="O261" s="91">
        <v>1</v>
      </c>
      <c r="P261" s="94" t="s">
        <v>74</v>
      </c>
      <c r="Q261" s="74" t="s">
        <v>961</v>
      </c>
      <c r="R261" s="130" t="s">
        <v>962</v>
      </c>
      <c r="S261" s="76"/>
      <c r="T261" s="76"/>
      <c r="U261" s="76"/>
      <c r="V261" s="76"/>
      <c r="W261" s="76"/>
      <c r="X261" s="76"/>
      <c r="Y261" s="76"/>
      <c r="Z261" s="76"/>
      <c r="AA261" s="76"/>
      <c r="AB261" s="76"/>
      <c r="AC261" s="487">
        <v>140000000</v>
      </c>
      <c r="AD261" s="131"/>
      <c r="AE261" s="131"/>
      <c r="AF261" s="77">
        <f t="shared" si="96"/>
        <v>140000000</v>
      </c>
    </row>
    <row r="262" spans="1:39" s="488" customFormat="1" ht="112.5" customHeight="1" x14ac:dyDescent="0.2">
      <c r="A262" s="140"/>
      <c r="B262" s="197"/>
      <c r="C262" s="293"/>
      <c r="D262" s="152"/>
      <c r="E262" s="640"/>
      <c r="F262" s="90" t="s">
        <v>963</v>
      </c>
      <c r="G262" s="232" t="s">
        <v>964</v>
      </c>
      <c r="H262" s="508" t="s">
        <v>51</v>
      </c>
      <c r="I262" s="501" t="s">
        <v>965</v>
      </c>
      <c r="J262" s="232" t="s">
        <v>966</v>
      </c>
      <c r="K262" s="232" t="s">
        <v>51</v>
      </c>
      <c r="L262" s="507" t="s">
        <v>967</v>
      </c>
      <c r="M262" s="231" t="s">
        <v>58</v>
      </c>
      <c r="N262" s="91">
        <v>1</v>
      </c>
      <c r="O262" s="91">
        <v>1</v>
      </c>
      <c r="P262" s="703" t="s">
        <v>306</v>
      </c>
      <c r="Q262" s="703" t="s">
        <v>968</v>
      </c>
      <c r="R262" s="706" t="s">
        <v>969</v>
      </c>
      <c r="S262" s="76"/>
      <c r="T262" s="76"/>
      <c r="U262" s="76"/>
      <c r="V262" s="76"/>
      <c r="W262" s="76"/>
      <c r="X262" s="76"/>
      <c r="Y262" s="76"/>
      <c r="Z262" s="76"/>
      <c r="AA262" s="131"/>
      <c r="AB262" s="131"/>
      <c r="AC262" s="487">
        <v>95000000</v>
      </c>
      <c r="AD262" s="131"/>
      <c r="AE262" s="131"/>
      <c r="AF262" s="77">
        <f t="shared" si="96"/>
        <v>95000000</v>
      </c>
    </row>
    <row r="263" spans="1:39" s="488" customFormat="1" ht="75" x14ac:dyDescent="0.2">
      <c r="A263" s="140"/>
      <c r="B263" s="197"/>
      <c r="C263" s="293"/>
      <c r="D263" s="152"/>
      <c r="E263" s="642"/>
      <c r="F263" s="90" t="s">
        <v>970</v>
      </c>
      <c r="G263" s="91" t="s">
        <v>971</v>
      </c>
      <c r="H263" s="247">
        <v>4104015</v>
      </c>
      <c r="I263" s="501" t="s">
        <v>972</v>
      </c>
      <c r="J263" s="91" t="s">
        <v>973</v>
      </c>
      <c r="K263" s="232">
        <v>410401500</v>
      </c>
      <c r="L263" s="258" t="s">
        <v>974</v>
      </c>
      <c r="M263" s="231" t="s">
        <v>58</v>
      </c>
      <c r="N263" s="231">
        <v>7500</v>
      </c>
      <c r="O263" s="231">
        <v>7500</v>
      </c>
      <c r="P263" s="704"/>
      <c r="Q263" s="704"/>
      <c r="R263" s="707"/>
      <c r="S263" s="76"/>
      <c r="T263" s="76"/>
      <c r="U263" s="76"/>
      <c r="V263" s="76"/>
      <c r="W263" s="76"/>
      <c r="X263" s="76"/>
      <c r="Y263" s="76"/>
      <c r="Z263" s="76"/>
      <c r="AA263" s="131"/>
      <c r="AB263" s="131"/>
      <c r="AC263" s="487">
        <v>25000000</v>
      </c>
      <c r="AD263" s="131"/>
      <c r="AE263" s="131"/>
      <c r="AF263" s="77">
        <f t="shared" si="96"/>
        <v>25000000</v>
      </c>
    </row>
    <row r="264" spans="1:39" s="488" customFormat="1" ht="68.25" customHeight="1" x14ac:dyDescent="0.2">
      <c r="A264" s="140"/>
      <c r="B264" s="197"/>
      <c r="C264" s="293"/>
      <c r="D264" s="152"/>
      <c r="E264" s="641"/>
      <c r="F264" s="90" t="s">
        <v>975</v>
      </c>
      <c r="G264" s="91" t="s">
        <v>976</v>
      </c>
      <c r="H264" s="70" t="s">
        <v>51</v>
      </c>
      <c r="I264" s="501" t="s">
        <v>977</v>
      </c>
      <c r="J264" s="91" t="s">
        <v>978</v>
      </c>
      <c r="K264" s="232" t="s">
        <v>51</v>
      </c>
      <c r="L264" s="507" t="s">
        <v>979</v>
      </c>
      <c r="M264" s="74" t="s">
        <v>58</v>
      </c>
      <c r="N264" s="71">
        <v>12</v>
      </c>
      <c r="O264" s="393">
        <v>12</v>
      </c>
      <c r="P264" s="704"/>
      <c r="Q264" s="704"/>
      <c r="R264" s="707"/>
      <c r="S264" s="509">
        <v>4262727592.3899999</v>
      </c>
      <c r="T264" s="510"/>
      <c r="U264" s="76"/>
      <c r="V264" s="76"/>
      <c r="W264" s="76"/>
      <c r="X264" s="76"/>
      <c r="Y264" s="76"/>
      <c r="Z264" s="76"/>
      <c r="AA264" s="76"/>
      <c r="AB264" s="76"/>
      <c r="AC264" s="487"/>
      <c r="AD264" s="131"/>
      <c r="AE264" s="131"/>
      <c r="AF264" s="77">
        <f t="shared" si="96"/>
        <v>4262727592.3899999</v>
      </c>
    </row>
    <row r="265" spans="1:39" s="488" customFormat="1" ht="105" x14ac:dyDescent="0.2">
      <c r="A265" s="140"/>
      <c r="B265" s="197"/>
      <c r="C265" s="294"/>
      <c r="D265" s="295"/>
      <c r="E265" s="68"/>
      <c r="F265" s="90" t="s">
        <v>980</v>
      </c>
      <c r="G265" s="91" t="s">
        <v>981</v>
      </c>
      <c r="H265" s="511" t="s">
        <v>51</v>
      </c>
      <c r="I265" s="499" t="s">
        <v>982</v>
      </c>
      <c r="J265" s="91" t="s">
        <v>983</v>
      </c>
      <c r="K265" s="277" t="s">
        <v>51</v>
      </c>
      <c r="L265" s="278" t="s">
        <v>984</v>
      </c>
      <c r="M265" s="74" t="s">
        <v>58</v>
      </c>
      <c r="N265" s="71">
        <v>1</v>
      </c>
      <c r="O265" s="393">
        <v>1</v>
      </c>
      <c r="P265" s="94" t="s">
        <v>306</v>
      </c>
      <c r="Q265" s="74" t="s">
        <v>985</v>
      </c>
      <c r="R265" s="130" t="s">
        <v>986</v>
      </c>
      <c r="S265" s="76"/>
      <c r="T265" s="76"/>
      <c r="U265" s="76"/>
      <c r="V265" s="76"/>
      <c r="W265" s="76"/>
      <c r="X265" s="76"/>
      <c r="Y265" s="76"/>
      <c r="Z265" s="76"/>
      <c r="AA265" s="76"/>
      <c r="AB265" s="76"/>
      <c r="AC265" s="487">
        <v>188546842</v>
      </c>
      <c r="AD265" s="131"/>
      <c r="AE265" s="131"/>
      <c r="AF265" s="77">
        <f t="shared" si="96"/>
        <v>188546842</v>
      </c>
    </row>
    <row r="266" spans="1:39" s="209" customFormat="1" ht="15.75" customHeight="1" x14ac:dyDescent="0.2">
      <c r="A266" s="483"/>
      <c r="B266" s="79"/>
      <c r="C266" s="334">
        <v>41</v>
      </c>
      <c r="D266" s="281">
        <v>4501</v>
      </c>
      <c r="E266" s="119" t="s">
        <v>335</v>
      </c>
      <c r="F266" s="83"/>
      <c r="G266" s="120"/>
      <c r="H266" s="120"/>
      <c r="I266" s="121"/>
      <c r="J266" s="122"/>
      <c r="K266" s="122"/>
      <c r="L266" s="121"/>
      <c r="M266" s="512"/>
      <c r="N266" s="513"/>
      <c r="O266" s="84"/>
      <c r="P266" s="125"/>
      <c r="Q266" s="125"/>
      <c r="R266" s="121"/>
      <c r="S266" s="485">
        <f t="shared" ref="S266:AF266" si="97">SUM(S267:S268)</f>
        <v>0</v>
      </c>
      <c r="T266" s="485">
        <f t="shared" si="97"/>
        <v>0</v>
      </c>
      <c r="U266" s="485">
        <f t="shared" si="97"/>
        <v>0</v>
      </c>
      <c r="V266" s="485">
        <f t="shared" si="97"/>
        <v>0</v>
      </c>
      <c r="W266" s="485">
        <f t="shared" si="97"/>
        <v>0</v>
      </c>
      <c r="X266" s="485">
        <f t="shared" si="97"/>
        <v>0</v>
      </c>
      <c r="Y266" s="485">
        <f t="shared" si="97"/>
        <v>0</v>
      </c>
      <c r="Z266" s="485">
        <f t="shared" si="97"/>
        <v>0</v>
      </c>
      <c r="AA266" s="485">
        <f t="shared" si="97"/>
        <v>0</v>
      </c>
      <c r="AB266" s="485">
        <f t="shared" si="97"/>
        <v>0</v>
      </c>
      <c r="AC266" s="485">
        <f t="shared" si="97"/>
        <v>80000000</v>
      </c>
      <c r="AD266" s="485">
        <f t="shared" si="97"/>
        <v>0</v>
      </c>
      <c r="AE266" s="485">
        <f t="shared" si="97"/>
        <v>0</v>
      </c>
      <c r="AF266" s="486">
        <f t="shared" si="97"/>
        <v>80000000</v>
      </c>
      <c r="AG266" s="219"/>
      <c r="AH266" s="219"/>
      <c r="AI266" s="219"/>
      <c r="AJ266" s="219"/>
      <c r="AK266" s="219"/>
      <c r="AL266" s="219"/>
      <c r="AM266" s="219"/>
    </row>
    <row r="267" spans="1:39" s="488" customFormat="1" ht="90" customHeight="1" x14ac:dyDescent="0.2">
      <c r="A267" s="140"/>
      <c r="B267" s="197"/>
      <c r="C267" s="292"/>
      <c r="D267" s="134"/>
      <c r="E267" s="474"/>
      <c r="F267" s="90" t="s">
        <v>987</v>
      </c>
      <c r="G267" s="228" t="s">
        <v>341</v>
      </c>
      <c r="H267" s="247">
        <v>4501024</v>
      </c>
      <c r="I267" s="130" t="s">
        <v>342</v>
      </c>
      <c r="J267" s="228" t="s">
        <v>988</v>
      </c>
      <c r="K267" s="228" t="s">
        <v>51</v>
      </c>
      <c r="L267" s="130" t="s">
        <v>989</v>
      </c>
      <c r="M267" s="231" t="s">
        <v>58</v>
      </c>
      <c r="N267" s="91">
        <v>1</v>
      </c>
      <c r="O267" s="91">
        <v>1</v>
      </c>
      <c r="P267" s="94" t="s">
        <v>74</v>
      </c>
      <c r="Q267" s="304" t="s">
        <v>990</v>
      </c>
      <c r="R267" s="251" t="s">
        <v>991</v>
      </c>
      <c r="S267" s="76"/>
      <c r="T267" s="76"/>
      <c r="U267" s="76"/>
      <c r="V267" s="76"/>
      <c r="W267" s="76"/>
      <c r="X267" s="76"/>
      <c r="Y267" s="76"/>
      <c r="Z267" s="76"/>
      <c r="AA267" s="76"/>
      <c r="AB267" s="76"/>
      <c r="AC267" s="487">
        <v>40000000</v>
      </c>
      <c r="AD267" s="131"/>
      <c r="AE267" s="131"/>
      <c r="AF267" s="77">
        <f>+S267+T267+U267+V267+W267+X267+Y267+Z267+AA267+AB267+AC267+AD267+AE267</f>
        <v>40000000</v>
      </c>
    </row>
    <row r="268" spans="1:39" s="488" customFormat="1" ht="60" x14ac:dyDescent="0.2">
      <c r="A268" s="140"/>
      <c r="B268" s="205"/>
      <c r="C268" s="294"/>
      <c r="D268" s="295"/>
      <c r="E268" s="474"/>
      <c r="F268" s="90" t="s">
        <v>987</v>
      </c>
      <c r="G268" s="228" t="s">
        <v>341</v>
      </c>
      <c r="H268" s="247">
        <v>4501024</v>
      </c>
      <c r="I268" s="130" t="s">
        <v>342</v>
      </c>
      <c r="J268" s="228" t="s">
        <v>992</v>
      </c>
      <c r="K268" s="228" t="s">
        <v>51</v>
      </c>
      <c r="L268" s="130" t="s">
        <v>993</v>
      </c>
      <c r="M268" s="231" t="s">
        <v>58</v>
      </c>
      <c r="N268" s="91">
        <v>1</v>
      </c>
      <c r="O268" s="91">
        <v>1</v>
      </c>
      <c r="P268" s="94" t="s">
        <v>74</v>
      </c>
      <c r="Q268" s="74" t="s">
        <v>994</v>
      </c>
      <c r="R268" s="90" t="s">
        <v>995</v>
      </c>
      <c r="S268" s="76"/>
      <c r="T268" s="76"/>
      <c r="U268" s="76"/>
      <c r="V268" s="76"/>
      <c r="W268" s="76"/>
      <c r="X268" s="76"/>
      <c r="Y268" s="76"/>
      <c r="Z268" s="76"/>
      <c r="AA268" s="76"/>
      <c r="AB268" s="76"/>
      <c r="AC268" s="487">
        <v>40000000</v>
      </c>
      <c r="AD268" s="131"/>
      <c r="AE268" s="131"/>
      <c r="AF268" s="77">
        <f>+S268+T268+U268+V268+W268+X268+Y268+Z268+AA268+AB268+AC268+AD268+AE268</f>
        <v>40000000</v>
      </c>
    </row>
    <row r="269" spans="1:39" s="209" customFormat="1" ht="15.75" customHeight="1" x14ac:dyDescent="0.2">
      <c r="A269" s="483"/>
      <c r="B269" s="246">
        <v>2</v>
      </c>
      <c r="C269" s="265" t="s">
        <v>2</v>
      </c>
      <c r="D269" s="266"/>
      <c r="E269" s="109"/>
      <c r="F269" s="110"/>
      <c r="G269" s="111"/>
      <c r="H269" s="112"/>
      <c r="I269" s="113"/>
      <c r="J269" s="114"/>
      <c r="K269" s="114"/>
      <c r="L269" s="113"/>
      <c r="M269" s="115"/>
      <c r="N269" s="116"/>
      <c r="O269" s="111"/>
      <c r="P269" s="109"/>
      <c r="Q269" s="109"/>
      <c r="R269" s="110"/>
      <c r="S269" s="50">
        <f t="shared" ref="S269:AF269" si="98">S270+S272</f>
        <v>0</v>
      </c>
      <c r="T269" s="50">
        <f t="shared" si="98"/>
        <v>0</v>
      </c>
      <c r="U269" s="50">
        <f t="shared" si="98"/>
        <v>0</v>
      </c>
      <c r="V269" s="50">
        <f t="shared" si="98"/>
        <v>0</v>
      </c>
      <c r="W269" s="50">
        <f t="shared" si="98"/>
        <v>0</v>
      </c>
      <c r="X269" s="50">
        <f t="shared" si="98"/>
        <v>0</v>
      </c>
      <c r="Y269" s="50">
        <f t="shared" si="98"/>
        <v>0</v>
      </c>
      <c r="Z269" s="50">
        <f t="shared" si="98"/>
        <v>0</v>
      </c>
      <c r="AA269" s="50">
        <f t="shared" si="98"/>
        <v>0</v>
      </c>
      <c r="AB269" s="50">
        <f t="shared" si="98"/>
        <v>0</v>
      </c>
      <c r="AC269" s="50">
        <f t="shared" si="98"/>
        <v>52000000</v>
      </c>
      <c r="AD269" s="50">
        <f t="shared" si="98"/>
        <v>0</v>
      </c>
      <c r="AE269" s="50">
        <f t="shared" si="98"/>
        <v>0</v>
      </c>
      <c r="AF269" s="50">
        <f t="shared" si="98"/>
        <v>52000000</v>
      </c>
      <c r="AG269" s="219"/>
      <c r="AH269" s="219"/>
      <c r="AI269" s="219"/>
      <c r="AJ269" s="219"/>
      <c r="AK269" s="219"/>
      <c r="AL269" s="219"/>
      <c r="AM269" s="219"/>
    </row>
    <row r="270" spans="1:39" s="209" customFormat="1" ht="15.75" customHeight="1" x14ac:dyDescent="0.2">
      <c r="A270" s="483"/>
      <c r="B270" s="52"/>
      <c r="C270" s="321">
        <v>4</v>
      </c>
      <c r="D270" s="195">
        <v>1702</v>
      </c>
      <c r="E270" s="119" t="s">
        <v>510</v>
      </c>
      <c r="F270" s="83"/>
      <c r="G270" s="84"/>
      <c r="H270" s="120"/>
      <c r="I270" s="121"/>
      <c r="J270" s="122"/>
      <c r="K270" s="122"/>
      <c r="L270" s="121"/>
      <c r="M270" s="123"/>
      <c r="N270" s="124"/>
      <c r="O270" s="84"/>
      <c r="P270" s="125"/>
      <c r="Q270" s="125"/>
      <c r="R270" s="83"/>
      <c r="S270" s="485">
        <f t="shared" ref="S270:AF270" si="99">+S271</f>
        <v>0</v>
      </c>
      <c r="T270" s="485">
        <f t="shared" si="99"/>
        <v>0</v>
      </c>
      <c r="U270" s="485">
        <f t="shared" si="99"/>
        <v>0</v>
      </c>
      <c r="V270" s="485">
        <f t="shared" si="99"/>
        <v>0</v>
      </c>
      <c r="W270" s="485">
        <f t="shared" si="99"/>
        <v>0</v>
      </c>
      <c r="X270" s="485">
        <f t="shared" si="99"/>
        <v>0</v>
      </c>
      <c r="Y270" s="485">
        <f t="shared" si="99"/>
        <v>0</v>
      </c>
      <c r="Z270" s="485">
        <f t="shared" si="99"/>
        <v>0</v>
      </c>
      <c r="AA270" s="485">
        <f t="shared" si="99"/>
        <v>0</v>
      </c>
      <c r="AB270" s="485">
        <f t="shared" si="99"/>
        <v>0</v>
      </c>
      <c r="AC270" s="485">
        <f t="shared" si="99"/>
        <v>27000000</v>
      </c>
      <c r="AD270" s="485">
        <f t="shared" si="99"/>
        <v>0</v>
      </c>
      <c r="AE270" s="485">
        <f t="shared" si="99"/>
        <v>0</v>
      </c>
      <c r="AF270" s="486">
        <f t="shared" si="99"/>
        <v>27000000</v>
      </c>
      <c r="AG270" s="219"/>
      <c r="AH270" s="219"/>
      <c r="AI270" s="219"/>
      <c r="AJ270" s="219"/>
      <c r="AK270" s="219"/>
      <c r="AL270" s="219"/>
      <c r="AM270" s="219"/>
    </row>
    <row r="271" spans="1:39" s="488" customFormat="1" ht="90" customHeight="1" x14ac:dyDescent="0.2">
      <c r="A271" s="140"/>
      <c r="B271" s="197"/>
      <c r="C271" s="299"/>
      <c r="D271" s="128"/>
      <c r="E271" s="474"/>
      <c r="F271" s="69" t="s">
        <v>996</v>
      </c>
      <c r="G271" s="446" t="s">
        <v>511</v>
      </c>
      <c r="H271" s="514">
        <v>1702011</v>
      </c>
      <c r="I271" s="72" t="s">
        <v>997</v>
      </c>
      <c r="J271" s="446" t="s">
        <v>998</v>
      </c>
      <c r="K271" s="515" t="s">
        <v>999</v>
      </c>
      <c r="L271" s="278" t="s">
        <v>1000</v>
      </c>
      <c r="M271" s="283" t="s">
        <v>153</v>
      </c>
      <c r="N271" s="71">
        <v>24</v>
      </c>
      <c r="O271" s="393">
        <v>2</v>
      </c>
      <c r="P271" s="94" t="s">
        <v>74</v>
      </c>
      <c r="Q271" s="304" t="s">
        <v>990</v>
      </c>
      <c r="R271" s="251" t="s">
        <v>991</v>
      </c>
      <c r="S271" s="76"/>
      <c r="T271" s="76"/>
      <c r="U271" s="76"/>
      <c r="V271" s="76"/>
      <c r="W271" s="76"/>
      <c r="X271" s="76"/>
      <c r="Y271" s="76"/>
      <c r="Z271" s="76"/>
      <c r="AA271" s="76"/>
      <c r="AB271" s="76"/>
      <c r="AC271" s="487">
        <v>27000000</v>
      </c>
      <c r="AD271" s="131"/>
      <c r="AE271" s="131"/>
      <c r="AF271" s="77">
        <f>+S271+T271+U271+V271+W271+X271+Y271+Z271+AA271+AB271+AC271+AD271+AE271</f>
        <v>27000000</v>
      </c>
    </row>
    <row r="272" spans="1:39" s="209" customFormat="1" ht="15.75" x14ac:dyDescent="0.2">
      <c r="A272" s="483"/>
      <c r="B272" s="79"/>
      <c r="C272" s="334">
        <v>29</v>
      </c>
      <c r="D272" s="281">
        <v>3604</v>
      </c>
      <c r="E272" s="119" t="s">
        <v>1001</v>
      </c>
      <c r="F272" s="83"/>
      <c r="G272" s="84"/>
      <c r="H272" s="120"/>
      <c r="I272" s="121"/>
      <c r="J272" s="122"/>
      <c r="K272" s="122"/>
      <c r="L272" s="121"/>
      <c r="M272" s="123"/>
      <c r="N272" s="124"/>
      <c r="O272" s="84"/>
      <c r="P272" s="125"/>
      <c r="Q272" s="125"/>
      <c r="R272" s="83"/>
      <c r="S272" s="485">
        <f t="shared" ref="S272:AF272" si="100">+S273</f>
        <v>0</v>
      </c>
      <c r="T272" s="485">
        <f t="shared" si="100"/>
        <v>0</v>
      </c>
      <c r="U272" s="485">
        <f t="shared" si="100"/>
        <v>0</v>
      </c>
      <c r="V272" s="485">
        <f t="shared" si="100"/>
        <v>0</v>
      </c>
      <c r="W272" s="485">
        <f t="shared" si="100"/>
        <v>0</v>
      </c>
      <c r="X272" s="485">
        <f t="shared" si="100"/>
        <v>0</v>
      </c>
      <c r="Y272" s="485">
        <f t="shared" si="100"/>
        <v>0</v>
      </c>
      <c r="Z272" s="485">
        <f t="shared" si="100"/>
        <v>0</v>
      </c>
      <c r="AA272" s="485">
        <f t="shared" si="100"/>
        <v>0</v>
      </c>
      <c r="AB272" s="485">
        <f t="shared" si="100"/>
        <v>0</v>
      </c>
      <c r="AC272" s="485">
        <f t="shared" si="100"/>
        <v>25000000</v>
      </c>
      <c r="AD272" s="485">
        <f t="shared" si="100"/>
        <v>0</v>
      </c>
      <c r="AE272" s="485">
        <f t="shared" si="100"/>
        <v>0</v>
      </c>
      <c r="AF272" s="486">
        <f t="shared" si="100"/>
        <v>25000000</v>
      </c>
      <c r="AG272" s="219"/>
      <c r="AH272" s="219"/>
      <c r="AI272" s="219"/>
      <c r="AJ272" s="219"/>
      <c r="AK272" s="219"/>
      <c r="AL272" s="219"/>
      <c r="AM272" s="219"/>
    </row>
    <row r="273" spans="1:39" s="488" customFormat="1" ht="75.75" customHeight="1" x14ac:dyDescent="0.2">
      <c r="A273" s="140"/>
      <c r="B273" s="205"/>
      <c r="C273" s="299"/>
      <c r="D273" s="128"/>
      <c r="E273" s="474"/>
      <c r="F273" s="69" t="s">
        <v>1002</v>
      </c>
      <c r="G273" s="91" t="s">
        <v>1003</v>
      </c>
      <c r="H273" s="70">
        <v>3604006</v>
      </c>
      <c r="I273" s="72" t="s">
        <v>1004</v>
      </c>
      <c r="J273" s="91" t="s">
        <v>1005</v>
      </c>
      <c r="K273" s="232" t="s">
        <v>1006</v>
      </c>
      <c r="L273" s="92" t="s">
        <v>364</v>
      </c>
      <c r="M273" s="416" t="s">
        <v>153</v>
      </c>
      <c r="N273" s="416">
        <v>800</v>
      </c>
      <c r="O273" s="416">
        <v>50</v>
      </c>
      <c r="P273" s="94" t="s">
        <v>306</v>
      </c>
      <c r="Q273" s="146" t="s">
        <v>880</v>
      </c>
      <c r="R273" s="516" t="s">
        <v>1007</v>
      </c>
      <c r="S273" s="76"/>
      <c r="T273" s="76"/>
      <c r="U273" s="76"/>
      <c r="V273" s="76"/>
      <c r="W273" s="76"/>
      <c r="X273" s="76"/>
      <c r="Y273" s="76"/>
      <c r="Z273" s="76"/>
      <c r="AA273" s="76"/>
      <c r="AB273" s="76"/>
      <c r="AC273" s="487">
        <v>25000000</v>
      </c>
      <c r="AD273" s="131"/>
      <c r="AE273" s="131"/>
      <c r="AF273" s="77">
        <f>+S273+T273+U273+V273+W273+X273+Y273+Z273+AA273+AB273+AC273+AD273+AE273</f>
        <v>25000000</v>
      </c>
    </row>
    <row r="274" spans="1:39" s="209" customFormat="1" ht="15.75" x14ac:dyDescent="0.2">
      <c r="A274" s="483"/>
      <c r="B274" s="306">
        <v>4</v>
      </c>
      <c r="C274" s="265" t="s">
        <v>77</v>
      </c>
      <c r="D274" s="266"/>
      <c r="E274" s="109"/>
      <c r="F274" s="110"/>
      <c r="G274" s="111"/>
      <c r="H274" s="112"/>
      <c r="I274" s="113"/>
      <c r="J274" s="114"/>
      <c r="K274" s="114"/>
      <c r="L274" s="113"/>
      <c r="M274" s="115"/>
      <c r="N274" s="116"/>
      <c r="O274" s="111"/>
      <c r="P274" s="109"/>
      <c r="Q274" s="109"/>
      <c r="R274" s="110"/>
      <c r="S274" s="517">
        <f t="shared" ref="S274:AF274" si="101">S275</f>
        <v>0</v>
      </c>
      <c r="T274" s="517">
        <f t="shared" si="101"/>
        <v>0</v>
      </c>
      <c r="U274" s="517">
        <f t="shared" si="101"/>
        <v>0</v>
      </c>
      <c r="V274" s="517">
        <f t="shared" si="101"/>
        <v>0</v>
      </c>
      <c r="W274" s="517">
        <f t="shared" si="101"/>
        <v>0</v>
      </c>
      <c r="X274" s="517">
        <f t="shared" si="101"/>
        <v>0</v>
      </c>
      <c r="Y274" s="517">
        <f t="shared" si="101"/>
        <v>0</v>
      </c>
      <c r="Z274" s="517">
        <f t="shared" si="101"/>
        <v>0</v>
      </c>
      <c r="AA274" s="517">
        <f t="shared" si="101"/>
        <v>0</v>
      </c>
      <c r="AB274" s="517">
        <f t="shared" si="101"/>
        <v>0</v>
      </c>
      <c r="AC274" s="517">
        <f t="shared" si="101"/>
        <v>15000000</v>
      </c>
      <c r="AD274" s="517">
        <f t="shared" si="101"/>
        <v>0</v>
      </c>
      <c r="AE274" s="517">
        <f t="shared" si="101"/>
        <v>0</v>
      </c>
      <c r="AF274" s="518">
        <f t="shared" si="101"/>
        <v>15000000</v>
      </c>
      <c r="AG274" s="219"/>
      <c r="AH274" s="219"/>
      <c r="AI274" s="219"/>
      <c r="AJ274" s="219"/>
      <c r="AK274" s="219"/>
      <c r="AL274" s="219"/>
      <c r="AM274" s="219"/>
    </row>
    <row r="275" spans="1:39" s="209" customFormat="1" ht="15.75" x14ac:dyDescent="0.2">
      <c r="A275" s="483"/>
      <c r="B275" s="52"/>
      <c r="C275" s="321">
        <v>42</v>
      </c>
      <c r="D275" s="195">
        <v>4502</v>
      </c>
      <c r="E275" s="119" t="s">
        <v>68</v>
      </c>
      <c r="F275" s="83"/>
      <c r="G275" s="84"/>
      <c r="H275" s="120"/>
      <c r="I275" s="121"/>
      <c r="J275" s="122"/>
      <c r="K275" s="122"/>
      <c r="L275" s="121"/>
      <c r="M275" s="123"/>
      <c r="N275" s="124"/>
      <c r="O275" s="84"/>
      <c r="P275" s="125"/>
      <c r="Q275" s="125"/>
      <c r="R275" s="83"/>
      <c r="S275" s="485">
        <f t="shared" ref="S275:AF275" si="102">+S276</f>
        <v>0</v>
      </c>
      <c r="T275" s="485">
        <f t="shared" si="102"/>
        <v>0</v>
      </c>
      <c r="U275" s="485">
        <f t="shared" si="102"/>
        <v>0</v>
      </c>
      <c r="V275" s="485">
        <f t="shared" si="102"/>
        <v>0</v>
      </c>
      <c r="W275" s="485">
        <f t="shared" si="102"/>
        <v>0</v>
      </c>
      <c r="X275" s="485">
        <f t="shared" si="102"/>
        <v>0</v>
      </c>
      <c r="Y275" s="485">
        <f t="shared" si="102"/>
        <v>0</v>
      </c>
      <c r="Z275" s="485">
        <f t="shared" si="102"/>
        <v>0</v>
      </c>
      <c r="AA275" s="485">
        <f t="shared" si="102"/>
        <v>0</v>
      </c>
      <c r="AB275" s="485">
        <f t="shared" si="102"/>
        <v>0</v>
      </c>
      <c r="AC275" s="485">
        <f t="shared" si="102"/>
        <v>15000000</v>
      </c>
      <c r="AD275" s="485">
        <f t="shared" si="102"/>
        <v>0</v>
      </c>
      <c r="AE275" s="485">
        <f t="shared" si="102"/>
        <v>0</v>
      </c>
      <c r="AF275" s="486">
        <f t="shared" si="102"/>
        <v>15000000</v>
      </c>
      <c r="AG275" s="219"/>
      <c r="AH275" s="219"/>
      <c r="AI275" s="219"/>
      <c r="AJ275" s="219"/>
      <c r="AK275" s="219"/>
      <c r="AL275" s="219"/>
      <c r="AM275" s="219"/>
    </row>
    <row r="276" spans="1:39" s="488" customFormat="1" ht="111" customHeight="1" x14ac:dyDescent="0.2">
      <c r="A276" s="519"/>
      <c r="B276" s="205"/>
      <c r="C276" s="299"/>
      <c r="D276" s="128"/>
      <c r="E276" s="474"/>
      <c r="F276" s="90" t="s">
        <v>1008</v>
      </c>
      <c r="G276" s="159" t="s">
        <v>375</v>
      </c>
      <c r="H276" s="247">
        <v>4502001</v>
      </c>
      <c r="I276" s="72" t="s">
        <v>376</v>
      </c>
      <c r="J276" s="159" t="s">
        <v>1009</v>
      </c>
      <c r="K276" s="520" t="s">
        <v>51</v>
      </c>
      <c r="L276" s="258" t="s">
        <v>1010</v>
      </c>
      <c r="M276" s="91" t="s">
        <v>153</v>
      </c>
      <c r="N276" s="521">
        <v>4</v>
      </c>
      <c r="O276" s="91">
        <v>1</v>
      </c>
      <c r="P276" s="94" t="s">
        <v>74</v>
      </c>
      <c r="Q276" s="304" t="s">
        <v>990</v>
      </c>
      <c r="R276" s="90" t="s">
        <v>991</v>
      </c>
      <c r="S276" s="76"/>
      <c r="T276" s="76"/>
      <c r="U276" s="76"/>
      <c r="V276" s="76"/>
      <c r="W276" s="76"/>
      <c r="X276" s="76"/>
      <c r="Y276" s="76"/>
      <c r="Z276" s="76"/>
      <c r="AA276" s="76"/>
      <c r="AB276" s="76"/>
      <c r="AC276" s="487">
        <v>15000000</v>
      </c>
      <c r="AD276" s="131"/>
      <c r="AE276" s="131"/>
      <c r="AF276" s="77">
        <f>+S276+T276+U276+V276+W276+X276+Y276+Z276+AA276+AB276+AC276+AD276+AE276</f>
        <v>15000000</v>
      </c>
    </row>
    <row r="277" spans="1:39" ht="30" customHeight="1" x14ac:dyDescent="0.2">
      <c r="AF277" s="695"/>
    </row>
    <row r="278" spans="1:39" s="344" customFormat="1" ht="15.75" x14ac:dyDescent="0.2">
      <c r="A278" s="23" t="s">
        <v>1011</v>
      </c>
      <c r="B278" s="24"/>
      <c r="C278" s="25"/>
      <c r="D278" s="26"/>
      <c r="E278" s="27"/>
      <c r="F278" s="28"/>
      <c r="G278" s="29"/>
      <c r="H278" s="30"/>
      <c r="I278" s="31"/>
      <c r="J278" s="32"/>
      <c r="K278" s="32"/>
      <c r="L278" s="31"/>
      <c r="M278" s="104"/>
      <c r="N278" s="30"/>
      <c r="O278" s="29"/>
      <c r="P278" s="27"/>
      <c r="Q278" s="27"/>
      <c r="R278" s="31"/>
      <c r="S278" s="272">
        <f t="shared" ref="S278:AF278" si="103">+S279</f>
        <v>0</v>
      </c>
      <c r="T278" s="272">
        <f t="shared" si="103"/>
        <v>0</v>
      </c>
      <c r="U278" s="272">
        <f t="shared" si="103"/>
        <v>0</v>
      </c>
      <c r="V278" s="272">
        <f t="shared" si="103"/>
        <v>0</v>
      </c>
      <c r="W278" s="272">
        <f t="shared" si="103"/>
        <v>6854735768.5</v>
      </c>
      <c r="X278" s="272">
        <f t="shared" si="103"/>
        <v>27403553738.380001</v>
      </c>
      <c r="Y278" s="272">
        <f t="shared" si="103"/>
        <v>0</v>
      </c>
      <c r="Z278" s="272">
        <f t="shared" si="103"/>
        <v>0</v>
      </c>
      <c r="AA278" s="272">
        <f t="shared" si="103"/>
        <v>0</v>
      </c>
      <c r="AB278" s="272">
        <f t="shared" si="103"/>
        <v>0</v>
      </c>
      <c r="AC278" s="272">
        <f t="shared" si="103"/>
        <v>3683050740</v>
      </c>
      <c r="AD278" s="272">
        <f t="shared" si="103"/>
        <v>0</v>
      </c>
      <c r="AE278" s="272">
        <f t="shared" si="103"/>
        <v>2605598673.3000002</v>
      </c>
      <c r="AF278" s="272">
        <f t="shared" si="103"/>
        <v>40546938920.18</v>
      </c>
      <c r="AG278" s="345"/>
      <c r="AH278" s="345"/>
      <c r="AI278" s="345"/>
      <c r="AJ278" s="345"/>
      <c r="AK278" s="345"/>
      <c r="AL278" s="345"/>
      <c r="AM278" s="345"/>
    </row>
    <row r="279" spans="1:39" s="344" customFormat="1" ht="15.75" x14ac:dyDescent="0.2">
      <c r="A279" s="522"/>
      <c r="B279" s="106">
        <v>1</v>
      </c>
      <c r="C279" s="107" t="s">
        <v>1012</v>
      </c>
      <c r="D279" s="108"/>
      <c r="E279" s="109"/>
      <c r="F279" s="110"/>
      <c r="G279" s="111"/>
      <c r="H279" s="112"/>
      <c r="I279" s="113"/>
      <c r="J279" s="114"/>
      <c r="K279" s="114"/>
      <c r="L279" s="113"/>
      <c r="M279" s="115"/>
      <c r="N279" s="116"/>
      <c r="O279" s="111"/>
      <c r="P279" s="109"/>
      <c r="Q279" s="109"/>
      <c r="R279" s="113"/>
      <c r="S279" s="274">
        <f t="shared" ref="S279:AF279" si="104">+S280+S306+S337</f>
        <v>0</v>
      </c>
      <c r="T279" s="274">
        <f t="shared" si="104"/>
        <v>0</v>
      </c>
      <c r="U279" s="274">
        <f t="shared" si="104"/>
        <v>0</v>
      </c>
      <c r="V279" s="274">
        <f t="shared" si="104"/>
        <v>0</v>
      </c>
      <c r="W279" s="274">
        <f t="shared" si="104"/>
        <v>6854735768.5</v>
      </c>
      <c r="X279" s="274">
        <f t="shared" si="104"/>
        <v>27403553738.380001</v>
      </c>
      <c r="Y279" s="274">
        <f t="shared" si="104"/>
        <v>0</v>
      </c>
      <c r="Z279" s="274">
        <f t="shared" si="104"/>
        <v>0</v>
      </c>
      <c r="AA279" s="274">
        <f t="shared" si="104"/>
        <v>0</v>
      </c>
      <c r="AB279" s="274">
        <f t="shared" si="104"/>
        <v>0</v>
      </c>
      <c r="AC279" s="274">
        <f t="shared" si="104"/>
        <v>3683050740</v>
      </c>
      <c r="AD279" s="274">
        <f t="shared" si="104"/>
        <v>0</v>
      </c>
      <c r="AE279" s="274">
        <f t="shared" si="104"/>
        <v>2605598673.3000002</v>
      </c>
      <c r="AF279" s="274">
        <f t="shared" si="104"/>
        <v>40546938920.18</v>
      </c>
      <c r="AG279" s="345"/>
      <c r="AH279" s="345"/>
      <c r="AI279" s="345"/>
      <c r="AJ279" s="345"/>
      <c r="AK279" s="345"/>
      <c r="AL279" s="345"/>
      <c r="AM279" s="345"/>
    </row>
    <row r="280" spans="1:39" s="344" customFormat="1" ht="15.75" x14ac:dyDescent="0.2">
      <c r="A280" s="522"/>
      <c r="B280" s="52"/>
      <c r="C280" s="321">
        <v>11</v>
      </c>
      <c r="D280" s="195">
        <v>1903</v>
      </c>
      <c r="E280" s="119" t="s">
        <v>1013</v>
      </c>
      <c r="F280" s="83"/>
      <c r="G280" s="84"/>
      <c r="H280" s="120"/>
      <c r="I280" s="121"/>
      <c r="J280" s="122"/>
      <c r="K280" s="122"/>
      <c r="L280" s="121"/>
      <c r="M280" s="123"/>
      <c r="N280" s="124"/>
      <c r="O280" s="84"/>
      <c r="P280" s="125"/>
      <c r="Q280" s="125"/>
      <c r="R280" s="121"/>
      <c r="S280" s="291">
        <f t="shared" ref="S280:AF280" si="105">SUM(S281:S305)</f>
        <v>0</v>
      </c>
      <c r="T280" s="291">
        <f t="shared" si="105"/>
        <v>0</v>
      </c>
      <c r="U280" s="291">
        <f t="shared" si="105"/>
        <v>0</v>
      </c>
      <c r="V280" s="291">
        <f t="shared" si="105"/>
        <v>0</v>
      </c>
      <c r="W280" s="291">
        <f t="shared" si="105"/>
        <v>1930971477</v>
      </c>
      <c r="X280" s="291">
        <f t="shared" si="105"/>
        <v>1306328216.8600001</v>
      </c>
      <c r="Y280" s="291">
        <f t="shared" si="105"/>
        <v>0</v>
      </c>
      <c r="Z280" s="291">
        <f t="shared" si="105"/>
        <v>0</v>
      </c>
      <c r="AA280" s="291">
        <f t="shared" si="105"/>
        <v>0</v>
      </c>
      <c r="AB280" s="291">
        <f t="shared" si="105"/>
        <v>0</v>
      </c>
      <c r="AC280" s="291">
        <f t="shared" si="105"/>
        <v>161590000</v>
      </c>
      <c r="AD280" s="291">
        <f t="shared" si="105"/>
        <v>0</v>
      </c>
      <c r="AE280" s="291">
        <f t="shared" si="105"/>
        <v>351200000</v>
      </c>
      <c r="AF280" s="291">
        <f t="shared" si="105"/>
        <v>3750089693.8600001</v>
      </c>
      <c r="AG280" s="345"/>
      <c r="AH280" s="345"/>
      <c r="AI280" s="345"/>
      <c r="AJ280" s="345"/>
      <c r="AK280" s="345"/>
      <c r="AL280" s="345"/>
      <c r="AM280" s="345"/>
    </row>
    <row r="281" spans="1:39" s="181" customFormat="1" ht="92.25" customHeight="1" x14ac:dyDescent="0.2">
      <c r="A281" s="51"/>
      <c r="B281" s="523"/>
      <c r="C281" s="133"/>
      <c r="D281" s="134"/>
      <c r="E281" s="68"/>
      <c r="F281" s="69" t="s">
        <v>1014</v>
      </c>
      <c r="G281" s="524" t="s">
        <v>1015</v>
      </c>
      <c r="H281" s="128" t="s">
        <v>51</v>
      </c>
      <c r="I281" s="130" t="s">
        <v>1016</v>
      </c>
      <c r="J281" s="524" t="s">
        <v>1017</v>
      </c>
      <c r="K281" s="91" t="s">
        <v>51</v>
      </c>
      <c r="L281" s="258" t="s">
        <v>1018</v>
      </c>
      <c r="M281" s="231" t="s">
        <v>58</v>
      </c>
      <c r="N281" s="91">
        <v>1</v>
      </c>
      <c r="O281" s="91">
        <v>1</v>
      </c>
      <c r="P281" s="94" t="s">
        <v>163</v>
      </c>
      <c r="Q281" s="136" t="s">
        <v>1019</v>
      </c>
      <c r="R281" s="130" t="s">
        <v>9</v>
      </c>
      <c r="S281" s="76"/>
      <c r="T281" s="76"/>
      <c r="U281" s="76"/>
      <c r="V281" s="76"/>
      <c r="W281" s="76">
        <v>50000000</v>
      </c>
      <c r="X281" s="76"/>
      <c r="Y281" s="76"/>
      <c r="Z281" s="76"/>
      <c r="AA281" s="76"/>
      <c r="AB281" s="76"/>
      <c r="AC281" s="487"/>
      <c r="AD281" s="131"/>
      <c r="AE281" s="131"/>
      <c r="AF281" s="77">
        <f t="shared" ref="AF281:AF305" si="106">+S281+T281+U281+V281+W281+X281+Y281+Z281+AA281+AB281+AC281+AD281+AE281</f>
        <v>50000000</v>
      </c>
    </row>
    <row r="282" spans="1:39" s="181" customFormat="1" ht="66" customHeight="1" x14ac:dyDescent="0.2">
      <c r="A282" s="51"/>
      <c r="B282" s="65"/>
      <c r="C282" s="223"/>
      <c r="D282" s="261"/>
      <c r="E282" s="462"/>
      <c r="F282" s="69" t="s">
        <v>1014</v>
      </c>
      <c r="G282" s="74" t="s">
        <v>1020</v>
      </c>
      <c r="H282" s="71">
        <v>1903009</v>
      </c>
      <c r="I282" s="130" t="s">
        <v>1021</v>
      </c>
      <c r="J282" s="74" t="s">
        <v>1022</v>
      </c>
      <c r="K282" s="91">
        <v>190300900</v>
      </c>
      <c r="L282" s="258" t="s">
        <v>1023</v>
      </c>
      <c r="M282" s="231" t="s">
        <v>58</v>
      </c>
      <c r="N282" s="91">
        <v>2900</v>
      </c>
      <c r="O282" s="91">
        <v>2900</v>
      </c>
      <c r="P282" s="703" t="s">
        <v>163</v>
      </c>
      <c r="Q282" s="703" t="s">
        <v>1024</v>
      </c>
      <c r="R282" s="706" t="s">
        <v>1025</v>
      </c>
      <c r="S282" s="76"/>
      <c r="T282" s="76"/>
      <c r="U282" s="470"/>
      <c r="V282" s="470"/>
      <c r="W282" s="470">
        <v>70000000</v>
      </c>
      <c r="X282" s="76"/>
      <c r="Y282" s="76"/>
      <c r="Z282" s="76"/>
      <c r="AA282" s="76"/>
      <c r="AB282" s="76"/>
      <c r="AC282" s="259">
        <f>40000000-40000000</f>
        <v>0</v>
      </c>
      <c r="AD282" s="76"/>
      <c r="AE282" s="76"/>
      <c r="AF282" s="77">
        <f t="shared" si="106"/>
        <v>70000000</v>
      </c>
    </row>
    <row r="283" spans="1:39" s="181" customFormat="1" ht="69" customHeight="1" x14ac:dyDescent="0.2">
      <c r="A283" s="51"/>
      <c r="B283" s="65"/>
      <c r="C283" s="223"/>
      <c r="D283" s="261"/>
      <c r="E283" s="464"/>
      <c r="F283" s="69" t="s">
        <v>1026</v>
      </c>
      <c r="G283" s="74" t="s">
        <v>1027</v>
      </c>
      <c r="H283" s="71">
        <v>1903023</v>
      </c>
      <c r="I283" s="130" t="s">
        <v>1028</v>
      </c>
      <c r="J283" s="74" t="s">
        <v>1029</v>
      </c>
      <c r="K283" s="91">
        <v>190302300</v>
      </c>
      <c r="L283" s="258" t="s">
        <v>1030</v>
      </c>
      <c r="M283" s="231" t="s">
        <v>58</v>
      </c>
      <c r="N283" s="91">
        <v>12</v>
      </c>
      <c r="O283" s="91">
        <v>12</v>
      </c>
      <c r="P283" s="704"/>
      <c r="Q283" s="704"/>
      <c r="R283" s="707"/>
      <c r="S283" s="76"/>
      <c r="T283" s="76"/>
      <c r="U283" s="76"/>
      <c r="V283" s="76"/>
      <c r="W283" s="76"/>
      <c r="X283" s="470">
        <f>2800528+79027689-0.14</f>
        <v>81828216.859999999</v>
      </c>
      <c r="Y283" s="76"/>
      <c r="Z283" s="76"/>
      <c r="AA283" s="76"/>
      <c r="AB283" s="76"/>
      <c r="AC283" s="526"/>
      <c r="AD283" s="131"/>
      <c r="AE283" s="131"/>
      <c r="AF283" s="77">
        <f t="shared" si="106"/>
        <v>81828216.859999999</v>
      </c>
    </row>
    <row r="284" spans="1:39" s="181" customFormat="1" ht="127.5" customHeight="1" x14ac:dyDescent="0.2">
      <c r="A284" s="51"/>
      <c r="B284" s="65"/>
      <c r="C284" s="223"/>
      <c r="D284" s="261"/>
      <c r="E284" s="464"/>
      <c r="F284" s="69" t="s">
        <v>1031</v>
      </c>
      <c r="G284" s="524" t="s">
        <v>1032</v>
      </c>
      <c r="H284" s="128" t="s">
        <v>51</v>
      </c>
      <c r="I284" s="130" t="s">
        <v>1033</v>
      </c>
      <c r="J284" s="524" t="s">
        <v>1034</v>
      </c>
      <c r="K284" s="91" t="s">
        <v>51</v>
      </c>
      <c r="L284" s="258" t="s">
        <v>1035</v>
      </c>
      <c r="M284" s="231" t="s">
        <v>58</v>
      </c>
      <c r="N284" s="91">
        <v>12</v>
      </c>
      <c r="O284" s="91">
        <v>12</v>
      </c>
      <c r="P284" s="704"/>
      <c r="Q284" s="704"/>
      <c r="R284" s="707"/>
      <c r="S284" s="76"/>
      <c r="T284" s="76"/>
      <c r="U284" s="76"/>
      <c r="V284" s="76"/>
      <c r="W284" s="76">
        <v>70000000</v>
      </c>
      <c r="X284" s="528"/>
      <c r="Y284" s="76"/>
      <c r="Z284" s="76"/>
      <c r="AA284" s="76"/>
      <c r="AB284" s="76"/>
      <c r="AC284" s="527"/>
      <c r="AD284" s="131"/>
      <c r="AE284" s="131"/>
      <c r="AF284" s="77">
        <f t="shared" si="106"/>
        <v>70000000</v>
      </c>
    </row>
    <row r="285" spans="1:39" s="181" customFormat="1" ht="69.75" customHeight="1" x14ac:dyDescent="0.2">
      <c r="A285" s="51"/>
      <c r="B285" s="65"/>
      <c r="C285" s="223"/>
      <c r="D285" s="261"/>
      <c r="E285" s="464"/>
      <c r="F285" s="69" t="s">
        <v>1014</v>
      </c>
      <c r="G285" s="156" t="s">
        <v>1015</v>
      </c>
      <c r="H285" s="129" t="s">
        <v>51</v>
      </c>
      <c r="I285" s="155" t="s">
        <v>1036</v>
      </c>
      <c r="J285" s="156" t="s">
        <v>1017</v>
      </c>
      <c r="K285" s="156" t="s">
        <v>51</v>
      </c>
      <c r="L285" s="130" t="s">
        <v>1018</v>
      </c>
      <c r="M285" s="231" t="s">
        <v>58</v>
      </c>
      <c r="N285" s="91">
        <v>1</v>
      </c>
      <c r="O285" s="71">
        <v>1</v>
      </c>
      <c r="P285" s="704"/>
      <c r="Q285" s="704"/>
      <c r="R285" s="707"/>
      <c r="S285" s="76"/>
      <c r="T285" s="76"/>
      <c r="U285" s="76"/>
      <c r="V285" s="76"/>
      <c r="W285" s="76"/>
      <c r="X285" s="131">
        <v>824500000</v>
      </c>
      <c r="Y285" s="76"/>
      <c r="Z285" s="76"/>
      <c r="AA285" s="76"/>
      <c r="AB285" s="76"/>
      <c r="AC285" s="527"/>
      <c r="AD285" s="131"/>
      <c r="AE285" s="171"/>
      <c r="AF285" s="77">
        <f t="shared" si="106"/>
        <v>824500000</v>
      </c>
    </row>
    <row r="286" spans="1:39" s="181" customFormat="1" ht="138.75" customHeight="1" x14ac:dyDescent="0.2">
      <c r="A286" s="51"/>
      <c r="B286" s="65"/>
      <c r="C286" s="223"/>
      <c r="D286" s="261"/>
      <c r="E286" s="464"/>
      <c r="F286" s="69" t="s">
        <v>1037</v>
      </c>
      <c r="G286" s="74" t="s">
        <v>1038</v>
      </c>
      <c r="H286" s="71">
        <v>1903038</v>
      </c>
      <c r="I286" s="130" t="s">
        <v>1039</v>
      </c>
      <c r="J286" s="74" t="s">
        <v>1040</v>
      </c>
      <c r="K286" s="91">
        <v>190303801</v>
      </c>
      <c r="L286" s="130" t="s">
        <v>1041</v>
      </c>
      <c r="M286" s="231" t="s">
        <v>58</v>
      </c>
      <c r="N286" s="91">
        <v>11</v>
      </c>
      <c r="O286" s="91">
        <v>11</v>
      </c>
      <c r="P286" s="704"/>
      <c r="Q286" s="704"/>
      <c r="R286" s="707"/>
      <c r="S286" s="76"/>
      <c r="T286" s="76"/>
      <c r="U286" s="76"/>
      <c r="V286" s="76"/>
      <c r="W286" s="171"/>
      <c r="X286" s="76">
        <v>50000000</v>
      </c>
      <c r="Y286" s="76"/>
      <c r="Z286" s="76"/>
      <c r="AA286" s="76"/>
      <c r="AB286" s="76"/>
      <c r="AC286" s="527"/>
      <c r="AD286" s="131"/>
      <c r="AE286" s="131"/>
      <c r="AF286" s="77">
        <f t="shared" si="106"/>
        <v>50000000</v>
      </c>
    </row>
    <row r="287" spans="1:39" s="181" customFormat="1" ht="80.25" customHeight="1" x14ac:dyDescent="0.2">
      <c r="A287" s="51"/>
      <c r="B287" s="65"/>
      <c r="C287" s="223"/>
      <c r="D287" s="261"/>
      <c r="E287" s="464"/>
      <c r="F287" s="69" t="s">
        <v>1042</v>
      </c>
      <c r="G287" s="524" t="s">
        <v>1043</v>
      </c>
      <c r="H287" s="71">
        <v>1903027</v>
      </c>
      <c r="I287" s="130" t="s">
        <v>1044</v>
      </c>
      <c r="J287" s="524" t="s">
        <v>1045</v>
      </c>
      <c r="K287" s="91">
        <v>190302700</v>
      </c>
      <c r="L287" s="278" t="s">
        <v>1046</v>
      </c>
      <c r="M287" s="231" t="s">
        <v>58</v>
      </c>
      <c r="N287" s="91">
        <v>5</v>
      </c>
      <c r="O287" s="91">
        <v>5</v>
      </c>
      <c r="P287" s="704"/>
      <c r="Q287" s="704"/>
      <c r="R287" s="707"/>
      <c r="S287" s="76"/>
      <c r="T287" s="76"/>
      <c r="U287" s="76"/>
      <c r="V287" s="76"/>
      <c r="W287" s="171"/>
      <c r="X287" s="76">
        <v>200000000</v>
      </c>
      <c r="Y287" s="76"/>
      <c r="Z287" s="76"/>
      <c r="AA287" s="76"/>
      <c r="AB287" s="76"/>
      <c r="AC287" s="527"/>
      <c r="AD287" s="131"/>
      <c r="AE287" s="131"/>
      <c r="AF287" s="77">
        <f t="shared" si="106"/>
        <v>200000000</v>
      </c>
    </row>
    <row r="288" spans="1:39" s="181" customFormat="1" ht="62.25" customHeight="1" x14ac:dyDescent="0.2">
      <c r="A288" s="51"/>
      <c r="B288" s="65"/>
      <c r="C288" s="223"/>
      <c r="D288" s="261"/>
      <c r="E288" s="469"/>
      <c r="F288" s="529" t="s">
        <v>1047</v>
      </c>
      <c r="G288" s="530" t="s">
        <v>1048</v>
      </c>
      <c r="H288" s="129">
        <v>1903011</v>
      </c>
      <c r="I288" s="155" t="s">
        <v>1049</v>
      </c>
      <c r="J288" s="531" t="s">
        <v>1050</v>
      </c>
      <c r="K288" s="91">
        <v>190301100</v>
      </c>
      <c r="L288" s="278" t="s">
        <v>1051</v>
      </c>
      <c r="M288" s="231" t="s">
        <v>58</v>
      </c>
      <c r="N288" s="91">
        <v>140</v>
      </c>
      <c r="O288" s="91">
        <v>140</v>
      </c>
      <c r="P288" s="704"/>
      <c r="Q288" s="704"/>
      <c r="R288" s="707"/>
      <c r="S288" s="76"/>
      <c r="T288" s="76"/>
      <c r="U288" s="76"/>
      <c r="V288" s="76"/>
      <c r="W288" s="76">
        <v>20000000</v>
      </c>
      <c r="X288" s="76"/>
      <c r="Y288" s="76"/>
      <c r="Z288" s="76"/>
      <c r="AA288" s="76"/>
      <c r="AB288" s="76"/>
      <c r="AC288" s="527"/>
      <c r="AD288" s="131"/>
      <c r="AE288" s="131"/>
      <c r="AF288" s="77">
        <f t="shared" si="106"/>
        <v>20000000</v>
      </c>
    </row>
    <row r="289" spans="1:32" s="181" customFormat="1" ht="77.25" customHeight="1" x14ac:dyDescent="0.2">
      <c r="A289" s="51"/>
      <c r="B289" s="65"/>
      <c r="C289" s="223"/>
      <c r="D289" s="261"/>
      <c r="E289" s="640"/>
      <c r="F289" s="69" t="s">
        <v>1052</v>
      </c>
      <c r="G289" s="531" t="s">
        <v>1053</v>
      </c>
      <c r="H289" s="162">
        <v>1903001</v>
      </c>
      <c r="I289" s="302" t="s">
        <v>584</v>
      </c>
      <c r="J289" s="531" t="s">
        <v>1054</v>
      </c>
      <c r="K289" s="91">
        <v>190300100</v>
      </c>
      <c r="L289" s="258" t="s">
        <v>1055</v>
      </c>
      <c r="M289" s="231" t="s">
        <v>58</v>
      </c>
      <c r="N289" s="91">
        <v>1</v>
      </c>
      <c r="O289" s="91">
        <v>1</v>
      </c>
      <c r="P289" s="731" t="s">
        <v>163</v>
      </c>
      <c r="Q289" s="703" t="s">
        <v>1056</v>
      </c>
      <c r="R289" s="706" t="s">
        <v>1057</v>
      </c>
      <c r="S289" s="76"/>
      <c r="T289" s="76"/>
      <c r="U289" s="76"/>
      <c r="V289" s="76"/>
      <c r="W289" s="76">
        <v>81470000</v>
      </c>
      <c r="X289" s="76"/>
      <c r="Y289" s="76"/>
      <c r="Z289" s="76"/>
      <c r="AA289" s="76"/>
      <c r="AB289" s="76"/>
      <c r="AC289" s="487"/>
      <c r="AD289" s="131"/>
      <c r="AE289" s="131"/>
      <c r="AF289" s="77">
        <f t="shared" si="106"/>
        <v>81470000</v>
      </c>
    </row>
    <row r="290" spans="1:32" s="181" customFormat="1" ht="54.75" customHeight="1" x14ac:dyDescent="0.2">
      <c r="A290" s="51"/>
      <c r="B290" s="65"/>
      <c r="C290" s="223"/>
      <c r="D290" s="261"/>
      <c r="E290" s="641"/>
      <c r="F290" s="69" t="s">
        <v>1058</v>
      </c>
      <c r="G290" s="156" t="s">
        <v>1059</v>
      </c>
      <c r="H290" s="129">
        <v>1903015</v>
      </c>
      <c r="I290" s="155" t="s">
        <v>1060</v>
      </c>
      <c r="J290" s="156" t="s">
        <v>1061</v>
      </c>
      <c r="K290" s="91">
        <v>190301500</v>
      </c>
      <c r="L290" s="130" t="s">
        <v>1062</v>
      </c>
      <c r="M290" s="231" t="s">
        <v>58</v>
      </c>
      <c r="N290" s="91">
        <v>12</v>
      </c>
      <c r="O290" s="91">
        <v>12</v>
      </c>
      <c r="P290" s="745"/>
      <c r="Q290" s="704"/>
      <c r="R290" s="707"/>
      <c r="S290" s="76"/>
      <c r="T290" s="76"/>
      <c r="U290" s="76"/>
      <c r="V290" s="76"/>
      <c r="W290" s="76">
        <v>236000000</v>
      </c>
      <c r="X290" s="76"/>
      <c r="Y290" s="76"/>
      <c r="Z290" s="76"/>
      <c r="AA290" s="76"/>
      <c r="AB290" s="76"/>
      <c r="AC290" s="487"/>
      <c r="AD290" s="131"/>
      <c r="AE290" s="131"/>
      <c r="AF290" s="77">
        <f t="shared" si="106"/>
        <v>236000000</v>
      </c>
    </row>
    <row r="291" spans="1:32" s="181" customFormat="1" ht="90" x14ac:dyDescent="0.2">
      <c r="A291" s="51"/>
      <c r="B291" s="65"/>
      <c r="C291" s="223"/>
      <c r="D291" s="261"/>
      <c r="E291" s="640"/>
      <c r="F291" s="69" t="s">
        <v>1063</v>
      </c>
      <c r="G291" s="74" t="s">
        <v>1064</v>
      </c>
      <c r="H291" s="71">
        <v>1903012</v>
      </c>
      <c r="I291" s="130" t="s">
        <v>1065</v>
      </c>
      <c r="J291" s="74" t="s">
        <v>1066</v>
      </c>
      <c r="K291" s="91">
        <v>190301200</v>
      </c>
      <c r="L291" s="155" t="s">
        <v>1067</v>
      </c>
      <c r="M291" s="231" t="s">
        <v>58</v>
      </c>
      <c r="N291" s="91">
        <v>4000</v>
      </c>
      <c r="O291" s="91">
        <v>4000</v>
      </c>
      <c r="P291" s="708" t="s">
        <v>163</v>
      </c>
      <c r="Q291" s="703" t="s">
        <v>1068</v>
      </c>
      <c r="R291" s="703" t="s">
        <v>1069</v>
      </c>
      <c r="S291" s="76"/>
      <c r="T291" s="76"/>
      <c r="U291" s="76"/>
      <c r="V291" s="76"/>
      <c r="W291" s="532">
        <v>803501477</v>
      </c>
      <c r="X291" s="533"/>
      <c r="Y291" s="76"/>
      <c r="Z291" s="76"/>
      <c r="AA291" s="76"/>
      <c r="AB291" s="76"/>
      <c r="AC291" s="487">
        <f>243062000-243062000</f>
        <v>0</v>
      </c>
      <c r="AD291" s="131"/>
      <c r="AE291" s="131">
        <v>95200000</v>
      </c>
      <c r="AF291" s="77">
        <f t="shared" si="106"/>
        <v>898701477</v>
      </c>
    </row>
    <row r="292" spans="1:32" s="181" customFormat="1" ht="47.25" customHeight="1" x14ac:dyDescent="0.2">
      <c r="A292" s="51"/>
      <c r="B292" s="65"/>
      <c r="C292" s="223"/>
      <c r="D292" s="261"/>
      <c r="E292" s="642"/>
      <c r="F292" s="69" t="s">
        <v>1070</v>
      </c>
      <c r="G292" s="74" t="s">
        <v>1071</v>
      </c>
      <c r="H292" s="71">
        <v>1903016</v>
      </c>
      <c r="I292" s="130" t="s">
        <v>1072</v>
      </c>
      <c r="J292" s="74" t="s">
        <v>1073</v>
      </c>
      <c r="K292" s="91">
        <v>190301600</v>
      </c>
      <c r="L292" s="258" t="s">
        <v>1074</v>
      </c>
      <c r="M292" s="231" t="s">
        <v>58</v>
      </c>
      <c r="N292" s="91">
        <v>240</v>
      </c>
      <c r="O292" s="91">
        <v>240</v>
      </c>
      <c r="P292" s="711"/>
      <c r="Q292" s="704"/>
      <c r="R292" s="704"/>
      <c r="S292" s="76"/>
      <c r="T292" s="76"/>
      <c r="U292" s="76"/>
      <c r="V292" s="76"/>
      <c r="W292" s="532">
        <v>100000000</v>
      </c>
      <c r="X292" s="76"/>
      <c r="Y292" s="76"/>
      <c r="Z292" s="76"/>
      <c r="AA292" s="76"/>
      <c r="AB292" s="76"/>
      <c r="AC292" s="487"/>
      <c r="AD292" s="131"/>
      <c r="AE292" s="131"/>
      <c r="AF292" s="77">
        <f t="shared" si="106"/>
        <v>100000000</v>
      </c>
    </row>
    <row r="293" spans="1:32" s="181" customFormat="1" ht="47.25" customHeight="1" x14ac:dyDescent="0.2">
      <c r="A293" s="51"/>
      <c r="B293" s="65"/>
      <c r="C293" s="223"/>
      <c r="D293" s="261"/>
      <c r="E293" s="642"/>
      <c r="F293" s="733" t="s">
        <v>1047</v>
      </c>
      <c r="G293" s="750" t="s">
        <v>1048</v>
      </c>
      <c r="H293" s="737">
        <v>1903011</v>
      </c>
      <c r="I293" s="706" t="s">
        <v>1049</v>
      </c>
      <c r="J293" s="534" t="s">
        <v>1050</v>
      </c>
      <c r="K293" s="91">
        <v>190301100</v>
      </c>
      <c r="L293" s="278" t="s">
        <v>1051</v>
      </c>
      <c r="M293" s="231" t="s">
        <v>58</v>
      </c>
      <c r="N293" s="91">
        <v>140</v>
      </c>
      <c r="O293" s="91">
        <v>140</v>
      </c>
      <c r="P293" s="711"/>
      <c r="Q293" s="704"/>
      <c r="R293" s="704"/>
      <c r="S293" s="76"/>
      <c r="T293" s="76"/>
      <c r="U293" s="76"/>
      <c r="V293" s="76"/>
      <c r="W293" s="535">
        <v>45330077</v>
      </c>
      <c r="X293" s="76"/>
      <c r="Y293" s="76"/>
      <c r="Z293" s="76"/>
      <c r="AA293" s="76"/>
      <c r="AB293" s="76"/>
      <c r="AC293" s="487"/>
      <c r="AD293" s="131"/>
      <c r="AE293" s="131"/>
      <c r="AF293" s="77">
        <f t="shared" si="106"/>
        <v>45330077</v>
      </c>
    </row>
    <row r="294" spans="1:32" s="181" customFormat="1" ht="47.25" customHeight="1" x14ac:dyDescent="0.2">
      <c r="A294" s="51"/>
      <c r="B294" s="65"/>
      <c r="C294" s="223"/>
      <c r="D294" s="261"/>
      <c r="E294" s="641"/>
      <c r="F294" s="734"/>
      <c r="G294" s="751"/>
      <c r="H294" s="738"/>
      <c r="I294" s="710"/>
      <c r="J294" s="531" t="s">
        <v>1075</v>
      </c>
      <c r="K294" s="91">
        <v>190301101</v>
      </c>
      <c r="L294" s="130" t="s">
        <v>1076</v>
      </c>
      <c r="M294" s="231" t="s">
        <v>58</v>
      </c>
      <c r="N294" s="91">
        <v>12</v>
      </c>
      <c r="O294" s="91">
        <v>12</v>
      </c>
      <c r="P294" s="536"/>
      <c r="Q294" s="146"/>
      <c r="R294" s="146"/>
      <c r="S294" s="76"/>
      <c r="T294" s="76"/>
      <c r="U294" s="76"/>
      <c r="V294" s="76"/>
      <c r="W294" s="537">
        <v>54669923</v>
      </c>
      <c r="X294" s="76"/>
      <c r="Y294" s="76"/>
      <c r="Z294" s="76"/>
      <c r="AA294" s="76"/>
      <c r="AB294" s="76"/>
      <c r="AC294" s="487"/>
      <c r="AD294" s="131"/>
      <c r="AE294" s="131"/>
      <c r="AF294" s="77">
        <f t="shared" si="106"/>
        <v>54669923</v>
      </c>
    </row>
    <row r="295" spans="1:32" s="181" customFormat="1" ht="47.25" customHeight="1" x14ac:dyDescent="0.2">
      <c r="A295" s="51"/>
      <c r="B295" s="65"/>
      <c r="C295" s="223"/>
      <c r="D295" s="261"/>
      <c r="E295" s="525"/>
      <c r="F295" s="69" t="s">
        <v>1042</v>
      </c>
      <c r="G295" s="524" t="s">
        <v>1077</v>
      </c>
      <c r="H295" s="71">
        <v>1903031</v>
      </c>
      <c r="I295" s="130" t="s">
        <v>1078</v>
      </c>
      <c r="J295" s="524" t="s">
        <v>1079</v>
      </c>
      <c r="K295" s="91">
        <v>190303100</v>
      </c>
      <c r="L295" s="278" t="s">
        <v>1080</v>
      </c>
      <c r="M295" s="231" t="s">
        <v>58</v>
      </c>
      <c r="N295" s="91">
        <v>12</v>
      </c>
      <c r="O295" s="91">
        <v>12</v>
      </c>
      <c r="P295" s="94" t="s">
        <v>163</v>
      </c>
      <c r="Q295" s="156" t="s">
        <v>1081</v>
      </c>
      <c r="R295" s="155" t="s">
        <v>1082</v>
      </c>
      <c r="S295" s="76"/>
      <c r="T295" s="76"/>
      <c r="U295" s="76"/>
      <c r="V295" s="76"/>
      <c r="W295" s="532">
        <f>400000000</f>
        <v>400000000</v>
      </c>
      <c r="X295" s="76"/>
      <c r="Y295" s="76"/>
      <c r="Z295" s="76"/>
      <c r="AA295" s="76"/>
      <c r="AB295" s="76"/>
      <c r="AC295" s="487"/>
      <c r="AD295" s="131"/>
      <c r="AE295" s="131">
        <v>256000000</v>
      </c>
      <c r="AF295" s="77">
        <f t="shared" si="106"/>
        <v>656000000</v>
      </c>
    </row>
    <row r="296" spans="1:32" s="181" customFormat="1" ht="68.25" customHeight="1" x14ac:dyDescent="0.2">
      <c r="A296" s="51"/>
      <c r="B296" s="65"/>
      <c r="C296" s="151"/>
      <c r="D296" s="152"/>
      <c r="E296" s="68"/>
      <c r="F296" s="69" t="s">
        <v>1047</v>
      </c>
      <c r="G296" s="228" t="s">
        <v>1083</v>
      </c>
      <c r="H296" s="71">
        <v>1903034</v>
      </c>
      <c r="I296" s="130" t="s">
        <v>346</v>
      </c>
      <c r="J296" s="228" t="s">
        <v>1084</v>
      </c>
      <c r="K296" s="91">
        <v>190303400</v>
      </c>
      <c r="L296" s="255" t="s">
        <v>1085</v>
      </c>
      <c r="M296" s="91" t="s">
        <v>58</v>
      </c>
      <c r="N296" s="91">
        <v>12</v>
      </c>
      <c r="O296" s="91">
        <v>12</v>
      </c>
      <c r="P296" s="94" t="s">
        <v>163</v>
      </c>
      <c r="Q296" s="74" t="s">
        <v>1086</v>
      </c>
      <c r="R296" s="130" t="s">
        <v>1087</v>
      </c>
      <c r="S296" s="76"/>
      <c r="T296" s="76"/>
      <c r="U296" s="76"/>
      <c r="V296" s="76"/>
      <c r="W296" s="76"/>
      <c r="X296" s="532"/>
      <c r="Y296" s="76"/>
      <c r="Z296" s="76"/>
      <c r="AA296" s="76"/>
      <c r="AB296" s="76"/>
      <c r="AC296" s="487">
        <v>96954000</v>
      </c>
      <c r="AD296" s="131"/>
      <c r="AE296" s="131"/>
      <c r="AF296" s="77">
        <f t="shared" si="106"/>
        <v>96954000</v>
      </c>
    </row>
    <row r="297" spans="1:32" s="181" customFormat="1" ht="75" customHeight="1" x14ac:dyDescent="0.2">
      <c r="A297" s="51"/>
      <c r="B297" s="65"/>
      <c r="C297" s="151"/>
      <c r="D297" s="152"/>
      <c r="E297" s="640"/>
      <c r="F297" s="69" t="s">
        <v>1088</v>
      </c>
      <c r="G297" s="524" t="s">
        <v>1089</v>
      </c>
      <c r="H297" s="71">
        <v>1903045</v>
      </c>
      <c r="I297" s="130" t="s">
        <v>1090</v>
      </c>
      <c r="J297" s="524" t="s">
        <v>1091</v>
      </c>
      <c r="K297" s="91">
        <v>190304500</v>
      </c>
      <c r="L297" s="258" t="s">
        <v>1092</v>
      </c>
      <c r="M297" s="231" t="s">
        <v>153</v>
      </c>
      <c r="N297" s="91">
        <v>2900</v>
      </c>
      <c r="O297" s="91">
        <v>725</v>
      </c>
      <c r="P297" s="708" t="s">
        <v>163</v>
      </c>
      <c r="Q297" s="717" t="s">
        <v>1093</v>
      </c>
      <c r="R297" s="720" t="s">
        <v>1094</v>
      </c>
      <c r="S297" s="76"/>
      <c r="T297" s="76"/>
      <c r="U297" s="76"/>
      <c r="V297" s="76"/>
      <c r="W297" s="76"/>
      <c r="X297" s="532"/>
      <c r="Y297" s="76"/>
      <c r="Z297" s="76"/>
      <c r="AA297" s="76"/>
      <c r="AB297" s="76"/>
      <c r="AC297" s="487">
        <v>19636000</v>
      </c>
      <c r="AD297" s="131"/>
      <c r="AE297" s="131"/>
      <c r="AF297" s="77">
        <f t="shared" si="106"/>
        <v>19636000</v>
      </c>
    </row>
    <row r="298" spans="1:32" s="181" customFormat="1" ht="71.25" customHeight="1" x14ac:dyDescent="0.2">
      <c r="A298" s="51"/>
      <c r="B298" s="65"/>
      <c r="C298" s="151"/>
      <c r="D298" s="152"/>
      <c r="E298" s="642"/>
      <c r="F298" s="69" t="s">
        <v>1052</v>
      </c>
      <c r="G298" s="531" t="s">
        <v>1053</v>
      </c>
      <c r="H298" s="71">
        <v>1903001</v>
      </c>
      <c r="I298" s="130" t="s">
        <v>584</v>
      </c>
      <c r="J298" s="531" t="s">
        <v>1054</v>
      </c>
      <c r="K298" s="91">
        <v>190300100</v>
      </c>
      <c r="L298" s="258" t="s">
        <v>1055</v>
      </c>
      <c r="M298" s="231" t="s">
        <v>58</v>
      </c>
      <c r="N298" s="91">
        <v>1</v>
      </c>
      <c r="O298" s="71">
        <v>1</v>
      </c>
      <c r="P298" s="711"/>
      <c r="Q298" s="718"/>
      <c r="R298" s="721"/>
      <c r="S298" s="76"/>
      <c r="T298" s="76"/>
      <c r="U298" s="76"/>
      <c r="V298" s="76"/>
      <c r="W298" s="76"/>
      <c r="X298" s="532"/>
      <c r="Y298" s="76"/>
      <c r="Z298" s="76"/>
      <c r="AA298" s="76"/>
      <c r="AB298" s="76"/>
      <c r="AC298" s="487">
        <v>15000000</v>
      </c>
      <c r="AD298" s="131"/>
      <c r="AE298" s="131"/>
      <c r="AF298" s="77">
        <f t="shared" si="106"/>
        <v>15000000</v>
      </c>
    </row>
    <row r="299" spans="1:32" s="181" customFormat="1" ht="71.25" customHeight="1" x14ac:dyDescent="0.2">
      <c r="A299" s="51"/>
      <c r="B299" s="65"/>
      <c r="C299" s="151"/>
      <c r="D299" s="152"/>
      <c r="E299" s="642"/>
      <c r="F299" s="278" t="s">
        <v>1095</v>
      </c>
      <c r="G299" s="538" t="s">
        <v>1096</v>
      </c>
      <c r="H299" s="91">
        <v>1903010</v>
      </c>
      <c r="I299" s="278" t="s">
        <v>1097</v>
      </c>
      <c r="J299" s="531" t="s">
        <v>1098</v>
      </c>
      <c r="K299" s="91">
        <v>190301000</v>
      </c>
      <c r="L299" s="278" t="s">
        <v>1099</v>
      </c>
      <c r="M299" s="231" t="s">
        <v>58</v>
      </c>
      <c r="N299" s="91">
        <v>12</v>
      </c>
      <c r="O299" s="91">
        <v>12</v>
      </c>
      <c r="P299" s="711"/>
      <c r="Q299" s="718"/>
      <c r="R299" s="721"/>
      <c r="S299" s="76"/>
      <c r="T299" s="76"/>
      <c r="U299" s="76"/>
      <c r="V299" s="76"/>
      <c r="W299" s="76"/>
      <c r="X299" s="532"/>
      <c r="Y299" s="76"/>
      <c r="Z299" s="76"/>
      <c r="AA299" s="76"/>
      <c r="AB299" s="76"/>
      <c r="AC299" s="487">
        <v>15000000</v>
      </c>
      <c r="AD299" s="131"/>
      <c r="AE299" s="131"/>
      <c r="AF299" s="77">
        <f t="shared" si="106"/>
        <v>15000000</v>
      </c>
    </row>
    <row r="300" spans="1:32" s="181" customFormat="1" ht="71.25" customHeight="1" x14ac:dyDescent="0.2">
      <c r="A300" s="51"/>
      <c r="B300" s="65"/>
      <c r="C300" s="151"/>
      <c r="D300" s="152"/>
      <c r="E300" s="642"/>
      <c r="F300" s="733" t="s">
        <v>1100</v>
      </c>
      <c r="G300" s="750" t="s">
        <v>1048</v>
      </c>
      <c r="H300" s="737">
        <v>1903011</v>
      </c>
      <c r="I300" s="706" t="s">
        <v>1049</v>
      </c>
      <c r="J300" s="534" t="s">
        <v>1050</v>
      </c>
      <c r="K300" s="91">
        <v>190301100</v>
      </c>
      <c r="L300" s="278" t="s">
        <v>1051</v>
      </c>
      <c r="M300" s="231" t="s">
        <v>58</v>
      </c>
      <c r="N300" s="91">
        <v>140</v>
      </c>
      <c r="O300" s="91">
        <v>140</v>
      </c>
      <c r="P300" s="711"/>
      <c r="Q300" s="718"/>
      <c r="R300" s="721"/>
      <c r="S300" s="76"/>
      <c r="T300" s="76"/>
      <c r="U300" s="76"/>
      <c r="V300" s="76"/>
      <c r="W300" s="76"/>
      <c r="X300" s="532"/>
      <c r="Y300" s="76"/>
      <c r="Z300" s="76"/>
      <c r="AA300" s="76"/>
      <c r="AB300" s="76"/>
      <c r="AC300" s="487">
        <v>7500000</v>
      </c>
      <c r="AD300" s="131"/>
      <c r="AE300" s="131"/>
      <c r="AF300" s="77">
        <f t="shared" si="106"/>
        <v>7500000</v>
      </c>
    </row>
    <row r="301" spans="1:32" s="181" customFormat="1" ht="71.25" customHeight="1" x14ac:dyDescent="0.2">
      <c r="A301" s="51"/>
      <c r="B301" s="65"/>
      <c r="C301" s="151"/>
      <c r="D301" s="152"/>
      <c r="E301" s="641"/>
      <c r="F301" s="734"/>
      <c r="G301" s="751"/>
      <c r="H301" s="738"/>
      <c r="I301" s="710"/>
      <c r="J301" s="531" t="s">
        <v>1075</v>
      </c>
      <c r="K301" s="91">
        <v>190301101</v>
      </c>
      <c r="L301" s="130" t="s">
        <v>1076</v>
      </c>
      <c r="M301" s="231" t="s">
        <v>58</v>
      </c>
      <c r="N301" s="91">
        <v>12</v>
      </c>
      <c r="O301" s="91">
        <v>12</v>
      </c>
      <c r="P301" s="711"/>
      <c r="Q301" s="718"/>
      <c r="R301" s="721"/>
      <c r="S301" s="76"/>
      <c r="T301" s="76"/>
      <c r="U301" s="76"/>
      <c r="V301" s="76"/>
      <c r="W301" s="76"/>
      <c r="X301" s="532"/>
      <c r="Y301" s="76"/>
      <c r="Z301" s="76"/>
      <c r="AA301" s="76"/>
      <c r="AB301" s="76"/>
      <c r="AC301" s="487">
        <v>7500000</v>
      </c>
      <c r="AD301" s="131"/>
      <c r="AE301" s="131"/>
      <c r="AF301" s="77">
        <f t="shared" si="106"/>
        <v>7500000</v>
      </c>
    </row>
    <row r="302" spans="1:32" s="181" customFormat="1" ht="47.25" customHeight="1" x14ac:dyDescent="0.2">
      <c r="A302" s="51"/>
      <c r="B302" s="65"/>
      <c r="C302" s="151"/>
      <c r="D302" s="152"/>
      <c r="E302" s="640"/>
      <c r="F302" s="69" t="s">
        <v>1101</v>
      </c>
      <c r="G302" s="524" t="s">
        <v>1102</v>
      </c>
      <c r="H302" s="71">
        <v>1903047</v>
      </c>
      <c r="I302" s="130" t="s">
        <v>1103</v>
      </c>
      <c r="J302" s="524" t="s">
        <v>1104</v>
      </c>
      <c r="K302" s="91">
        <v>190304701</v>
      </c>
      <c r="L302" s="258" t="s">
        <v>1105</v>
      </c>
      <c r="M302" s="231" t="s">
        <v>58</v>
      </c>
      <c r="N302" s="91">
        <v>1</v>
      </c>
      <c r="O302" s="91">
        <v>1</v>
      </c>
      <c r="P302" s="708" t="s">
        <v>163</v>
      </c>
      <c r="Q302" s="703" t="s">
        <v>1106</v>
      </c>
      <c r="R302" s="706" t="s">
        <v>1107</v>
      </c>
      <c r="S302" s="76"/>
      <c r="T302" s="76"/>
      <c r="U302" s="76"/>
      <c r="V302" s="76"/>
      <c r="W302" s="76"/>
      <c r="X302" s="539">
        <v>20000000</v>
      </c>
      <c r="Y302" s="76"/>
      <c r="Z302" s="76"/>
      <c r="AA302" s="76"/>
      <c r="AB302" s="76"/>
      <c r="AC302" s="259"/>
      <c r="AD302" s="131"/>
      <c r="AE302" s="131"/>
      <c r="AF302" s="77">
        <f t="shared" si="106"/>
        <v>20000000</v>
      </c>
    </row>
    <row r="303" spans="1:32" s="181" customFormat="1" ht="90.75" customHeight="1" x14ac:dyDescent="0.2">
      <c r="A303" s="51"/>
      <c r="B303" s="65"/>
      <c r="C303" s="151"/>
      <c r="D303" s="152"/>
      <c r="E303" s="642"/>
      <c r="F303" s="69" t="s">
        <v>1108</v>
      </c>
      <c r="G303" s="531" t="s">
        <v>1109</v>
      </c>
      <c r="H303" s="71">
        <v>1903019</v>
      </c>
      <c r="I303" s="130" t="s">
        <v>1110</v>
      </c>
      <c r="J303" s="531" t="s">
        <v>1111</v>
      </c>
      <c r="K303" s="91">
        <v>190301900</v>
      </c>
      <c r="L303" s="278" t="s">
        <v>1112</v>
      </c>
      <c r="M303" s="231" t="s">
        <v>58</v>
      </c>
      <c r="N303" s="91">
        <v>75</v>
      </c>
      <c r="O303" s="91">
        <v>75</v>
      </c>
      <c r="P303" s="711"/>
      <c r="Q303" s="704"/>
      <c r="R303" s="707"/>
      <c r="S303" s="76"/>
      <c r="T303" s="76"/>
      <c r="U303" s="76"/>
      <c r="V303" s="76"/>
      <c r="W303" s="76"/>
      <c r="X303" s="539">
        <v>90000000</v>
      </c>
      <c r="Y303" s="76"/>
      <c r="Z303" s="76"/>
      <c r="AA303" s="76"/>
      <c r="AB303" s="76"/>
      <c r="AC303" s="259"/>
      <c r="AD303" s="131"/>
      <c r="AE303" s="131"/>
      <c r="AF303" s="77">
        <f t="shared" si="106"/>
        <v>90000000</v>
      </c>
    </row>
    <row r="304" spans="1:32" s="181" customFormat="1" ht="47.25" customHeight="1" x14ac:dyDescent="0.2">
      <c r="A304" s="51"/>
      <c r="B304" s="65"/>
      <c r="C304" s="151"/>
      <c r="D304" s="152"/>
      <c r="E304" s="642"/>
      <c r="F304" s="69" t="s">
        <v>1113</v>
      </c>
      <c r="G304" s="74" t="s">
        <v>1114</v>
      </c>
      <c r="H304" s="71">
        <v>1903028</v>
      </c>
      <c r="I304" s="130" t="s">
        <v>1115</v>
      </c>
      <c r="J304" s="74" t="s">
        <v>1116</v>
      </c>
      <c r="K304" s="91">
        <v>190302800</v>
      </c>
      <c r="L304" s="130" t="s">
        <v>1117</v>
      </c>
      <c r="M304" s="231" t="s">
        <v>58</v>
      </c>
      <c r="N304" s="91">
        <v>250</v>
      </c>
      <c r="O304" s="91">
        <v>250</v>
      </c>
      <c r="P304" s="711"/>
      <c r="Q304" s="704"/>
      <c r="R304" s="707"/>
      <c r="S304" s="76"/>
      <c r="T304" s="76"/>
      <c r="U304" s="76"/>
      <c r="V304" s="76"/>
      <c r="W304" s="76"/>
      <c r="X304" s="539">
        <v>20000000</v>
      </c>
      <c r="Y304" s="76"/>
      <c r="Z304" s="76"/>
      <c r="AA304" s="76"/>
      <c r="AB304" s="76"/>
      <c r="AC304" s="259"/>
      <c r="AD304" s="131"/>
      <c r="AE304" s="131"/>
      <c r="AF304" s="77">
        <f t="shared" si="106"/>
        <v>20000000</v>
      </c>
    </row>
    <row r="305" spans="1:39" s="181" customFormat="1" ht="85.5" customHeight="1" x14ac:dyDescent="0.2">
      <c r="A305" s="51"/>
      <c r="B305" s="65"/>
      <c r="C305" s="540"/>
      <c r="D305" s="295"/>
      <c r="E305" s="641"/>
      <c r="F305" s="69" t="s">
        <v>1058</v>
      </c>
      <c r="G305" s="524" t="s">
        <v>1118</v>
      </c>
      <c r="H305" s="71">
        <v>1903025</v>
      </c>
      <c r="I305" s="130" t="s">
        <v>1119</v>
      </c>
      <c r="J305" s="524" t="s">
        <v>1120</v>
      </c>
      <c r="K305" s="91">
        <v>190302500</v>
      </c>
      <c r="L305" s="258" t="s">
        <v>1121</v>
      </c>
      <c r="M305" s="283" t="s">
        <v>58</v>
      </c>
      <c r="N305" s="71">
        <v>12</v>
      </c>
      <c r="O305" s="71">
        <v>12</v>
      </c>
      <c r="P305" s="709"/>
      <c r="Q305" s="705"/>
      <c r="R305" s="710"/>
      <c r="S305" s="76"/>
      <c r="T305" s="76"/>
      <c r="U305" s="76"/>
      <c r="V305" s="76"/>
      <c r="W305" s="76"/>
      <c r="X305" s="539">
        <v>20000000</v>
      </c>
      <c r="Y305" s="76"/>
      <c r="Z305" s="76"/>
      <c r="AA305" s="76"/>
      <c r="AB305" s="76"/>
      <c r="AC305" s="259"/>
      <c r="AD305" s="131"/>
      <c r="AE305" s="131"/>
      <c r="AF305" s="77">
        <f t="shared" si="106"/>
        <v>20000000</v>
      </c>
    </row>
    <row r="306" spans="1:39" s="344" customFormat="1" ht="20.25" customHeight="1" x14ac:dyDescent="0.2">
      <c r="A306" s="522"/>
      <c r="B306" s="79"/>
      <c r="C306" s="235">
        <v>12</v>
      </c>
      <c r="D306" s="195">
        <v>1905</v>
      </c>
      <c r="E306" s="119" t="s">
        <v>815</v>
      </c>
      <c r="F306" s="83"/>
      <c r="G306" s="84"/>
      <c r="H306" s="120"/>
      <c r="I306" s="121"/>
      <c r="J306" s="122"/>
      <c r="K306" s="122"/>
      <c r="L306" s="121"/>
      <c r="M306" s="123"/>
      <c r="N306" s="124"/>
      <c r="O306" s="84"/>
      <c r="P306" s="125"/>
      <c r="Q306" s="125"/>
      <c r="R306" s="121"/>
      <c r="S306" s="541">
        <f>SUM(S307:S336)</f>
        <v>0</v>
      </c>
      <c r="T306" s="541">
        <f>SUM(T307:T336)</f>
        <v>0</v>
      </c>
      <c r="U306" s="541">
        <f>SUM(U307:U336)</f>
        <v>0</v>
      </c>
      <c r="V306" s="541">
        <f>SUM(V307:V336)</f>
        <v>0</v>
      </c>
      <c r="W306" s="541">
        <f t="shared" ref="W306:AF306" si="107">SUM(W307:W336)</f>
        <v>2729252214.6300001</v>
      </c>
      <c r="X306" s="541">
        <f t="shared" si="107"/>
        <v>0</v>
      </c>
      <c r="Y306" s="541">
        <f t="shared" si="107"/>
        <v>0</v>
      </c>
      <c r="Z306" s="541">
        <f t="shared" si="107"/>
        <v>0</v>
      </c>
      <c r="AA306" s="541">
        <f t="shared" si="107"/>
        <v>0</v>
      </c>
      <c r="AB306" s="541">
        <f t="shared" si="107"/>
        <v>0</v>
      </c>
      <c r="AC306" s="541">
        <f t="shared" si="107"/>
        <v>3359870740</v>
      </c>
      <c r="AD306" s="541">
        <f t="shared" si="107"/>
        <v>0</v>
      </c>
      <c r="AE306" s="541">
        <f t="shared" si="107"/>
        <v>607607091.61000001</v>
      </c>
      <c r="AF306" s="696">
        <f t="shared" si="107"/>
        <v>6696730046.2400007</v>
      </c>
      <c r="AG306" s="345"/>
      <c r="AH306" s="345"/>
      <c r="AI306" s="345"/>
      <c r="AJ306" s="345"/>
      <c r="AK306" s="345"/>
      <c r="AL306" s="345"/>
      <c r="AM306" s="345"/>
    </row>
    <row r="307" spans="1:39" s="181" customFormat="1" ht="120" customHeight="1" x14ac:dyDescent="0.2">
      <c r="A307" s="51"/>
      <c r="B307" s="65"/>
      <c r="C307" s="66"/>
      <c r="D307" s="67"/>
      <c r="E307" s="640"/>
      <c r="F307" s="69" t="s">
        <v>1026</v>
      </c>
      <c r="G307" s="74" t="s">
        <v>1122</v>
      </c>
      <c r="H307" s="128">
        <v>1905028</v>
      </c>
      <c r="I307" s="130" t="s">
        <v>1123</v>
      </c>
      <c r="J307" s="74" t="s">
        <v>1124</v>
      </c>
      <c r="K307" s="91">
        <v>190502800</v>
      </c>
      <c r="L307" s="130" t="s">
        <v>1125</v>
      </c>
      <c r="M307" s="74" t="s">
        <v>58</v>
      </c>
      <c r="N307" s="71">
        <v>12</v>
      </c>
      <c r="O307" s="71">
        <v>12</v>
      </c>
      <c r="P307" s="703" t="s">
        <v>163</v>
      </c>
      <c r="Q307" s="703" t="s">
        <v>1019</v>
      </c>
      <c r="R307" s="706" t="s">
        <v>9</v>
      </c>
      <c r="S307" s="76"/>
      <c r="T307" s="76"/>
      <c r="U307" s="76"/>
      <c r="V307" s="76"/>
      <c r="W307" s="76">
        <v>40000000</v>
      </c>
      <c r="X307" s="76"/>
      <c r="Y307" s="76"/>
      <c r="Z307" s="76"/>
      <c r="AA307" s="76"/>
      <c r="AB307" s="76"/>
      <c r="AC307" s="487"/>
      <c r="AD307" s="131"/>
      <c r="AE307" s="131"/>
      <c r="AF307" s="77">
        <f t="shared" ref="AF307:AF336" si="108">+S307+T307+U307+V307+W307+X307+Y307+Z307+AA307+AB307+AC307+AD307+AE307</f>
        <v>40000000</v>
      </c>
    </row>
    <row r="308" spans="1:39" s="181" customFormat="1" ht="114.75" customHeight="1" x14ac:dyDescent="0.2">
      <c r="A308" s="51"/>
      <c r="B308" s="65"/>
      <c r="C308" s="223"/>
      <c r="D308" s="261"/>
      <c r="E308" s="641"/>
      <c r="F308" s="69" t="s">
        <v>1026</v>
      </c>
      <c r="G308" s="74" t="s">
        <v>1126</v>
      </c>
      <c r="H308" s="128">
        <v>1905031</v>
      </c>
      <c r="I308" s="130" t="s">
        <v>1127</v>
      </c>
      <c r="J308" s="74" t="s">
        <v>1128</v>
      </c>
      <c r="K308" s="71">
        <v>190503100</v>
      </c>
      <c r="L308" s="130" t="s">
        <v>1129</v>
      </c>
      <c r="M308" s="231" t="s">
        <v>58</v>
      </c>
      <c r="N308" s="91">
        <v>12</v>
      </c>
      <c r="O308" s="91">
        <v>12</v>
      </c>
      <c r="P308" s="705"/>
      <c r="Q308" s="704"/>
      <c r="R308" s="707"/>
      <c r="S308" s="76"/>
      <c r="T308" s="76"/>
      <c r="U308" s="76"/>
      <c r="V308" s="76"/>
      <c r="W308" s="76">
        <v>40000000</v>
      </c>
      <c r="X308" s="76"/>
      <c r="Y308" s="76"/>
      <c r="Z308" s="76"/>
      <c r="AA308" s="76"/>
      <c r="AB308" s="76"/>
      <c r="AC308" s="487"/>
      <c r="AD308" s="131"/>
      <c r="AE308" s="131"/>
      <c r="AF308" s="77">
        <f t="shared" si="108"/>
        <v>40000000</v>
      </c>
    </row>
    <row r="309" spans="1:39" s="181" customFormat="1" ht="63.75" customHeight="1" x14ac:dyDescent="0.2">
      <c r="A309" s="51"/>
      <c r="B309" s="65"/>
      <c r="C309" s="223"/>
      <c r="D309" s="261"/>
      <c r="E309" s="640"/>
      <c r="F309" s="69" t="s">
        <v>1130</v>
      </c>
      <c r="G309" s="74" t="s">
        <v>1131</v>
      </c>
      <c r="H309" s="71">
        <v>1905019</v>
      </c>
      <c r="I309" s="130" t="s">
        <v>1132</v>
      </c>
      <c r="J309" s="74" t="s">
        <v>1133</v>
      </c>
      <c r="K309" s="71">
        <v>190501900</v>
      </c>
      <c r="L309" s="130" t="s">
        <v>364</v>
      </c>
      <c r="M309" s="231" t="s">
        <v>58</v>
      </c>
      <c r="N309" s="91">
        <v>60</v>
      </c>
      <c r="O309" s="91">
        <v>60</v>
      </c>
      <c r="P309" s="717" t="s">
        <v>163</v>
      </c>
      <c r="Q309" s="752" t="s">
        <v>1134</v>
      </c>
      <c r="R309" s="713" t="s">
        <v>1135</v>
      </c>
      <c r="S309" s="76"/>
      <c r="T309" s="76"/>
      <c r="U309" s="76"/>
      <c r="V309" s="76"/>
      <c r="W309" s="542">
        <v>20000000</v>
      </c>
      <c r="X309" s="76"/>
      <c r="Y309" s="76"/>
      <c r="Z309" s="76"/>
      <c r="AA309" s="76"/>
      <c r="AB309" s="76"/>
      <c r="AC309" s="487"/>
      <c r="AD309" s="131"/>
      <c r="AE309" s="131"/>
      <c r="AF309" s="77">
        <f t="shared" si="108"/>
        <v>20000000</v>
      </c>
    </row>
    <row r="310" spans="1:39" s="181" customFormat="1" ht="125.25" customHeight="1" x14ac:dyDescent="0.2">
      <c r="A310" s="51"/>
      <c r="B310" s="65"/>
      <c r="C310" s="223"/>
      <c r="D310" s="261"/>
      <c r="E310" s="642"/>
      <c r="F310" s="90" t="s">
        <v>1136</v>
      </c>
      <c r="G310" s="74" t="s">
        <v>1137</v>
      </c>
      <c r="H310" s="128" t="s">
        <v>51</v>
      </c>
      <c r="I310" s="130" t="s">
        <v>1138</v>
      </c>
      <c r="J310" s="74" t="s">
        <v>1139</v>
      </c>
      <c r="K310" s="74" t="s">
        <v>51</v>
      </c>
      <c r="L310" s="130" t="s">
        <v>1140</v>
      </c>
      <c r="M310" s="74" t="s">
        <v>58</v>
      </c>
      <c r="N310" s="71">
        <v>11</v>
      </c>
      <c r="O310" s="393">
        <v>11</v>
      </c>
      <c r="P310" s="718"/>
      <c r="Q310" s="752"/>
      <c r="R310" s="713"/>
      <c r="S310" s="76"/>
      <c r="T310" s="76"/>
      <c r="U310" s="76"/>
      <c r="V310" s="76"/>
      <c r="W310" s="542">
        <v>20000000</v>
      </c>
      <c r="X310" s="76"/>
      <c r="Y310" s="76"/>
      <c r="Z310" s="76"/>
      <c r="AA310" s="76"/>
      <c r="AB310" s="76"/>
      <c r="AC310" s="487"/>
      <c r="AD310" s="131"/>
      <c r="AE310" s="131"/>
      <c r="AF310" s="77">
        <f t="shared" si="108"/>
        <v>20000000</v>
      </c>
    </row>
    <row r="311" spans="1:39" s="181" customFormat="1" ht="93.75" customHeight="1" x14ac:dyDescent="0.2">
      <c r="A311" s="51"/>
      <c r="B311" s="65"/>
      <c r="C311" s="223"/>
      <c r="D311" s="261"/>
      <c r="E311" s="642"/>
      <c r="F311" s="90" t="s">
        <v>1141</v>
      </c>
      <c r="G311" s="446" t="s">
        <v>1142</v>
      </c>
      <c r="H311" s="71" t="s">
        <v>51</v>
      </c>
      <c r="I311" s="130" t="s">
        <v>1143</v>
      </c>
      <c r="J311" s="446" t="s">
        <v>1144</v>
      </c>
      <c r="K311" s="91" t="s">
        <v>51</v>
      </c>
      <c r="L311" s="258" t="s">
        <v>1145</v>
      </c>
      <c r="M311" s="231" t="s">
        <v>58</v>
      </c>
      <c r="N311" s="91">
        <v>1</v>
      </c>
      <c r="O311" s="91">
        <v>1</v>
      </c>
      <c r="P311" s="718"/>
      <c r="Q311" s="752"/>
      <c r="R311" s="713"/>
      <c r="S311" s="76"/>
      <c r="T311" s="76"/>
      <c r="U311" s="76"/>
      <c r="V311" s="76"/>
      <c r="W311" s="542">
        <v>20000000</v>
      </c>
      <c r="X311" s="76"/>
      <c r="Y311" s="76"/>
      <c r="Z311" s="76"/>
      <c r="AA311" s="76"/>
      <c r="AB311" s="76"/>
      <c r="AC311" s="487"/>
      <c r="AD311" s="131"/>
      <c r="AE311" s="131"/>
      <c r="AF311" s="77">
        <f t="shared" si="108"/>
        <v>20000000</v>
      </c>
    </row>
    <row r="312" spans="1:39" s="181" customFormat="1" ht="93.75" customHeight="1" x14ac:dyDescent="0.2">
      <c r="A312" s="51"/>
      <c r="B312" s="65"/>
      <c r="C312" s="223"/>
      <c r="D312" s="261"/>
      <c r="E312" s="642"/>
      <c r="F312" s="69" t="s">
        <v>1031</v>
      </c>
      <c r="G312" s="446" t="s">
        <v>1146</v>
      </c>
      <c r="H312" s="71" t="s">
        <v>51</v>
      </c>
      <c r="I312" s="130" t="s">
        <v>1147</v>
      </c>
      <c r="J312" s="446" t="s">
        <v>1148</v>
      </c>
      <c r="K312" s="91" t="s">
        <v>51</v>
      </c>
      <c r="L312" s="258" t="s">
        <v>1149</v>
      </c>
      <c r="M312" s="231" t="s">
        <v>153</v>
      </c>
      <c r="N312" s="91">
        <v>11</v>
      </c>
      <c r="O312" s="91">
        <v>1</v>
      </c>
      <c r="P312" s="718"/>
      <c r="Q312" s="752"/>
      <c r="R312" s="713"/>
      <c r="S312" s="76"/>
      <c r="T312" s="76"/>
      <c r="U312" s="76"/>
      <c r="V312" s="76"/>
      <c r="W312" s="542">
        <v>70000000</v>
      </c>
      <c r="X312" s="76"/>
      <c r="Y312" s="76"/>
      <c r="Z312" s="76"/>
      <c r="AA312" s="76"/>
      <c r="AB312" s="76"/>
      <c r="AC312" s="487"/>
      <c r="AD312" s="131"/>
      <c r="AE312" s="131"/>
      <c r="AF312" s="77">
        <f t="shared" si="108"/>
        <v>70000000</v>
      </c>
    </row>
    <row r="313" spans="1:39" s="181" customFormat="1" ht="93.75" customHeight="1" x14ac:dyDescent="0.2">
      <c r="A313" s="51"/>
      <c r="B313" s="65"/>
      <c r="C313" s="223"/>
      <c r="D313" s="261"/>
      <c r="E313" s="642"/>
      <c r="F313" s="69" t="s">
        <v>1150</v>
      </c>
      <c r="G313" s="446" t="s">
        <v>1151</v>
      </c>
      <c r="H313" s="71" t="s">
        <v>51</v>
      </c>
      <c r="I313" s="130" t="s">
        <v>1152</v>
      </c>
      <c r="J313" s="446" t="s">
        <v>1153</v>
      </c>
      <c r="K313" s="91" t="s">
        <v>51</v>
      </c>
      <c r="L313" s="258" t="s">
        <v>1154</v>
      </c>
      <c r="M313" s="74" t="s">
        <v>153</v>
      </c>
      <c r="N313" s="71">
        <v>12</v>
      </c>
      <c r="O313" s="543">
        <v>2</v>
      </c>
      <c r="P313" s="718"/>
      <c r="Q313" s="752"/>
      <c r="R313" s="713"/>
      <c r="S313" s="76"/>
      <c r="T313" s="76"/>
      <c r="U313" s="76"/>
      <c r="V313" s="76"/>
      <c r="W313" s="542">
        <v>20000000</v>
      </c>
      <c r="X313" s="76"/>
      <c r="Y313" s="76"/>
      <c r="Z313" s="76"/>
      <c r="AA313" s="76"/>
      <c r="AB313" s="76"/>
      <c r="AC313" s="487"/>
      <c r="AD313" s="131"/>
      <c r="AE313" s="131"/>
      <c r="AF313" s="77">
        <f t="shared" si="108"/>
        <v>20000000</v>
      </c>
    </row>
    <row r="314" spans="1:39" s="181" customFormat="1" ht="93.75" customHeight="1" x14ac:dyDescent="0.2">
      <c r="A314" s="51"/>
      <c r="B314" s="65"/>
      <c r="C314" s="223"/>
      <c r="D314" s="261"/>
      <c r="E314" s="642"/>
      <c r="F314" s="69" t="s">
        <v>1031</v>
      </c>
      <c r="G314" s="446" t="s">
        <v>1155</v>
      </c>
      <c r="H314" s="71" t="s">
        <v>51</v>
      </c>
      <c r="I314" s="130" t="s">
        <v>1156</v>
      </c>
      <c r="J314" s="446" t="s">
        <v>1157</v>
      </c>
      <c r="K314" s="91" t="s">
        <v>51</v>
      </c>
      <c r="L314" s="258" t="s">
        <v>1158</v>
      </c>
      <c r="M314" s="231" t="s">
        <v>153</v>
      </c>
      <c r="N314" s="91">
        <v>12</v>
      </c>
      <c r="O314" s="91">
        <v>2</v>
      </c>
      <c r="P314" s="718"/>
      <c r="Q314" s="752"/>
      <c r="R314" s="713"/>
      <c r="S314" s="76"/>
      <c r="T314" s="76"/>
      <c r="U314" s="76"/>
      <c r="V314" s="76"/>
      <c r="W314" s="542">
        <v>30000000</v>
      </c>
      <c r="X314" s="76"/>
      <c r="Y314" s="76"/>
      <c r="Z314" s="76"/>
      <c r="AA314" s="76"/>
      <c r="AB314" s="76"/>
      <c r="AC314" s="487"/>
      <c r="AD314" s="131"/>
      <c r="AE314" s="131"/>
      <c r="AF314" s="77">
        <f t="shared" si="108"/>
        <v>30000000</v>
      </c>
    </row>
    <row r="315" spans="1:39" s="181" customFormat="1" ht="93.75" customHeight="1" x14ac:dyDescent="0.2">
      <c r="A315" s="51"/>
      <c r="B315" s="65"/>
      <c r="C315" s="223"/>
      <c r="D315" s="261"/>
      <c r="E315" s="641"/>
      <c r="F315" s="69" t="s">
        <v>1088</v>
      </c>
      <c r="G315" s="446" t="s">
        <v>1159</v>
      </c>
      <c r="H315" s="71" t="s">
        <v>51</v>
      </c>
      <c r="I315" s="130" t="s">
        <v>1160</v>
      </c>
      <c r="J315" s="446" t="s">
        <v>1161</v>
      </c>
      <c r="K315" s="91" t="s">
        <v>51</v>
      </c>
      <c r="L315" s="258" t="s">
        <v>1162</v>
      </c>
      <c r="M315" s="231" t="s">
        <v>153</v>
      </c>
      <c r="N315" s="91">
        <v>12</v>
      </c>
      <c r="O315" s="91">
        <v>2</v>
      </c>
      <c r="P315" s="719"/>
      <c r="Q315" s="752"/>
      <c r="R315" s="713"/>
      <c r="S315" s="76"/>
      <c r="T315" s="76"/>
      <c r="U315" s="76"/>
      <c r="V315" s="76"/>
      <c r="W315" s="542">
        <v>30000000</v>
      </c>
      <c r="X315" s="76"/>
      <c r="Y315" s="76"/>
      <c r="Z315" s="76"/>
      <c r="AA315" s="76"/>
      <c r="AB315" s="76"/>
      <c r="AC315" s="487"/>
      <c r="AD315" s="131"/>
      <c r="AE315" s="131"/>
      <c r="AF315" s="77">
        <f t="shared" si="108"/>
        <v>30000000</v>
      </c>
    </row>
    <row r="316" spans="1:39" s="181" customFormat="1" ht="180" x14ac:dyDescent="0.2">
      <c r="A316" s="51"/>
      <c r="B316" s="65"/>
      <c r="C316" s="223"/>
      <c r="D316" s="261"/>
      <c r="E316" s="637"/>
      <c r="F316" s="544" t="s">
        <v>816</v>
      </c>
      <c r="G316" s="91" t="s">
        <v>817</v>
      </c>
      <c r="H316" s="128">
        <v>1905021</v>
      </c>
      <c r="I316" s="130" t="s">
        <v>818</v>
      </c>
      <c r="J316" s="91" t="s">
        <v>819</v>
      </c>
      <c r="K316" s="91">
        <v>190502100</v>
      </c>
      <c r="L316" s="258" t="s">
        <v>820</v>
      </c>
      <c r="M316" s="74" t="s">
        <v>58</v>
      </c>
      <c r="N316" s="71">
        <v>12</v>
      </c>
      <c r="O316" s="393">
        <v>12</v>
      </c>
      <c r="P316" s="708" t="s">
        <v>163</v>
      </c>
      <c r="Q316" s="703" t="s">
        <v>1163</v>
      </c>
      <c r="R316" s="706" t="s">
        <v>1164</v>
      </c>
      <c r="S316" s="76"/>
      <c r="T316" s="76"/>
      <c r="U316" s="76"/>
      <c r="V316" s="76"/>
      <c r="W316" s="542">
        <v>88000000</v>
      </c>
      <c r="X316" s="76"/>
      <c r="Y316" s="76"/>
      <c r="Z316" s="76"/>
      <c r="AA316" s="76"/>
      <c r="AB316" s="76"/>
      <c r="AC316" s="487"/>
      <c r="AD316" s="131"/>
      <c r="AE316" s="131"/>
      <c r="AF316" s="77">
        <f t="shared" si="108"/>
        <v>88000000</v>
      </c>
    </row>
    <row r="317" spans="1:39" s="181" customFormat="1" ht="129" customHeight="1" x14ac:dyDescent="0.2">
      <c r="A317" s="51"/>
      <c r="B317" s="65"/>
      <c r="C317" s="223"/>
      <c r="D317" s="261"/>
      <c r="E317" s="641"/>
      <c r="F317" s="90" t="s">
        <v>1136</v>
      </c>
      <c r="G317" s="74" t="s">
        <v>1137</v>
      </c>
      <c r="H317" s="71" t="s">
        <v>51</v>
      </c>
      <c r="I317" s="130" t="s">
        <v>1165</v>
      </c>
      <c r="J317" s="74" t="s">
        <v>1139</v>
      </c>
      <c r="K317" s="74" t="s">
        <v>51</v>
      </c>
      <c r="L317" s="130" t="s">
        <v>1140</v>
      </c>
      <c r="M317" s="74" t="s">
        <v>58</v>
      </c>
      <c r="N317" s="71">
        <v>11</v>
      </c>
      <c r="O317" s="393">
        <v>11</v>
      </c>
      <c r="P317" s="709"/>
      <c r="Q317" s="705"/>
      <c r="R317" s="710"/>
      <c r="S317" s="76"/>
      <c r="T317" s="76"/>
      <c r="U317" s="76"/>
      <c r="V317" s="76"/>
      <c r="W317" s="542">
        <v>60000000</v>
      </c>
      <c r="X317" s="76"/>
      <c r="Y317" s="76"/>
      <c r="Z317" s="76"/>
      <c r="AA317" s="76"/>
      <c r="AB317" s="76"/>
      <c r="AC317" s="487"/>
      <c r="AD317" s="131"/>
      <c r="AE317" s="131"/>
      <c r="AF317" s="77">
        <f t="shared" si="108"/>
        <v>60000000</v>
      </c>
    </row>
    <row r="318" spans="1:39" s="181" customFormat="1" ht="103.5" customHeight="1" x14ac:dyDescent="0.2">
      <c r="A318" s="51"/>
      <c r="B318" s="65"/>
      <c r="C318" s="223"/>
      <c r="D318" s="261"/>
      <c r="E318" s="640"/>
      <c r="F318" s="69" t="s">
        <v>1058</v>
      </c>
      <c r="G318" s="91" t="s">
        <v>1166</v>
      </c>
      <c r="H318" s="137">
        <v>1905020</v>
      </c>
      <c r="I318" s="130" t="s">
        <v>1167</v>
      </c>
      <c r="J318" s="91" t="s">
        <v>1168</v>
      </c>
      <c r="K318" s="91">
        <v>190502000</v>
      </c>
      <c r="L318" s="258" t="s">
        <v>1169</v>
      </c>
      <c r="M318" s="231" t="s">
        <v>58</v>
      </c>
      <c r="N318" s="91">
        <v>12</v>
      </c>
      <c r="O318" s="91">
        <v>12</v>
      </c>
      <c r="P318" s="708" t="s">
        <v>163</v>
      </c>
      <c r="Q318" s="717" t="s">
        <v>1170</v>
      </c>
      <c r="R318" s="720" t="s">
        <v>1171</v>
      </c>
      <c r="S318" s="76"/>
      <c r="T318" s="76"/>
      <c r="U318" s="76"/>
      <c r="V318" s="76"/>
      <c r="W318" s="545">
        <v>40000000</v>
      </c>
      <c r="X318" s="76"/>
      <c r="Y318" s="76"/>
      <c r="Z318" s="76"/>
      <c r="AA318" s="76"/>
      <c r="AB318" s="76"/>
      <c r="AC318" s="487"/>
      <c r="AD318" s="131"/>
      <c r="AE318" s="131"/>
      <c r="AF318" s="77">
        <f t="shared" si="108"/>
        <v>40000000</v>
      </c>
    </row>
    <row r="319" spans="1:39" s="181" customFormat="1" ht="73.5" customHeight="1" x14ac:dyDescent="0.2">
      <c r="A319" s="51"/>
      <c r="B319" s="65"/>
      <c r="C319" s="223"/>
      <c r="D319" s="261"/>
      <c r="E319" s="638"/>
      <c r="F319" s="90" t="s">
        <v>823</v>
      </c>
      <c r="G319" s="91">
        <v>12.7</v>
      </c>
      <c r="H319" s="137">
        <v>1905022</v>
      </c>
      <c r="I319" s="130" t="s">
        <v>825</v>
      </c>
      <c r="J319" s="91" t="s">
        <v>826</v>
      </c>
      <c r="K319" s="91">
        <v>190502200</v>
      </c>
      <c r="L319" s="258" t="s">
        <v>827</v>
      </c>
      <c r="M319" s="231" t="s">
        <v>58</v>
      </c>
      <c r="N319" s="91">
        <v>12</v>
      </c>
      <c r="O319" s="91">
        <v>12</v>
      </c>
      <c r="P319" s="711"/>
      <c r="Q319" s="718"/>
      <c r="R319" s="721"/>
      <c r="S319" s="76"/>
      <c r="T319" s="76"/>
      <c r="U319" s="76"/>
      <c r="V319" s="76"/>
      <c r="W319" s="545">
        <v>60000000</v>
      </c>
      <c r="X319" s="76"/>
      <c r="Y319" s="76"/>
      <c r="Z319" s="76"/>
      <c r="AA319" s="76"/>
      <c r="AB319" s="76"/>
      <c r="AC319" s="487"/>
      <c r="AD319" s="131"/>
      <c r="AE319" s="131"/>
      <c r="AF319" s="77">
        <f t="shared" si="108"/>
        <v>60000000</v>
      </c>
    </row>
    <row r="320" spans="1:39" s="181" customFormat="1" ht="96" customHeight="1" x14ac:dyDescent="0.2">
      <c r="A320" s="51"/>
      <c r="B320" s="65"/>
      <c r="C320" s="223"/>
      <c r="D320" s="261"/>
      <c r="E320" s="639"/>
      <c r="F320" s="69" t="s">
        <v>1058</v>
      </c>
      <c r="G320" s="446" t="s">
        <v>1172</v>
      </c>
      <c r="H320" s="71" t="s">
        <v>51</v>
      </c>
      <c r="I320" s="130" t="s">
        <v>1173</v>
      </c>
      <c r="J320" s="446" t="s">
        <v>1174</v>
      </c>
      <c r="K320" s="91" t="s">
        <v>51</v>
      </c>
      <c r="L320" s="258" t="s">
        <v>1175</v>
      </c>
      <c r="M320" s="231" t="s">
        <v>58</v>
      </c>
      <c r="N320" s="91">
        <v>1</v>
      </c>
      <c r="O320" s="91">
        <v>1</v>
      </c>
      <c r="P320" s="709"/>
      <c r="Q320" s="719"/>
      <c r="R320" s="722"/>
      <c r="S320" s="76"/>
      <c r="T320" s="76"/>
      <c r="U320" s="76"/>
      <c r="V320" s="76"/>
      <c r="W320" s="545">
        <v>40000000</v>
      </c>
      <c r="X320" s="76"/>
      <c r="Y320" s="76"/>
      <c r="Z320" s="76"/>
      <c r="AA320" s="76"/>
      <c r="AB320" s="76"/>
      <c r="AC320" s="487"/>
      <c r="AD320" s="131"/>
      <c r="AE320" s="131"/>
      <c r="AF320" s="77">
        <f t="shared" si="108"/>
        <v>40000000</v>
      </c>
    </row>
    <row r="321" spans="1:32" s="181" customFormat="1" ht="102.75" customHeight="1" x14ac:dyDescent="0.2">
      <c r="A321" s="51"/>
      <c r="B321" s="65"/>
      <c r="C321" s="223"/>
      <c r="D321" s="261"/>
      <c r="E321" s="637"/>
      <c r="F321" s="90" t="s">
        <v>1176</v>
      </c>
      <c r="G321" s="546" t="s">
        <v>1177</v>
      </c>
      <c r="H321" s="71">
        <v>1905023</v>
      </c>
      <c r="I321" s="130" t="s">
        <v>1178</v>
      </c>
      <c r="J321" s="546" t="s">
        <v>1179</v>
      </c>
      <c r="K321" s="91">
        <v>190502300</v>
      </c>
      <c r="L321" s="258" t="s">
        <v>1180</v>
      </c>
      <c r="M321" s="231" t="s">
        <v>58</v>
      </c>
      <c r="N321" s="91">
        <v>12</v>
      </c>
      <c r="O321" s="91">
        <v>12</v>
      </c>
      <c r="P321" s="708" t="s">
        <v>163</v>
      </c>
      <c r="Q321" s="703" t="s">
        <v>1181</v>
      </c>
      <c r="R321" s="706" t="s">
        <v>1182</v>
      </c>
      <c r="S321" s="76"/>
      <c r="T321" s="76"/>
      <c r="U321" s="76"/>
      <c r="V321" s="76"/>
      <c r="W321" s="545">
        <v>110000000</v>
      </c>
      <c r="X321" s="76"/>
      <c r="Y321" s="76"/>
      <c r="Z321" s="76"/>
      <c r="AA321" s="76"/>
      <c r="AB321" s="76"/>
      <c r="AC321" s="487"/>
      <c r="AD321" s="131"/>
      <c r="AE321" s="131"/>
      <c r="AF321" s="77">
        <f t="shared" si="108"/>
        <v>110000000</v>
      </c>
    </row>
    <row r="322" spans="1:32" s="181" customFormat="1" ht="77.25" customHeight="1" x14ac:dyDescent="0.2">
      <c r="A322" s="51"/>
      <c r="B322" s="65"/>
      <c r="C322" s="223"/>
      <c r="D322" s="261"/>
      <c r="E322" s="469"/>
      <c r="F322" s="69" t="s">
        <v>1026</v>
      </c>
      <c r="G322" s="74" t="s">
        <v>1126</v>
      </c>
      <c r="H322" s="128">
        <v>1905031</v>
      </c>
      <c r="I322" s="130" t="s">
        <v>1127</v>
      </c>
      <c r="J322" s="74" t="s">
        <v>1128</v>
      </c>
      <c r="K322" s="71">
        <v>190503100</v>
      </c>
      <c r="L322" s="130" t="s">
        <v>1129</v>
      </c>
      <c r="M322" s="231" t="s">
        <v>58</v>
      </c>
      <c r="N322" s="91">
        <v>12</v>
      </c>
      <c r="O322" s="91">
        <v>12</v>
      </c>
      <c r="P322" s="709"/>
      <c r="Q322" s="704"/>
      <c r="R322" s="707"/>
      <c r="S322" s="76"/>
      <c r="T322" s="76"/>
      <c r="U322" s="76"/>
      <c r="V322" s="76"/>
      <c r="W322" s="545">
        <v>60000000</v>
      </c>
      <c r="X322" s="76"/>
      <c r="Y322" s="76"/>
      <c r="Z322" s="76"/>
      <c r="AA322" s="76"/>
      <c r="AB322" s="76"/>
      <c r="AC322" s="487"/>
      <c r="AD322" s="131"/>
      <c r="AE322" s="131"/>
      <c r="AF322" s="77">
        <f t="shared" si="108"/>
        <v>60000000</v>
      </c>
    </row>
    <row r="323" spans="1:32" s="181" customFormat="1" ht="129" customHeight="1" x14ac:dyDescent="0.2">
      <c r="A323" s="51"/>
      <c r="B323" s="65"/>
      <c r="C323" s="223"/>
      <c r="D323" s="261"/>
      <c r="E323" s="637"/>
      <c r="F323" s="251" t="s">
        <v>1183</v>
      </c>
      <c r="G323" s="91" t="s">
        <v>1184</v>
      </c>
      <c r="H323" s="128">
        <v>1905012</v>
      </c>
      <c r="I323" s="155" t="s">
        <v>1185</v>
      </c>
      <c r="J323" s="91" t="s">
        <v>1186</v>
      </c>
      <c r="K323" s="91">
        <v>190501200</v>
      </c>
      <c r="L323" s="258" t="s">
        <v>1185</v>
      </c>
      <c r="M323" s="231" t="s">
        <v>58</v>
      </c>
      <c r="N323" s="91">
        <v>1</v>
      </c>
      <c r="O323" s="91">
        <v>1</v>
      </c>
      <c r="P323" s="708" t="s">
        <v>163</v>
      </c>
      <c r="Q323" s="717" t="s">
        <v>1187</v>
      </c>
      <c r="R323" s="720" t="s">
        <v>1188</v>
      </c>
      <c r="S323" s="76"/>
      <c r="T323" s="76"/>
      <c r="U323" s="76"/>
      <c r="V323" s="76"/>
      <c r="W323" s="76">
        <v>20000000</v>
      </c>
      <c r="X323" s="76"/>
      <c r="Y323" s="76"/>
      <c r="Z323" s="76"/>
      <c r="AA323" s="76"/>
      <c r="AB323" s="76"/>
      <c r="AC323" s="487"/>
      <c r="AD323" s="131"/>
      <c r="AE323" s="285"/>
      <c r="AF323" s="77">
        <f t="shared" si="108"/>
        <v>20000000</v>
      </c>
    </row>
    <row r="324" spans="1:32" s="181" customFormat="1" ht="147" customHeight="1" x14ac:dyDescent="0.2">
      <c r="A324" s="51"/>
      <c r="B324" s="65"/>
      <c r="C324" s="223"/>
      <c r="D324" s="261"/>
      <c r="E324" s="638"/>
      <c r="F324" s="251" t="s">
        <v>1189</v>
      </c>
      <c r="G324" s="446" t="s">
        <v>1190</v>
      </c>
      <c r="H324" s="128">
        <v>1905026</v>
      </c>
      <c r="I324" s="130" t="s">
        <v>1191</v>
      </c>
      <c r="J324" s="446" t="s">
        <v>1192</v>
      </c>
      <c r="K324" s="91">
        <v>190502600</v>
      </c>
      <c r="L324" s="258" t="s">
        <v>1193</v>
      </c>
      <c r="M324" s="74" t="s">
        <v>58</v>
      </c>
      <c r="N324" s="128">
        <v>12</v>
      </c>
      <c r="O324" s="128">
        <v>12</v>
      </c>
      <c r="P324" s="711"/>
      <c r="Q324" s="718"/>
      <c r="R324" s="721"/>
      <c r="S324" s="76"/>
      <c r="T324" s="76"/>
      <c r="U324" s="76"/>
      <c r="V324" s="76"/>
      <c r="W324" s="76">
        <v>60000000</v>
      </c>
      <c r="X324" s="76"/>
      <c r="Y324" s="76"/>
      <c r="Z324" s="76"/>
      <c r="AA324" s="76"/>
      <c r="AB324" s="76"/>
      <c r="AC324" s="487"/>
      <c r="AD324" s="131"/>
      <c r="AE324" s="285"/>
      <c r="AF324" s="77">
        <f t="shared" si="108"/>
        <v>60000000</v>
      </c>
    </row>
    <row r="325" spans="1:32" s="181" customFormat="1" ht="140.25" customHeight="1" x14ac:dyDescent="0.2">
      <c r="A325" s="51"/>
      <c r="B325" s="65"/>
      <c r="C325" s="223"/>
      <c r="D325" s="261"/>
      <c r="E325" s="641"/>
      <c r="F325" s="90" t="s">
        <v>1183</v>
      </c>
      <c r="G325" s="74" t="s">
        <v>1194</v>
      </c>
      <c r="H325" s="128">
        <v>1905027</v>
      </c>
      <c r="I325" s="130" t="s">
        <v>1195</v>
      </c>
      <c r="J325" s="74" t="s">
        <v>1196</v>
      </c>
      <c r="K325" s="91">
        <v>190502700</v>
      </c>
      <c r="L325" s="130" t="s">
        <v>1197</v>
      </c>
      <c r="M325" s="231" t="s">
        <v>58</v>
      </c>
      <c r="N325" s="91">
        <v>12</v>
      </c>
      <c r="O325" s="91">
        <v>12</v>
      </c>
      <c r="P325" s="709"/>
      <c r="Q325" s="719"/>
      <c r="R325" s="722"/>
      <c r="S325" s="76"/>
      <c r="T325" s="76"/>
      <c r="U325" s="76"/>
      <c r="V325" s="76"/>
      <c r="W325" s="76">
        <v>60000000</v>
      </c>
      <c r="X325" s="171"/>
      <c r="Y325" s="76"/>
      <c r="Z325" s="76"/>
      <c r="AA325" s="76"/>
      <c r="AB325" s="76"/>
      <c r="AC325" s="487">
        <f>20000000-13438000-6562000</f>
        <v>0</v>
      </c>
      <c r="AD325" s="131"/>
      <c r="AE325" s="131"/>
      <c r="AF325" s="77">
        <f t="shared" si="108"/>
        <v>60000000</v>
      </c>
    </row>
    <row r="326" spans="1:32" s="181" customFormat="1" ht="84.75" customHeight="1" x14ac:dyDescent="0.2">
      <c r="A326" s="51"/>
      <c r="B326" s="65"/>
      <c r="C326" s="223"/>
      <c r="D326" s="261"/>
      <c r="E326" s="637"/>
      <c r="F326" s="69" t="s">
        <v>1198</v>
      </c>
      <c r="G326" s="446" t="s">
        <v>1151</v>
      </c>
      <c r="H326" s="71" t="s">
        <v>51</v>
      </c>
      <c r="I326" s="130" t="s">
        <v>1199</v>
      </c>
      <c r="J326" s="446" t="s">
        <v>1153</v>
      </c>
      <c r="K326" s="91" t="s">
        <v>51</v>
      </c>
      <c r="L326" s="258" t="s">
        <v>1154</v>
      </c>
      <c r="M326" s="74" t="s">
        <v>153</v>
      </c>
      <c r="N326" s="71">
        <v>12</v>
      </c>
      <c r="O326" s="543">
        <v>2</v>
      </c>
      <c r="P326" s="708" t="s">
        <v>163</v>
      </c>
      <c r="Q326" s="703" t="s">
        <v>1200</v>
      </c>
      <c r="R326" s="707" t="s">
        <v>1201</v>
      </c>
      <c r="S326" s="76"/>
      <c r="T326" s="76"/>
      <c r="U326" s="76"/>
      <c r="V326" s="76"/>
      <c r="W326" s="76">
        <v>100000000</v>
      </c>
      <c r="X326" s="76"/>
      <c r="Y326" s="76"/>
      <c r="Z326" s="76"/>
      <c r="AA326" s="76"/>
      <c r="AB326" s="76"/>
      <c r="AC326" s="259">
        <f>75000000+55000000</f>
        <v>130000000</v>
      </c>
      <c r="AD326" s="76"/>
      <c r="AE326" s="76">
        <f>200991312+59118933</f>
        <v>260110245</v>
      </c>
      <c r="AF326" s="77">
        <f t="shared" si="108"/>
        <v>490110245</v>
      </c>
    </row>
    <row r="327" spans="1:32" s="181" customFormat="1" ht="156" customHeight="1" x14ac:dyDescent="0.2">
      <c r="A327" s="51"/>
      <c r="B327" s="65"/>
      <c r="C327" s="223"/>
      <c r="D327" s="261"/>
      <c r="E327" s="641"/>
      <c r="F327" s="90" t="s">
        <v>1189</v>
      </c>
      <c r="G327" s="446" t="s">
        <v>1190</v>
      </c>
      <c r="H327" s="128">
        <v>1905026</v>
      </c>
      <c r="I327" s="130" t="s">
        <v>1191</v>
      </c>
      <c r="J327" s="446" t="s">
        <v>1192</v>
      </c>
      <c r="K327" s="91">
        <v>190502600</v>
      </c>
      <c r="L327" s="258" t="s">
        <v>1193</v>
      </c>
      <c r="M327" s="74" t="s">
        <v>58</v>
      </c>
      <c r="N327" s="128">
        <v>12</v>
      </c>
      <c r="O327" s="128">
        <v>12</v>
      </c>
      <c r="P327" s="709"/>
      <c r="Q327" s="705"/>
      <c r="R327" s="710"/>
      <c r="S327" s="76"/>
      <c r="T327" s="76"/>
      <c r="U327" s="76"/>
      <c r="V327" s="76"/>
      <c r="W327" s="76">
        <v>100000000</v>
      </c>
      <c r="X327" s="76"/>
      <c r="Y327" s="171"/>
      <c r="Z327" s="76"/>
      <c r="AA327" s="76"/>
      <c r="AB327" s="76"/>
      <c r="AC327" s="76"/>
      <c r="AD327" s="131"/>
      <c r="AE327" s="76">
        <f>340860.61+168116148+662000+158045</f>
        <v>169277053.61000001</v>
      </c>
      <c r="AF327" s="77">
        <f t="shared" si="108"/>
        <v>269277053.61000001</v>
      </c>
    </row>
    <row r="328" spans="1:32" s="181" customFormat="1" ht="88.5" customHeight="1" x14ac:dyDescent="0.2">
      <c r="A328" s="51"/>
      <c r="B328" s="65"/>
      <c r="C328" s="223"/>
      <c r="D328" s="261"/>
      <c r="E328" s="640"/>
      <c r="F328" s="69" t="s">
        <v>1031</v>
      </c>
      <c r="G328" s="74" t="s">
        <v>1202</v>
      </c>
      <c r="H328" s="128">
        <v>1905014</v>
      </c>
      <c r="I328" s="130" t="s">
        <v>584</v>
      </c>
      <c r="J328" s="74" t="s">
        <v>1203</v>
      </c>
      <c r="K328" s="128">
        <v>190501400</v>
      </c>
      <c r="L328" s="130" t="s">
        <v>611</v>
      </c>
      <c r="M328" s="231" t="s">
        <v>58</v>
      </c>
      <c r="N328" s="91">
        <v>12</v>
      </c>
      <c r="O328" s="91">
        <v>12</v>
      </c>
      <c r="P328" s="708" t="s">
        <v>163</v>
      </c>
      <c r="Q328" s="703" t="s">
        <v>1204</v>
      </c>
      <c r="R328" s="706" t="s">
        <v>1205</v>
      </c>
      <c r="S328" s="76"/>
      <c r="T328" s="76"/>
      <c r="U328" s="76"/>
      <c r="V328" s="76"/>
      <c r="W328" s="76">
        <v>45000000</v>
      </c>
      <c r="X328" s="76"/>
      <c r="Y328" s="76"/>
      <c r="Z328" s="76"/>
      <c r="AA328" s="76"/>
      <c r="AB328" s="76"/>
      <c r="AC328" s="259"/>
      <c r="AD328" s="131"/>
      <c r="AE328" s="131"/>
      <c r="AF328" s="77">
        <f t="shared" si="108"/>
        <v>45000000</v>
      </c>
    </row>
    <row r="329" spans="1:32" s="181" customFormat="1" ht="150" customHeight="1" x14ac:dyDescent="0.2">
      <c r="A329" s="51"/>
      <c r="B329" s="65"/>
      <c r="C329" s="223"/>
      <c r="D329" s="261"/>
      <c r="E329" s="641"/>
      <c r="F329" s="69" t="s">
        <v>1189</v>
      </c>
      <c r="G329" s="446" t="s">
        <v>1190</v>
      </c>
      <c r="H329" s="71">
        <v>1905026</v>
      </c>
      <c r="I329" s="130" t="s">
        <v>1206</v>
      </c>
      <c r="J329" s="446" t="s">
        <v>1192</v>
      </c>
      <c r="K329" s="91">
        <v>190502600</v>
      </c>
      <c r="L329" s="258" t="s">
        <v>1193</v>
      </c>
      <c r="M329" s="74" t="s">
        <v>58</v>
      </c>
      <c r="N329" s="128">
        <v>12</v>
      </c>
      <c r="O329" s="128">
        <v>12</v>
      </c>
      <c r="P329" s="709"/>
      <c r="Q329" s="705"/>
      <c r="R329" s="710"/>
      <c r="S329" s="76"/>
      <c r="T329" s="76"/>
      <c r="U329" s="76"/>
      <c r="V329" s="76"/>
      <c r="W329" s="76"/>
      <c r="X329" s="76"/>
      <c r="Y329" s="76"/>
      <c r="Z329" s="76"/>
      <c r="AA329" s="76"/>
      <c r="AB329" s="76"/>
      <c r="AC329" s="259"/>
      <c r="AD329" s="76"/>
      <c r="AE329" s="259">
        <f>155911553+22308240</f>
        <v>178219793</v>
      </c>
      <c r="AF329" s="77">
        <f t="shared" si="108"/>
        <v>178219793</v>
      </c>
    </row>
    <row r="330" spans="1:32" s="181" customFormat="1" ht="105" x14ac:dyDescent="0.2">
      <c r="A330" s="51"/>
      <c r="B330" s="65"/>
      <c r="C330" s="223"/>
      <c r="D330" s="261"/>
      <c r="E330" s="525"/>
      <c r="F330" s="69" t="s">
        <v>1189</v>
      </c>
      <c r="G330" s="446" t="s">
        <v>1190</v>
      </c>
      <c r="H330" s="71">
        <v>1905026</v>
      </c>
      <c r="I330" s="130" t="s">
        <v>1191</v>
      </c>
      <c r="J330" s="446" t="s">
        <v>1192</v>
      </c>
      <c r="K330" s="91">
        <v>190502600</v>
      </c>
      <c r="L330" s="258" t="s">
        <v>1193</v>
      </c>
      <c r="M330" s="74" t="s">
        <v>58</v>
      </c>
      <c r="N330" s="128">
        <v>12</v>
      </c>
      <c r="O330" s="128">
        <v>12</v>
      </c>
      <c r="P330" s="94" t="s">
        <v>163</v>
      </c>
      <c r="Q330" s="74" t="s">
        <v>1207</v>
      </c>
      <c r="R330" s="130" t="s">
        <v>1208</v>
      </c>
      <c r="S330" s="76"/>
      <c r="T330" s="76"/>
      <c r="U330" s="76"/>
      <c r="V330" s="76"/>
      <c r="W330" s="76"/>
      <c r="X330" s="539"/>
      <c r="Y330" s="76"/>
      <c r="Z330" s="76"/>
      <c r="AA330" s="76"/>
      <c r="AB330" s="76"/>
      <c r="AC330" s="259">
        <v>2929870740</v>
      </c>
      <c r="AD330" s="131"/>
      <c r="AE330" s="131">
        <v>0</v>
      </c>
      <c r="AF330" s="77">
        <f t="shared" si="108"/>
        <v>2929870740</v>
      </c>
    </row>
    <row r="331" spans="1:32" s="181" customFormat="1" ht="69" customHeight="1" x14ac:dyDescent="0.2">
      <c r="A331" s="51"/>
      <c r="B331" s="65"/>
      <c r="C331" s="223"/>
      <c r="D331" s="261"/>
      <c r="E331" s="703"/>
      <c r="F331" s="529" t="s">
        <v>1037</v>
      </c>
      <c r="G331" s="446" t="s">
        <v>1209</v>
      </c>
      <c r="H331" s="129">
        <v>1905029</v>
      </c>
      <c r="I331" s="155" t="s">
        <v>1210</v>
      </c>
      <c r="J331" s="446" t="s">
        <v>1211</v>
      </c>
      <c r="K331" s="91">
        <v>190502900</v>
      </c>
      <c r="L331" s="258" t="s">
        <v>1212</v>
      </c>
      <c r="M331" s="231" t="s">
        <v>58</v>
      </c>
      <c r="N331" s="91">
        <v>60</v>
      </c>
      <c r="O331" s="91">
        <v>60</v>
      </c>
      <c r="P331" s="708" t="s">
        <v>163</v>
      </c>
      <c r="Q331" s="703" t="s">
        <v>1213</v>
      </c>
      <c r="R331" s="155" t="s">
        <v>1214</v>
      </c>
      <c r="S331" s="76"/>
      <c r="T331" s="76"/>
      <c r="U331" s="76"/>
      <c r="V331" s="76"/>
      <c r="W331" s="76">
        <v>10000000</v>
      </c>
      <c r="X331" s="76"/>
      <c r="Y331" s="76"/>
      <c r="Z331" s="76"/>
      <c r="AA331" s="76"/>
      <c r="AB331" s="76"/>
      <c r="AC331" s="487"/>
      <c r="AD331" s="131"/>
      <c r="AE331" s="131"/>
      <c r="AF331" s="77">
        <f t="shared" si="108"/>
        <v>10000000</v>
      </c>
    </row>
    <row r="332" spans="1:32" s="181" customFormat="1" ht="69" customHeight="1" x14ac:dyDescent="0.2">
      <c r="A332" s="51"/>
      <c r="B332" s="65"/>
      <c r="C332" s="223"/>
      <c r="D332" s="261"/>
      <c r="E332" s="705"/>
      <c r="F332" s="69" t="s">
        <v>1189</v>
      </c>
      <c r="G332" s="446" t="s">
        <v>1190</v>
      </c>
      <c r="H332" s="71">
        <v>1905026</v>
      </c>
      <c r="I332" s="130" t="s">
        <v>1191</v>
      </c>
      <c r="J332" s="446" t="s">
        <v>1192</v>
      </c>
      <c r="K332" s="91">
        <v>190502600</v>
      </c>
      <c r="L332" s="258" t="s">
        <v>1193</v>
      </c>
      <c r="M332" s="74" t="s">
        <v>58</v>
      </c>
      <c r="N332" s="128">
        <v>12</v>
      </c>
      <c r="O332" s="128">
        <v>12</v>
      </c>
      <c r="P332" s="709"/>
      <c r="Q332" s="705"/>
      <c r="R332" s="155"/>
      <c r="S332" s="76"/>
      <c r="T332" s="76"/>
      <c r="U332" s="76"/>
      <c r="V332" s="76"/>
      <c r="W332" s="76">
        <v>10000000</v>
      </c>
      <c r="X332" s="76"/>
      <c r="Y332" s="76"/>
      <c r="Z332" s="76"/>
      <c r="AA332" s="76"/>
      <c r="AB332" s="76"/>
      <c r="AC332" s="487"/>
      <c r="AD332" s="131"/>
      <c r="AE332" s="131"/>
      <c r="AF332" s="77">
        <f t="shared" si="108"/>
        <v>10000000</v>
      </c>
    </row>
    <row r="333" spans="1:32" s="181" customFormat="1" ht="93.75" customHeight="1" x14ac:dyDescent="0.2">
      <c r="A333" s="51"/>
      <c r="B333" s="65"/>
      <c r="C333" s="223"/>
      <c r="D333" s="261"/>
      <c r="E333" s="260"/>
      <c r="F333" s="69" t="s">
        <v>1101</v>
      </c>
      <c r="G333" s="446" t="s">
        <v>1215</v>
      </c>
      <c r="H333" s="71">
        <v>1905025</v>
      </c>
      <c r="I333" s="130" t="s">
        <v>1216</v>
      </c>
      <c r="J333" s="446" t="s">
        <v>1217</v>
      </c>
      <c r="K333" s="91">
        <v>190502500</v>
      </c>
      <c r="L333" s="258" t="s">
        <v>1218</v>
      </c>
      <c r="M333" s="231" t="s">
        <v>58</v>
      </c>
      <c r="N333" s="91">
        <v>12</v>
      </c>
      <c r="O333" s="91">
        <v>12</v>
      </c>
      <c r="P333" s="94" t="s">
        <v>163</v>
      </c>
      <c r="Q333" s="156" t="s">
        <v>1219</v>
      </c>
      <c r="R333" s="155" t="s">
        <v>1220</v>
      </c>
      <c r="S333" s="76"/>
      <c r="T333" s="76"/>
      <c r="U333" s="76"/>
      <c r="V333" s="76"/>
      <c r="W333" s="76">
        <v>76000000</v>
      </c>
      <c r="X333" s="76"/>
      <c r="Y333" s="76"/>
      <c r="Z333" s="76"/>
      <c r="AA333" s="76"/>
      <c r="AB333" s="76"/>
      <c r="AC333" s="487"/>
      <c r="AD333" s="131"/>
      <c r="AE333" s="131"/>
      <c r="AF333" s="77">
        <f t="shared" si="108"/>
        <v>76000000</v>
      </c>
    </row>
    <row r="334" spans="1:32" s="181" customFormat="1" ht="86.25" customHeight="1" x14ac:dyDescent="0.2">
      <c r="A334" s="51"/>
      <c r="B334" s="65"/>
      <c r="C334" s="223"/>
      <c r="D334" s="261"/>
      <c r="E334" s="525"/>
      <c r="F334" s="69" t="s">
        <v>1047</v>
      </c>
      <c r="G334" s="301" t="s">
        <v>1221</v>
      </c>
      <c r="H334" s="162">
        <v>1905015</v>
      </c>
      <c r="I334" s="302" t="s">
        <v>468</v>
      </c>
      <c r="J334" s="301" t="s">
        <v>1222</v>
      </c>
      <c r="K334" s="162">
        <v>190501503</v>
      </c>
      <c r="L334" s="130" t="s">
        <v>1223</v>
      </c>
      <c r="M334" s="231" t="s">
        <v>58</v>
      </c>
      <c r="N334" s="91">
        <v>15</v>
      </c>
      <c r="O334" s="91">
        <v>15</v>
      </c>
      <c r="P334" s="94" t="s">
        <v>163</v>
      </c>
      <c r="Q334" s="156" t="s">
        <v>1081</v>
      </c>
      <c r="R334" s="155" t="s">
        <v>1082</v>
      </c>
      <c r="S334" s="76"/>
      <c r="T334" s="76"/>
      <c r="U334" s="76"/>
      <c r="V334" s="76"/>
      <c r="W334" s="532">
        <f>100126107.49-0.35</f>
        <v>100126107.14</v>
      </c>
      <c r="X334" s="76"/>
      <c r="Y334" s="76"/>
      <c r="Z334" s="76"/>
      <c r="AA334" s="76"/>
      <c r="AB334" s="76"/>
      <c r="AC334" s="487"/>
      <c r="AD334" s="131"/>
      <c r="AE334" s="131"/>
      <c r="AF334" s="77">
        <f t="shared" si="108"/>
        <v>100126107.14</v>
      </c>
    </row>
    <row r="335" spans="1:32" s="181" customFormat="1" ht="63.75" customHeight="1" x14ac:dyDescent="0.2">
      <c r="A335" s="51"/>
      <c r="B335" s="65"/>
      <c r="C335" s="151"/>
      <c r="D335" s="152"/>
      <c r="E335" s="68"/>
      <c r="F335" s="69" t="s">
        <v>1224</v>
      </c>
      <c r="G335" s="94" t="s">
        <v>1225</v>
      </c>
      <c r="H335" s="71" t="s">
        <v>51</v>
      </c>
      <c r="I335" s="72" t="s">
        <v>1226</v>
      </c>
      <c r="J335" s="94" t="s">
        <v>1227</v>
      </c>
      <c r="K335" s="94" t="s">
        <v>51</v>
      </c>
      <c r="L335" s="72" t="s">
        <v>1228</v>
      </c>
      <c r="M335" s="231" t="s">
        <v>58</v>
      </c>
      <c r="N335" s="91">
        <v>1</v>
      </c>
      <c r="O335" s="91">
        <v>1</v>
      </c>
      <c r="P335" s="94" t="s">
        <v>163</v>
      </c>
      <c r="Q335" s="74" t="s">
        <v>1229</v>
      </c>
      <c r="R335" s="130" t="s">
        <v>1230</v>
      </c>
      <c r="S335" s="76"/>
      <c r="T335" s="76"/>
      <c r="U335" s="76"/>
      <c r="V335" s="76"/>
      <c r="W335" s="76"/>
      <c r="X335" s="542"/>
      <c r="Y335" s="76"/>
      <c r="Z335" s="76"/>
      <c r="AA335" s="76"/>
      <c r="AB335" s="76"/>
      <c r="AC335" s="487">
        <f>161000000+139000000</f>
        <v>300000000</v>
      </c>
      <c r="AD335" s="131"/>
      <c r="AE335" s="131"/>
      <c r="AF335" s="77">
        <f t="shared" si="108"/>
        <v>300000000</v>
      </c>
    </row>
    <row r="336" spans="1:32" s="181" customFormat="1" ht="61.5" customHeight="1" x14ac:dyDescent="0.2">
      <c r="A336" s="51"/>
      <c r="B336" s="65"/>
      <c r="C336" s="11"/>
      <c r="D336" s="78"/>
      <c r="E336" s="260"/>
      <c r="F336" s="69" t="s">
        <v>1042</v>
      </c>
      <c r="G336" s="74" t="s">
        <v>1126</v>
      </c>
      <c r="H336" s="137">
        <v>1905031</v>
      </c>
      <c r="I336" s="130" t="s">
        <v>1127</v>
      </c>
      <c r="J336" s="74" t="s">
        <v>1128</v>
      </c>
      <c r="K336" s="71">
        <v>190503100</v>
      </c>
      <c r="L336" s="130" t="s">
        <v>1129</v>
      </c>
      <c r="M336" s="231" t="s">
        <v>58</v>
      </c>
      <c r="N336" s="91">
        <v>12</v>
      </c>
      <c r="O336" s="91">
        <v>12</v>
      </c>
      <c r="P336" s="94" t="s">
        <v>163</v>
      </c>
      <c r="Q336" s="156" t="s">
        <v>1231</v>
      </c>
      <c r="R336" s="155" t="s">
        <v>10</v>
      </c>
      <c r="S336" s="76"/>
      <c r="T336" s="76"/>
      <c r="U336" s="76"/>
      <c r="V336" s="76"/>
      <c r="W336" s="76">
        <f>1300000000+100126107.49</f>
        <v>1400126107.49</v>
      </c>
      <c r="X336" s="76"/>
      <c r="Y336" s="686"/>
      <c r="Z336" s="76"/>
      <c r="AA336" s="76"/>
      <c r="AB336" s="76"/>
      <c r="AC336" s="487"/>
      <c r="AD336" s="131"/>
      <c r="AE336" s="131"/>
      <c r="AF336" s="77">
        <f t="shared" si="108"/>
        <v>1400126107.49</v>
      </c>
    </row>
    <row r="337" spans="1:39" s="344" customFormat="1" ht="21" customHeight="1" x14ac:dyDescent="0.2">
      <c r="A337" s="522"/>
      <c r="B337" s="79"/>
      <c r="C337" s="321">
        <v>13</v>
      </c>
      <c r="D337" s="195">
        <v>1906</v>
      </c>
      <c r="E337" s="119" t="s">
        <v>157</v>
      </c>
      <c r="F337" s="83"/>
      <c r="G337" s="84"/>
      <c r="H337" s="120"/>
      <c r="I337" s="121"/>
      <c r="J337" s="122"/>
      <c r="K337" s="122"/>
      <c r="L337" s="121"/>
      <c r="M337" s="123"/>
      <c r="N337" s="124"/>
      <c r="O337" s="84"/>
      <c r="P337" s="125"/>
      <c r="Q337" s="125"/>
      <c r="R337" s="121"/>
      <c r="S337" s="282">
        <f>SUM(S338:S344)</f>
        <v>0</v>
      </c>
      <c r="T337" s="282">
        <f>SUM(T338:T344)</f>
        <v>0</v>
      </c>
      <c r="U337" s="282">
        <f>SUM(U338:U344)</f>
        <v>0</v>
      </c>
      <c r="V337" s="282">
        <f>SUM(V338:V344)</f>
        <v>0</v>
      </c>
      <c r="W337" s="282">
        <f t="shared" ref="W337:AF337" si="109">SUM(W338:W344)</f>
        <v>2194512076.8699999</v>
      </c>
      <c r="X337" s="282">
        <f t="shared" si="109"/>
        <v>26097225521.52</v>
      </c>
      <c r="Y337" s="282">
        <f t="shared" si="109"/>
        <v>0</v>
      </c>
      <c r="Z337" s="282">
        <f t="shared" si="109"/>
        <v>0</v>
      </c>
      <c r="AA337" s="282">
        <f t="shared" si="109"/>
        <v>0</v>
      </c>
      <c r="AB337" s="282">
        <f t="shared" si="109"/>
        <v>0</v>
      </c>
      <c r="AC337" s="282">
        <f t="shared" si="109"/>
        <v>161590000</v>
      </c>
      <c r="AD337" s="282">
        <f t="shared" si="109"/>
        <v>0</v>
      </c>
      <c r="AE337" s="282">
        <f t="shared" si="109"/>
        <v>1646791581.6900001</v>
      </c>
      <c r="AF337" s="291">
        <f t="shared" si="109"/>
        <v>30100119180.079998</v>
      </c>
      <c r="AG337" s="345"/>
      <c r="AH337" s="345"/>
      <c r="AI337" s="345"/>
      <c r="AJ337" s="345"/>
      <c r="AK337" s="345"/>
      <c r="AL337" s="345"/>
      <c r="AM337" s="345"/>
    </row>
    <row r="338" spans="1:39" s="181" customFormat="1" ht="76.5" customHeight="1" x14ac:dyDescent="0.2">
      <c r="A338" s="51"/>
      <c r="B338" s="197"/>
      <c r="C338" s="198"/>
      <c r="D338" s="67"/>
      <c r="E338" s="640"/>
      <c r="F338" s="69" t="s">
        <v>1101</v>
      </c>
      <c r="G338" s="74" t="s">
        <v>1232</v>
      </c>
      <c r="H338" s="162">
        <v>1906032</v>
      </c>
      <c r="I338" s="302" t="s">
        <v>1233</v>
      </c>
      <c r="J338" s="74" t="s">
        <v>1234</v>
      </c>
      <c r="K338" s="91">
        <v>190603200</v>
      </c>
      <c r="L338" s="130" t="s">
        <v>1235</v>
      </c>
      <c r="M338" s="231" t="s">
        <v>153</v>
      </c>
      <c r="N338" s="91">
        <v>3000</v>
      </c>
      <c r="O338" s="91">
        <v>1500</v>
      </c>
      <c r="P338" s="708" t="s">
        <v>163</v>
      </c>
      <c r="Q338" s="703" t="s">
        <v>1236</v>
      </c>
      <c r="R338" s="706" t="s">
        <v>1237</v>
      </c>
      <c r="S338" s="76"/>
      <c r="T338" s="76"/>
      <c r="U338" s="76"/>
      <c r="V338" s="76"/>
      <c r="W338" s="76"/>
      <c r="X338" s="532"/>
      <c r="Y338" s="76"/>
      <c r="Z338" s="76"/>
      <c r="AA338" s="76"/>
      <c r="AB338" s="76"/>
      <c r="AC338" s="487"/>
      <c r="AD338" s="131"/>
      <c r="AE338" s="131"/>
      <c r="AF338" s="77">
        <f>+S338+T338+U338+V338+W338+X338+Y338+Z338+AA338+AB338+AC338+AD338+AE338</f>
        <v>0</v>
      </c>
    </row>
    <row r="339" spans="1:39" s="181" customFormat="1" ht="71.25" customHeight="1" x14ac:dyDescent="0.2">
      <c r="A339" s="51"/>
      <c r="B339" s="197"/>
      <c r="C339" s="197"/>
      <c r="D339" s="261"/>
      <c r="E339" s="641"/>
      <c r="F339" s="69" t="s">
        <v>1238</v>
      </c>
      <c r="G339" s="74" t="s">
        <v>1239</v>
      </c>
      <c r="H339" s="71" t="s">
        <v>51</v>
      </c>
      <c r="I339" s="130" t="s">
        <v>1240</v>
      </c>
      <c r="J339" s="74" t="s">
        <v>1241</v>
      </c>
      <c r="K339" s="74" t="s">
        <v>51</v>
      </c>
      <c r="L339" s="130" t="s">
        <v>1242</v>
      </c>
      <c r="M339" s="231" t="s">
        <v>58</v>
      </c>
      <c r="N339" s="91">
        <v>19899</v>
      </c>
      <c r="O339" s="91">
        <v>19899</v>
      </c>
      <c r="P339" s="709"/>
      <c r="Q339" s="705"/>
      <c r="R339" s="710"/>
      <c r="S339" s="76"/>
      <c r="T339" s="76"/>
      <c r="U339" s="76"/>
      <c r="V339" s="76"/>
      <c r="W339" s="76"/>
      <c r="X339" s="76">
        <f>21634597197+14825685-3.96</f>
        <v>21649422878.040001</v>
      </c>
      <c r="Y339" s="76"/>
      <c r="Z339" s="76"/>
      <c r="AA339" s="76"/>
      <c r="AB339" s="76"/>
      <c r="AC339" s="487">
        <v>11200000</v>
      </c>
      <c r="AD339" s="131"/>
      <c r="AE339" s="131"/>
      <c r="AF339" s="77">
        <f>+S339+T339+U339+V339+W339+X339+Y339+Z339+AA339+AB339+AC339+AD339+AE339</f>
        <v>21660622878.040001</v>
      </c>
    </row>
    <row r="340" spans="1:39" s="181" customFormat="1" ht="60" customHeight="1" x14ac:dyDescent="0.2">
      <c r="A340" s="51"/>
      <c r="B340" s="197"/>
      <c r="C340" s="293"/>
      <c r="D340" s="152"/>
      <c r="E340" s="703"/>
      <c r="F340" s="757" t="s">
        <v>1238</v>
      </c>
      <c r="G340" s="759" t="s">
        <v>1243</v>
      </c>
      <c r="H340" s="737" t="s">
        <v>51</v>
      </c>
      <c r="I340" s="706" t="s">
        <v>1244</v>
      </c>
      <c r="J340" s="231" t="s">
        <v>1245</v>
      </c>
      <c r="K340" s="91" t="s">
        <v>51</v>
      </c>
      <c r="L340" s="258" t="s">
        <v>1246</v>
      </c>
      <c r="M340" s="231" t="s">
        <v>58</v>
      </c>
      <c r="N340" s="91">
        <v>60</v>
      </c>
      <c r="O340" s="71">
        <v>60</v>
      </c>
      <c r="P340" s="708" t="s">
        <v>163</v>
      </c>
      <c r="Q340" s="703" t="s">
        <v>1247</v>
      </c>
      <c r="R340" s="706" t="s">
        <v>1248</v>
      </c>
      <c r="S340" s="76"/>
      <c r="T340" s="76"/>
      <c r="U340" s="76"/>
      <c r="V340" s="76"/>
      <c r="W340" s="76"/>
      <c r="X340" s="76"/>
      <c r="Y340" s="76"/>
      <c r="Z340" s="76"/>
      <c r="AA340" s="76"/>
      <c r="AB340" s="76"/>
      <c r="AC340" s="487"/>
      <c r="AD340" s="131"/>
      <c r="AE340" s="131">
        <f>1530716729+39149969</f>
        <v>1569866698</v>
      </c>
      <c r="AF340" s="77">
        <f>+S340+T340+U340+V340+W340+X340+Y340+Z340+AA340+AB340+AC340+AD340+AE340</f>
        <v>1569866698</v>
      </c>
    </row>
    <row r="341" spans="1:39" s="181" customFormat="1" ht="60" customHeight="1" x14ac:dyDescent="0.2">
      <c r="A341" s="51"/>
      <c r="B341" s="197"/>
      <c r="C341" s="293"/>
      <c r="D341" s="152"/>
      <c r="E341" s="704"/>
      <c r="F341" s="758"/>
      <c r="G341" s="760"/>
      <c r="H341" s="738"/>
      <c r="I341" s="710"/>
      <c r="J341" s="231" t="s">
        <v>1249</v>
      </c>
      <c r="K341" s="277" t="s">
        <v>51</v>
      </c>
      <c r="L341" s="258" t="s">
        <v>1250</v>
      </c>
      <c r="M341" s="231" t="s">
        <v>58</v>
      </c>
      <c r="N341" s="91">
        <v>40</v>
      </c>
      <c r="O341" s="71">
        <v>40</v>
      </c>
      <c r="P341" s="711"/>
      <c r="Q341" s="704"/>
      <c r="R341" s="707"/>
      <c r="S341" s="76"/>
      <c r="T341" s="76"/>
      <c r="U341" s="76"/>
      <c r="V341" s="76"/>
      <c r="W341" s="76"/>
      <c r="X341" s="76"/>
      <c r="Y341" s="76"/>
      <c r="Z341" s="76"/>
      <c r="AA341" s="76"/>
      <c r="AB341" s="76"/>
      <c r="AC341" s="487"/>
      <c r="AD341" s="131"/>
      <c r="AE341" s="131"/>
      <c r="AF341" s="77"/>
    </row>
    <row r="342" spans="1:39" s="181" customFormat="1" ht="84" customHeight="1" x14ac:dyDescent="0.2">
      <c r="A342" s="51"/>
      <c r="B342" s="197"/>
      <c r="C342" s="293"/>
      <c r="D342" s="152"/>
      <c r="E342" s="642"/>
      <c r="F342" s="69" t="s">
        <v>1238</v>
      </c>
      <c r="G342" s="231" t="s">
        <v>1251</v>
      </c>
      <c r="H342" s="71" t="s">
        <v>51</v>
      </c>
      <c r="I342" s="547" t="s">
        <v>1252</v>
      </c>
      <c r="J342" s="231" t="s">
        <v>1253</v>
      </c>
      <c r="K342" s="277" t="s">
        <v>51</v>
      </c>
      <c r="L342" s="258" t="s">
        <v>1254</v>
      </c>
      <c r="M342" s="231" t="s">
        <v>58</v>
      </c>
      <c r="N342" s="91">
        <v>100</v>
      </c>
      <c r="O342" s="71">
        <v>100</v>
      </c>
      <c r="P342" s="711"/>
      <c r="Q342" s="704"/>
      <c r="R342" s="707"/>
      <c r="S342" s="76"/>
      <c r="T342" s="76"/>
      <c r="U342" s="76"/>
      <c r="V342" s="76"/>
      <c r="W342" s="76">
        <f>1514260580-1496346983-0.13</f>
        <v>17913596.870000001</v>
      </c>
      <c r="X342" s="476"/>
      <c r="Y342" s="76"/>
      <c r="Z342" s="76"/>
      <c r="AA342" s="76"/>
      <c r="AB342" s="76"/>
      <c r="AC342" s="487"/>
      <c r="AD342" s="131"/>
      <c r="AE342" s="131"/>
      <c r="AF342" s="77">
        <f>+S342+T342+U342+V342+W342+X342+Y342+Z342+AA342+AB342+AC342+AD342+AE342</f>
        <v>17913596.870000001</v>
      </c>
    </row>
    <row r="343" spans="1:39" s="181" customFormat="1" ht="63.75" customHeight="1" x14ac:dyDescent="0.2">
      <c r="A343" s="51"/>
      <c r="B343" s="197"/>
      <c r="C343" s="293"/>
      <c r="D343" s="152"/>
      <c r="E343" s="641"/>
      <c r="F343" s="69" t="s">
        <v>1238</v>
      </c>
      <c r="G343" s="548" t="s">
        <v>1255</v>
      </c>
      <c r="H343" s="71" t="s">
        <v>51</v>
      </c>
      <c r="I343" s="130" t="s">
        <v>1256</v>
      </c>
      <c r="J343" s="548" t="s">
        <v>1257</v>
      </c>
      <c r="K343" s="277" t="s">
        <v>51</v>
      </c>
      <c r="L343" s="258" t="s">
        <v>1258</v>
      </c>
      <c r="M343" s="231" t="s">
        <v>58</v>
      </c>
      <c r="N343" s="91">
        <v>100</v>
      </c>
      <c r="O343" s="91">
        <v>100</v>
      </c>
      <c r="P343" s="709"/>
      <c r="Q343" s="705"/>
      <c r="R343" s="710"/>
      <c r="S343" s="76"/>
      <c r="T343" s="76"/>
      <c r="U343" s="76"/>
      <c r="V343" s="76"/>
      <c r="W343" s="76">
        <v>680251497</v>
      </c>
      <c r="X343" s="76">
        <f>1200096.53+4427083.08+6409080.2+3298588097+241539752.22+428092534.45</f>
        <v>3980256643.4799995</v>
      </c>
      <c r="Y343" s="76"/>
      <c r="Z343" s="76"/>
      <c r="AA343" s="76"/>
      <c r="AB343" s="76"/>
      <c r="AC343" s="487"/>
      <c r="AD343" s="131"/>
      <c r="AE343" s="131">
        <f>68256639+7852620.44+815624.25</f>
        <v>76924883.689999998</v>
      </c>
      <c r="AF343" s="77">
        <f>+S343+T343+U343+V343+W343+X343+Y343+Z343+AA343+AB343+AC343+AD343+AE343</f>
        <v>4737433024.1699991</v>
      </c>
    </row>
    <row r="344" spans="1:39" s="181" customFormat="1" ht="69" customHeight="1" x14ac:dyDescent="0.2">
      <c r="A344" s="86"/>
      <c r="B344" s="205"/>
      <c r="C344" s="294"/>
      <c r="D344" s="295"/>
      <c r="E344" s="68"/>
      <c r="F344" s="69" t="s">
        <v>1259</v>
      </c>
      <c r="G344" s="231" t="s">
        <v>1260</v>
      </c>
      <c r="H344" s="71">
        <v>1906029</v>
      </c>
      <c r="I344" s="130" t="s">
        <v>1261</v>
      </c>
      <c r="J344" s="231" t="s">
        <v>1262</v>
      </c>
      <c r="K344" s="91">
        <v>190602900</v>
      </c>
      <c r="L344" s="258" t="s">
        <v>1263</v>
      </c>
      <c r="M344" s="231" t="s">
        <v>58</v>
      </c>
      <c r="N344" s="91">
        <v>40</v>
      </c>
      <c r="O344" s="91">
        <v>40</v>
      </c>
      <c r="P344" s="94" t="s">
        <v>163</v>
      </c>
      <c r="Q344" s="74" t="s">
        <v>1264</v>
      </c>
      <c r="R344" s="130" t="s">
        <v>1265</v>
      </c>
      <c r="S344" s="76"/>
      <c r="T344" s="76"/>
      <c r="U344" s="76"/>
      <c r="V344" s="76"/>
      <c r="W344" s="76">
        <v>1496346983</v>
      </c>
      <c r="X344" s="532">
        <v>467546000</v>
      </c>
      <c r="Y344" s="76"/>
      <c r="Z344" s="76"/>
      <c r="AA344" s="76"/>
      <c r="AB344" s="76"/>
      <c r="AC344" s="487">
        <f>161590000-11200000</f>
        <v>150390000</v>
      </c>
      <c r="AD344" s="131"/>
      <c r="AE344" s="131"/>
      <c r="AF344" s="77">
        <f>+S344+T344+U344+V344+W344+X344+Y344+Z344+AA344+AB344+AC344+AD344+AE344</f>
        <v>2114282983</v>
      </c>
    </row>
    <row r="345" spans="1:39" ht="33.75" customHeight="1" x14ac:dyDescent="0.2">
      <c r="B345" s="549"/>
      <c r="O345" s="341"/>
      <c r="Y345" s="550"/>
      <c r="AF345" s="695"/>
    </row>
    <row r="346" spans="1:39" s="37" customFormat="1" ht="15.75" x14ac:dyDescent="0.25">
      <c r="A346" s="23" t="s">
        <v>1266</v>
      </c>
      <c r="B346" s="551"/>
      <c r="C346" s="25"/>
      <c r="D346" s="26"/>
      <c r="E346" s="27"/>
      <c r="F346" s="28"/>
      <c r="G346" s="29"/>
      <c r="H346" s="30"/>
      <c r="I346" s="31"/>
      <c r="J346" s="32"/>
      <c r="K346" s="32"/>
      <c r="L346" s="31"/>
      <c r="M346" s="104"/>
      <c r="N346" s="30"/>
      <c r="O346" s="29"/>
      <c r="P346" s="27"/>
      <c r="Q346" s="27"/>
      <c r="R346" s="31"/>
      <c r="S346" s="272">
        <f t="shared" ref="S346:AF346" si="110">+S347+S353+S358</f>
        <v>0</v>
      </c>
      <c r="T346" s="272">
        <f t="shared" si="110"/>
        <v>0</v>
      </c>
      <c r="U346" s="272">
        <f t="shared" si="110"/>
        <v>0</v>
      </c>
      <c r="V346" s="272">
        <f t="shared" si="110"/>
        <v>0</v>
      </c>
      <c r="W346" s="272">
        <f t="shared" si="110"/>
        <v>0</v>
      </c>
      <c r="X346" s="272">
        <f t="shared" si="110"/>
        <v>0</v>
      </c>
      <c r="Y346" s="272">
        <f t="shared" si="110"/>
        <v>0</v>
      </c>
      <c r="Z346" s="272">
        <f t="shared" si="110"/>
        <v>0</v>
      </c>
      <c r="AA346" s="272">
        <f t="shared" si="110"/>
        <v>0</v>
      </c>
      <c r="AB346" s="272">
        <f t="shared" si="110"/>
        <v>0</v>
      </c>
      <c r="AC346" s="272">
        <f t="shared" si="110"/>
        <v>491885000</v>
      </c>
      <c r="AD346" s="272">
        <f t="shared" si="110"/>
        <v>0</v>
      </c>
      <c r="AE346" s="272">
        <f t="shared" si="110"/>
        <v>0</v>
      </c>
      <c r="AF346" s="272">
        <f t="shared" si="110"/>
        <v>491885000</v>
      </c>
      <c r="AG346" s="36"/>
      <c r="AH346" s="36"/>
      <c r="AI346" s="36"/>
      <c r="AJ346" s="36"/>
      <c r="AK346" s="36"/>
      <c r="AL346" s="36"/>
      <c r="AM346" s="36"/>
    </row>
    <row r="347" spans="1:39" s="37" customFormat="1" ht="15.75" x14ac:dyDescent="0.25">
      <c r="A347" s="38"/>
      <c r="B347" s="106">
        <v>1</v>
      </c>
      <c r="C347" s="107" t="s">
        <v>1</v>
      </c>
      <c r="D347" s="108"/>
      <c r="E347" s="109"/>
      <c r="F347" s="110"/>
      <c r="G347" s="111"/>
      <c r="H347" s="112"/>
      <c r="I347" s="113"/>
      <c r="J347" s="114"/>
      <c r="K347" s="114"/>
      <c r="L347" s="113"/>
      <c r="M347" s="115"/>
      <c r="N347" s="116"/>
      <c r="O347" s="111"/>
      <c r="P347" s="109"/>
      <c r="Q347" s="109"/>
      <c r="R347" s="113"/>
      <c r="S347" s="552">
        <f t="shared" ref="S347:AF347" si="111">+S348+S351</f>
        <v>0</v>
      </c>
      <c r="T347" s="552">
        <f t="shared" si="111"/>
        <v>0</v>
      </c>
      <c r="U347" s="552">
        <f t="shared" si="111"/>
        <v>0</v>
      </c>
      <c r="V347" s="552">
        <f t="shared" si="111"/>
        <v>0</v>
      </c>
      <c r="W347" s="552">
        <f t="shared" si="111"/>
        <v>0</v>
      </c>
      <c r="X347" s="552">
        <f t="shared" si="111"/>
        <v>0</v>
      </c>
      <c r="Y347" s="552">
        <f t="shared" si="111"/>
        <v>0</v>
      </c>
      <c r="Z347" s="552">
        <f t="shared" si="111"/>
        <v>0</v>
      </c>
      <c r="AA347" s="552">
        <f t="shared" si="111"/>
        <v>0</v>
      </c>
      <c r="AB347" s="552">
        <f t="shared" si="111"/>
        <v>0</v>
      </c>
      <c r="AC347" s="552">
        <f t="shared" si="111"/>
        <v>207164000</v>
      </c>
      <c r="AD347" s="552">
        <f t="shared" si="111"/>
        <v>0</v>
      </c>
      <c r="AE347" s="552">
        <f t="shared" si="111"/>
        <v>0</v>
      </c>
      <c r="AF347" s="552">
        <f t="shared" si="111"/>
        <v>207164000</v>
      </c>
      <c r="AG347" s="36"/>
      <c r="AH347" s="36"/>
      <c r="AI347" s="36"/>
      <c r="AJ347" s="36"/>
      <c r="AK347" s="36"/>
      <c r="AL347" s="36"/>
      <c r="AM347" s="36"/>
    </row>
    <row r="348" spans="1:39" s="37" customFormat="1" ht="15.75" x14ac:dyDescent="0.25">
      <c r="A348" s="38"/>
      <c r="B348" s="753"/>
      <c r="C348" s="553">
        <v>16</v>
      </c>
      <c r="D348" s="118">
        <v>2301</v>
      </c>
      <c r="E348" s="119" t="s">
        <v>1267</v>
      </c>
      <c r="F348" s="83"/>
      <c r="G348" s="84"/>
      <c r="H348" s="120"/>
      <c r="I348" s="121"/>
      <c r="J348" s="122"/>
      <c r="K348" s="122"/>
      <c r="L348" s="121"/>
      <c r="M348" s="123"/>
      <c r="N348" s="124"/>
      <c r="O348" s="84"/>
      <c r="P348" s="125"/>
      <c r="Q348" s="125"/>
      <c r="R348" s="121"/>
      <c r="S348" s="291">
        <f t="shared" ref="S348:AF348" si="112">SUM(S349:S350)</f>
        <v>0</v>
      </c>
      <c r="T348" s="291">
        <f t="shared" si="112"/>
        <v>0</v>
      </c>
      <c r="U348" s="291">
        <f t="shared" si="112"/>
        <v>0</v>
      </c>
      <c r="V348" s="291">
        <f t="shared" si="112"/>
        <v>0</v>
      </c>
      <c r="W348" s="291">
        <f t="shared" si="112"/>
        <v>0</v>
      </c>
      <c r="X348" s="291">
        <f t="shared" si="112"/>
        <v>0</v>
      </c>
      <c r="Y348" s="291">
        <f t="shared" si="112"/>
        <v>0</v>
      </c>
      <c r="Z348" s="291">
        <f t="shared" si="112"/>
        <v>0</v>
      </c>
      <c r="AA348" s="291">
        <f t="shared" si="112"/>
        <v>0</v>
      </c>
      <c r="AB348" s="291">
        <f t="shared" si="112"/>
        <v>0</v>
      </c>
      <c r="AC348" s="291">
        <f t="shared" si="112"/>
        <v>200000000</v>
      </c>
      <c r="AD348" s="291">
        <f t="shared" si="112"/>
        <v>0</v>
      </c>
      <c r="AE348" s="291">
        <f t="shared" si="112"/>
        <v>0</v>
      </c>
      <c r="AF348" s="291">
        <f t="shared" si="112"/>
        <v>200000000</v>
      </c>
      <c r="AG348" s="36"/>
      <c r="AH348" s="36"/>
      <c r="AI348" s="36"/>
      <c r="AJ348" s="36"/>
      <c r="AK348" s="36"/>
      <c r="AL348" s="36"/>
      <c r="AM348" s="36"/>
    </row>
    <row r="349" spans="1:39" ht="75" customHeight="1" x14ac:dyDescent="0.2">
      <c r="A349" s="51"/>
      <c r="B349" s="754"/>
      <c r="C349" s="755"/>
      <c r="D349" s="67"/>
      <c r="E349" s="640"/>
      <c r="F349" s="251" t="s">
        <v>1268</v>
      </c>
      <c r="G349" s="156" t="s">
        <v>1269</v>
      </c>
      <c r="H349" s="129">
        <v>2301024</v>
      </c>
      <c r="I349" s="155" t="s">
        <v>1270</v>
      </c>
      <c r="J349" s="74" t="s">
        <v>1271</v>
      </c>
      <c r="K349" s="91">
        <v>230102404</v>
      </c>
      <c r="L349" s="130" t="s">
        <v>1272</v>
      </c>
      <c r="M349" s="646" t="s">
        <v>153</v>
      </c>
      <c r="N349" s="648">
        <v>12</v>
      </c>
      <c r="O349" s="648">
        <v>1</v>
      </c>
      <c r="P349" s="708" t="s">
        <v>201</v>
      </c>
      <c r="Q349" s="731" t="s">
        <v>1273</v>
      </c>
      <c r="R349" s="706" t="s">
        <v>1274</v>
      </c>
      <c r="S349" s="76"/>
      <c r="T349" s="76"/>
      <c r="U349" s="131"/>
      <c r="V349" s="77"/>
      <c r="W349" s="77"/>
      <c r="X349" s="77"/>
      <c r="Y349" s="77"/>
      <c r="Z349" s="77"/>
      <c r="AA349" s="77"/>
      <c r="AB349" s="77"/>
      <c r="AC349" s="77">
        <v>152024000</v>
      </c>
      <c r="AD349" s="77"/>
      <c r="AE349" s="77"/>
      <c r="AF349" s="77">
        <f>+S349+T349+U349+V349+W349+X349+Y349+Z349+AA349+AB349+AC349+AD349+AE349</f>
        <v>152024000</v>
      </c>
      <c r="AG349" s="253"/>
      <c r="AH349" s="3"/>
      <c r="AI349" s="3"/>
      <c r="AJ349" s="3"/>
      <c r="AK349" s="3"/>
      <c r="AL349" s="3"/>
      <c r="AM349" s="3"/>
    </row>
    <row r="350" spans="1:39" ht="75" customHeight="1" x14ac:dyDescent="0.2">
      <c r="A350" s="51"/>
      <c r="B350" s="754"/>
      <c r="C350" s="756"/>
      <c r="D350" s="78"/>
      <c r="E350" s="641"/>
      <c r="F350" s="90" t="s">
        <v>1275</v>
      </c>
      <c r="G350" s="74" t="s">
        <v>1276</v>
      </c>
      <c r="H350" s="71">
        <v>2301030</v>
      </c>
      <c r="I350" s="130" t="s">
        <v>1277</v>
      </c>
      <c r="J350" s="74" t="s">
        <v>1278</v>
      </c>
      <c r="K350" s="91">
        <v>230103000</v>
      </c>
      <c r="L350" s="130" t="s">
        <v>1279</v>
      </c>
      <c r="M350" s="74" t="s">
        <v>153</v>
      </c>
      <c r="N350" s="71">
        <v>17000</v>
      </c>
      <c r="O350" s="71">
        <v>500</v>
      </c>
      <c r="P350" s="709"/>
      <c r="Q350" s="732"/>
      <c r="R350" s="710"/>
      <c r="S350" s="76"/>
      <c r="T350" s="76"/>
      <c r="U350" s="131"/>
      <c r="V350" s="77"/>
      <c r="W350" s="77"/>
      <c r="X350" s="77"/>
      <c r="Y350" s="77"/>
      <c r="Z350" s="77"/>
      <c r="AA350" s="77"/>
      <c r="AB350" s="77"/>
      <c r="AC350" s="77">
        <v>47976000</v>
      </c>
      <c r="AD350" s="77"/>
      <c r="AE350" s="77"/>
      <c r="AF350" s="77">
        <f>+S350+T350+U350+V350+W350+X350+Y350+Z350+AA350+AB350+AC350+AD350+AE350</f>
        <v>47976000</v>
      </c>
      <c r="AG350" s="3"/>
      <c r="AH350" s="3"/>
      <c r="AI350" s="3"/>
      <c r="AJ350" s="3"/>
      <c r="AK350" s="3"/>
      <c r="AL350" s="3"/>
      <c r="AM350" s="3"/>
    </row>
    <row r="351" spans="1:39" s="37" customFormat="1" ht="23.25" customHeight="1" x14ac:dyDescent="0.25">
      <c r="A351" s="38"/>
      <c r="B351" s="79"/>
      <c r="C351" s="553">
        <v>17</v>
      </c>
      <c r="D351" s="81">
        <v>2302</v>
      </c>
      <c r="E351" s="119" t="s">
        <v>1280</v>
      </c>
      <c r="F351" s="83"/>
      <c r="G351" s="84"/>
      <c r="H351" s="120"/>
      <c r="I351" s="121"/>
      <c r="J351" s="122"/>
      <c r="K351" s="122"/>
      <c r="L351" s="121"/>
      <c r="M351" s="123"/>
      <c r="N351" s="124"/>
      <c r="O351" s="84"/>
      <c r="P351" s="125"/>
      <c r="Q351" s="125"/>
      <c r="R351" s="121"/>
      <c r="S351" s="291">
        <f t="shared" ref="S351:AF351" si="113">+S352</f>
        <v>0</v>
      </c>
      <c r="T351" s="291">
        <f t="shared" si="113"/>
        <v>0</v>
      </c>
      <c r="U351" s="291">
        <f t="shared" si="113"/>
        <v>0</v>
      </c>
      <c r="V351" s="291">
        <f t="shared" si="113"/>
        <v>0</v>
      </c>
      <c r="W351" s="291">
        <f t="shared" si="113"/>
        <v>0</v>
      </c>
      <c r="X351" s="291">
        <f t="shared" si="113"/>
        <v>0</v>
      </c>
      <c r="Y351" s="291">
        <f t="shared" si="113"/>
        <v>0</v>
      </c>
      <c r="Z351" s="291">
        <f t="shared" si="113"/>
        <v>0</v>
      </c>
      <c r="AA351" s="291">
        <f t="shared" si="113"/>
        <v>0</v>
      </c>
      <c r="AB351" s="291">
        <f t="shared" si="113"/>
        <v>0</v>
      </c>
      <c r="AC351" s="291">
        <f t="shared" si="113"/>
        <v>7164000</v>
      </c>
      <c r="AD351" s="291">
        <f t="shared" si="113"/>
        <v>0</v>
      </c>
      <c r="AE351" s="291">
        <f t="shared" si="113"/>
        <v>0</v>
      </c>
      <c r="AF351" s="291">
        <f t="shared" si="113"/>
        <v>7164000</v>
      </c>
      <c r="AG351" s="36"/>
      <c r="AH351" s="36"/>
      <c r="AI351" s="36"/>
      <c r="AJ351" s="36"/>
      <c r="AK351" s="36"/>
      <c r="AL351" s="36"/>
      <c r="AM351" s="36"/>
    </row>
    <row r="352" spans="1:39" ht="84" customHeight="1" x14ac:dyDescent="0.2">
      <c r="A352" s="51"/>
      <c r="B352" s="205"/>
      <c r="C352" s="236"/>
      <c r="D352" s="89"/>
      <c r="E352" s="68"/>
      <c r="F352" s="90" t="s">
        <v>1268</v>
      </c>
      <c r="G352" s="228" t="s">
        <v>1281</v>
      </c>
      <c r="H352" s="71">
        <v>2302042</v>
      </c>
      <c r="I352" s="130" t="s">
        <v>1282</v>
      </c>
      <c r="J352" s="228" t="s">
        <v>1283</v>
      </c>
      <c r="K352" s="91">
        <v>230204200</v>
      </c>
      <c r="L352" s="255" t="s">
        <v>1284</v>
      </c>
      <c r="M352" s="646" t="s">
        <v>153</v>
      </c>
      <c r="N352" s="648">
        <v>3</v>
      </c>
      <c r="O352" s="648">
        <v>1</v>
      </c>
      <c r="P352" s="94" t="s">
        <v>201</v>
      </c>
      <c r="Q352" s="136" t="s">
        <v>1285</v>
      </c>
      <c r="R352" s="130" t="s">
        <v>1286</v>
      </c>
      <c r="S352" s="76"/>
      <c r="T352" s="76"/>
      <c r="U352" s="131"/>
      <c r="V352" s="77"/>
      <c r="W352" s="77"/>
      <c r="X352" s="77"/>
      <c r="Y352" s="77"/>
      <c r="Z352" s="77"/>
      <c r="AA352" s="77"/>
      <c r="AB352" s="77"/>
      <c r="AC352" s="77">
        <v>7164000</v>
      </c>
      <c r="AD352" s="77"/>
      <c r="AE352" s="77"/>
      <c r="AF352" s="77">
        <f>+S352+T352+U352+V352+W352+X352+Y352+Z352+AA352+AB352+AC352+AD352+AE352</f>
        <v>7164000</v>
      </c>
      <c r="AG352" s="3"/>
      <c r="AH352" s="3"/>
      <c r="AI352" s="3"/>
      <c r="AJ352" s="3"/>
      <c r="AK352" s="3"/>
      <c r="AL352" s="3"/>
      <c r="AM352" s="3"/>
    </row>
    <row r="353" spans="1:44" s="37" customFormat="1" ht="15.75" x14ac:dyDescent="0.25">
      <c r="A353" s="38"/>
      <c r="B353" s="246">
        <v>2</v>
      </c>
      <c r="C353" s="265" t="s">
        <v>1287</v>
      </c>
      <c r="D353" s="266"/>
      <c r="E353" s="109"/>
      <c r="F353" s="110"/>
      <c r="G353" s="111"/>
      <c r="H353" s="112"/>
      <c r="I353" s="113"/>
      <c r="J353" s="114"/>
      <c r="K353" s="114"/>
      <c r="L353" s="113"/>
      <c r="M353" s="115"/>
      <c r="N353" s="116"/>
      <c r="O353" s="111"/>
      <c r="P353" s="109"/>
      <c r="Q353" s="109"/>
      <c r="R353" s="113"/>
      <c r="S353" s="552">
        <f t="shared" ref="S353:AF353" si="114">+S354+S356</f>
        <v>0</v>
      </c>
      <c r="T353" s="552">
        <f t="shared" si="114"/>
        <v>0</v>
      </c>
      <c r="U353" s="552">
        <f t="shared" si="114"/>
        <v>0</v>
      </c>
      <c r="V353" s="552">
        <f t="shared" si="114"/>
        <v>0</v>
      </c>
      <c r="W353" s="552">
        <f t="shared" si="114"/>
        <v>0</v>
      </c>
      <c r="X353" s="552">
        <f t="shared" si="114"/>
        <v>0</v>
      </c>
      <c r="Y353" s="552">
        <f t="shared" si="114"/>
        <v>0</v>
      </c>
      <c r="Z353" s="552">
        <f t="shared" si="114"/>
        <v>0</v>
      </c>
      <c r="AA353" s="552">
        <f t="shared" si="114"/>
        <v>0</v>
      </c>
      <c r="AB353" s="552">
        <f t="shared" si="114"/>
        <v>0</v>
      </c>
      <c r="AC353" s="552">
        <f t="shared" si="114"/>
        <v>81000000</v>
      </c>
      <c r="AD353" s="552">
        <f t="shared" si="114"/>
        <v>0</v>
      </c>
      <c r="AE353" s="552">
        <f t="shared" si="114"/>
        <v>0</v>
      </c>
      <c r="AF353" s="552">
        <f t="shared" si="114"/>
        <v>81000000</v>
      </c>
      <c r="AG353" s="36"/>
      <c r="AH353" s="36"/>
      <c r="AI353" s="36"/>
      <c r="AJ353" s="36"/>
      <c r="AK353" s="36"/>
      <c r="AL353" s="36"/>
      <c r="AM353" s="36"/>
    </row>
    <row r="354" spans="1:44" s="37" customFormat="1" ht="15.75" x14ac:dyDescent="0.25">
      <c r="A354" s="38"/>
      <c r="B354" s="52"/>
      <c r="C354" s="348">
        <v>31</v>
      </c>
      <c r="D354" s="118" t="s">
        <v>1288</v>
      </c>
      <c r="E354" s="119" t="s">
        <v>1289</v>
      </c>
      <c r="F354" s="83"/>
      <c r="G354" s="84"/>
      <c r="H354" s="120"/>
      <c r="I354" s="121"/>
      <c r="J354" s="122"/>
      <c r="K354" s="122"/>
      <c r="L354" s="121"/>
      <c r="M354" s="123"/>
      <c r="N354" s="124"/>
      <c r="O354" s="84"/>
      <c r="P354" s="125"/>
      <c r="Q354" s="125"/>
      <c r="R354" s="121"/>
      <c r="S354" s="291">
        <f t="shared" ref="S354:AB354" si="115">+S355</f>
        <v>0</v>
      </c>
      <c r="T354" s="291">
        <f t="shared" si="115"/>
        <v>0</v>
      </c>
      <c r="U354" s="291">
        <f t="shared" si="115"/>
        <v>0</v>
      </c>
      <c r="V354" s="291">
        <f t="shared" si="115"/>
        <v>0</v>
      </c>
      <c r="W354" s="291">
        <f t="shared" si="115"/>
        <v>0</v>
      </c>
      <c r="X354" s="291">
        <f t="shared" si="115"/>
        <v>0</v>
      </c>
      <c r="Y354" s="291">
        <f t="shared" si="115"/>
        <v>0</v>
      </c>
      <c r="Z354" s="291">
        <f t="shared" si="115"/>
        <v>0</v>
      </c>
      <c r="AA354" s="291">
        <f t="shared" si="115"/>
        <v>0</v>
      </c>
      <c r="AB354" s="291">
        <f t="shared" si="115"/>
        <v>0</v>
      </c>
      <c r="AC354" s="291">
        <f>SUM(AC355:AC355)</f>
        <v>63000000</v>
      </c>
      <c r="AD354" s="291">
        <f>SUM(AD355:AD355)</f>
        <v>0</v>
      </c>
      <c r="AE354" s="291">
        <f>SUM(AE355:AE355)</f>
        <v>0</v>
      </c>
      <c r="AF354" s="291">
        <f>SUM(AF355:AF355)</f>
        <v>63000000</v>
      </c>
      <c r="AG354" s="36"/>
      <c r="AH354" s="36"/>
      <c r="AI354" s="36"/>
      <c r="AJ354" s="36"/>
      <c r="AK354" s="36"/>
      <c r="AL354" s="36"/>
      <c r="AM354" s="36"/>
    </row>
    <row r="355" spans="1:44" ht="60" customHeight="1" x14ac:dyDescent="0.2">
      <c r="A355" s="51"/>
      <c r="B355" s="197"/>
      <c r="C355" s="197"/>
      <c r="D355" s="224"/>
      <c r="E355" s="156"/>
      <c r="F355" s="529" t="s">
        <v>1290</v>
      </c>
      <c r="G355" s="135" t="s">
        <v>1291</v>
      </c>
      <c r="H355" s="129">
        <v>3903005</v>
      </c>
      <c r="I355" s="155" t="s">
        <v>1292</v>
      </c>
      <c r="J355" s="91" t="s">
        <v>1293</v>
      </c>
      <c r="K355" s="232">
        <v>390300501</v>
      </c>
      <c r="L355" s="258" t="s">
        <v>1294</v>
      </c>
      <c r="M355" s="74" t="s">
        <v>58</v>
      </c>
      <c r="N355" s="71">
        <v>1</v>
      </c>
      <c r="O355" s="71">
        <v>1</v>
      </c>
      <c r="P355" s="498" t="s">
        <v>201</v>
      </c>
      <c r="Q355" s="554" t="s">
        <v>1295</v>
      </c>
      <c r="R355" s="155" t="s">
        <v>1296</v>
      </c>
      <c r="S355" s="76"/>
      <c r="T355" s="76"/>
      <c r="U355" s="131"/>
      <c r="V355" s="77"/>
      <c r="W355" s="77"/>
      <c r="X355" s="77"/>
      <c r="Y355" s="77"/>
      <c r="Z355" s="77"/>
      <c r="AA355" s="77"/>
      <c r="AB355" s="77"/>
      <c r="AC355" s="77">
        <v>63000000</v>
      </c>
      <c r="AD355" s="77"/>
      <c r="AE355" s="77"/>
      <c r="AF355" s="77">
        <v>63000000</v>
      </c>
      <c r="AG355" s="3"/>
      <c r="AH355" s="3"/>
      <c r="AI355" s="3"/>
      <c r="AJ355" s="3"/>
      <c r="AK355" s="3"/>
      <c r="AL355" s="3"/>
      <c r="AM355" s="3"/>
    </row>
    <row r="356" spans="1:44" s="37" customFormat="1" ht="15.75" x14ac:dyDescent="0.25">
      <c r="A356" s="38"/>
      <c r="B356" s="79"/>
      <c r="C356" s="555">
        <v>32</v>
      </c>
      <c r="D356" s="81">
        <v>3904</v>
      </c>
      <c r="E356" s="556" t="s">
        <v>1297</v>
      </c>
      <c r="F356" s="557"/>
      <c r="G356" s="297"/>
      <c r="H356" s="558"/>
      <c r="I356" s="242"/>
      <c r="J356" s="559"/>
      <c r="K356" s="559"/>
      <c r="L356" s="242"/>
      <c r="M356" s="221"/>
      <c r="N356" s="222"/>
      <c r="O356" s="297"/>
      <c r="P356" s="241"/>
      <c r="Q356" s="241"/>
      <c r="R356" s="242"/>
      <c r="S356" s="560">
        <f t="shared" ref="S356:AF356" si="116">+S357</f>
        <v>0</v>
      </c>
      <c r="T356" s="560">
        <f t="shared" si="116"/>
        <v>0</v>
      </c>
      <c r="U356" s="560">
        <f t="shared" si="116"/>
        <v>0</v>
      </c>
      <c r="V356" s="560">
        <f t="shared" si="116"/>
        <v>0</v>
      </c>
      <c r="W356" s="560">
        <f t="shared" si="116"/>
        <v>0</v>
      </c>
      <c r="X356" s="560">
        <f t="shared" si="116"/>
        <v>0</v>
      </c>
      <c r="Y356" s="560">
        <f t="shared" si="116"/>
        <v>0</v>
      </c>
      <c r="Z356" s="560">
        <f t="shared" si="116"/>
        <v>0</v>
      </c>
      <c r="AA356" s="560">
        <f t="shared" si="116"/>
        <v>0</v>
      </c>
      <c r="AB356" s="560">
        <f t="shared" si="116"/>
        <v>0</v>
      </c>
      <c r="AC356" s="560">
        <f t="shared" si="116"/>
        <v>18000000</v>
      </c>
      <c r="AD356" s="560">
        <f t="shared" si="116"/>
        <v>0</v>
      </c>
      <c r="AE356" s="560">
        <f t="shared" si="116"/>
        <v>0</v>
      </c>
      <c r="AF356" s="560">
        <f t="shared" si="116"/>
        <v>18000000</v>
      </c>
      <c r="AG356" s="36"/>
      <c r="AH356" s="36"/>
      <c r="AI356" s="36"/>
      <c r="AJ356" s="36"/>
      <c r="AK356" s="36"/>
      <c r="AL356" s="36"/>
      <c r="AM356" s="36"/>
    </row>
    <row r="357" spans="1:44" ht="94.5" customHeight="1" x14ac:dyDescent="0.2">
      <c r="A357" s="51"/>
      <c r="B357" s="87"/>
      <c r="C357" s="88"/>
      <c r="D357" s="89"/>
      <c r="E357" s="68"/>
      <c r="F357" s="69" t="s">
        <v>1298</v>
      </c>
      <c r="G357" s="94" t="s">
        <v>1299</v>
      </c>
      <c r="H357" s="70">
        <v>3904018</v>
      </c>
      <c r="I357" s="72" t="s">
        <v>1300</v>
      </c>
      <c r="J357" s="94" t="s">
        <v>1301</v>
      </c>
      <c r="K357" s="232">
        <v>390401809</v>
      </c>
      <c r="L357" s="286" t="s">
        <v>1302</v>
      </c>
      <c r="M357" s="646" t="s">
        <v>153</v>
      </c>
      <c r="N357" s="648">
        <v>20</v>
      </c>
      <c r="O357" s="648">
        <v>1</v>
      </c>
      <c r="P357" s="94" t="s">
        <v>201</v>
      </c>
      <c r="Q357" s="554" t="s">
        <v>1303</v>
      </c>
      <c r="R357" s="130" t="s">
        <v>1304</v>
      </c>
      <c r="S357" s="76"/>
      <c r="T357" s="76"/>
      <c r="U357" s="131"/>
      <c r="V357" s="77"/>
      <c r="W357" s="77"/>
      <c r="X357" s="77"/>
      <c r="Y357" s="77"/>
      <c r="Z357" s="77"/>
      <c r="AA357" s="77"/>
      <c r="AB357" s="77"/>
      <c r="AC357" s="77">
        <v>18000000</v>
      </c>
      <c r="AD357" s="77"/>
      <c r="AE357" s="77"/>
      <c r="AF357" s="77">
        <f>+S357+T357+U357+V357+W357+X357+Y357+Z357+AA357+AB357+AC357+AD357+AE357</f>
        <v>18000000</v>
      </c>
      <c r="AG357" s="3"/>
      <c r="AH357" s="3"/>
      <c r="AI357" s="3"/>
      <c r="AJ357" s="3"/>
      <c r="AK357" s="3"/>
      <c r="AL357" s="3"/>
      <c r="AM357" s="3"/>
    </row>
    <row r="358" spans="1:44" s="37" customFormat="1" ht="21" customHeight="1" x14ac:dyDescent="0.25">
      <c r="A358" s="38"/>
      <c r="B358" s="306">
        <v>4</v>
      </c>
      <c r="C358" s="265" t="s">
        <v>77</v>
      </c>
      <c r="D358" s="266"/>
      <c r="E358" s="109"/>
      <c r="F358" s="110"/>
      <c r="G358" s="111"/>
      <c r="H358" s="112"/>
      <c r="I358" s="113"/>
      <c r="J358" s="114"/>
      <c r="K358" s="114"/>
      <c r="L358" s="113"/>
      <c r="M358" s="115"/>
      <c r="N358" s="116"/>
      <c r="O358" s="111"/>
      <c r="P358" s="109"/>
      <c r="Q358" s="109"/>
      <c r="R358" s="113"/>
      <c r="S358" s="274">
        <f t="shared" ref="S358:AF358" si="117">+S359</f>
        <v>0</v>
      </c>
      <c r="T358" s="274">
        <f t="shared" si="117"/>
        <v>0</v>
      </c>
      <c r="U358" s="274">
        <f t="shared" si="117"/>
        <v>0</v>
      </c>
      <c r="V358" s="274">
        <f t="shared" si="117"/>
        <v>0</v>
      </c>
      <c r="W358" s="274">
        <f t="shared" si="117"/>
        <v>0</v>
      </c>
      <c r="X358" s="274">
        <f t="shared" si="117"/>
        <v>0</v>
      </c>
      <c r="Y358" s="274">
        <f t="shared" si="117"/>
        <v>0</v>
      </c>
      <c r="Z358" s="274">
        <f t="shared" si="117"/>
        <v>0</v>
      </c>
      <c r="AA358" s="274">
        <f t="shared" si="117"/>
        <v>0</v>
      </c>
      <c r="AB358" s="274">
        <f t="shared" si="117"/>
        <v>0</v>
      </c>
      <c r="AC358" s="274">
        <f t="shared" si="117"/>
        <v>203721000</v>
      </c>
      <c r="AD358" s="274">
        <f t="shared" si="117"/>
        <v>0</v>
      </c>
      <c r="AE358" s="274">
        <f t="shared" si="117"/>
        <v>0</v>
      </c>
      <c r="AF358" s="274">
        <f t="shared" si="117"/>
        <v>203721000</v>
      </c>
      <c r="AG358" s="36"/>
      <c r="AH358" s="36"/>
      <c r="AI358" s="36"/>
      <c r="AJ358" s="36"/>
      <c r="AK358" s="36"/>
      <c r="AL358" s="36"/>
      <c r="AM358" s="36"/>
    </row>
    <row r="359" spans="1:44" s="37" customFormat="1" ht="21.75" customHeight="1" x14ac:dyDescent="0.25">
      <c r="A359" s="38"/>
      <c r="B359" s="52"/>
      <c r="C359" s="553">
        <v>17</v>
      </c>
      <c r="D359" s="561">
        <v>2302</v>
      </c>
      <c r="E359" s="119" t="s">
        <v>1280</v>
      </c>
      <c r="F359" s="83"/>
      <c r="G359" s="84"/>
      <c r="H359" s="120"/>
      <c r="I359" s="121"/>
      <c r="J359" s="122"/>
      <c r="K359" s="122"/>
      <c r="L359" s="121"/>
      <c r="M359" s="123"/>
      <c r="N359" s="124"/>
      <c r="O359" s="84"/>
      <c r="P359" s="125"/>
      <c r="Q359" s="125"/>
      <c r="R359" s="121"/>
      <c r="S359" s="291">
        <f t="shared" ref="S359:AF359" si="118">SUM(S360:S361)</f>
        <v>0</v>
      </c>
      <c r="T359" s="291">
        <f t="shared" si="118"/>
        <v>0</v>
      </c>
      <c r="U359" s="291">
        <f t="shared" si="118"/>
        <v>0</v>
      </c>
      <c r="V359" s="291">
        <f t="shared" si="118"/>
        <v>0</v>
      </c>
      <c r="W359" s="291">
        <f t="shared" si="118"/>
        <v>0</v>
      </c>
      <c r="X359" s="291">
        <f t="shared" si="118"/>
        <v>0</v>
      </c>
      <c r="Y359" s="291">
        <f t="shared" si="118"/>
        <v>0</v>
      </c>
      <c r="Z359" s="291">
        <f t="shared" si="118"/>
        <v>0</v>
      </c>
      <c r="AA359" s="291">
        <f t="shared" si="118"/>
        <v>0</v>
      </c>
      <c r="AB359" s="291">
        <f t="shared" si="118"/>
        <v>0</v>
      </c>
      <c r="AC359" s="291">
        <f t="shared" si="118"/>
        <v>203721000</v>
      </c>
      <c r="AD359" s="291">
        <f t="shared" si="118"/>
        <v>0</v>
      </c>
      <c r="AE359" s="291">
        <f t="shared" si="118"/>
        <v>0</v>
      </c>
      <c r="AF359" s="291">
        <f t="shared" si="118"/>
        <v>203721000</v>
      </c>
      <c r="AG359" s="36"/>
      <c r="AH359" s="36"/>
      <c r="AI359" s="36"/>
      <c r="AJ359" s="36"/>
      <c r="AK359" s="36"/>
      <c r="AL359" s="36"/>
      <c r="AM359" s="36"/>
    </row>
    <row r="360" spans="1:44" ht="54.75" customHeight="1" x14ac:dyDescent="0.2">
      <c r="A360" s="51"/>
      <c r="B360" s="765"/>
      <c r="C360" s="767"/>
      <c r="D360" s="67"/>
      <c r="E360" s="703"/>
      <c r="F360" s="90" t="s">
        <v>1305</v>
      </c>
      <c r="G360" s="74" t="s">
        <v>1306</v>
      </c>
      <c r="H360" s="71">
        <v>2302033</v>
      </c>
      <c r="I360" s="130" t="s">
        <v>1307</v>
      </c>
      <c r="J360" s="74" t="s">
        <v>1308</v>
      </c>
      <c r="K360" s="232">
        <v>230203300</v>
      </c>
      <c r="L360" s="130" t="s">
        <v>1309</v>
      </c>
      <c r="M360" s="74" t="s">
        <v>58</v>
      </c>
      <c r="N360" s="71">
        <v>100</v>
      </c>
      <c r="O360" s="71">
        <v>100</v>
      </c>
      <c r="P360" s="703" t="s">
        <v>59</v>
      </c>
      <c r="Q360" s="731" t="s">
        <v>1310</v>
      </c>
      <c r="R360" s="706" t="s">
        <v>1311</v>
      </c>
      <c r="S360" s="76"/>
      <c r="T360" s="76"/>
      <c r="U360" s="131"/>
      <c r="V360" s="77"/>
      <c r="W360" s="77"/>
      <c r="X360" s="77"/>
      <c r="Y360" s="77"/>
      <c r="Z360" s="77"/>
      <c r="AA360" s="77"/>
      <c r="AB360" s="77"/>
      <c r="AC360" s="77">
        <f>161909132+27491868</f>
        <v>189401000</v>
      </c>
      <c r="AD360" s="77"/>
      <c r="AE360" s="77"/>
      <c r="AF360" s="77">
        <f>+S360+T360+U360+V360+W360+X360+Y360+Z360+AA360+AB360+AC360+AD360+AE360</f>
        <v>189401000</v>
      </c>
      <c r="AG360" s="3"/>
      <c r="AH360" s="3"/>
      <c r="AI360" s="3"/>
      <c r="AJ360" s="3"/>
      <c r="AK360" s="3"/>
      <c r="AL360" s="3"/>
      <c r="AM360" s="3"/>
    </row>
    <row r="361" spans="1:44" ht="72" customHeight="1" x14ac:dyDescent="0.2">
      <c r="A361" s="86"/>
      <c r="B361" s="766"/>
      <c r="C361" s="768"/>
      <c r="D361" s="78"/>
      <c r="E361" s="705"/>
      <c r="F361" s="90" t="s">
        <v>1305</v>
      </c>
      <c r="G361" s="74" t="s">
        <v>1312</v>
      </c>
      <c r="H361" s="71">
        <v>2302066</v>
      </c>
      <c r="I361" s="130" t="s">
        <v>1313</v>
      </c>
      <c r="J361" s="74" t="s">
        <v>1314</v>
      </c>
      <c r="K361" s="232">
        <v>230206600</v>
      </c>
      <c r="L361" s="130" t="s">
        <v>1315</v>
      </c>
      <c r="M361" s="646" t="s">
        <v>153</v>
      </c>
      <c r="N361" s="648">
        <v>200</v>
      </c>
      <c r="O361" s="648">
        <v>30</v>
      </c>
      <c r="P361" s="705"/>
      <c r="Q361" s="732"/>
      <c r="R361" s="710"/>
      <c r="S361" s="76"/>
      <c r="T361" s="76"/>
      <c r="U361" s="131"/>
      <c r="V361" s="77"/>
      <c r="W361" s="77"/>
      <c r="X361" s="77"/>
      <c r="Y361" s="77"/>
      <c r="Z361" s="77"/>
      <c r="AA361" s="77"/>
      <c r="AB361" s="77"/>
      <c r="AC361" s="77">
        <v>14320000</v>
      </c>
      <c r="AD361" s="77"/>
      <c r="AE361" s="77"/>
      <c r="AF361" s="77">
        <f>+S361+T361+U361+V361+W361+X361+Y361+Z361+AA361+AB361+AC361+AD361+AE361</f>
        <v>14320000</v>
      </c>
      <c r="AG361" s="3"/>
      <c r="AH361" s="3"/>
      <c r="AI361" s="3"/>
      <c r="AJ361" s="3"/>
      <c r="AK361" s="3"/>
      <c r="AL361" s="3"/>
      <c r="AM361" s="3"/>
    </row>
    <row r="362" spans="1:44" s="569" customFormat="1" ht="15.75" customHeight="1" x14ac:dyDescent="0.25">
      <c r="A362" s="761" t="s">
        <v>1316</v>
      </c>
      <c r="B362" s="762"/>
      <c r="C362" s="762"/>
      <c r="D362" s="762"/>
      <c r="E362" s="762"/>
      <c r="F362" s="763"/>
      <c r="G362" s="562"/>
      <c r="H362" s="562"/>
      <c r="I362" s="563"/>
      <c r="J362" s="564"/>
      <c r="K362" s="564"/>
      <c r="L362" s="563"/>
      <c r="M362" s="564"/>
      <c r="N362" s="562"/>
      <c r="O362" s="562"/>
      <c r="P362" s="564"/>
      <c r="Q362" s="565"/>
      <c r="R362" s="566"/>
      <c r="S362" s="567">
        <f t="shared" ref="S362:AF362" si="119">+S346+S278+S232+S203+S195+S147+S130+S117+S79+S38+S32+S15+S7</f>
        <v>13931111024.869999</v>
      </c>
      <c r="T362" s="567">
        <f t="shared" si="119"/>
        <v>5428613946.8600006</v>
      </c>
      <c r="U362" s="567">
        <f t="shared" si="119"/>
        <v>958872976.11000001</v>
      </c>
      <c r="V362" s="567">
        <f t="shared" si="119"/>
        <v>2854044988.79</v>
      </c>
      <c r="W362" s="567">
        <f t="shared" si="119"/>
        <v>6854735768.5</v>
      </c>
      <c r="X362" s="567">
        <f t="shared" si="119"/>
        <v>27403553738.380001</v>
      </c>
      <c r="Y362" s="567">
        <f t="shared" si="119"/>
        <v>134989913515.46001</v>
      </c>
      <c r="Z362" s="567">
        <f t="shared" si="119"/>
        <v>23500000000</v>
      </c>
      <c r="AA362" s="567">
        <f t="shared" si="119"/>
        <v>12173030541.870001</v>
      </c>
      <c r="AB362" s="567">
        <f t="shared" si="119"/>
        <v>2686652877.1199999</v>
      </c>
      <c r="AC362" s="567">
        <f t="shared" si="119"/>
        <v>19838051468.408314</v>
      </c>
      <c r="AD362" s="567">
        <f t="shared" si="119"/>
        <v>894081684.11000013</v>
      </c>
      <c r="AE362" s="567">
        <f t="shared" si="119"/>
        <v>2855598673.3000002</v>
      </c>
      <c r="AF362" s="567">
        <f t="shared" si="119"/>
        <v>254368261203.77832</v>
      </c>
      <c r="AG362" s="568"/>
      <c r="AH362" s="568"/>
      <c r="AI362" s="568"/>
      <c r="AJ362" s="568"/>
      <c r="AK362" s="568"/>
      <c r="AL362" s="568"/>
      <c r="AM362" s="568"/>
    </row>
    <row r="363" spans="1:44" ht="36" customHeight="1" x14ac:dyDescent="0.2">
      <c r="AF363" s="695"/>
    </row>
    <row r="364" spans="1:44" s="344" customFormat="1" ht="21.75" customHeight="1" x14ac:dyDescent="0.2">
      <c r="A364" s="23" t="s">
        <v>1317</v>
      </c>
      <c r="B364" s="24"/>
      <c r="C364" s="25"/>
      <c r="D364" s="26"/>
      <c r="E364" s="27"/>
      <c r="F364" s="28"/>
      <c r="G364" s="29"/>
      <c r="H364" s="30"/>
      <c r="I364" s="31"/>
      <c r="J364" s="32"/>
      <c r="K364" s="32"/>
      <c r="L364" s="31"/>
      <c r="M364" s="104"/>
      <c r="N364" s="30"/>
      <c r="O364" s="29"/>
      <c r="P364" s="27"/>
      <c r="Q364" s="27"/>
      <c r="R364" s="31"/>
      <c r="S364" s="193">
        <f t="shared" ref="S364:AE364" si="120">+S365</f>
        <v>0</v>
      </c>
      <c r="T364" s="193">
        <f t="shared" si="120"/>
        <v>0</v>
      </c>
      <c r="U364" s="193">
        <f t="shared" si="120"/>
        <v>0</v>
      </c>
      <c r="V364" s="193">
        <f t="shared" si="120"/>
        <v>0</v>
      </c>
      <c r="W364" s="193">
        <f t="shared" si="120"/>
        <v>0</v>
      </c>
      <c r="X364" s="193">
        <f t="shared" si="120"/>
        <v>0</v>
      </c>
      <c r="Y364" s="193">
        <f t="shared" si="120"/>
        <v>0</v>
      </c>
      <c r="Z364" s="193">
        <f t="shared" si="120"/>
        <v>0</v>
      </c>
      <c r="AA364" s="193">
        <f t="shared" si="120"/>
        <v>0</v>
      </c>
      <c r="AB364" s="193">
        <f t="shared" si="120"/>
        <v>0</v>
      </c>
      <c r="AC364" s="193">
        <f t="shared" si="120"/>
        <v>712825727</v>
      </c>
      <c r="AD364" s="193">
        <f t="shared" si="120"/>
        <v>685952388</v>
      </c>
      <c r="AE364" s="193">
        <f t="shared" si="120"/>
        <v>0</v>
      </c>
      <c r="AF364" s="193">
        <f>AF365</f>
        <v>1398778115</v>
      </c>
      <c r="AG364" s="345"/>
      <c r="AH364" s="345"/>
      <c r="AI364" s="345"/>
      <c r="AJ364" s="345"/>
      <c r="AK364" s="345"/>
      <c r="AL364" s="345"/>
      <c r="AM364" s="345"/>
    </row>
    <row r="365" spans="1:44" s="344" customFormat="1" ht="21.75" customHeight="1" x14ac:dyDescent="0.2">
      <c r="A365" s="522"/>
      <c r="B365" s="106">
        <v>1</v>
      </c>
      <c r="C365" s="107" t="s">
        <v>1</v>
      </c>
      <c r="D365" s="108"/>
      <c r="E365" s="109"/>
      <c r="F365" s="110"/>
      <c r="G365" s="111"/>
      <c r="H365" s="112"/>
      <c r="I365" s="113"/>
      <c r="J365" s="114"/>
      <c r="K365" s="114"/>
      <c r="L365" s="113"/>
      <c r="M365" s="115"/>
      <c r="N365" s="116"/>
      <c r="O365" s="111"/>
      <c r="P365" s="109"/>
      <c r="Q365" s="109"/>
      <c r="R365" s="113"/>
      <c r="S365" s="50">
        <f t="shared" ref="S365:AF365" si="121">S366+S374</f>
        <v>0</v>
      </c>
      <c r="T365" s="50">
        <f t="shared" si="121"/>
        <v>0</v>
      </c>
      <c r="U365" s="50">
        <f t="shared" si="121"/>
        <v>0</v>
      </c>
      <c r="V365" s="50">
        <f t="shared" si="121"/>
        <v>0</v>
      </c>
      <c r="W365" s="50">
        <f t="shared" si="121"/>
        <v>0</v>
      </c>
      <c r="X365" s="50">
        <f t="shared" si="121"/>
        <v>0</v>
      </c>
      <c r="Y365" s="50">
        <f t="shared" si="121"/>
        <v>0</v>
      </c>
      <c r="Z365" s="50">
        <f t="shared" si="121"/>
        <v>0</v>
      </c>
      <c r="AA365" s="50">
        <f t="shared" si="121"/>
        <v>0</v>
      </c>
      <c r="AB365" s="50">
        <f t="shared" si="121"/>
        <v>0</v>
      </c>
      <c r="AC365" s="50">
        <f t="shared" si="121"/>
        <v>712825727</v>
      </c>
      <c r="AD365" s="50">
        <f t="shared" si="121"/>
        <v>685952388</v>
      </c>
      <c r="AE365" s="50">
        <f t="shared" si="121"/>
        <v>0</v>
      </c>
      <c r="AF365" s="50">
        <f t="shared" si="121"/>
        <v>1398778115</v>
      </c>
      <c r="AG365" s="345"/>
      <c r="AH365" s="345"/>
      <c r="AI365" s="345"/>
      <c r="AJ365" s="345"/>
      <c r="AK365" s="345"/>
      <c r="AL365" s="345"/>
      <c r="AM365" s="345"/>
    </row>
    <row r="366" spans="1:44" s="344" customFormat="1" ht="20.25" customHeight="1" x14ac:dyDescent="0.2">
      <c r="A366" s="522"/>
      <c r="B366" s="52"/>
      <c r="C366" s="194">
        <v>39</v>
      </c>
      <c r="D366" s="321">
        <v>4301</v>
      </c>
      <c r="E366" s="119" t="s">
        <v>185</v>
      </c>
      <c r="F366" s="570"/>
      <c r="G366" s="571"/>
      <c r="H366" s="571"/>
      <c r="I366" s="397"/>
      <c r="J366" s="396"/>
      <c r="K366" s="396"/>
      <c r="L366" s="397"/>
      <c r="M366" s="572"/>
      <c r="N366" s="58"/>
      <c r="O366" s="571"/>
      <c r="P366" s="572"/>
      <c r="Q366" s="572"/>
      <c r="R366" s="397"/>
      <c r="S366" s="573">
        <f t="shared" ref="S366:AF366" si="122">SUM(S367:S373)</f>
        <v>0</v>
      </c>
      <c r="T366" s="573">
        <f t="shared" si="122"/>
        <v>0</v>
      </c>
      <c r="U366" s="573">
        <f t="shared" si="122"/>
        <v>0</v>
      </c>
      <c r="V366" s="573">
        <f t="shared" si="122"/>
        <v>0</v>
      </c>
      <c r="W366" s="573">
        <f t="shared" si="122"/>
        <v>0</v>
      </c>
      <c r="X366" s="573">
        <f t="shared" si="122"/>
        <v>0</v>
      </c>
      <c r="Y366" s="573">
        <f t="shared" si="122"/>
        <v>0</v>
      </c>
      <c r="Z366" s="573">
        <f t="shared" si="122"/>
        <v>0</v>
      </c>
      <c r="AA366" s="573">
        <f t="shared" si="122"/>
        <v>0</v>
      </c>
      <c r="AB366" s="573">
        <f t="shared" si="122"/>
        <v>0</v>
      </c>
      <c r="AC366" s="573">
        <f t="shared" si="122"/>
        <v>139000000</v>
      </c>
      <c r="AD366" s="573">
        <f t="shared" si="122"/>
        <v>436552853</v>
      </c>
      <c r="AE366" s="573">
        <f t="shared" si="122"/>
        <v>0</v>
      </c>
      <c r="AF366" s="573">
        <f t="shared" si="122"/>
        <v>575552853</v>
      </c>
      <c r="AG366" s="345"/>
      <c r="AH366" s="345"/>
      <c r="AI366" s="345"/>
      <c r="AJ366" s="345"/>
      <c r="AK366" s="345"/>
      <c r="AL366" s="345"/>
      <c r="AM366" s="345"/>
      <c r="AN366" s="345"/>
      <c r="AO366" s="345"/>
      <c r="AP366" s="345"/>
      <c r="AQ366" s="345"/>
      <c r="AR366" s="345"/>
    </row>
    <row r="367" spans="1:44" s="181" customFormat="1" ht="78.75" x14ac:dyDescent="0.2">
      <c r="A367" s="51"/>
      <c r="B367" s="65"/>
      <c r="C367" s="66"/>
      <c r="D367" s="574"/>
      <c r="E367" s="640"/>
      <c r="F367" s="575" t="s">
        <v>1318</v>
      </c>
      <c r="G367" s="74" t="s">
        <v>1319</v>
      </c>
      <c r="H367" s="71">
        <v>4301007</v>
      </c>
      <c r="I367" s="130" t="s">
        <v>1320</v>
      </c>
      <c r="J367" s="74" t="s">
        <v>1321</v>
      </c>
      <c r="K367" s="71">
        <v>430100701</v>
      </c>
      <c r="L367" s="130" t="s">
        <v>1322</v>
      </c>
      <c r="M367" s="136" t="s">
        <v>58</v>
      </c>
      <c r="N367" s="137">
        <v>12</v>
      </c>
      <c r="O367" s="71">
        <v>12</v>
      </c>
      <c r="P367" s="708" t="s">
        <v>191</v>
      </c>
      <c r="Q367" s="731" t="s">
        <v>1323</v>
      </c>
      <c r="R367" s="706" t="s">
        <v>1324</v>
      </c>
      <c r="S367" s="76"/>
      <c r="T367" s="76"/>
      <c r="U367" s="76"/>
      <c r="V367" s="76"/>
      <c r="W367" s="76"/>
      <c r="X367" s="576"/>
      <c r="Y367" s="76"/>
      <c r="Z367" s="76"/>
      <c r="AA367" s="76"/>
      <c r="AB367" s="76"/>
      <c r="AC367" s="577"/>
      <c r="AD367" s="577">
        <v>55000000</v>
      </c>
      <c r="AE367" s="131"/>
      <c r="AF367" s="77">
        <f t="shared" ref="AF367:AF373" si="123">+S367+T367+U367+V367+W367+X367+Y367+Z367+AA367+AB367+AC367+AD367+AE367</f>
        <v>55000000</v>
      </c>
    </row>
    <row r="368" spans="1:44" s="181" customFormat="1" ht="90" customHeight="1" x14ac:dyDescent="0.2">
      <c r="A368" s="51"/>
      <c r="B368" s="65"/>
      <c r="C368" s="223"/>
      <c r="D368" s="578"/>
      <c r="E368" s="641"/>
      <c r="F368" s="575" t="s">
        <v>1318</v>
      </c>
      <c r="G368" s="74" t="s">
        <v>1325</v>
      </c>
      <c r="H368" s="71">
        <v>4301037</v>
      </c>
      <c r="I368" s="130" t="s">
        <v>1326</v>
      </c>
      <c r="J368" s="74" t="s">
        <v>1327</v>
      </c>
      <c r="K368" s="71">
        <v>430103701</v>
      </c>
      <c r="L368" s="130" t="s">
        <v>1328</v>
      </c>
      <c r="M368" s="231" t="s">
        <v>58</v>
      </c>
      <c r="N368" s="91">
        <v>12</v>
      </c>
      <c r="O368" s="91">
        <v>12</v>
      </c>
      <c r="P368" s="709"/>
      <c r="Q368" s="732"/>
      <c r="R368" s="710"/>
      <c r="S368" s="76"/>
      <c r="T368" s="76"/>
      <c r="U368" s="76"/>
      <c r="V368" s="76"/>
      <c r="W368" s="76"/>
      <c r="X368" s="76"/>
      <c r="Y368" s="76"/>
      <c r="Z368" s="76"/>
      <c r="AA368" s="76"/>
      <c r="AB368" s="76"/>
      <c r="AC368" s="577">
        <v>80000000</v>
      </c>
      <c r="AD368" s="577">
        <v>120000000</v>
      </c>
      <c r="AE368" s="579"/>
      <c r="AF368" s="77">
        <f t="shared" si="123"/>
        <v>200000000</v>
      </c>
    </row>
    <row r="369" spans="1:44" s="181" customFormat="1" ht="81" customHeight="1" x14ac:dyDescent="0.2">
      <c r="A369" s="51"/>
      <c r="B369" s="65"/>
      <c r="C369" s="223"/>
      <c r="D369" s="578"/>
      <c r="E369" s="68"/>
      <c r="F369" s="575" t="s">
        <v>1318</v>
      </c>
      <c r="G369" s="74" t="s">
        <v>1325</v>
      </c>
      <c r="H369" s="71">
        <v>4301037</v>
      </c>
      <c r="I369" s="130" t="s">
        <v>1326</v>
      </c>
      <c r="J369" s="74" t="s">
        <v>1329</v>
      </c>
      <c r="K369" s="71" t="s">
        <v>1330</v>
      </c>
      <c r="L369" s="130" t="s">
        <v>1331</v>
      </c>
      <c r="M369" s="231" t="s">
        <v>58</v>
      </c>
      <c r="N369" s="91">
        <v>12</v>
      </c>
      <c r="O369" s="91">
        <v>12</v>
      </c>
      <c r="P369" s="73" t="s">
        <v>191</v>
      </c>
      <c r="Q369" s="136" t="s">
        <v>1332</v>
      </c>
      <c r="R369" s="130" t="s">
        <v>1333</v>
      </c>
      <c r="S369" s="76"/>
      <c r="T369" s="76"/>
      <c r="U369" s="76"/>
      <c r="V369" s="76"/>
      <c r="W369" s="76"/>
      <c r="X369" s="76"/>
      <c r="Y369" s="76"/>
      <c r="Z369" s="76"/>
      <c r="AA369" s="76"/>
      <c r="AB369" s="76"/>
      <c r="AC369" s="577">
        <v>30000000</v>
      </c>
      <c r="AD369" s="577">
        <v>91552853</v>
      </c>
      <c r="AE369" s="131"/>
      <c r="AF369" s="77">
        <f t="shared" si="123"/>
        <v>121552853</v>
      </c>
    </row>
    <row r="370" spans="1:44" s="181" customFormat="1" ht="78.75" x14ac:dyDescent="0.2">
      <c r="A370" s="51"/>
      <c r="B370" s="65"/>
      <c r="C370" s="223"/>
      <c r="D370" s="578"/>
      <c r="E370" s="640"/>
      <c r="F370" s="575" t="s">
        <v>1318</v>
      </c>
      <c r="G370" s="74" t="s">
        <v>1325</v>
      </c>
      <c r="H370" s="71">
        <v>4301037</v>
      </c>
      <c r="I370" s="130" t="s">
        <v>1326</v>
      </c>
      <c r="J370" s="74" t="s">
        <v>1329</v>
      </c>
      <c r="K370" s="71">
        <v>430103704</v>
      </c>
      <c r="L370" s="130" t="s">
        <v>1331</v>
      </c>
      <c r="M370" s="231" t="s">
        <v>58</v>
      </c>
      <c r="N370" s="91">
        <v>12</v>
      </c>
      <c r="O370" s="91">
        <v>12</v>
      </c>
      <c r="P370" s="764" t="s">
        <v>191</v>
      </c>
      <c r="Q370" s="727" t="s">
        <v>1334</v>
      </c>
      <c r="R370" s="706" t="s">
        <v>1335</v>
      </c>
      <c r="S370" s="76"/>
      <c r="T370" s="76"/>
      <c r="U370" s="76"/>
      <c r="V370" s="76"/>
      <c r="W370" s="76"/>
      <c r="X370" s="76"/>
      <c r="Y370" s="76"/>
      <c r="Z370" s="76"/>
      <c r="AA370" s="76"/>
      <c r="AB370" s="76"/>
      <c r="AC370" s="580">
        <v>9000000</v>
      </c>
      <c r="AD370" s="581">
        <f>30000000+25000000</f>
        <v>55000000</v>
      </c>
      <c r="AE370" s="131"/>
      <c r="AF370" s="77">
        <f t="shared" si="123"/>
        <v>64000000</v>
      </c>
    </row>
    <row r="371" spans="1:44" s="181" customFormat="1" ht="127.5" customHeight="1" x14ac:dyDescent="0.2">
      <c r="A371" s="51"/>
      <c r="B371" s="65"/>
      <c r="C371" s="223"/>
      <c r="D371" s="578"/>
      <c r="E371" s="641"/>
      <c r="F371" s="575" t="s">
        <v>1318</v>
      </c>
      <c r="G371" s="74" t="s">
        <v>1336</v>
      </c>
      <c r="H371" s="71" t="s">
        <v>1337</v>
      </c>
      <c r="I371" s="130" t="s">
        <v>1338</v>
      </c>
      <c r="J371" s="74" t="s">
        <v>1339</v>
      </c>
      <c r="K371" s="74" t="s">
        <v>51</v>
      </c>
      <c r="L371" s="130" t="s">
        <v>1340</v>
      </c>
      <c r="M371" s="136" t="s">
        <v>58</v>
      </c>
      <c r="N371" s="137">
        <v>1</v>
      </c>
      <c r="O371" s="71">
        <v>1</v>
      </c>
      <c r="P371" s="764"/>
      <c r="Q371" s="727"/>
      <c r="R371" s="707"/>
      <c r="S371" s="76"/>
      <c r="T371" s="76"/>
      <c r="U371" s="76"/>
      <c r="V371" s="76"/>
      <c r="W371" s="76"/>
      <c r="X371" s="76"/>
      <c r="Y371" s="76"/>
      <c r="Z371" s="76"/>
      <c r="AA371" s="76"/>
      <c r="AB371" s="76"/>
      <c r="AC371" s="405"/>
      <c r="AD371" s="581">
        <v>75000000</v>
      </c>
      <c r="AE371" s="582"/>
      <c r="AF371" s="77">
        <f t="shared" si="123"/>
        <v>75000000</v>
      </c>
    </row>
    <row r="372" spans="1:44" s="181" customFormat="1" ht="84" customHeight="1" x14ac:dyDescent="0.2">
      <c r="A372" s="51"/>
      <c r="B372" s="65"/>
      <c r="C372" s="223"/>
      <c r="D372" s="578"/>
      <c r="E372" s="68"/>
      <c r="F372" s="575" t="s">
        <v>1318</v>
      </c>
      <c r="G372" s="74" t="s">
        <v>1325</v>
      </c>
      <c r="H372" s="71">
        <v>4301037</v>
      </c>
      <c r="I372" s="130" t="s">
        <v>1326</v>
      </c>
      <c r="J372" s="74" t="s">
        <v>1329</v>
      </c>
      <c r="K372" s="71" t="s">
        <v>1330</v>
      </c>
      <c r="L372" s="130" t="s">
        <v>1331</v>
      </c>
      <c r="M372" s="231" t="s">
        <v>58</v>
      </c>
      <c r="N372" s="91">
        <v>12</v>
      </c>
      <c r="O372" s="91">
        <v>12</v>
      </c>
      <c r="P372" s="73" t="s">
        <v>191</v>
      </c>
      <c r="Q372" s="136" t="s">
        <v>1341</v>
      </c>
      <c r="R372" s="130" t="s">
        <v>1342</v>
      </c>
      <c r="S372" s="76"/>
      <c r="T372" s="76"/>
      <c r="U372" s="76"/>
      <c r="V372" s="76"/>
      <c r="W372" s="76"/>
      <c r="X372" s="76"/>
      <c r="Y372" s="76"/>
      <c r="Z372" s="76"/>
      <c r="AA372" s="76"/>
      <c r="AB372" s="76"/>
      <c r="AC372" s="405">
        <v>20000000</v>
      </c>
      <c r="AD372" s="580"/>
      <c r="AE372" s="582"/>
      <c r="AF372" s="77">
        <f t="shared" si="123"/>
        <v>20000000</v>
      </c>
    </row>
    <row r="373" spans="1:44" s="181" customFormat="1" ht="79.5" customHeight="1" x14ac:dyDescent="0.2">
      <c r="A373" s="51"/>
      <c r="B373" s="65"/>
      <c r="C373" s="11"/>
      <c r="D373" s="583"/>
      <c r="E373" s="68"/>
      <c r="F373" s="575" t="s">
        <v>1318</v>
      </c>
      <c r="G373" s="74" t="s">
        <v>1325</v>
      </c>
      <c r="H373" s="71">
        <v>4301037</v>
      </c>
      <c r="I373" s="130" t="s">
        <v>1326</v>
      </c>
      <c r="J373" s="74" t="s">
        <v>1329</v>
      </c>
      <c r="K373" s="71" t="s">
        <v>1330</v>
      </c>
      <c r="L373" s="130" t="s">
        <v>1331</v>
      </c>
      <c r="M373" s="231" t="s">
        <v>58</v>
      </c>
      <c r="N373" s="91">
        <v>12</v>
      </c>
      <c r="O373" s="91">
        <v>12</v>
      </c>
      <c r="P373" s="73" t="s">
        <v>191</v>
      </c>
      <c r="Q373" s="136" t="s">
        <v>1343</v>
      </c>
      <c r="R373" s="130" t="s">
        <v>1344</v>
      </c>
      <c r="S373" s="76"/>
      <c r="T373" s="76"/>
      <c r="U373" s="76"/>
      <c r="V373" s="76"/>
      <c r="W373" s="76"/>
      <c r="X373" s="76"/>
      <c r="Y373" s="76"/>
      <c r="Z373" s="76"/>
      <c r="AA373" s="76"/>
      <c r="AB373" s="76"/>
      <c r="AC373" s="405"/>
      <c r="AD373" s="76">
        <v>40000000</v>
      </c>
      <c r="AE373" s="582"/>
      <c r="AF373" s="77">
        <f t="shared" si="123"/>
        <v>40000000</v>
      </c>
    </row>
    <row r="374" spans="1:44" s="344" customFormat="1" ht="18.75" customHeight="1" x14ac:dyDescent="0.2">
      <c r="A374" s="522"/>
      <c r="B374" s="79"/>
      <c r="C374" s="220">
        <v>40</v>
      </c>
      <c r="D374" s="235">
        <v>4302</v>
      </c>
      <c r="E374" s="119" t="s">
        <v>192</v>
      </c>
      <c r="F374" s="83"/>
      <c r="G374" s="83"/>
      <c r="H374" s="120"/>
      <c r="I374" s="121"/>
      <c r="J374" s="122"/>
      <c r="K374" s="122"/>
      <c r="L374" s="121"/>
      <c r="M374" s="123"/>
      <c r="N374" s="124"/>
      <c r="O374" s="84"/>
      <c r="P374" s="125"/>
      <c r="Q374" s="125"/>
      <c r="R374" s="121"/>
      <c r="S374" s="282">
        <f t="shared" ref="S374:AC374" si="124">+S375+S376</f>
        <v>0</v>
      </c>
      <c r="T374" s="282">
        <f t="shared" si="124"/>
        <v>0</v>
      </c>
      <c r="U374" s="282">
        <f t="shared" si="124"/>
        <v>0</v>
      </c>
      <c r="V374" s="282">
        <f t="shared" si="124"/>
        <v>0</v>
      </c>
      <c r="W374" s="282">
        <f t="shared" si="124"/>
        <v>0</v>
      </c>
      <c r="X374" s="282">
        <f t="shared" si="124"/>
        <v>0</v>
      </c>
      <c r="Y374" s="282">
        <f t="shared" si="124"/>
        <v>0</v>
      </c>
      <c r="Z374" s="282">
        <f t="shared" si="124"/>
        <v>0</v>
      </c>
      <c r="AA374" s="282">
        <f t="shared" si="124"/>
        <v>0</v>
      </c>
      <c r="AB374" s="282">
        <f t="shared" si="124"/>
        <v>0</v>
      </c>
      <c r="AC374" s="282">
        <f t="shared" si="124"/>
        <v>573825727</v>
      </c>
      <c r="AD374" s="282">
        <f t="shared" ref="AD374:AF374" si="125">+AD375+AD376</f>
        <v>249399535</v>
      </c>
      <c r="AE374" s="282">
        <f t="shared" si="125"/>
        <v>0</v>
      </c>
      <c r="AF374" s="291">
        <f t="shared" si="125"/>
        <v>823225262</v>
      </c>
      <c r="AG374" s="345"/>
      <c r="AH374" s="345"/>
      <c r="AI374" s="345"/>
      <c r="AJ374" s="345"/>
      <c r="AK374" s="345"/>
      <c r="AL374" s="345"/>
      <c r="AM374" s="345"/>
      <c r="AN374" s="345"/>
      <c r="AO374" s="345"/>
      <c r="AP374" s="345"/>
      <c r="AQ374" s="345"/>
      <c r="AR374" s="345"/>
    </row>
    <row r="375" spans="1:44" s="181" customFormat="1" ht="91.5" customHeight="1" x14ac:dyDescent="0.2">
      <c r="A375" s="51"/>
      <c r="B375" s="65"/>
      <c r="C375" s="66"/>
      <c r="D375" s="574"/>
      <c r="E375" s="584"/>
      <c r="F375" s="258" t="s">
        <v>1345</v>
      </c>
      <c r="G375" s="232" t="s">
        <v>1346</v>
      </c>
      <c r="H375" s="585">
        <v>4302075</v>
      </c>
      <c r="I375" s="130" t="s">
        <v>1347</v>
      </c>
      <c r="J375" s="232" t="s">
        <v>1348</v>
      </c>
      <c r="K375" s="91">
        <v>430207500</v>
      </c>
      <c r="L375" s="258" t="s">
        <v>1349</v>
      </c>
      <c r="M375" s="136" t="s">
        <v>58</v>
      </c>
      <c r="N375" s="137">
        <v>25</v>
      </c>
      <c r="O375" s="71">
        <v>25</v>
      </c>
      <c r="P375" s="73" t="s">
        <v>191</v>
      </c>
      <c r="Q375" s="136" t="s">
        <v>1350</v>
      </c>
      <c r="R375" s="586" t="s">
        <v>1351</v>
      </c>
      <c r="S375" s="76"/>
      <c r="T375" s="76"/>
      <c r="U375" s="76"/>
      <c r="V375" s="76"/>
      <c r="W375" s="587"/>
      <c r="X375" s="587"/>
      <c r="Y375" s="76"/>
      <c r="Z375" s="76"/>
      <c r="AA375" s="76"/>
      <c r="AB375" s="76"/>
      <c r="AC375" s="588">
        <v>543825727</v>
      </c>
      <c r="AD375" s="588">
        <f>191340509+58059026</f>
        <v>249399535</v>
      </c>
      <c r="AE375" s="131"/>
      <c r="AF375" s="77">
        <f>+S375+T375+U375+V375+W375+X375+Y375+Z375+AA375+AB375+AC375+AD375+AE375</f>
        <v>793225262</v>
      </c>
    </row>
    <row r="376" spans="1:44" s="181" customFormat="1" ht="76.5" customHeight="1" x14ac:dyDescent="0.2">
      <c r="A376" s="86"/>
      <c r="B376" s="87"/>
      <c r="C376" s="11"/>
      <c r="D376" s="583"/>
      <c r="E376" s="584"/>
      <c r="F376" s="258" t="s">
        <v>1352</v>
      </c>
      <c r="G376" s="232" t="s">
        <v>1346</v>
      </c>
      <c r="H376" s="585">
        <v>4302075</v>
      </c>
      <c r="I376" s="130" t="s">
        <v>1347</v>
      </c>
      <c r="J376" s="232" t="s">
        <v>1353</v>
      </c>
      <c r="K376" s="277" t="s">
        <v>51</v>
      </c>
      <c r="L376" s="258" t="s">
        <v>1354</v>
      </c>
      <c r="M376" s="136" t="s">
        <v>58</v>
      </c>
      <c r="N376" s="137">
        <v>1</v>
      </c>
      <c r="O376" s="71">
        <v>1</v>
      </c>
      <c r="P376" s="73" t="s">
        <v>191</v>
      </c>
      <c r="Q376" s="136" t="s">
        <v>1355</v>
      </c>
      <c r="R376" s="130" t="s">
        <v>1356</v>
      </c>
      <c r="S376" s="76"/>
      <c r="T376" s="76"/>
      <c r="U376" s="76"/>
      <c r="V376" s="76"/>
      <c r="W376" s="76"/>
      <c r="X376" s="76"/>
      <c r="Y376" s="76"/>
      <c r="Z376" s="76"/>
      <c r="AA376" s="76"/>
      <c r="AB376" s="76"/>
      <c r="AC376" s="77">
        <v>30000000</v>
      </c>
      <c r="AD376" s="589"/>
      <c r="AE376" s="131"/>
      <c r="AF376" s="77">
        <f>+S376+T376+U376+V376+W376+X376+Y376+Z376+AA376+AB376+AC376+AD376+AE376</f>
        <v>30000000</v>
      </c>
    </row>
    <row r="377" spans="1:44" s="209" customFormat="1" x14ac:dyDescent="0.2">
      <c r="B377" s="210"/>
      <c r="C377" s="210"/>
      <c r="D377" s="211"/>
      <c r="F377" s="212"/>
      <c r="G377" s="213"/>
      <c r="H377" s="214"/>
      <c r="I377" s="215"/>
      <c r="J377" s="216"/>
      <c r="K377" s="216"/>
      <c r="L377" s="215"/>
      <c r="N377" s="217"/>
      <c r="O377" s="213"/>
      <c r="P377" s="218"/>
      <c r="Q377" s="218"/>
      <c r="R377" s="215"/>
      <c r="AF377" s="590"/>
      <c r="AG377" s="219"/>
      <c r="AH377" s="219"/>
      <c r="AI377" s="219"/>
      <c r="AJ377" s="219"/>
      <c r="AK377" s="219"/>
      <c r="AL377" s="219"/>
      <c r="AM377" s="219"/>
    </row>
    <row r="378" spans="1:44" s="209" customFormat="1" ht="15.75" x14ac:dyDescent="0.2">
      <c r="A378" s="23" t="s">
        <v>1357</v>
      </c>
      <c r="B378" s="23"/>
      <c r="C378" s="23"/>
      <c r="D378" s="371"/>
      <c r="E378" s="372"/>
      <c r="F378" s="373"/>
      <c r="G378" s="29"/>
      <c r="H378" s="30"/>
      <c r="I378" s="31"/>
      <c r="J378" s="32"/>
      <c r="K378" s="32"/>
      <c r="L378" s="31"/>
      <c r="M378" s="104"/>
      <c r="N378" s="30"/>
      <c r="O378" s="29"/>
      <c r="P378" s="27"/>
      <c r="Q378" s="27"/>
      <c r="R378" s="31"/>
      <c r="S378" s="193">
        <f t="shared" ref="S378:AF378" si="126">S379+S384+S392</f>
        <v>1117710104</v>
      </c>
      <c r="T378" s="193">
        <f t="shared" si="126"/>
        <v>0</v>
      </c>
      <c r="U378" s="193">
        <f t="shared" si="126"/>
        <v>0</v>
      </c>
      <c r="V378" s="193">
        <f t="shared" si="126"/>
        <v>0</v>
      </c>
      <c r="W378" s="193">
        <f t="shared" si="126"/>
        <v>0</v>
      </c>
      <c r="X378" s="193">
        <f t="shared" si="126"/>
        <v>0</v>
      </c>
      <c r="Y378" s="193">
        <f t="shared" si="126"/>
        <v>0</v>
      </c>
      <c r="Z378" s="193">
        <f t="shared" si="126"/>
        <v>0</v>
      </c>
      <c r="AA378" s="193">
        <f t="shared" si="126"/>
        <v>0</v>
      </c>
      <c r="AB378" s="193">
        <f t="shared" si="126"/>
        <v>0</v>
      </c>
      <c r="AC378" s="193">
        <f t="shared" si="126"/>
        <v>0</v>
      </c>
      <c r="AD378" s="193">
        <f t="shared" si="126"/>
        <v>785808000</v>
      </c>
      <c r="AE378" s="193">
        <f t="shared" si="126"/>
        <v>0</v>
      </c>
      <c r="AF378" s="193">
        <f t="shared" si="126"/>
        <v>1903518104</v>
      </c>
      <c r="AG378" s="219"/>
      <c r="AH378" s="219"/>
      <c r="AI378" s="219"/>
      <c r="AJ378" s="219"/>
      <c r="AK378" s="219"/>
      <c r="AL378" s="219"/>
      <c r="AM378" s="219"/>
    </row>
    <row r="379" spans="1:44" s="209" customFormat="1" ht="15.75" customHeight="1" x14ac:dyDescent="0.2">
      <c r="A379" s="483"/>
      <c r="B379" s="39">
        <v>1</v>
      </c>
      <c r="C379" s="419" t="s">
        <v>1</v>
      </c>
      <c r="D379" s="419"/>
      <c r="E379" s="419"/>
      <c r="F379" s="419"/>
      <c r="G379" s="266"/>
      <c r="H379" s="591"/>
      <c r="I379" s="113"/>
      <c r="J379" s="114"/>
      <c r="K379" s="114"/>
      <c r="L379" s="113"/>
      <c r="M379" s="592"/>
      <c r="N379" s="593"/>
      <c r="O379" s="111"/>
      <c r="P379" s="114"/>
      <c r="Q379" s="114"/>
      <c r="R379" s="113"/>
      <c r="S379" s="594">
        <f t="shared" ref="S379:AF379" si="127">S381+S383</f>
        <v>745140660</v>
      </c>
      <c r="T379" s="594">
        <f t="shared" si="127"/>
        <v>0</v>
      </c>
      <c r="U379" s="594">
        <f t="shared" si="127"/>
        <v>0</v>
      </c>
      <c r="V379" s="594">
        <f t="shared" si="127"/>
        <v>0</v>
      </c>
      <c r="W379" s="594">
        <f t="shared" si="127"/>
        <v>0</v>
      </c>
      <c r="X379" s="594">
        <f t="shared" si="127"/>
        <v>0</v>
      </c>
      <c r="Y379" s="594">
        <f t="shared" si="127"/>
        <v>0</v>
      </c>
      <c r="Z379" s="594">
        <f t="shared" si="127"/>
        <v>0</v>
      </c>
      <c r="AA379" s="594">
        <f t="shared" si="127"/>
        <v>0</v>
      </c>
      <c r="AB379" s="594">
        <f t="shared" si="127"/>
        <v>0</v>
      </c>
      <c r="AC379" s="594">
        <f t="shared" si="127"/>
        <v>0</v>
      </c>
      <c r="AD379" s="594">
        <f t="shared" si="127"/>
        <v>189176000</v>
      </c>
      <c r="AE379" s="594">
        <f t="shared" si="127"/>
        <v>0</v>
      </c>
      <c r="AF379" s="594">
        <f t="shared" si="127"/>
        <v>934316660</v>
      </c>
      <c r="AG379" s="219"/>
      <c r="AH379" s="219"/>
      <c r="AI379" s="219"/>
      <c r="AJ379" s="219"/>
      <c r="AK379" s="219"/>
      <c r="AL379" s="219"/>
      <c r="AM379" s="219"/>
    </row>
    <row r="380" spans="1:44" s="209" customFormat="1" ht="15.75" x14ac:dyDescent="0.2">
      <c r="A380" s="483"/>
      <c r="B380" s="775"/>
      <c r="C380" s="194">
        <v>39</v>
      </c>
      <c r="D380" s="308">
        <v>4301</v>
      </c>
      <c r="E380" s="119" t="s">
        <v>185</v>
      </c>
      <c r="F380" s="83"/>
      <c r="G380" s="84"/>
      <c r="H380" s="571"/>
      <c r="I380" s="595"/>
      <c r="J380" s="596"/>
      <c r="K380" s="596"/>
      <c r="L380" s="595"/>
      <c r="M380" s="597"/>
      <c r="N380" s="598"/>
      <c r="O380" s="57"/>
      <c r="P380" s="596"/>
      <c r="Q380" s="596"/>
      <c r="R380" s="595"/>
      <c r="S380" s="599">
        <f t="shared" ref="S380:AF380" si="128">S381</f>
        <v>372570330</v>
      </c>
      <c r="T380" s="599">
        <f t="shared" si="128"/>
        <v>0</v>
      </c>
      <c r="U380" s="599">
        <f t="shared" si="128"/>
        <v>0</v>
      </c>
      <c r="V380" s="599">
        <f t="shared" si="128"/>
        <v>0</v>
      </c>
      <c r="W380" s="599">
        <f t="shared" si="128"/>
        <v>0</v>
      </c>
      <c r="X380" s="599">
        <f t="shared" si="128"/>
        <v>0</v>
      </c>
      <c r="Y380" s="599">
        <f t="shared" si="128"/>
        <v>0</v>
      </c>
      <c r="Z380" s="599">
        <f t="shared" si="128"/>
        <v>0</v>
      </c>
      <c r="AA380" s="599">
        <f t="shared" si="128"/>
        <v>0</v>
      </c>
      <c r="AB380" s="599">
        <f t="shared" si="128"/>
        <v>0</v>
      </c>
      <c r="AC380" s="599">
        <f t="shared" si="128"/>
        <v>0</v>
      </c>
      <c r="AD380" s="599">
        <f t="shared" si="128"/>
        <v>0</v>
      </c>
      <c r="AE380" s="599">
        <f t="shared" si="128"/>
        <v>0</v>
      </c>
      <c r="AF380" s="599">
        <f t="shared" si="128"/>
        <v>372570330</v>
      </c>
      <c r="AG380" s="219"/>
      <c r="AH380" s="219"/>
      <c r="AI380" s="219"/>
      <c r="AJ380" s="219"/>
      <c r="AK380" s="219"/>
      <c r="AL380" s="219"/>
      <c r="AM380" s="219"/>
    </row>
    <row r="381" spans="1:44" s="488" customFormat="1" ht="105" x14ac:dyDescent="0.2">
      <c r="A381" s="140"/>
      <c r="B381" s="776"/>
      <c r="C381" s="236"/>
      <c r="D381" s="89"/>
      <c r="E381" s="359"/>
      <c r="F381" s="225" t="s">
        <v>186</v>
      </c>
      <c r="G381" s="243" t="s">
        <v>187</v>
      </c>
      <c r="H381" s="71" t="s">
        <v>51</v>
      </c>
      <c r="I381" s="244" t="s">
        <v>188</v>
      </c>
      <c r="J381" s="238" t="s">
        <v>189</v>
      </c>
      <c r="K381" s="238" t="s">
        <v>51</v>
      </c>
      <c r="L381" s="239" t="s">
        <v>190</v>
      </c>
      <c r="M381" s="74" t="s">
        <v>153</v>
      </c>
      <c r="N381" s="93">
        <v>12</v>
      </c>
      <c r="O381" s="238">
        <v>3</v>
      </c>
      <c r="P381" s="74" t="s">
        <v>1358</v>
      </c>
      <c r="Q381" s="554" t="s">
        <v>1359</v>
      </c>
      <c r="R381" s="600" t="s">
        <v>1360</v>
      </c>
      <c r="S381" s="245">
        <f>413967000-41396670</f>
        <v>372570330</v>
      </c>
      <c r="T381" s="76"/>
      <c r="U381" s="76"/>
      <c r="V381" s="76"/>
      <c r="W381" s="76"/>
      <c r="X381" s="76"/>
      <c r="Y381" s="76"/>
      <c r="Z381" s="76"/>
      <c r="AA381" s="76"/>
      <c r="AB381" s="76"/>
      <c r="AC381" s="509"/>
      <c r="AD381" s="601"/>
      <c r="AE381" s="131"/>
      <c r="AF381" s="77">
        <f>+S381+T381+U381+V381+W381+X381+Y381+Z381+AA381+AB381+AC381+AD381+AE381</f>
        <v>372570330</v>
      </c>
    </row>
    <row r="382" spans="1:44" s="209" customFormat="1" ht="15.75" customHeight="1" x14ac:dyDescent="0.2">
      <c r="A382" s="483"/>
      <c r="B382" s="602"/>
      <c r="C382" s="280">
        <v>15</v>
      </c>
      <c r="D382" s="603">
        <v>2201</v>
      </c>
      <c r="E382" s="55" t="s">
        <v>166</v>
      </c>
      <c r="F382" s="55"/>
      <c r="G382" s="125"/>
      <c r="H382" s="604"/>
      <c r="I382" s="121"/>
      <c r="J382" s="122"/>
      <c r="K382" s="122"/>
      <c r="L382" s="121"/>
      <c r="M382" s="605"/>
      <c r="N382" s="606"/>
      <c r="O382" s="84"/>
      <c r="P382" s="60"/>
      <c r="Q382" s="60"/>
      <c r="R382" s="121"/>
      <c r="S382" s="599">
        <f t="shared" ref="S382:AF382" si="129">S383</f>
        <v>372570330</v>
      </c>
      <c r="T382" s="599">
        <f t="shared" si="129"/>
        <v>0</v>
      </c>
      <c r="U382" s="599">
        <f t="shared" si="129"/>
        <v>0</v>
      </c>
      <c r="V382" s="599">
        <f t="shared" si="129"/>
        <v>0</v>
      </c>
      <c r="W382" s="599">
        <f t="shared" si="129"/>
        <v>0</v>
      </c>
      <c r="X382" s="599">
        <f t="shared" si="129"/>
        <v>0</v>
      </c>
      <c r="Y382" s="599">
        <f t="shared" si="129"/>
        <v>0</v>
      </c>
      <c r="Z382" s="599">
        <f t="shared" si="129"/>
        <v>0</v>
      </c>
      <c r="AA382" s="599">
        <f t="shared" si="129"/>
        <v>0</v>
      </c>
      <c r="AB382" s="599">
        <f t="shared" si="129"/>
        <v>0</v>
      </c>
      <c r="AC382" s="599">
        <f t="shared" si="129"/>
        <v>0</v>
      </c>
      <c r="AD382" s="599">
        <f t="shared" si="129"/>
        <v>189176000</v>
      </c>
      <c r="AE382" s="599">
        <f t="shared" si="129"/>
        <v>0</v>
      </c>
      <c r="AF382" s="599">
        <f t="shared" si="129"/>
        <v>561746330</v>
      </c>
      <c r="AG382" s="219"/>
      <c r="AH382" s="219"/>
      <c r="AI382" s="219"/>
      <c r="AJ382" s="219"/>
      <c r="AK382" s="219"/>
      <c r="AL382" s="219"/>
      <c r="AM382" s="219"/>
    </row>
    <row r="383" spans="1:44" s="488" customFormat="1" ht="99.75" customHeight="1" x14ac:dyDescent="0.2">
      <c r="A383" s="140"/>
      <c r="B383" s="205"/>
      <c r="C383" s="236"/>
      <c r="D383" s="89"/>
      <c r="E383" s="359"/>
      <c r="F383" s="69" t="s">
        <v>168</v>
      </c>
      <c r="G383" s="70" t="s">
        <v>169</v>
      </c>
      <c r="H383" s="247" t="s">
        <v>51</v>
      </c>
      <c r="I383" s="130" t="s">
        <v>170</v>
      </c>
      <c r="J383" s="156" t="s">
        <v>171</v>
      </c>
      <c r="K383" s="156" t="s">
        <v>51</v>
      </c>
      <c r="L383" s="155" t="s">
        <v>172</v>
      </c>
      <c r="M383" s="228" t="s">
        <v>153</v>
      </c>
      <c r="N383" s="93">
        <v>54</v>
      </c>
      <c r="O383" s="93">
        <v>9</v>
      </c>
      <c r="P383" s="136" t="s">
        <v>173</v>
      </c>
      <c r="Q383" s="554" t="s">
        <v>1359</v>
      </c>
      <c r="R383" s="600" t="s">
        <v>1360</v>
      </c>
      <c r="S383" s="245">
        <f>413967000-41396670</f>
        <v>372570330</v>
      </c>
      <c r="T383" s="76"/>
      <c r="U383" s="76"/>
      <c r="V383" s="76"/>
      <c r="W383" s="76"/>
      <c r="X383" s="76"/>
      <c r="Y383" s="76"/>
      <c r="Z383" s="76"/>
      <c r="AA383" s="76"/>
      <c r="AB383" s="76"/>
      <c r="AC383" s="509"/>
      <c r="AD383" s="131">
        <f>218280000-29104000</f>
        <v>189176000</v>
      </c>
      <c r="AE383" s="607"/>
      <c r="AF383" s="77">
        <f>+S383+T383+U383+V383+W383+X383+Y383+Z383+AA383+AB383+AC383+AD383+AE383</f>
        <v>561746330</v>
      </c>
    </row>
    <row r="384" spans="1:44" s="209" customFormat="1" ht="15.75" customHeight="1" x14ac:dyDescent="0.2">
      <c r="A384" s="483"/>
      <c r="B384" s="305">
        <v>3</v>
      </c>
      <c r="C384" s="419" t="s">
        <v>3</v>
      </c>
      <c r="D384" s="419"/>
      <c r="E384" s="40"/>
      <c r="F384" s="40"/>
      <c r="G384" s="108"/>
      <c r="H384" s="591"/>
      <c r="I384" s="113"/>
      <c r="J384" s="114"/>
      <c r="K384" s="114"/>
      <c r="L384" s="113"/>
      <c r="M384" s="592"/>
      <c r="N384" s="593"/>
      <c r="O384" s="111"/>
      <c r="P384" s="47"/>
      <c r="Q384" s="47"/>
      <c r="R384" s="113"/>
      <c r="S384" s="608">
        <f t="shared" ref="S384:AF384" si="130">S385+S387</f>
        <v>372569444</v>
      </c>
      <c r="T384" s="608">
        <f t="shared" si="130"/>
        <v>0</v>
      </c>
      <c r="U384" s="608">
        <f t="shared" si="130"/>
        <v>0</v>
      </c>
      <c r="V384" s="608">
        <f t="shared" si="130"/>
        <v>0</v>
      </c>
      <c r="W384" s="608">
        <f t="shared" si="130"/>
        <v>0</v>
      </c>
      <c r="X384" s="608">
        <f t="shared" si="130"/>
        <v>0</v>
      </c>
      <c r="Y384" s="608">
        <f t="shared" si="130"/>
        <v>0</v>
      </c>
      <c r="Z384" s="608">
        <f t="shared" si="130"/>
        <v>0</v>
      </c>
      <c r="AA384" s="608">
        <f t="shared" si="130"/>
        <v>0</v>
      </c>
      <c r="AB384" s="608">
        <f t="shared" si="130"/>
        <v>0</v>
      </c>
      <c r="AC384" s="608">
        <f t="shared" si="130"/>
        <v>0</v>
      </c>
      <c r="AD384" s="608">
        <f t="shared" si="130"/>
        <v>407456000</v>
      </c>
      <c r="AE384" s="608">
        <f t="shared" si="130"/>
        <v>0</v>
      </c>
      <c r="AF384" s="609">
        <f t="shared" si="130"/>
        <v>780025444</v>
      </c>
      <c r="AG384" s="219"/>
      <c r="AH384" s="219"/>
      <c r="AI384" s="219"/>
      <c r="AJ384" s="219"/>
      <c r="AK384" s="219"/>
      <c r="AL384" s="219"/>
      <c r="AM384" s="219"/>
    </row>
    <row r="385" spans="1:39" s="209" customFormat="1" ht="15.75" customHeight="1" x14ac:dyDescent="0.2">
      <c r="A385" s="483"/>
      <c r="B385" s="775"/>
      <c r="C385" s="194">
        <v>18</v>
      </c>
      <c r="D385" s="308">
        <v>2402</v>
      </c>
      <c r="E385" s="553" t="s">
        <v>210</v>
      </c>
      <c r="F385" s="553"/>
      <c r="G385" s="561"/>
      <c r="H385" s="604"/>
      <c r="I385" s="121"/>
      <c r="J385" s="122"/>
      <c r="K385" s="122"/>
      <c r="L385" s="121"/>
      <c r="M385" s="605"/>
      <c r="N385" s="606"/>
      <c r="O385" s="84"/>
      <c r="P385" s="60"/>
      <c r="Q385" s="60"/>
      <c r="R385" s="121"/>
      <c r="S385" s="610">
        <f t="shared" ref="S385:AF385" si="131">S386</f>
        <v>0</v>
      </c>
      <c r="T385" s="610">
        <f t="shared" si="131"/>
        <v>0</v>
      </c>
      <c r="U385" s="610">
        <f t="shared" si="131"/>
        <v>0</v>
      </c>
      <c r="V385" s="610">
        <f t="shared" si="131"/>
        <v>0</v>
      </c>
      <c r="W385" s="610">
        <f t="shared" si="131"/>
        <v>0</v>
      </c>
      <c r="X385" s="610">
        <f t="shared" si="131"/>
        <v>0</v>
      </c>
      <c r="Y385" s="610">
        <f t="shared" si="131"/>
        <v>0</v>
      </c>
      <c r="Z385" s="610">
        <f t="shared" si="131"/>
        <v>0</v>
      </c>
      <c r="AA385" s="610">
        <f t="shared" si="131"/>
        <v>0</v>
      </c>
      <c r="AB385" s="610">
        <f t="shared" si="131"/>
        <v>0</v>
      </c>
      <c r="AC385" s="610">
        <f t="shared" si="131"/>
        <v>0</v>
      </c>
      <c r="AD385" s="610">
        <f t="shared" si="131"/>
        <v>218280000</v>
      </c>
      <c r="AE385" s="610">
        <f t="shared" si="131"/>
        <v>0</v>
      </c>
      <c r="AF385" s="611">
        <f t="shared" si="131"/>
        <v>218280000</v>
      </c>
      <c r="AG385" s="219"/>
      <c r="AH385" s="219"/>
      <c r="AI385" s="219"/>
      <c r="AJ385" s="219"/>
      <c r="AK385" s="219"/>
      <c r="AL385" s="219"/>
      <c r="AM385" s="219"/>
    </row>
    <row r="386" spans="1:39" s="488" customFormat="1" ht="82.5" customHeight="1" x14ac:dyDescent="0.2">
      <c r="A386" s="140"/>
      <c r="B386" s="777"/>
      <c r="C386" s="88"/>
      <c r="D386" s="89"/>
      <c r="E386" s="465"/>
      <c r="F386" s="244" t="s">
        <v>1361</v>
      </c>
      <c r="G386" s="228" t="s">
        <v>212</v>
      </c>
      <c r="H386" s="247" t="s">
        <v>51</v>
      </c>
      <c r="I386" s="255" t="s">
        <v>213</v>
      </c>
      <c r="J386" s="228" t="s">
        <v>214</v>
      </c>
      <c r="K386" s="228" t="s">
        <v>51</v>
      </c>
      <c r="L386" s="255" t="s">
        <v>215</v>
      </c>
      <c r="M386" s="74" t="s">
        <v>58</v>
      </c>
      <c r="N386" s="93">
        <v>130</v>
      </c>
      <c r="O386" s="93">
        <v>130</v>
      </c>
      <c r="P386" s="74" t="s">
        <v>216</v>
      </c>
      <c r="Q386" s="554" t="s">
        <v>1359</v>
      </c>
      <c r="R386" s="600" t="s">
        <v>1360</v>
      </c>
      <c r="S386" s="76"/>
      <c r="T386" s="131"/>
      <c r="U386" s="509"/>
      <c r="V386" s="76"/>
      <c r="W386" s="76"/>
      <c r="X386" s="76"/>
      <c r="Y386" s="76"/>
      <c r="Z386" s="76"/>
      <c r="AA386" s="76"/>
      <c r="AB386" s="76"/>
      <c r="AC386" s="448"/>
      <c r="AD386" s="612">
        <v>218280000</v>
      </c>
      <c r="AE386" s="131"/>
      <c r="AF386" s="77">
        <f>+S386+T386+U386+V386+W386+X386+Y386+Z386+AA386+AB386+AC386+AD386+AE386</f>
        <v>218280000</v>
      </c>
    </row>
    <row r="387" spans="1:39" s="209" customFormat="1" ht="15.75" customHeight="1" x14ac:dyDescent="0.2">
      <c r="A387" s="483"/>
      <c r="B387" s="602"/>
      <c r="C387" s="280">
        <v>33</v>
      </c>
      <c r="D387" s="603">
        <v>4001</v>
      </c>
      <c r="E387" s="553" t="s">
        <v>229</v>
      </c>
      <c r="F387" s="553"/>
      <c r="G387" s="561"/>
      <c r="H387" s="604"/>
      <c r="I387" s="121"/>
      <c r="J387" s="122"/>
      <c r="K387" s="122"/>
      <c r="L387" s="121"/>
      <c r="M387" s="605"/>
      <c r="N387" s="606"/>
      <c r="O387" s="84"/>
      <c r="P387" s="60"/>
      <c r="Q387" s="60"/>
      <c r="R387" s="121"/>
      <c r="S387" s="599">
        <f t="shared" ref="S387:AF387" si="132">SUM(S388:S391)</f>
        <v>372569444</v>
      </c>
      <c r="T387" s="599">
        <f t="shared" si="132"/>
        <v>0</v>
      </c>
      <c r="U387" s="599">
        <f t="shared" si="132"/>
        <v>0</v>
      </c>
      <c r="V387" s="599">
        <f t="shared" si="132"/>
        <v>0</v>
      </c>
      <c r="W387" s="599">
        <f t="shared" si="132"/>
        <v>0</v>
      </c>
      <c r="X387" s="599">
        <f t="shared" si="132"/>
        <v>0</v>
      </c>
      <c r="Y387" s="599">
        <f t="shared" si="132"/>
        <v>0</v>
      </c>
      <c r="Z387" s="599">
        <f t="shared" si="132"/>
        <v>0</v>
      </c>
      <c r="AA387" s="599">
        <f t="shared" si="132"/>
        <v>0</v>
      </c>
      <c r="AB387" s="599">
        <f t="shared" si="132"/>
        <v>0</v>
      </c>
      <c r="AC387" s="599">
        <f t="shared" si="132"/>
        <v>0</v>
      </c>
      <c r="AD387" s="599">
        <f t="shared" si="132"/>
        <v>189176000</v>
      </c>
      <c r="AE387" s="599">
        <f t="shared" si="132"/>
        <v>0</v>
      </c>
      <c r="AF387" s="599">
        <f t="shared" si="132"/>
        <v>561745444</v>
      </c>
      <c r="AG387" s="219"/>
      <c r="AH387" s="219"/>
      <c r="AI387" s="219"/>
      <c r="AJ387" s="219"/>
      <c r="AK387" s="219"/>
      <c r="AL387" s="219"/>
      <c r="AM387" s="219"/>
    </row>
    <row r="388" spans="1:39" s="488" customFormat="1" ht="58.5" customHeight="1" x14ac:dyDescent="0.2">
      <c r="A388" s="140"/>
      <c r="B388" s="765"/>
      <c r="C388" s="755"/>
      <c r="D388" s="67"/>
      <c r="E388" s="637"/>
      <c r="F388" s="90" t="s">
        <v>1362</v>
      </c>
      <c r="G388" s="91" t="s">
        <v>1363</v>
      </c>
      <c r="H388" s="613">
        <v>4001001</v>
      </c>
      <c r="I388" s="255" t="s">
        <v>1364</v>
      </c>
      <c r="J388" s="91" t="s">
        <v>1365</v>
      </c>
      <c r="K388" s="91" t="s">
        <v>1366</v>
      </c>
      <c r="L388" s="258" t="s">
        <v>1367</v>
      </c>
      <c r="M388" s="74" t="s">
        <v>153</v>
      </c>
      <c r="N388" s="648">
        <v>12</v>
      </c>
      <c r="O388" s="648">
        <v>3</v>
      </c>
      <c r="P388" s="731" t="s">
        <v>1368</v>
      </c>
      <c r="Q388" s="731" t="s">
        <v>1359</v>
      </c>
      <c r="R388" s="769" t="s">
        <v>1360</v>
      </c>
      <c r="S388" s="245"/>
      <c r="T388" s="76"/>
      <c r="U388" s="76"/>
      <c r="V388" s="76"/>
      <c r="W388" s="76"/>
      <c r="X388" s="76"/>
      <c r="Y388" s="76"/>
      <c r="Z388" s="76"/>
      <c r="AA388" s="163"/>
      <c r="AB388" s="163"/>
      <c r="AC388" s="448"/>
      <c r="AD388" s="614">
        <v>89176000</v>
      </c>
      <c r="AE388" s="607"/>
      <c r="AF388" s="77">
        <f>+S388+T388+U388+V388+W388+X388+Y388+Z388+AA388+AB388+AC388+AD388+AE388</f>
        <v>89176000</v>
      </c>
    </row>
    <row r="389" spans="1:39" s="488" customFormat="1" ht="58.5" customHeight="1" x14ac:dyDescent="0.2">
      <c r="A389" s="140"/>
      <c r="B389" s="765"/>
      <c r="C389" s="778"/>
      <c r="D389" s="261"/>
      <c r="E389" s="638"/>
      <c r="F389" s="90" t="s">
        <v>1369</v>
      </c>
      <c r="G389" s="91" t="s">
        <v>1370</v>
      </c>
      <c r="H389" s="613">
        <v>4001017</v>
      </c>
      <c r="I389" s="255" t="s">
        <v>1371</v>
      </c>
      <c r="J389" s="91" t="s">
        <v>1372</v>
      </c>
      <c r="K389" s="91" t="s">
        <v>1373</v>
      </c>
      <c r="L389" s="258" t="s">
        <v>1374</v>
      </c>
      <c r="M389" s="91" t="s">
        <v>153</v>
      </c>
      <c r="N389" s="91">
        <v>100</v>
      </c>
      <c r="O389" s="91">
        <v>25</v>
      </c>
      <c r="P389" s="745"/>
      <c r="Q389" s="745"/>
      <c r="R389" s="770"/>
      <c r="S389" s="245"/>
      <c r="T389" s="76"/>
      <c r="U389" s="76"/>
      <c r="V389" s="76"/>
      <c r="W389" s="76"/>
      <c r="X389" s="76"/>
      <c r="Y389" s="76"/>
      <c r="Z389" s="76"/>
      <c r="AA389" s="163"/>
      <c r="AB389" s="163"/>
      <c r="AC389" s="448"/>
      <c r="AD389" s="614">
        <v>100000000</v>
      </c>
      <c r="AE389" s="607"/>
      <c r="AF389" s="77">
        <f>+S389+T389+U389+V389+W389+X389+Y389+Z389+AA389+AB389+AC389+AD389+AE389</f>
        <v>100000000</v>
      </c>
    </row>
    <row r="390" spans="1:39" s="488" customFormat="1" ht="58.5" customHeight="1" x14ac:dyDescent="0.2">
      <c r="A390" s="140"/>
      <c r="B390" s="765"/>
      <c r="C390" s="778"/>
      <c r="D390" s="261"/>
      <c r="E390" s="638"/>
      <c r="F390" s="90" t="s">
        <v>1362</v>
      </c>
      <c r="G390" s="91" t="s">
        <v>1375</v>
      </c>
      <c r="H390" s="613">
        <v>4001018</v>
      </c>
      <c r="I390" s="255" t="s">
        <v>1376</v>
      </c>
      <c r="J390" s="91" t="s">
        <v>1377</v>
      </c>
      <c r="K390" s="91" t="s">
        <v>1378</v>
      </c>
      <c r="L390" s="258" t="s">
        <v>1379</v>
      </c>
      <c r="M390" s="91" t="s">
        <v>153</v>
      </c>
      <c r="N390" s="91">
        <v>300</v>
      </c>
      <c r="O390" s="91">
        <v>75</v>
      </c>
      <c r="P390" s="745"/>
      <c r="Q390" s="745"/>
      <c r="R390" s="770"/>
      <c r="S390" s="245">
        <v>172569444</v>
      </c>
      <c r="T390" s="76"/>
      <c r="U390" s="76"/>
      <c r="V390" s="76"/>
      <c r="W390" s="76"/>
      <c r="X390" s="76"/>
      <c r="Y390" s="76"/>
      <c r="Z390" s="76"/>
      <c r="AA390" s="163"/>
      <c r="AB390" s="163"/>
      <c r="AC390" s="448"/>
      <c r="AD390" s="614"/>
      <c r="AE390" s="607"/>
      <c r="AF390" s="77">
        <f>+S390+T390+U390+V390+W390+X390+Y390+Z390+AA390+AB390+AC390+AD390+AE390</f>
        <v>172569444</v>
      </c>
    </row>
    <row r="391" spans="1:39" s="488" customFormat="1" ht="43.5" customHeight="1" x14ac:dyDescent="0.2">
      <c r="A391" s="140"/>
      <c r="B391" s="766"/>
      <c r="C391" s="756"/>
      <c r="D391" s="78"/>
      <c r="E391" s="639"/>
      <c r="F391" s="90" t="s">
        <v>1362</v>
      </c>
      <c r="G391" s="91" t="s">
        <v>1380</v>
      </c>
      <c r="H391" s="613">
        <v>4001030</v>
      </c>
      <c r="I391" s="255" t="s">
        <v>1381</v>
      </c>
      <c r="J391" s="91" t="s">
        <v>1382</v>
      </c>
      <c r="K391" s="91" t="s">
        <v>1383</v>
      </c>
      <c r="L391" s="258" t="s">
        <v>262</v>
      </c>
      <c r="M391" s="74" t="s">
        <v>153</v>
      </c>
      <c r="N391" s="71">
        <v>12</v>
      </c>
      <c r="O391" s="71">
        <v>3</v>
      </c>
      <c r="P391" s="732"/>
      <c r="Q391" s="732"/>
      <c r="R391" s="771"/>
      <c r="S391" s="245">
        <v>200000000</v>
      </c>
      <c r="T391" s="76"/>
      <c r="U391" s="76"/>
      <c r="V391" s="76"/>
      <c r="W391" s="76"/>
      <c r="X391" s="76"/>
      <c r="Y391" s="76"/>
      <c r="Z391" s="76"/>
      <c r="AA391" s="163"/>
      <c r="AB391" s="163"/>
      <c r="AC391" s="615"/>
      <c r="AD391" s="614"/>
      <c r="AE391" s="607"/>
      <c r="AF391" s="77">
        <f>+S391+T391+U391+V391+W391+X391+Y391+Z391+AA391+AB391+AC391+AD391+AE391</f>
        <v>200000000</v>
      </c>
    </row>
    <row r="392" spans="1:39" s="209" customFormat="1" ht="15.75" customHeight="1" x14ac:dyDescent="0.2">
      <c r="A392" s="483"/>
      <c r="B392" s="305">
        <v>4</v>
      </c>
      <c r="C392" s="419" t="s">
        <v>77</v>
      </c>
      <c r="D392" s="419"/>
      <c r="E392" s="40"/>
      <c r="F392" s="40"/>
      <c r="G392" s="108"/>
      <c r="H392" s="591"/>
      <c r="I392" s="113"/>
      <c r="J392" s="114"/>
      <c r="K392" s="114"/>
      <c r="L392" s="113"/>
      <c r="M392" s="592"/>
      <c r="N392" s="593"/>
      <c r="O392" s="111"/>
      <c r="P392" s="47"/>
      <c r="Q392" s="47"/>
      <c r="R392" s="113"/>
      <c r="S392" s="608">
        <f t="shared" ref="S392:AE393" si="133">S393</f>
        <v>0</v>
      </c>
      <c r="T392" s="608">
        <f t="shared" si="133"/>
        <v>0</v>
      </c>
      <c r="U392" s="608">
        <f t="shared" si="133"/>
        <v>0</v>
      </c>
      <c r="V392" s="608">
        <f t="shared" si="133"/>
        <v>0</v>
      </c>
      <c r="W392" s="608">
        <f t="shared" si="133"/>
        <v>0</v>
      </c>
      <c r="X392" s="608">
        <f t="shared" si="133"/>
        <v>0</v>
      </c>
      <c r="Y392" s="608">
        <f t="shared" si="133"/>
        <v>0</v>
      </c>
      <c r="Z392" s="608">
        <f t="shared" si="133"/>
        <v>0</v>
      </c>
      <c r="AA392" s="608">
        <f t="shared" si="133"/>
        <v>0</v>
      </c>
      <c r="AB392" s="608">
        <f t="shared" si="133"/>
        <v>0</v>
      </c>
      <c r="AC392" s="608">
        <f t="shared" si="133"/>
        <v>0</v>
      </c>
      <c r="AD392" s="608">
        <f t="shared" si="133"/>
        <v>189176000</v>
      </c>
      <c r="AE392" s="608">
        <f t="shared" si="133"/>
        <v>0</v>
      </c>
      <c r="AF392" s="609">
        <f t="shared" ref="AF392:AF393" si="134">AF393</f>
        <v>189176000</v>
      </c>
      <c r="AG392" s="219"/>
      <c r="AH392" s="219"/>
      <c r="AI392" s="219"/>
      <c r="AJ392" s="219"/>
      <c r="AK392" s="219"/>
      <c r="AL392" s="219"/>
      <c r="AM392" s="219"/>
    </row>
    <row r="393" spans="1:39" s="209" customFormat="1" ht="15.75" customHeight="1" x14ac:dyDescent="0.2">
      <c r="A393" s="483"/>
      <c r="B393" s="616"/>
      <c r="C393" s="194">
        <v>45</v>
      </c>
      <c r="D393" s="617" t="s">
        <v>51</v>
      </c>
      <c r="E393" s="553" t="s">
        <v>52</v>
      </c>
      <c r="F393" s="553"/>
      <c r="G393" s="561"/>
      <c r="H393" s="604"/>
      <c r="I393" s="121"/>
      <c r="J393" s="122"/>
      <c r="K393" s="122"/>
      <c r="L393" s="121"/>
      <c r="M393" s="605"/>
      <c r="N393" s="606"/>
      <c r="O393" s="84"/>
      <c r="P393" s="60"/>
      <c r="Q393" s="60"/>
      <c r="R393" s="121"/>
      <c r="S393" s="610">
        <f t="shared" si="133"/>
        <v>0</v>
      </c>
      <c r="T393" s="610">
        <f t="shared" si="133"/>
        <v>0</v>
      </c>
      <c r="U393" s="610">
        <f t="shared" si="133"/>
        <v>0</v>
      </c>
      <c r="V393" s="610">
        <f t="shared" si="133"/>
        <v>0</v>
      </c>
      <c r="W393" s="610">
        <f t="shared" si="133"/>
        <v>0</v>
      </c>
      <c r="X393" s="610">
        <f t="shared" si="133"/>
        <v>0</v>
      </c>
      <c r="Y393" s="610">
        <f t="shared" si="133"/>
        <v>0</v>
      </c>
      <c r="Z393" s="610">
        <f t="shared" si="133"/>
        <v>0</v>
      </c>
      <c r="AA393" s="610">
        <f t="shared" si="133"/>
        <v>0</v>
      </c>
      <c r="AB393" s="610">
        <f t="shared" si="133"/>
        <v>0</v>
      </c>
      <c r="AC393" s="610">
        <f t="shared" si="133"/>
        <v>0</v>
      </c>
      <c r="AD393" s="610">
        <f t="shared" si="133"/>
        <v>189176000</v>
      </c>
      <c r="AE393" s="610">
        <f t="shared" si="133"/>
        <v>0</v>
      </c>
      <c r="AF393" s="611">
        <f t="shared" si="134"/>
        <v>189176000</v>
      </c>
      <c r="AG393" s="219"/>
      <c r="AH393" s="219"/>
      <c r="AI393" s="219"/>
      <c r="AJ393" s="219"/>
      <c r="AK393" s="219"/>
      <c r="AL393" s="219"/>
      <c r="AM393" s="219"/>
    </row>
    <row r="394" spans="1:39" s="488" customFormat="1" ht="112.5" customHeight="1" x14ac:dyDescent="0.2">
      <c r="A394" s="519"/>
      <c r="B394" s="87"/>
      <c r="C394" s="236"/>
      <c r="D394" s="89"/>
      <c r="E394" s="359"/>
      <c r="F394" s="69" t="s">
        <v>53</v>
      </c>
      <c r="G394" s="262" t="s">
        <v>264</v>
      </c>
      <c r="H394" s="247" t="s">
        <v>51</v>
      </c>
      <c r="I394" s="264" t="s">
        <v>1384</v>
      </c>
      <c r="J394" s="262" t="s">
        <v>266</v>
      </c>
      <c r="K394" s="262" t="s">
        <v>51</v>
      </c>
      <c r="L394" s="264" t="s">
        <v>267</v>
      </c>
      <c r="M394" s="74" t="s">
        <v>58</v>
      </c>
      <c r="N394" s="93">
        <v>4</v>
      </c>
      <c r="O394" s="238">
        <v>4</v>
      </c>
      <c r="P394" s="618" t="s">
        <v>59</v>
      </c>
      <c r="Q394" s="136" t="s">
        <v>1359</v>
      </c>
      <c r="R394" s="619" t="s">
        <v>1360</v>
      </c>
      <c r="S394" s="245"/>
      <c r="T394" s="76"/>
      <c r="U394" s="76"/>
      <c r="V394" s="76"/>
      <c r="W394" s="76"/>
      <c r="X394" s="76"/>
      <c r="Y394" s="76"/>
      <c r="Z394" s="76"/>
      <c r="AA394" s="76"/>
      <c r="AB394" s="76"/>
      <c r="AC394" s="509"/>
      <c r="AD394" s="614">
        <f>218280000-29104000</f>
        <v>189176000</v>
      </c>
      <c r="AE394" s="607"/>
      <c r="AF394" s="77">
        <f>+S394+T394+U394+V394+W394+X394+Y394+Z394+AA394+AB394+AC394+AD394+AE394</f>
        <v>189176000</v>
      </c>
    </row>
    <row r="395" spans="1:39" ht="37.5" customHeight="1" x14ac:dyDescent="0.2">
      <c r="AF395" s="695"/>
    </row>
    <row r="396" spans="1:39" s="344" customFormat="1" ht="15.75" x14ac:dyDescent="0.2">
      <c r="A396" s="23" t="s">
        <v>1385</v>
      </c>
      <c r="B396" s="23"/>
      <c r="C396" s="23"/>
      <c r="D396" s="371"/>
      <c r="E396" s="372"/>
      <c r="F396" s="373"/>
      <c r="G396" s="29"/>
      <c r="H396" s="30"/>
      <c r="I396" s="31"/>
      <c r="J396" s="32"/>
      <c r="K396" s="32"/>
      <c r="L396" s="31"/>
      <c r="M396" s="104"/>
      <c r="N396" s="30"/>
      <c r="O396" s="29"/>
      <c r="P396" s="27"/>
      <c r="Q396" s="27"/>
      <c r="R396" s="31"/>
      <c r="S396" s="193">
        <f t="shared" ref="S396:AE397" si="135">S397</f>
        <v>0</v>
      </c>
      <c r="T396" s="193">
        <f t="shared" si="135"/>
        <v>0</v>
      </c>
      <c r="U396" s="193">
        <f t="shared" si="135"/>
        <v>0</v>
      </c>
      <c r="V396" s="193">
        <f t="shared" si="135"/>
        <v>0</v>
      </c>
      <c r="W396" s="193">
        <f t="shared" si="135"/>
        <v>0</v>
      </c>
      <c r="X396" s="193">
        <f t="shared" si="135"/>
        <v>0</v>
      </c>
      <c r="Y396" s="193">
        <f t="shared" si="135"/>
        <v>0</v>
      </c>
      <c r="Z396" s="193">
        <f t="shared" si="135"/>
        <v>0</v>
      </c>
      <c r="AA396" s="193">
        <f t="shared" si="135"/>
        <v>0</v>
      </c>
      <c r="AB396" s="193">
        <f t="shared" si="135"/>
        <v>0</v>
      </c>
      <c r="AC396" s="193">
        <f t="shared" si="135"/>
        <v>0</v>
      </c>
      <c r="AD396" s="193">
        <f t="shared" si="135"/>
        <v>107000000</v>
      </c>
      <c r="AE396" s="193">
        <f t="shared" si="135"/>
        <v>0</v>
      </c>
      <c r="AF396" s="193">
        <f t="shared" ref="AF396:AF397" si="136">AF397</f>
        <v>107000000</v>
      </c>
      <c r="AG396" s="345"/>
      <c r="AH396" s="345"/>
      <c r="AI396" s="345"/>
      <c r="AJ396" s="345"/>
      <c r="AK396" s="345"/>
      <c r="AL396" s="345"/>
      <c r="AM396" s="345"/>
    </row>
    <row r="397" spans="1:39" s="344" customFormat="1" ht="15.75" x14ac:dyDescent="0.2">
      <c r="A397" s="522"/>
      <c r="B397" s="620">
        <v>3</v>
      </c>
      <c r="C397" s="40" t="s">
        <v>1386</v>
      </c>
      <c r="D397" s="41"/>
      <c r="E397" s="42"/>
      <c r="F397" s="43"/>
      <c r="G397" s="111"/>
      <c r="H397" s="591"/>
      <c r="I397" s="113"/>
      <c r="J397" s="114"/>
      <c r="K397" s="114"/>
      <c r="L397" s="113"/>
      <c r="M397" s="592"/>
      <c r="N397" s="593"/>
      <c r="O397" s="111"/>
      <c r="P397" s="114"/>
      <c r="Q397" s="114"/>
      <c r="R397" s="113"/>
      <c r="S397" s="594">
        <f t="shared" si="135"/>
        <v>0</v>
      </c>
      <c r="T397" s="594">
        <f t="shared" si="135"/>
        <v>0</v>
      </c>
      <c r="U397" s="594">
        <f t="shared" si="135"/>
        <v>0</v>
      </c>
      <c r="V397" s="594">
        <f t="shared" si="135"/>
        <v>0</v>
      </c>
      <c r="W397" s="594">
        <f t="shared" si="135"/>
        <v>0</v>
      </c>
      <c r="X397" s="594">
        <f t="shared" si="135"/>
        <v>0</v>
      </c>
      <c r="Y397" s="594">
        <f t="shared" si="135"/>
        <v>0</v>
      </c>
      <c r="Z397" s="594">
        <f t="shared" si="135"/>
        <v>0</v>
      </c>
      <c r="AA397" s="594">
        <f t="shared" si="135"/>
        <v>0</v>
      </c>
      <c r="AB397" s="594">
        <f t="shared" si="135"/>
        <v>0</v>
      </c>
      <c r="AC397" s="594">
        <f t="shared" si="135"/>
        <v>0</v>
      </c>
      <c r="AD397" s="594">
        <f t="shared" si="135"/>
        <v>107000000</v>
      </c>
      <c r="AE397" s="594">
        <f t="shared" si="135"/>
        <v>0</v>
      </c>
      <c r="AF397" s="594">
        <f t="shared" si="136"/>
        <v>107000000</v>
      </c>
      <c r="AG397" s="345"/>
      <c r="AH397" s="345"/>
      <c r="AI397" s="345"/>
      <c r="AJ397" s="345"/>
      <c r="AK397" s="345"/>
      <c r="AL397" s="345"/>
      <c r="AM397" s="345"/>
    </row>
    <row r="398" spans="1:39" s="344" customFormat="1" ht="15.75" x14ac:dyDescent="0.2">
      <c r="A398" s="522"/>
      <c r="B398" s="52"/>
      <c r="C398" s="308">
        <v>19</v>
      </c>
      <c r="D398" s="308">
        <v>2409</v>
      </c>
      <c r="E398" s="55" t="s">
        <v>1387</v>
      </c>
      <c r="F398" s="56"/>
      <c r="G398" s="84"/>
      <c r="H398" s="120"/>
      <c r="I398" s="121"/>
      <c r="J398" s="122"/>
      <c r="K398" s="122"/>
      <c r="L398" s="121"/>
      <c r="M398" s="605"/>
      <c r="N398" s="606"/>
      <c r="O398" s="84"/>
      <c r="P398" s="122"/>
      <c r="Q398" s="122"/>
      <c r="R398" s="121"/>
      <c r="S398" s="599">
        <f t="shared" ref="S398:AF398" si="137">SUM(S399:S402)</f>
        <v>0</v>
      </c>
      <c r="T398" s="599">
        <f t="shared" si="137"/>
        <v>0</v>
      </c>
      <c r="U398" s="599">
        <f t="shared" si="137"/>
        <v>0</v>
      </c>
      <c r="V398" s="599">
        <f t="shared" si="137"/>
        <v>0</v>
      </c>
      <c r="W398" s="599">
        <f t="shared" si="137"/>
        <v>0</v>
      </c>
      <c r="X398" s="599">
        <f t="shared" si="137"/>
        <v>0</v>
      </c>
      <c r="Y398" s="599">
        <f t="shared" si="137"/>
        <v>0</v>
      </c>
      <c r="Z398" s="599">
        <f t="shared" si="137"/>
        <v>0</v>
      </c>
      <c r="AA398" s="599">
        <f t="shared" si="137"/>
        <v>0</v>
      </c>
      <c r="AB398" s="599">
        <f t="shared" si="137"/>
        <v>0</v>
      </c>
      <c r="AC398" s="599">
        <f t="shared" si="137"/>
        <v>0</v>
      </c>
      <c r="AD398" s="599">
        <f t="shared" si="137"/>
        <v>107000000</v>
      </c>
      <c r="AE398" s="599">
        <f t="shared" si="137"/>
        <v>0</v>
      </c>
      <c r="AF398" s="599">
        <f t="shared" si="137"/>
        <v>107000000</v>
      </c>
      <c r="AG398" s="345"/>
      <c r="AH398" s="345"/>
      <c r="AI398" s="345"/>
      <c r="AJ398" s="345"/>
      <c r="AK398" s="345"/>
      <c r="AL398" s="345"/>
      <c r="AM398" s="345"/>
    </row>
    <row r="399" spans="1:39" s="181" customFormat="1" ht="111" customHeight="1" x14ac:dyDescent="0.2">
      <c r="A399" s="51"/>
      <c r="B399" s="197"/>
      <c r="C399" s="621"/>
      <c r="D399" s="622"/>
      <c r="E399" s="640"/>
      <c r="F399" s="258" t="s">
        <v>1388</v>
      </c>
      <c r="G399" s="623" t="s">
        <v>1389</v>
      </c>
      <c r="H399" s="71" t="s">
        <v>51</v>
      </c>
      <c r="I399" s="72" t="s">
        <v>1390</v>
      </c>
      <c r="J399" s="623" t="s">
        <v>1391</v>
      </c>
      <c r="K399" s="91" t="s">
        <v>51</v>
      </c>
      <c r="L399" s="278" t="s">
        <v>1392</v>
      </c>
      <c r="M399" s="277" t="s">
        <v>58</v>
      </c>
      <c r="N399" s="91">
        <v>1</v>
      </c>
      <c r="O399" s="91">
        <v>1</v>
      </c>
      <c r="P399" s="772" t="s">
        <v>1393</v>
      </c>
      <c r="Q399" s="772" t="s">
        <v>1394</v>
      </c>
      <c r="R399" s="706" t="s">
        <v>1395</v>
      </c>
      <c r="S399" s="76"/>
      <c r="T399" s="76"/>
      <c r="U399" s="76"/>
      <c r="V399" s="76"/>
      <c r="W399" s="76"/>
      <c r="X399" s="76"/>
      <c r="Y399" s="76"/>
      <c r="Z399" s="76"/>
      <c r="AA399" s="76"/>
      <c r="AB399" s="76"/>
      <c r="AC399" s="509"/>
      <c r="AD399" s="509">
        <v>26400000</v>
      </c>
      <c r="AE399" s="131"/>
      <c r="AF399" s="77">
        <f>+S399+T399+U399+V399+W399+X399+Y399+Z399+AA399+AB399+AC399+AD399+AE399</f>
        <v>26400000</v>
      </c>
    </row>
    <row r="400" spans="1:39" s="344" customFormat="1" ht="105" customHeight="1" x14ac:dyDescent="0.2">
      <c r="A400" s="522"/>
      <c r="B400" s="502"/>
      <c r="C400" s="624"/>
      <c r="D400" s="625"/>
      <c r="E400" s="644"/>
      <c r="F400" s="258" t="s">
        <v>1388</v>
      </c>
      <c r="G400" s="623" t="s">
        <v>1396</v>
      </c>
      <c r="H400" s="626" t="s">
        <v>51</v>
      </c>
      <c r="I400" s="627" t="s">
        <v>1397</v>
      </c>
      <c r="J400" s="623" t="s">
        <v>1398</v>
      </c>
      <c r="K400" s="91" t="s">
        <v>51</v>
      </c>
      <c r="L400" s="278" t="s">
        <v>1399</v>
      </c>
      <c r="M400" s="277" t="s">
        <v>58</v>
      </c>
      <c r="N400" s="91">
        <v>1</v>
      </c>
      <c r="O400" s="91">
        <v>1</v>
      </c>
      <c r="P400" s="773"/>
      <c r="Q400" s="773"/>
      <c r="R400" s="707"/>
      <c r="S400" s="76"/>
      <c r="T400" s="356"/>
      <c r="U400" s="356"/>
      <c r="V400" s="356"/>
      <c r="W400" s="356"/>
      <c r="X400" s="356"/>
      <c r="Y400" s="356"/>
      <c r="Z400" s="356"/>
      <c r="AA400" s="356"/>
      <c r="AB400" s="356"/>
      <c r="AC400" s="628"/>
      <c r="AD400" s="628">
        <v>8400000</v>
      </c>
      <c r="AE400" s="357"/>
      <c r="AF400" s="629">
        <f>+S400+T400+U400+V400+W400+X400+Y400+Z400+AA400+AB400+AC400+AD400+AE400</f>
        <v>8400000</v>
      </c>
      <c r="AG400" s="345"/>
      <c r="AH400" s="345"/>
      <c r="AI400" s="345"/>
      <c r="AJ400" s="345"/>
      <c r="AK400" s="345"/>
      <c r="AL400" s="345"/>
      <c r="AM400" s="345"/>
    </row>
    <row r="401" spans="1:39" s="344" customFormat="1" ht="63" x14ac:dyDescent="0.2">
      <c r="A401" s="522"/>
      <c r="B401" s="502"/>
      <c r="C401" s="624"/>
      <c r="D401" s="625"/>
      <c r="E401" s="644"/>
      <c r="F401" s="258" t="s">
        <v>1388</v>
      </c>
      <c r="G401" s="623" t="s">
        <v>1400</v>
      </c>
      <c r="H401" s="626" t="s">
        <v>51</v>
      </c>
      <c r="I401" s="627" t="s">
        <v>1401</v>
      </c>
      <c r="J401" s="623" t="s">
        <v>1402</v>
      </c>
      <c r="K401" s="91" t="s">
        <v>51</v>
      </c>
      <c r="L401" s="278" t="s">
        <v>1403</v>
      </c>
      <c r="M401" s="277" t="s">
        <v>58</v>
      </c>
      <c r="N401" s="91">
        <v>1</v>
      </c>
      <c r="O401" s="91">
        <v>1</v>
      </c>
      <c r="P401" s="773"/>
      <c r="Q401" s="773"/>
      <c r="R401" s="707"/>
      <c r="S401" s="76"/>
      <c r="T401" s="356"/>
      <c r="U401" s="356"/>
      <c r="V401" s="356"/>
      <c r="W401" s="356"/>
      <c r="X401" s="356"/>
      <c r="Y401" s="356"/>
      <c r="Z401" s="356"/>
      <c r="AA401" s="356"/>
      <c r="AB401" s="356"/>
      <c r="AC401" s="628"/>
      <c r="AD401" s="628">
        <v>25200000</v>
      </c>
      <c r="AE401" s="357"/>
      <c r="AF401" s="629">
        <f>+S401+T401+U401+V401+W401+X401+Y401+Z401+AA401+AB401+AC401+AD401+AE401</f>
        <v>25200000</v>
      </c>
      <c r="AG401" s="345"/>
      <c r="AH401" s="345"/>
      <c r="AI401" s="345"/>
      <c r="AJ401" s="345"/>
      <c r="AK401" s="345"/>
      <c r="AL401" s="345"/>
      <c r="AM401" s="345"/>
    </row>
    <row r="402" spans="1:39" s="344" customFormat="1" ht="63" x14ac:dyDescent="0.2">
      <c r="A402" s="630"/>
      <c r="B402" s="631"/>
      <c r="C402" s="632"/>
      <c r="D402" s="633"/>
      <c r="E402" s="645"/>
      <c r="F402" s="258" t="s">
        <v>1388</v>
      </c>
      <c r="G402" s="623" t="s">
        <v>1404</v>
      </c>
      <c r="H402" s="626" t="s">
        <v>51</v>
      </c>
      <c r="I402" s="627" t="s">
        <v>1405</v>
      </c>
      <c r="J402" s="623" t="s">
        <v>1406</v>
      </c>
      <c r="K402" s="91" t="s">
        <v>51</v>
      </c>
      <c r="L402" s="278" t="s">
        <v>1407</v>
      </c>
      <c r="M402" s="277" t="s">
        <v>58</v>
      </c>
      <c r="N402" s="91">
        <v>1</v>
      </c>
      <c r="O402" s="91">
        <v>1</v>
      </c>
      <c r="P402" s="774"/>
      <c r="Q402" s="774"/>
      <c r="R402" s="710"/>
      <c r="S402" s="356"/>
      <c r="T402" s="356"/>
      <c r="U402" s="356"/>
      <c r="V402" s="356"/>
      <c r="W402" s="356"/>
      <c r="X402" s="356"/>
      <c r="Y402" s="356"/>
      <c r="Z402" s="356"/>
      <c r="AA402" s="356"/>
      <c r="AB402" s="356"/>
      <c r="AC402" s="628"/>
      <c r="AD402" s="628">
        <v>47000000</v>
      </c>
      <c r="AE402" s="357"/>
      <c r="AF402" s="629">
        <f>+S402+T402+U402+V402+W402+X402+Y402+Z402+AA402+AB402+AC402+AD402+AE402</f>
        <v>47000000</v>
      </c>
      <c r="AG402" s="345"/>
      <c r="AH402" s="345"/>
      <c r="AI402" s="345"/>
      <c r="AJ402" s="345"/>
      <c r="AK402" s="345"/>
      <c r="AL402" s="345"/>
      <c r="AM402" s="345"/>
    </row>
    <row r="403" spans="1:39" s="569" customFormat="1" ht="19.5" customHeight="1" x14ac:dyDescent="0.25">
      <c r="A403" s="655" t="s">
        <v>1408</v>
      </c>
      <c r="B403" s="655"/>
      <c r="C403" s="655"/>
      <c r="D403" s="656"/>
      <c r="E403" s="657"/>
      <c r="F403" s="658"/>
      <c r="G403" s="659"/>
      <c r="H403" s="660"/>
      <c r="I403" s="661"/>
      <c r="J403" s="662"/>
      <c r="K403" s="662"/>
      <c r="L403" s="661"/>
      <c r="M403" s="657"/>
      <c r="N403" s="660"/>
      <c r="O403" s="659"/>
      <c r="P403" s="657"/>
      <c r="Q403" s="657"/>
      <c r="R403" s="661"/>
      <c r="S403" s="663">
        <f t="shared" ref="S403:AF403" si="138">+S396+S378+S364</f>
        <v>1117710104</v>
      </c>
      <c r="T403" s="663">
        <f t="shared" si="138"/>
        <v>0</v>
      </c>
      <c r="U403" s="663">
        <f t="shared" si="138"/>
        <v>0</v>
      </c>
      <c r="V403" s="663">
        <f t="shared" si="138"/>
        <v>0</v>
      </c>
      <c r="W403" s="663">
        <f t="shared" si="138"/>
        <v>0</v>
      </c>
      <c r="X403" s="663">
        <f t="shared" si="138"/>
        <v>0</v>
      </c>
      <c r="Y403" s="663">
        <f t="shared" si="138"/>
        <v>0</v>
      </c>
      <c r="Z403" s="663">
        <f t="shared" si="138"/>
        <v>0</v>
      </c>
      <c r="AA403" s="663">
        <f t="shared" si="138"/>
        <v>0</v>
      </c>
      <c r="AB403" s="663">
        <f t="shared" si="138"/>
        <v>0</v>
      </c>
      <c r="AC403" s="663">
        <f t="shared" si="138"/>
        <v>712825727</v>
      </c>
      <c r="AD403" s="663">
        <f t="shared" si="138"/>
        <v>1578760388</v>
      </c>
      <c r="AE403" s="663">
        <f t="shared" si="138"/>
        <v>0</v>
      </c>
      <c r="AF403" s="663">
        <f t="shared" si="138"/>
        <v>3409296219</v>
      </c>
    </row>
    <row r="404" spans="1:39" ht="19.5" customHeight="1" x14ac:dyDescent="0.25">
      <c r="A404" s="664" t="s">
        <v>1409</v>
      </c>
      <c r="B404" s="664"/>
      <c r="C404" s="665"/>
      <c r="D404" s="666"/>
      <c r="E404" s="667"/>
      <c r="F404" s="668"/>
      <c r="G404" s="669"/>
      <c r="H404" s="670"/>
      <c r="I404" s="671"/>
      <c r="J404" s="672"/>
      <c r="K404" s="672"/>
      <c r="L404" s="671"/>
      <c r="M404" s="667"/>
      <c r="N404" s="670"/>
      <c r="O404" s="669"/>
      <c r="P404" s="667"/>
      <c r="Q404" s="667"/>
      <c r="R404" s="671"/>
      <c r="S404" s="673">
        <f t="shared" ref="S404:AF404" si="139">+S362+S403</f>
        <v>15048821128.869999</v>
      </c>
      <c r="T404" s="673">
        <f t="shared" si="139"/>
        <v>5428613946.8600006</v>
      </c>
      <c r="U404" s="673">
        <f t="shared" si="139"/>
        <v>958872976.11000001</v>
      </c>
      <c r="V404" s="673">
        <f t="shared" si="139"/>
        <v>2854044988.79</v>
      </c>
      <c r="W404" s="673">
        <f t="shared" si="139"/>
        <v>6854735768.5</v>
      </c>
      <c r="X404" s="673">
        <f t="shared" si="139"/>
        <v>27403553738.380001</v>
      </c>
      <c r="Y404" s="673">
        <f t="shared" si="139"/>
        <v>134989913515.46001</v>
      </c>
      <c r="Z404" s="673">
        <f t="shared" si="139"/>
        <v>23500000000</v>
      </c>
      <c r="AA404" s="673">
        <f t="shared" si="139"/>
        <v>12173030541.870001</v>
      </c>
      <c r="AB404" s="673">
        <f t="shared" si="139"/>
        <v>2686652877.1199999</v>
      </c>
      <c r="AC404" s="673">
        <f t="shared" si="139"/>
        <v>20550877195.408314</v>
      </c>
      <c r="AD404" s="673">
        <f t="shared" si="139"/>
        <v>2472842072.1100001</v>
      </c>
      <c r="AE404" s="673">
        <f t="shared" si="139"/>
        <v>2855598673.3000002</v>
      </c>
      <c r="AF404" s="673">
        <f t="shared" si="139"/>
        <v>257777557422.77832</v>
      </c>
      <c r="AG404" s="3"/>
      <c r="AH404" s="3"/>
      <c r="AI404" s="3"/>
      <c r="AJ404" s="3"/>
      <c r="AK404" s="3"/>
      <c r="AL404" s="3"/>
      <c r="AM404" s="3"/>
    </row>
  </sheetData>
  <sheetProtection password="A60F" sheet="1" objects="1" scenarios="1"/>
  <mergeCells count="199">
    <mergeCell ref="R388:R391"/>
    <mergeCell ref="P399:P402"/>
    <mergeCell ref="Q399:Q402"/>
    <mergeCell ref="R399:R402"/>
    <mergeCell ref="B380:B381"/>
    <mergeCell ref="B385:B386"/>
    <mergeCell ref="B388:B391"/>
    <mergeCell ref="C388:C391"/>
    <mergeCell ref="P388:P391"/>
    <mergeCell ref="Q388:Q391"/>
    <mergeCell ref="A362:F362"/>
    <mergeCell ref="P367:P368"/>
    <mergeCell ref="Q367:Q368"/>
    <mergeCell ref="R367:R368"/>
    <mergeCell ref="P370:P371"/>
    <mergeCell ref="Q370:Q371"/>
    <mergeCell ref="R370:R371"/>
    <mergeCell ref="B360:B361"/>
    <mergeCell ref="C360:C361"/>
    <mergeCell ref="E360:E361"/>
    <mergeCell ref="P360:P361"/>
    <mergeCell ref="Q360:Q361"/>
    <mergeCell ref="R360:R361"/>
    <mergeCell ref="Q340:Q343"/>
    <mergeCell ref="R340:R343"/>
    <mergeCell ref="B348:B350"/>
    <mergeCell ref="C349:C350"/>
    <mergeCell ref="P349:P350"/>
    <mergeCell ref="Q349:Q350"/>
    <mergeCell ref="R349:R350"/>
    <mergeCell ref="E340:E341"/>
    <mergeCell ref="F340:F341"/>
    <mergeCell ref="G340:G341"/>
    <mergeCell ref="H340:H341"/>
    <mergeCell ref="I340:I341"/>
    <mergeCell ref="P340:P343"/>
    <mergeCell ref="E331:E332"/>
    <mergeCell ref="P331:P332"/>
    <mergeCell ref="Q331:Q332"/>
    <mergeCell ref="P338:P339"/>
    <mergeCell ref="Q338:Q339"/>
    <mergeCell ref="R338:R339"/>
    <mergeCell ref="P326:P327"/>
    <mergeCell ref="Q326:Q327"/>
    <mergeCell ref="R326:R327"/>
    <mergeCell ref="P328:P329"/>
    <mergeCell ref="Q328:Q329"/>
    <mergeCell ref="R328:R329"/>
    <mergeCell ref="P321:P322"/>
    <mergeCell ref="Q321:Q322"/>
    <mergeCell ref="R321:R322"/>
    <mergeCell ref="P323:P325"/>
    <mergeCell ref="Q323:Q325"/>
    <mergeCell ref="R323:R325"/>
    <mergeCell ref="P316:P317"/>
    <mergeCell ref="Q316:Q317"/>
    <mergeCell ref="R316:R317"/>
    <mergeCell ref="P318:P320"/>
    <mergeCell ref="Q318:Q320"/>
    <mergeCell ref="R318:R320"/>
    <mergeCell ref="P307:P308"/>
    <mergeCell ref="Q307:Q308"/>
    <mergeCell ref="R307:R308"/>
    <mergeCell ref="P309:P315"/>
    <mergeCell ref="Q309:Q315"/>
    <mergeCell ref="R309:R315"/>
    <mergeCell ref="R297:R301"/>
    <mergeCell ref="F300:F301"/>
    <mergeCell ref="G300:G301"/>
    <mergeCell ref="H300:H301"/>
    <mergeCell ref="I300:I301"/>
    <mergeCell ref="P302:P305"/>
    <mergeCell ref="Q302:Q305"/>
    <mergeCell ref="R302:R305"/>
    <mergeCell ref="F293:F294"/>
    <mergeCell ref="G293:G294"/>
    <mergeCell ref="H293:H294"/>
    <mergeCell ref="I293:I294"/>
    <mergeCell ref="P297:P301"/>
    <mergeCell ref="Q297:Q301"/>
    <mergeCell ref="P289:P290"/>
    <mergeCell ref="Q289:Q290"/>
    <mergeCell ref="R289:R290"/>
    <mergeCell ref="P291:P293"/>
    <mergeCell ref="Q291:Q293"/>
    <mergeCell ref="R291:R293"/>
    <mergeCell ref="P262:P264"/>
    <mergeCell ref="Q262:Q264"/>
    <mergeCell ref="R262:R264"/>
    <mergeCell ref="P282:P288"/>
    <mergeCell ref="Q282:Q288"/>
    <mergeCell ref="R282:R288"/>
    <mergeCell ref="P253:P254"/>
    <mergeCell ref="Q253:Q254"/>
    <mergeCell ref="R253:R254"/>
    <mergeCell ref="P257:P258"/>
    <mergeCell ref="Q257:Q258"/>
    <mergeCell ref="R257:R258"/>
    <mergeCell ref="Q224:Q226"/>
    <mergeCell ref="R224:R226"/>
    <mergeCell ref="P235:P236"/>
    <mergeCell ref="Q235:Q236"/>
    <mergeCell ref="R235:R236"/>
    <mergeCell ref="P240:P241"/>
    <mergeCell ref="Q240:Q241"/>
    <mergeCell ref="R240:R241"/>
    <mergeCell ref="E224:E225"/>
    <mergeCell ref="F224:F225"/>
    <mergeCell ref="G224:G225"/>
    <mergeCell ref="H224:H225"/>
    <mergeCell ref="I224:I225"/>
    <mergeCell ref="P224:P226"/>
    <mergeCell ref="R213:R218"/>
    <mergeCell ref="E222:E223"/>
    <mergeCell ref="F222:F223"/>
    <mergeCell ref="G222:G223"/>
    <mergeCell ref="H222:H223"/>
    <mergeCell ref="I222:I223"/>
    <mergeCell ref="P222:P223"/>
    <mergeCell ref="Q222:Q223"/>
    <mergeCell ref="R222:R223"/>
    <mergeCell ref="Q213:Q218"/>
    <mergeCell ref="E197:I197"/>
    <mergeCell ref="P206:P208"/>
    <mergeCell ref="Q206:Q208"/>
    <mergeCell ref="R206:R208"/>
    <mergeCell ref="P209:P210"/>
    <mergeCell ref="Q209:Q210"/>
    <mergeCell ref="R209:R210"/>
    <mergeCell ref="P177:P178"/>
    <mergeCell ref="Q177:Q178"/>
    <mergeCell ref="R177:R178"/>
    <mergeCell ref="P184:P185"/>
    <mergeCell ref="Q184:Q185"/>
    <mergeCell ref="R184:R185"/>
    <mergeCell ref="P165:P166"/>
    <mergeCell ref="Q165:Q166"/>
    <mergeCell ref="R165:R166"/>
    <mergeCell ref="P174:P175"/>
    <mergeCell ref="Q174:Q175"/>
    <mergeCell ref="R174:R175"/>
    <mergeCell ref="P156:P157"/>
    <mergeCell ref="Q156:Q157"/>
    <mergeCell ref="R156:R157"/>
    <mergeCell ref="P158:P160"/>
    <mergeCell ref="Q158:Q160"/>
    <mergeCell ref="R158:R160"/>
    <mergeCell ref="P150:P152"/>
    <mergeCell ref="Q150:Q152"/>
    <mergeCell ref="R150:R152"/>
    <mergeCell ref="P154:P155"/>
    <mergeCell ref="Q154:Q155"/>
    <mergeCell ref="R154:R155"/>
    <mergeCell ref="R135:R136"/>
    <mergeCell ref="P137:P139"/>
    <mergeCell ref="Q137:Q139"/>
    <mergeCell ref="R137:R139"/>
    <mergeCell ref="C142:C145"/>
    <mergeCell ref="P142:P145"/>
    <mergeCell ref="Q142:Q145"/>
    <mergeCell ref="R142:R145"/>
    <mergeCell ref="P127:P128"/>
    <mergeCell ref="Q127:Q128"/>
    <mergeCell ref="R127:R128"/>
    <mergeCell ref="B132:B145"/>
    <mergeCell ref="P133:P134"/>
    <mergeCell ref="Q133:Q134"/>
    <mergeCell ref="R133:R134"/>
    <mergeCell ref="C135:C140"/>
    <mergeCell ref="P135:P136"/>
    <mergeCell ref="Q135:Q136"/>
    <mergeCell ref="P120:P121"/>
    <mergeCell ref="Q120:Q121"/>
    <mergeCell ref="R120:R121"/>
    <mergeCell ref="P122:P123"/>
    <mergeCell ref="Q122:Q123"/>
    <mergeCell ref="R122:R123"/>
    <mergeCell ref="P111:P112"/>
    <mergeCell ref="Q111:Q112"/>
    <mergeCell ref="R111:R112"/>
    <mergeCell ref="P113:P114"/>
    <mergeCell ref="Q113:Q114"/>
    <mergeCell ref="R113:R114"/>
    <mergeCell ref="A1:AD4"/>
    <mergeCell ref="P24:P29"/>
    <mergeCell ref="Q24:Q29"/>
    <mergeCell ref="R24:R29"/>
    <mergeCell ref="P103:P104"/>
    <mergeCell ref="Q103:Q104"/>
    <mergeCell ref="R103:R104"/>
    <mergeCell ref="P106:P107"/>
    <mergeCell ref="Q106:Q107"/>
    <mergeCell ref="R106:R107"/>
    <mergeCell ref="P67:P71"/>
    <mergeCell ref="Q67:Q71"/>
    <mergeCell ref="R67:R71"/>
    <mergeCell ref="P90:P94"/>
    <mergeCell ref="Q90:Q94"/>
    <mergeCell ref="R90:R94"/>
  </mergeCells>
  <conditionalFormatting sqref="K282">
    <cfRule type="duplicateValues" dxfId="31" priority="31"/>
  </conditionalFormatting>
  <conditionalFormatting sqref="K282">
    <cfRule type="duplicateValues" dxfId="30" priority="32"/>
  </conditionalFormatting>
  <conditionalFormatting sqref="K289">
    <cfRule type="duplicateValues" dxfId="29" priority="29"/>
  </conditionalFormatting>
  <conditionalFormatting sqref="K289">
    <cfRule type="duplicateValues" dxfId="28" priority="30"/>
  </conditionalFormatting>
  <conditionalFormatting sqref="K298">
    <cfRule type="duplicateValues" dxfId="27" priority="27"/>
  </conditionalFormatting>
  <conditionalFormatting sqref="K298">
    <cfRule type="duplicateValues" dxfId="26" priority="28"/>
  </conditionalFormatting>
  <conditionalFormatting sqref="K123">
    <cfRule type="duplicateValues" dxfId="25" priority="25"/>
  </conditionalFormatting>
  <conditionalFormatting sqref="K124">
    <cfRule type="duplicateValues" dxfId="24" priority="26"/>
  </conditionalFormatting>
  <conditionalFormatting sqref="K151">
    <cfRule type="duplicateValues" dxfId="23" priority="24"/>
  </conditionalFormatting>
  <conditionalFormatting sqref="K152">
    <cfRule type="duplicateValues" dxfId="22" priority="23"/>
  </conditionalFormatting>
  <conditionalFormatting sqref="K271">
    <cfRule type="duplicateValues" dxfId="21" priority="21"/>
  </conditionalFormatting>
  <conditionalFormatting sqref="K271">
    <cfRule type="duplicateValues" dxfId="20" priority="22"/>
  </conditionalFormatting>
  <conditionalFormatting sqref="K158">
    <cfRule type="duplicateValues" dxfId="19" priority="20"/>
  </conditionalFormatting>
  <conditionalFormatting sqref="K159">
    <cfRule type="duplicateValues" dxfId="18" priority="19"/>
  </conditionalFormatting>
  <conditionalFormatting sqref="K160">
    <cfRule type="duplicateValues" dxfId="17" priority="16"/>
  </conditionalFormatting>
  <conditionalFormatting sqref="K160">
    <cfRule type="duplicateValues" dxfId="16" priority="17"/>
  </conditionalFormatting>
  <conditionalFormatting sqref="K160">
    <cfRule type="duplicateValues" dxfId="15" priority="18"/>
  </conditionalFormatting>
  <conditionalFormatting sqref="K157">
    <cfRule type="duplicateValues" dxfId="14" priority="14"/>
  </conditionalFormatting>
  <conditionalFormatting sqref="K157">
    <cfRule type="duplicateValues" dxfId="13" priority="15"/>
  </conditionalFormatting>
  <conditionalFormatting sqref="K161">
    <cfRule type="duplicateValues" dxfId="12" priority="12"/>
  </conditionalFormatting>
  <conditionalFormatting sqref="K161">
    <cfRule type="duplicateValues" dxfId="11" priority="13"/>
  </conditionalFormatting>
  <conditionalFormatting sqref="K153">
    <cfRule type="duplicateValues" dxfId="10" priority="11"/>
  </conditionalFormatting>
  <conditionalFormatting sqref="K163">
    <cfRule type="duplicateValues" dxfId="9" priority="9"/>
  </conditionalFormatting>
  <conditionalFormatting sqref="K163">
    <cfRule type="duplicateValues" dxfId="8" priority="10"/>
  </conditionalFormatting>
  <conditionalFormatting sqref="K172">
    <cfRule type="duplicateValues" dxfId="7" priority="7"/>
  </conditionalFormatting>
  <conditionalFormatting sqref="K172">
    <cfRule type="duplicateValues" dxfId="6" priority="8"/>
  </conditionalFormatting>
  <conditionalFormatting sqref="K174">
    <cfRule type="duplicateValues" dxfId="5" priority="5"/>
  </conditionalFormatting>
  <conditionalFormatting sqref="K174">
    <cfRule type="duplicateValues" dxfId="4" priority="6"/>
  </conditionalFormatting>
  <conditionalFormatting sqref="K175">
    <cfRule type="duplicateValues" dxfId="3" priority="3"/>
  </conditionalFormatting>
  <conditionalFormatting sqref="K175">
    <cfRule type="duplicateValues" dxfId="2" priority="4"/>
  </conditionalFormatting>
  <conditionalFormatting sqref="K299">
    <cfRule type="duplicateValues" dxfId="1" priority="1"/>
  </conditionalFormatting>
  <conditionalFormatting sqref="K299">
    <cfRule type="duplicateValues" dxfId="0" priority="2"/>
  </conditionalFormatting>
  <pageMargins left="0.7" right="0.7" top="0.75" bottom="0.75" header="0.3" footer="0.3"/>
  <pageSetup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JUNIO 2020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dcterms:created xsi:type="dcterms:W3CDTF">2020-07-04T13:49:41Z</dcterms:created>
  <dcterms:modified xsi:type="dcterms:W3CDTF">2020-09-28T16:14:42Z</dcterms:modified>
</cp:coreProperties>
</file>